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7FD09AC2-85C1-4C34-A7DF-E7FCB2ECFE83}" xr6:coauthVersionLast="47" xr6:coauthVersionMax="47" xr10:uidLastSave="{00000000-0000-0000-0000-000000000000}"/>
  <bookViews>
    <workbookView xWindow="-120" yWindow="-120" windowWidth="29040" windowHeight="15720" xr2:uid="{15862C75-9F87-42F8-A92E-6AD6FD40C580}"/>
  </bookViews>
  <sheets>
    <sheet name="利用注意" sheetId="110" r:id="rId1"/>
    <sheet name="目次(Contents)" sheetId="1" r:id="rId2"/>
    <sheet name="1010" sheetId="2" r:id="rId3"/>
    <sheet name="1020" sheetId="3" r:id="rId4"/>
    <sheet name="1040" sheetId="4" r:id="rId5"/>
    <sheet name="1050" sheetId="5" r:id="rId6"/>
    <sheet name="1060" sheetId="6" r:id="rId7"/>
    <sheet name="1070" sheetId="7" r:id="rId8"/>
    <sheet name="2010" sheetId="8" r:id="rId9"/>
    <sheet name="2020" sheetId="9" r:id="rId10"/>
    <sheet name="2030" sheetId="10" r:id="rId11"/>
    <sheet name="2040" sheetId="11" r:id="rId12"/>
    <sheet name="2060" sheetId="12" r:id="rId13"/>
    <sheet name="2070" sheetId="13" r:id="rId14"/>
    <sheet name="2080" sheetId="14" r:id="rId15"/>
    <sheet name="2090" sheetId="15" r:id="rId16"/>
    <sheet name="2100" sheetId="16" r:id="rId17"/>
    <sheet name="2110" sheetId="17" r:id="rId18"/>
    <sheet name="2120" sheetId="18" r:id="rId19"/>
    <sheet name="2140" sheetId="19" r:id="rId20"/>
    <sheet name="2160" sheetId="20" r:id="rId21"/>
    <sheet name="2170" sheetId="21" r:id="rId22"/>
    <sheet name="2180" sheetId="22" r:id="rId23"/>
    <sheet name="2190" sheetId="23" r:id="rId24"/>
    <sheet name="2200" sheetId="24" r:id="rId25"/>
    <sheet name="2210" sheetId="25" r:id="rId26"/>
    <sheet name="2220" sheetId="26" r:id="rId27"/>
    <sheet name="2230" sheetId="27" r:id="rId28"/>
    <sheet name="2240" sheetId="28" r:id="rId29"/>
    <sheet name="2250" sheetId="29" r:id="rId30"/>
    <sheet name="2260" sheetId="30" r:id="rId31"/>
    <sheet name="2270" sheetId="31" r:id="rId32"/>
    <sheet name="2280" sheetId="32" r:id="rId33"/>
    <sheet name="2290" sheetId="33" r:id="rId34"/>
    <sheet name="2300" sheetId="34" r:id="rId35"/>
    <sheet name="2310" sheetId="35" r:id="rId36"/>
    <sheet name="2320" sheetId="36" r:id="rId37"/>
    <sheet name="2330" sheetId="37" r:id="rId38"/>
    <sheet name="2340" sheetId="38" r:id="rId39"/>
    <sheet name="2350" sheetId="39" r:id="rId40"/>
    <sheet name="2360" sheetId="40" r:id="rId41"/>
    <sheet name="2370" sheetId="41" r:id="rId42"/>
    <sheet name="2380" sheetId="42" r:id="rId43"/>
    <sheet name="2390" sheetId="43" r:id="rId44"/>
    <sheet name="2400" sheetId="44" r:id="rId45"/>
    <sheet name="2410" sheetId="45" r:id="rId46"/>
    <sheet name="2430" sheetId="46" r:id="rId47"/>
    <sheet name="2440" sheetId="47" r:id="rId48"/>
    <sheet name="2450" sheetId="48" r:id="rId49"/>
    <sheet name="2460" sheetId="49" r:id="rId50"/>
    <sheet name="2470" sheetId="50" r:id="rId51"/>
    <sheet name="2510" sheetId="51" r:id="rId52"/>
    <sheet name="2520" sheetId="52" r:id="rId53"/>
    <sheet name="2530" sheetId="53" r:id="rId54"/>
    <sheet name="2540" sheetId="54" r:id="rId55"/>
    <sheet name="2550" sheetId="55" r:id="rId56"/>
    <sheet name="2560" sheetId="56" r:id="rId57"/>
    <sheet name="2570" sheetId="57" r:id="rId58"/>
    <sheet name="3010" sheetId="58" r:id="rId59"/>
    <sheet name="3040" sheetId="59" r:id="rId60"/>
    <sheet name="3110" sheetId="60" r:id="rId61"/>
    <sheet name="3150" sheetId="61" r:id="rId62"/>
    <sheet name="3160" sheetId="62" r:id="rId63"/>
    <sheet name="3180" sheetId="63" r:id="rId64"/>
    <sheet name="3200" sheetId="64" r:id="rId65"/>
    <sheet name="4230" sheetId="65" r:id="rId66"/>
    <sheet name="4240" sheetId="66" r:id="rId67"/>
    <sheet name="4260" sheetId="67" r:id="rId68"/>
    <sheet name="4290" sheetId="68" r:id="rId69"/>
    <sheet name="4295" sheetId="69" r:id="rId70"/>
    <sheet name="4300" sheetId="70" r:id="rId71"/>
    <sheet name="5020" sheetId="71" r:id="rId72"/>
    <sheet name="5030" sheetId="72" r:id="rId73"/>
    <sheet name="5040" sheetId="73" r:id="rId74"/>
    <sheet name="5050" sheetId="74" r:id="rId75"/>
    <sheet name="5080" sheetId="75" r:id="rId76"/>
    <sheet name="5100" sheetId="76" r:id="rId77"/>
    <sheet name="5110" sheetId="77" r:id="rId78"/>
    <sheet name="5120" sheetId="78" r:id="rId79"/>
    <sheet name="5130" sheetId="79" r:id="rId80"/>
    <sheet name="5140" sheetId="80" r:id="rId81"/>
    <sheet name="6010" sheetId="81" r:id="rId82"/>
    <sheet name="6080" sheetId="82" r:id="rId83"/>
    <sheet name="6090" sheetId="83" r:id="rId84"/>
    <sheet name="6100" sheetId="84" r:id="rId85"/>
    <sheet name="6121" sheetId="85" r:id="rId86"/>
    <sheet name="6122" sheetId="86" r:id="rId87"/>
    <sheet name="6140" sheetId="87" r:id="rId88"/>
    <sheet name="6160" sheetId="88" r:id="rId89"/>
    <sheet name="6171" sheetId="89" r:id="rId90"/>
    <sheet name="6175" sheetId="90" r:id="rId91"/>
    <sheet name="6180" sheetId="91" r:id="rId92"/>
    <sheet name="6201" sheetId="92" r:id="rId93"/>
    <sheet name="6202" sheetId="93" r:id="rId94"/>
    <sheet name="6210" sheetId="94" r:id="rId95"/>
    <sheet name="7230" sheetId="95" r:id="rId96"/>
    <sheet name="7250" sheetId="96" r:id="rId97"/>
    <sheet name="7260" sheetId="97" r:id="rId98"/>
    <sheet name="7290" sheetId="98" r:id="rId99"/>
    <sheet name="7320" sheetId="99" r:id="rId100"/>
    <sheet name="7340" sheetId="100" r:id="rId101"/>
    <sheet name="8020" sheetId="101" r:id="rId102"/>
    <sheet name="8040" sheetId="102" r:id="rId103"/>
    <sheet name="8061" sheetId="103" r:id="rId104"/>
    <sheet name="9040" sheetId="104" r:id="rId105"/>
    <sheet name="9050" sheetId="105" r:id="rId106"/>
    <sheet name="9060" sheetId="106" r:id="rId107"/>
    <sheet name="9070" sheetId="107" r:id="rId108"/>
    <sheet name="9080" sheetId="108" r:id="rId109"/>
    <sheet name="9810" sheetId="109" r:id="rId1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10" l="1"/>
  <c r="M8" i="110"/>
  <c r="J3" i="110"/>
  <c r="D1537" i="1"/>
  <c r="C1537" i="1"/>
  <c r="B1537" i="1"/>
  <c r="A1537" i="1"/>
  <c r="D1536" i="1"/>
  <c r="C1536" i="1"/>
  <c r="B1536" i="1"/>
  <c r="A1536" i="1"/>
  <c r="D1535" i="1"/>
  <c r="C1535" i="1"/>
  <c r="B1535" i="1"/>
  <c r="A1535" i="1"/>
  <c r="D1534" i="1"/>
  <c r="C1534" i="1"/>
  <c r="B1534" i="1"/>
  <c r="A1534" i="1"/>
  <c r="D1533" i="1"/>
  <c r="C1533" i="1"/>
  <c r="B1533" i="1"/>
  <c r="A1533" i="1"/>
  <c r="D1532" i="1"/>
  <c r="C1532" i="1"/>
  <c r="B1532" i="1"/>
  <c r="A1532" i="1"/>
  <c r="D1531" i="1"/>
  <c r="C1531" i="1"/>
  <c r="B1531" i="1"/>
  <c r="A1531" i="1"/>
  <c r="D1530" i="1"/>
  <c r="C1530" i="1"/>
  <c r="B1530" i="1"/>
  <c r="A1530" i="1"/>
  <c r="D1529" i="1"/>
  <c r="C1529" i="1"/>
  <c r="B1529" i="1"/>
  <c r="A1529" i="1"/>
  <c r="D1528" i="1"/>
  <c r="C1528" i="1"/>
  <c r="B1528" i="1"/>
  <c r="A1528" i="1"/>
  <c r="D1527" i="1"/>
  <c r="C1527" i="1"/>
  <c r="B1527" i="1"/>
  <c r="A1527" i="1"/>
  <c r="D1526" i="1"/>
  <c r="C1526" i="1"/>
  <c r="B1526" i="1"/>
  <c r="A1526" i="1"/>
  <c r="D1525" i="1"/>
  <c r="C1525" i="1"/>
  <c r="B1525" i="1"/>
  <c r="A1525" i="1"/>
  <c r="D1524" i="1"/>
  <c r="C1524" i="1"/>
  <c r="B1524" i="1"/>
  <c r="A1524" i="1"/>
  <c r="D1523" i="1"/>
  <c r="C1523" i="1"/>
  <c r="B1523" i="1"/>
  <c r="A1523" i="1"/>
  <c r="D1522" i="1"/>
  <c r="C1522" i="1"/>
  <c r="B1522" i="1"/>
  <c r="A1522" i="1"/>
  <c r="D1521" i="1"/>
  <c r="C1521" i="1"/>
  <c r="B1521" i="1"/>
  <c r="A1521" i="1"/>
  <c r="D1520" i="1"/>
  <c r="C1520" i="1"/>
  <c r="B1520" i="1"/>
  <c r="A1520" i="1"/>
  <c r="D1519" i="1"/>
  <c r="C1519" i="1"/>
  <c r="B1519" i="1"/>
  <c r="A1519" i="1"/>
  <c r="D1518" i="1"/>
  <c r="C1518" i="1"/>
  <c r="B1518" i="1"/>
  <c r="A1518" i="1"/>
  <c r="D1517" i="1"/>
  <c r="C1517" i="1"/>
  <c r="B1517" i="1"/>
  <c r="A1517" i="1"/>
  <c r="D1516" i="1"/>
  <c r="C1516" i="1"/>
  <c r="B1516" i="1"/>
  <c r="A1516" i="1"/>
  <c r="D1515" i="1"/>
  <c r="C1515" i="1"/>
  <c r="B1515" i="1"/>
  <c r="A1515" i="1"/>
  <c r="D1514" i="1"/>
  <c r="C1514" i="1"/>
  <c r="B1514" i="1"/>
  <c r="A1514" i="1"/>
  <c r="D1513" i="1"/>
  <c r="C1513" i="1"/>
  <c r="B1513" i="1"/>
  <c r="A1513" i="1"/>
  <c r="D1512" i="1"/>
  <c r="C1512" i="1"/>
  <c r="B1512" i="1"/>
  <c r="A1512" i="1"/>
  <c r="D1511" i="1"/>
  <c r="C1511" i="1"/>
  <c r="B1511" i="1"/>
  <c r="A1511" i="1"/>
  <c r="D1510" i="1"/>
  <c r="C1510" i="1"/>
  <c r="B1510" i="1"/>
  <c r="A1510" i="1"/>
  <c r="D1509" i="1"/>
  <c r="C1509" i="1"/>
  <c r="B1509" i="1"/>
  <c r="A1509" i="1"/>
  <c r="D1508" i="1"/>
  <c r="C1508" i="1"/>
  <c r="B1508" i="1"/>
  <c r="A1508" i="1"/>
  <c r="D1507" i="1"/>
  <c r="C1507" i="1"/>
  <c r="B1507" i="1"/>
  <c r="A1507" i="1"/>
  <c r="D1506" i="1"/>
  <c r="C1506" i="1"/>
  <c r="B1506" i="1"/>
  <c r="A1506" i="1"/>
  <c r="D1505" i="1"/>
  <c r="C1505" i="1"/>
  <c r="B1505" i="1"/>
  <c r="A1505" i="1"/>
  <c r="D1504" i="1"/>
  <c r="C1504" i="1"/>
  <c r="B1504" i="1"/>
  <c r="A1504" i="1"/>
  <c r="D1503" i="1"/>
  <c r="C1503" i="1"/>
  <c r="B1503" i="1"/>
  <c r="A1503" i="1"/>
  <c r="D1502" i="1"/>
  <c r="C1502" i="1"/>
  <c r="B1502" i="1"/>
  <c r="A1502" i="1"/>
  <c r="D1501" i="1"/>
  <c r="C1501" i="1"/>
  <c r="B1501" i="1"/>
  <c r="A1501" i="1"/>
  <c r="D1500" i="1"/>
  <c r="C1500" i="1"/>
  <c r="B1500" i="1"/>
  <c r="A1500" i="1"/>
  <c r="D1499" i="1"/>
  <c r="C1499" i="1"/>
  <c r="B1499" i="1"/>
  <c r="A1499" i="1"/>
  <c r="D1498" i="1"/>
  <c r="C1498" i="1"/>
  <c r="B1498" i="1"/>
  <c r="A1498" i="1"/>
  <c r="D1497" i="1"/>
  <c r="C1497" i="1"/>
  <c r="B1497" i="1"/>
  <c r="A1497" i="1"/>
  <c r="D1496" i="1"/>
  <c r="C1496" i="1"/>
  <c r="B1496" i="1"/>
  <c r="A1496" i="1"/>
  <c r="D1495" i="1"/>
  <c r="C1495" i="1"/>
  <c r="B1495" i="1"/>
  <c r="A1495" i="1"/>
  <c r="D1494" i="1"/>
  <c r="C1494" i="1"/>
  <c r="B1494" i="1"/>
  <c r="A1494" i="1"/>
  <c r="D1493" i="1"/>
  <c r="C1493" i="1"/>
  <c r="B1493" i="1"/>
  <c r="A1493" i="1"/>
  <c r="D1492" i="1"/>
  <c r="C1492" i="1"/>
  <c r="B1492" i="1"/>
  <c r="A1492" i="1"/>
  <c r="D1491" i="1"/>
  <c r="C1491" i="1"/>
  <c r="B1491" i="1"/>
  <c r="A1491" i="1"/>
  <c r="D1490" i="1"/>
  <c r="C1490" i="1"/>
  <c r="B1490" i="1"/>
  <c r="A1490" i="1"/>
  <c r="D1489" i="1"/>
  <c r="C1489" i="1"/>
  <c r="B1489" i="1"/>
  <c r="A1489" i="1"/>
  <c r="D1488" i="1"/>
  <c r="C1488" i="1"/>
  <c r="B1488" i="1"/>
  <c r="A1488" i="1"/>
  <c r="D1487" i="1"/>
  <c r="C1487" i="1"/>
  <c r="B1487" i="1"/>
  <c r="A1487" i="1"/>
  <c r="D1486" i="1"/>
  <c r="C1486" i="1"/>
  <c r="B1486" i="1"/>
  <c r="A1486" i="1"/>
  <c r="D1485" i="1"/>
  <c r="C1485" i="1"/>
  <c r="B1485" i="1"/>
  <c r="A1485" i="1"/>
  <c r="D1484" i="1"/>
  <c r="C1484" i="1"/>
  <c r="B1484" i="1"/>
  <c r="A1484" i="1"/>
  <c r="D1483" i="1"/>
  <c r="C1483" i="1"/>
  <c r="B1483" i="1"/>
  <c r="A1483" i="1"/>
  <c r="D1482" i="1"/>
  <c r="C1482" i="1"/>
  <c r="B1482" i="1"/>
  <c r="A1482" i="1"/>
  <c r="D1481" i="1"/>
  <c r="C1481" i="1"/>
  <c r="B1481" i="1"/>
  <c r="A1481" i="1"/>
  <c r="D1480" i="1"/>
  <c r="C1480" i="1"/>
  <c r="B1480" i="1"/>
  <c r="A1480" i="1"/>
  <c r="D1479" i="1"/>
  <c r="C1479" i="1"/>
  <c r="B1479" i="1"/>
  <c r="A1479" i="1"/>
  <c r="D1478" i="1"/>
  <c r="C1478" i="1"/>
  <c r="B1478" i="1"/>
  <c r="A1478" i="1"/>
  <c r="D1477" i="1"/>
  <c r="C1477" i="1"/>
  <c r="B1477" i="1"/>
  <c r="A1477" i="1"/>
  <c r="D1476" i="1"/>
  <c r="C1476" i="1"/>
  <c r="B1476" i="1"/>
  <c r="A1476" i="1"/>
  <c r="D1475" i="1"/>
  <c r="C1475" i="1"/>
  <c r="B1475" i="1"/>
  <c r="A1475" i="1"/>
  <c r="D1474" i="1"/>
  <c r="C1474" i="1"/>
  <c r="B1474" i="1"/>
  <c r="A1474" i="1"/>
  <c r="D1473" i="1"/>
  <c r="C1473" i="1"/>
  <c r="B1473" i="1"/>
  <c r="A1473" i="1"/>
  <c r="D1472" i="1"/>
  <c r="C1472" i="1"/>
  <c r="B1472" i="1"/>
  <c r="A1472" i="1"/>
  <c r="D1471" i="1"/>
  <c r="C1471" i="1"/>
  <c r="B1471" i="1"/>
  <c r="A1471" i="1"/>
  <c r="D1470" i="1"/>
  <c r="C1470" i="1"/>
  <c r="B1470" i="1"/>
  <c r="A1470" i="1"/>
  <c r="D1469" i="1"/>
  <c r="C1469" i="1"/>
  <c r="B1469" i="1"/>
  <c r="A1469" i="1"/>
  <c r="D1468" i="1"/>
  <c r="C1468" i="1"/>
  <c r="B1468" i="1"/>
  <c r="A1468" i="1"/>
  <c r="D1467" i="1"/>
  <c r="C1467" i="1"/>
  <c r="B1467" i="1"/>
  <c r="A1467" i="1"/>
  <c r="D1466" i="1"/>
  <c r="C1466" i="1"/>
  <c r="B1466" i="1"/>
  <c r="A1466" i="1"/>
  <c r="D1465" i="1"/>
  <c r="C1465" i="1"/>
  <c r="B1465" i="1"/>
  <c r="A1465" i="1"/>
  <c r="D1464" i="1"/>
  <c r="C1464" i="1"/>
  <c r="B1464" i="1"/>
  <c r="A1464" i="1"/>
  <c r="D1463" i="1"/>
  <c r="C1463" i="1"/>
  <c r="B1463" i="1"/>
  <c r="A1463" i="1"/>
  <c r="D1462" i="1"/>
  <c r="C1462" i="1"/>
  <c r="B1462" i="1"/>
  <c r="A1462" i="1"/>
  <c r="D1461" i="1"/>
  <c r="C1461" i="1"/>
  <c r="B1461" i="1"/>
  <c r="A1461" i="1"/>
  <c r="D1460" i="1"/>
  <c r="C1460" i="1"/>
  <c r="B1460" i="1"/>
  <c r="A1460" i="1"/>
  <c r="D1459" i="1"/>
  <c r="C1459" i="1"/>
  <c r="B1459" i="1"/>
  <c r="A1459" i="1"/>
  <c r="D1458" i="1"/>
  <c r="C1458" i="1"/>
  <c r="B1458" i="1"/>
  <c r="A1458" i="1"/>
  <c r="D1457" i="1"/>
  <c r="C1457" i="1"/>
  <c r="B1457" i="1"/>
  <c r="A1457" i="1"/>
  <c r="D1456" i="1"/>
  <c r="C1456" i="1"/>
  <c r="B1456" i="1"/>
  <c r="A1456" i="1"/>
  <c r="D1455" i="1"/>
  <c r="C1455" i="1"/>
  <c r="B1455" i="1"/>
  <c r="A1455" i="1"/>
  <c r="D1454" i="1"/>
  <c r="C1454" i="1"/>
  <c r="B1454" i="1"/>
  <c r="A1454" i="1"/>
  <c r="D1453" i="1"/>
  <c r="C1453" i="1"/>
  <c r="B1453" i="1"/>
  <c r="A1453" i="1"/>
  <c r="D1452" i="1"/>
  <c r="C1452" i="1"/>
  <c r="B1452" i="1"/>
  <c r="A1452" i="1"/>
  <c r="D1451" i="1"/>
  <c r="C1451" i="1"/>
  <c r="B1451" i="1"/>
  <c r="A1451" i="1"/>
  <c r="D1450" i="1"/>
  <c r="C1450" i="1"/>
  <c r="B1450" i="1"/>
  <c r="A1450" i="1"/>
  <c r="D1449" i="1"/>
  <c r="C1449" i="1"/>
  <c r="B1449" i="1"/>
  <c r="A1449" i="1"/>
  <c r="D1448" i="1"/>
  <c r="C1448" i="1"/>
  <c r="B1448" i="1"/>
  <c r="A1448" i="1"/>
  <c r="D1447" i="1"/>
  <c r="C1447" i="1"/>
  <c r="B1447" i="1"/>
  <c r="A1447" i="1"/>
  <c r="D1446" i="1"/>
  <c r="C1446" i="1"/>
  <c r="B1446" i="1"/>
  <c r="A1446" i="1"/>
  <c r="D1445" i="1"/>
  <c r="C1445" i="1"/>
  <c r="B1445" i="1"/>
  <c r="A1445" i="1"/>
  <c r="D1444" i="1"/>
  <c r="C1444" i="1"/>
  <c r="B1444" i="1"/>
  <c r="A1444" i="1"/>
  <c r="D1443" i="1"/>
  <c r="C1443" i="1"/>
  <c r="B1443" i="1"/>
  <c r="A1443" i="1"/>
  <c r="D1442" i="1"/>
  <c r="C1442" i="1"/>
  <c r="B1442" i="1"/>
  <c r="A1442" i="1"/>
  <c r="D1441" i="1"/>
  <c r="C1441" i="1"/>
  <c r="B1441" i="1"/>
  <c r="A1441" i="1"/>
  <c r="D1440" i="1"/>
  <c r="C1440" i="1"/>
  <c r="B1440" i="1"/>
  <c r="A1440" i="1"/>
  <c r="D1439" i="1"/>
  <c r="C1439" i="1"/>
  <c r="B1439" i="1"/>
  <c r="A1439" i="1"/>
  <c r="D1438" i="1"/>
  <c r="C1438" i="1"/>
  <c r="B1438" i="1"/>
  <c r="A1438" i="1"/>
  <c r="D1437" i="1"/>
  <c r="C1437" i="1"/>
  <c r="B1437" i="1"/>
  <c r="A1437" i="1"/>
  <c r="D1436" i="1"/>
  <c r="C1436" i="1"/>
  <c r="B1436" i="1"/>
  <c r="A1436" i="1"/>
  <c r="D1435" i="1"/>
  <c r="C1435" i="1"/>
  <c r="B1435" i="1"/>
  <c r="A1435" i="1"/>
  <c r="D1434" i="1"/>
  <c r="C1434" i="1"/>
  <c r="B1434" i="1"/>
  <c r="A1434" i="1"/>
  <c r="D1433" i="1"/>
  <c r="C1433" i="1"/>
  <c r="B1433" i="1"/>
  <c r="A1433" i="1"/>
  <c r="D1432" i="1"/>
  <c r="C1432" i="1"/>
  <c r="B1432" i="1"/>
  <c r="A1432" i="1"/>
  <c r="D1431" i="1"/>
  <c r="C1431" i="1"/>
  <c r="B1431" i="1"/>
  <c r="A1431" i="1"/>
  <c r="D1430" i="1"/>
  <c r="C1430" i="1"/>
  <c r="B1430" i="1"/>
  <c r="A1430" i="1"/>
  <c r="D1429" i="1"/>
  <c r="C1429" i="1"/>
  <c r="B1429" i="1"/>
  <c r="A1429" i="1"/>
  <c r="D1428" i="1"/>
  <c r="C1428" i="1"/>
  <c r="B1428" i="1"/>
  <c r="A1428" i="1"/>
  <c r="D1427" i="1"/>
  <c r="C1427" i="1"/>
  <c r="B1427" i="1"/>
  <c r="A1427" i="1"/>
  <c r="D1426" i="1"/>
  <c r="C1426" i="1"/>
  <c r="B1426" i="1"/>
  <c r="A1426" i="1"/>
  <c r="D1425" i="1"/>
  <c r="C1425" i="1"/>
  <c r="B1425" i="1"/>
  <c r="A1425" i="1"/>
  <c r="D1424" i="1"/>
  <c r="C1424" i="1"/>
  <c r="B1424" i="1"/>
  <c r="A1424" i="1"/>
  <c r="D1423" i="1"/>
  <c r="C1423" i="1"/>
  <c r="B1423" i="1"/>
  <c r="A1423" i="1"/>
  <c r="D1422" i="1"/>
  <c r="C1422" i="1"/>
  <c r="B1422" i="1"/>
  <c r="A1422" i="1"/>
  <c r="D1421" i="1"/>
  <c r="C1421" i="1"/>
  <c r="B1421" i="1"/>
  <c r="A1421" i="1"/>
  <c r="D1420" i="1"/>
  <c r="C1420" i="1"/>
  <c r="B1420" i="1"/>
  <c r="A1420" i="1"/>
  <c r="D1419" i="1"/>
  <c r="C1419" i="1"/>
  <c r="B1419" i="1"/>
  <c r="A1419" i="1"/>
  <c r="D1418" i="1"/>
  <c r="C1418" i="1"/>
  <c r="B1418" i="1"/>
  <c r="A1418" i="1"/>
  <c r="D1417" i="1"/>
  <c r="C1417" i="1"/>
  <c r="B1417" i="1"/>
  <c r="A1417" i="1"/>
  <c r="D1416" i="1"/>
  <c r="C1416" i="1"/>
  <c r="B1416" i="1"/>
  <c r="A1416" i="1"/>
  <c r="D1415" i="1"/>
  <c r="C1415" i="1"/>
  <c r="B1415" i="1"/>
  <c r="A1415" i="1"/>
  <c r="D1414" i="1"/>
  <c r="C1414" i="1"/>
  <c r="B1414" i="1"/>
  <c r="A1414" i="1"/>
  <c r="D1413" i="1"/>
  <c r="C1413" i="1"/>
  <c r="B1413" i="1"/>
  <c r="A1413" i="1"/>
  <c r="D1412" i="1"/>
  <c r="C1412" i="1"/>
  <c r="B1412" i="1"/>
  <c r="A1412" i="1"/>
  <c r="D1411" i="1"/>
  <c r="C1411" i="1"/>
  <c r="B1411" i="1"/>
  <c r="A1411" i="1"/>
  <c r="D1410" i="1"/>
  <c r="C1410" i="1"/>
  <c r="B1410" i="1"/>
  <c r="A1410" i="1"/>
  <c r="D1409" i="1"/>
  <c r="C1409" i="1"/>
  <c r="B1409" i="1"/>
  <c r="A1409" i="1"/>
  <c r="D1408" i="1"/>
  <c r="C1408" i="1"/>
  <c r="B1408" i="1"/>
  <c r="A1408" i="1"/>
  <c r="D1407" i="1"/>
  <c r="C1407" i="1"/>
  <c r="B1407" i="1"/>
  <c r="A1407" i="1"/>
  <c r="D1406" i="1"/>
  <c r="C1406" i="1"/>
  <c r="B1406" i="1"/>
  <c r="A1406" i="1"/>
  <c r="D1405" i="1"/>
  <c r="C1405" i="1"/>
  <c r="B1405" i="1"/>
  <c r="A1405" i="1"/>
  <c r="D1404" i="1"/>
  <c r="C1404" i="1"/>
  <c r="B1404" i="1"/>
  <c r="A1404" i="1"/>
  <c r="D1403" i="1"/>
  <c r="C1403" i="1"/>
  <c r="B1403" i="1"/>
  <c r="A1403" i="1"/>
  <c r="D1402" i="1"/>
  <c r="C1402" i="1"/>
  <c r="B1402" i="1"/>
  <c r="A1402" i="1"/>
  <c r="D1401" i="1"/>
  <c r="C1401" i="1"/>
  <c r="B1401" i="1"/>
  <c r="A1401" i="1"/>
  <c r="D1400" i="1"/>
  <c r="C1400" i="1"/>
  <c r="B1400" i="1"/>
  <c r="A1400" i="1"/>
  <c r="D1399" i="1"/>
  <c r="C1399" i="1"/>
  <c r="B1399" i="1"/>
  <c r="A1399" i="1"/>
  <c r="D1398" i="1"/>
  <c r="C1398" i="1"/>
  <c r="B1398" i="1"/>
  <c r="A1398" i="1"/>
  <c r="D1397" i="1"/>
  <c r="C1397" i="1"/>
  <c r="B1397" i="1"/>
  <c r="A1397" i="1"/>
  <c r="D1396" i="1"/>
  <c r="C1396" i="1"/>
  <c r="B1396" i="1"/>
  <c r="A1396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C1068" i="1"/>
  <c r="B1068" i="1"/>
  <c r="A1068" i="1"/>
  <c r="C1067" i="1"/>
  <c r="B1067" i="1"/>
  <c r="A1067" i="1"/>
  <c r="C1066" i="1"/>
  <c r="B1066" i="1"/>
  <c r="A1066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/>
  <c r="B543" i="1"/>
  <c r="A543" i="1"/>
  <c r="D542" i="1"/>
  <c r="C542" i="1"/>
  <c r="B542" i="1"/>
  <c r="A542" i="1"/>
  <c r="D541" i="1"/>
  <c r="C541" i="1"/>
  <c r="B541" i="1"/>
  <c r="A541" i="1"/>
  <c r="D540" i="1"/>
  <c r="C540" i="1"/>
  <c r="B540" i="1"/>
  <c r="A540" i="1"/>
  <c r="D539" i="1"/>
  <c r="C539" i="1"/>
  <c r="B539" i="1"/>
  <c r="A539" i="1"/>
  <c r="D538" i="1"/>
  <c r="C538" i="1"/>
  <c r="B538" i="1"/>
  <c r="A538" i="1"/>
  <c r="D537" i="1"/>
  <c r="C537" i="1"/>
  <c r="B537" i="1"/>
  <c r="A537" i="1"/>
  <c r="D536" i="1"/>
  <c r="C536" i="1"/>
  <c r="B536" i="1"/>
  <c r="A536" i="1"/>
  <c r="D535" i="1"/>
  <c r="C535" i="1"/>
  <c r="B535" i="1"/>
  <c r="A535" i="1"/>
  <c r="D534" i="1"/>
  <c r="C534" i="1"/>
  <c r="B534" i="1"/>
  <c r="A534" i="1"/>
  <c r="D533" i="1"/>
  <c r="C533" i="1"/>
  <c r="B533" i="1"/>
  <c r="A533" i="1"/>
  <c r="D532" i="1"/>
  <c r="C532" i="1"/>
  <c r="B532" i="1"/>
  <c r="A532" i="1"/>
  <c r="D531" i="1"/>
  <c r="C531" i="1"/>
  <c r="B531" i="1"/>
  <c r="A531" i="1"/>
  <c r="D530" i="1"/>
  <c r="C530" i="1"/>
  <c r="B530" i="1"/>
  <c r="A530" i="1"/>
  <c r="D529" i="1"/>
  <c r="C529" i="1"/>
  <c r="B529" i="1"/>
  <c r="A529" i="1"/>
  <c r="D528" i="1"/>
  <c r="C528" i="1"/>
  <c r="B528" i="1"/>
  <c r="A528" i="1"/>
  <c r="D527" i="1"/>
  <c r="C527" i="1"/>
  <c r="B527" i="1"/>
  <c r="A527" i="1"/>
  <c r="D526" i="1"/>
  <c r="C526" i="1"/>
  <c r="B526" i="1"/>
  <c r="A526" i="1"/>
  <c r="D525" i="1"/>
  <c r="C525" i="1"/>
  <c r="B525" i="1"/>
  <c r="A525" i="1"/>
  <c r="D524" i="1"/>
  <c r="C524" i="1"/>
  <c r="B524" i="1"/>
  <c r="A524" i="1"/>
  <c r="D523" i="1"/>
  <c r="C523" i="1"/>
  <c r="B523" i="1"/>
  <c r="A523" i="1"/>
  <c r="D522" i="1"/>
  <c r="C522" i="1"/>
  <c r="B522" i="1"/>
  <c r="A522" i="1"/>
  <c r="D521" i="1"/>
  <c r="C521" i="1"/>
  <c r="B521" i="1"/>
  <c r="A521" i="1"/>
  <c r="D520" i="1"/>
  <c r="C520" i="1"/>
  <c r="B520" i="1"/>
  <c r="A520" i="1"/>
  <c r="D519" i="1"/>
  <c r="C519" i="1"/>
  <c r="B519" i="1"/>
  <c r="A519" i="1"/>
  <c r="D518" i="1"/>
  <c r="C518" i="1"/>
  <c r="B518" i="1"/>
  <c r="A518" i="1"/>
  <c r="D517" i="1"/>
  <c r="C517" i="1"/>
  <c r="B517" i="1"/>
  <c r="A517" i="1"/>
  <c r="D516" i="1"/>
  <c r="C516" i="1"/>
  <c r="B516" i="1"/>
  <c r="A516" i="1"/>
  <c r="D515" i="1"/>
  <c r="C515" i="1"/>
  <c r="B515" i="1"/>
  <c r="A515" i="1"/>
  <c r="D514" i="1"/>
  <c r="C514" i="1"/>
  <c r="B514" i="1"/>
  <c r="A514" i="1"/>
  <c r="D513" i="1"/>
  <c r="C513" i="1"/>
  <c r="B513" i="1"/>
  <c r="A513" i="1"/>
  <c r="D512" i="1"/>
  <c r="C512" i="1"/>
  <c r="B512" i="1"/>
  <c r="A512" i="1"/>
  <c r="D511" i="1"/>
  <c r="C511" i="1"/>
  <c r="B511" i="1"/>
  <c r="A511" i="1"/>
  <c r="D510" i="1"/>
  <c r="C510" i="1"/>
  <c r="B510" i="1"/>
  <c r="A510" i="1"/>
  <c r="D509" i="1"/>
  <c r="C509" i="1"/>
  <c r="B509" i="1"/>
  <c r="A509" i="1"/>
  <c r="D508" i="1"/>
  <c r="C508" i="1"/>
  <c r="B508" i="1"/>
  <c r="A508" i="1"/>
  <c r="D507" i="1"/>
  <c r="C507" i="1"/>
  <c r="B507" i="1"/>
  <c r="A507" i="1"/>
  <c r="D506" i="1"/>
  <c r="C506" i="1"/>
  <c r="B506" i="1"/>
  <c r="A506" i="1"/>
  <c r="D505" i="1"/>
  <c r="C505" i="1"/>
  <c r="B505" i="1"/>
  <c r="A505" i="1"/>
  <c r="D504" i="1"/>
  <c r="C504" i="1"/>
  <c r="B504" i="1"/>
  <c r="A504" i="1"/>
  <c r="D503" i="1"/>
  <c r="C503" i="1"/>
  <c r="B503" i="1"/>
  <c r="A503" i="1"/>
  <c r="D502" i="1"/>
  <c r="C502" i="1"/>
  <c r="B502" i="1"/>
  <c r="A502" i="1"/>
  <c r="D501" i="1"/>
  <c r="C501" i="1"/>
  <c r="B501" i="1"/>
  <c r="A501" i="1"/>
  <c r="D500" i="1"/>
  <c r="C500" i="1"/>
  <c r="B500" i="1"/>
  <c r="A500" i="1"/>
  <c r="D499" i="1"/>
  <c r="C499" i="1"/>
  <c r="B499" i="1"/>
  <c r="A499" i="1"/>
  <c r="D498" i="1"/>
  <c r="C498" i="1"/>
  <c r="B498" i="1"/>
  <c r="A498" i="1"/>
  <c r="D497" i="1"/>
  <c r="C497" i="1"/>
  <c r="B497" i="1"/>
  <c r="A497" i="1"/>
  <c r="D496" i="1"/>
  <c r="C496" i="1"/>
  <c r="B496" i="1"/>
  <c r="A496" i="1"/>
  <c r="D495" i="1"/>
  <c r="C495" i="1"/>
  <c r="B495" i="1"/>
  <c r="A495" i="1"/>
  <c r="D494" i="1"/>
  <c r="C494" i="1"/>
  <c r="B494" i="1"/>
  <c r="A494" i="1"/>
  <c r="D493" i="1"/>
  <c r="C493" i="1"/>
  <c r="B493" i="1"/>
  <c r="A493" i="1"/>
  <c r="D492" i="1"/>
  <c r="C492" i="1"/>
  <c r="B492" i="1"/>
  <c r="A492" i="1"/>
  <c r="D491" i="1"/>
  <c r="C491" i="1"/>
  <c r="B491" i="1"/>
  <c r="A491" i="1"/>
  <c r="D490" i="1"/>
  <c r="C490" i="1"/>
  <c r="B490" i="1"/>
  <c r="A490" i="1"/>
  <c r="D489" i="1"/>
  <c r="C489" i="1"/>
  <c r="B489" i="1"/>
  <c r="A489" i="1"/>
  <c r="D488" i="1"/>
  <c r="C488" i="1"/>
  <c r="B488" i="1"/>
  <c r="A488" i="1"/>
  <c r="D487" i="1"/>
  <c r="C487" i="1"/>
  <c r="B487" i="1"/>
  <c r="A487" i="1"/>
  <c r="D486" i="1"/>
  <c r="C486" i="1"/>
  <c r="B486" i="1"/>
  <c r="A486" i="1"/>
  <c r="D485" i="1"/>
  <c r="C485" i="1"/>
  <c r="B485" i="1"/>
  <c r="A485" i="1"/>
  <c r="D484" i="1"/>
  <c r="C484" i="1"/>
  <c r="B484" i="1"/>
  <c r="A484" i="1"/>
  <c r="D483" i="1"/>
  <c r="C483" i="1"/>
  <c r="B483" i="1"/>
  <c r="A483" i="1"/>
  <c r="D482" i="1"/>
  <c r="C482" i="1"/>
  <c r="B482" i="1"/>
  <c r="A482" i="1"/>
  <c r="D481" i="1"/>
  <c r="C481" i="1"/>
  <c r="B481" i="1"/>
  <c r="A481" i="1"/>
  <c r="D480" i="1"/>
  <c r="C480" i="1"/>
  <c r="B480" i="1"/>
  <c r="A480" i="1"/>
  <c r="D479" i="1"/>
  <c r="C479" i="1"/>
  <c r="B479" i="1"/>
  <c r="A479" i="1"/>
  <c r="D478" i="1"/>
  <c r="C478" i="1"/>
  <c r="B478" i="1"/>
  <c r="A478" i="1"/>
  <c r="D477" i="1"/>
  <c r="C477" i="1"/>
  <c r="B477" i="1"/>
  <c r="A477" i="1"/>
  <c r="D476" i="1"/>
  <c r="C476" i="1"/>
  <c r="B476" i="1"/>
  <c r="A476" i="1"/>
  <c r="D475" i="1"/>
  <c r="C475" i="1"/>
  <c r="B475" i="1"/>
  <c r="A475" i="1"/>
  <c r="D474" i="1"/>
  <c r="C474" i="1"/>
  <c r="B474" i="1"/>
  <c r="A474" i="1"/>
  <c r="D473" i="1"/>
  <c r="C473" i="1"/>
  <c r="B473" i="1"/>
  <c r="A473" i="1"/>
  <c r="D472" i="1"/>
  <c r="C472" i="1"/>
  <c r="B472" i="1"/>
  <c r="A472" i="1"/>
  <c r="D471" i="1"/>
  <c r="C471" i="1"/>
  <c r="B471" i="1"/>
  <c r="A471" i="1"/>
  <c r="D470" i="1"/>
  <c r="C470" i="1"/>
  <c r="B470" i="1"/>
  <c r="A470" i="1"/>
  <c r="D469" i="1"/>
  <c r="C469" i="1"/>
  <c r="B469" i="1"/>
  <c r="A469" i="1"/>
  <c r="D468" i="1"/>
  <c r="C468" i="1"/>
  <c r="B468" i="1"/>
  <c r="A468" i="1"/>
  <c r="D467" i="1"/>
  <c r="C467" i="1"/>
  <c r="B467" i="1"/>
  <c r="A467" i="1"/>
  <c r="D466" i="1"/>
  <c r="C466" i="1"/>
  <c r="B466" i="1"/>
  <c r="A466" i="1"/>
  <c r="D465" i="1"/>
  <c r="C465" i="1"/>
  <c r="B465" i="1"/>
  <c r="A465" i="1"/>
  <c r="D464" i="1"/>
  <c r="C464" i="1"/>
  <c r="B464" i="1"/>
  <c r="A464" i="1"/>
  <c r="D463" i="1"/>
  <c r="C463" i="1"/>
  <c r="B463" i="1"/>
  <c r="A463" i="1"/>
  <c r="D462" i="1"/>
  <c r="C462" i="1"/>
  <c r="B462" i="1"/>
  <c r="A462" i="1"/>
  <c r="D461" i="1"/>
  <c r="C461" i="1"/>
  <c r="B461" i="1"/>
  <c r="A461" i="1"/>
  <c r="D460" i="1"/>
  <c r="C460" i="1"/>
  <c r="B460" i="1"/>
  <c r="A460" i="1"/>
  <c r="D459" i="1"/>
  <c r="C459" i="1"/>
  <c r="B459" i="1"/>
  <c r="A459" i="1"/>
  <c r="D458" i="1"/>
  <c r="C458" i="1"/>
  <c r="B458" i="1"/>
  <c r="A458" i="1"/>
  <c r="D457" i="1"/>
  <c r="C457" i="1"/>
  <c r="B457" i="1"/>
  <c r="A457" i="1"/>
  <c r="D456" i="1"/>
  <c r="C456" i="1"/>
  <c r="B456" i="1"/>
  <c r="A456" i="1"/>
  <c r="D455" i="1"/>
  <c r="C455" i="1"/>
  <c r="B455" i="1"/>
  <c r="A455" i="1"/>
  <c r="D454" i="1"/>
  <c r="C454" i="1"/>
  <c r="B454" i="1"/>
  <c r="A454" i="1"/>
  <c r="D453" i="1"/>
  <c r="C453" i="1"/>
  <c r="B453" i="1"/>
  <c r="A453" i="1"/>
  <c r="D452" i="1"/>
  <c r="C452" i="1"/>
  <c r="B452" i="1"/>
  <c r="A452" i="1"/>
  <c r="D451" i="1"/>
  <c r="C451" i="1"/>
  <c r="B451" i="1"/>
  <c r="A451" i="1"/>
  <c r="D450" i="1"/>
  <c r="C450" i="1"/>
  <c r="B450" i="1"/>
  <c r="A450" i="1"/>
  <c r="D449" i="1"/>
  <c r="C449" i="1"/>
  <c r="B449" i="1"/>
  <c r="A449" i="1"/>
  <c r="D448" i="1"/>
  <c r="C448" i="1"/>
  <c r="B448" i="1"/>
  <c r="A448" i="1"/>
  <c r="D447" i="1"/>
  <c r="C447" i="1"/>
  <c r="B447" i="1"/>
  <c r="A447" i="1"/>
  <c r="D446" i="1"/>
  <c r="C446" i="1"/>
  <c r="B446" i="1"/>
  <c r="A446" i="1"/>
  <c r="D445" i="1"/>
  <c r="C445" i="1"/>
  <c r="B445" i="1"/>
  <c r="A445" i="1"/>
  <c r="D444" i="1"/>
  <c r="C444" i="1"/>
  <c r="B444" i="1"/>
  <c r="A444" i="1"/>
  <c r="D443" i="1"/>
  <c r="C443" i="1"/>
  <c r="B443" i="1"/>
  <c r="A443" i="1"/>
  <c r="D442" i="1"/>
  <c r="C442" i="1"/>
  <c r="B442" i="1"/>
  <c r="A442" i="1"/>
  <c r="D441" i="1"/>
  <c r="C441" i="1"/>
  <c r="B441" i="1"/>
  <c r="A441" i="1"/>
  <c r="D440" i="1"/>
  <c r="C440" i="1"/>
  <c r="B440" i="1"/>
  <c r="A440" i="1"/>
  <c r="D439" i="1"/>
  <c r="C439" i="1"/>
  <c r="B439" i="1"/>
  <c r="A439" i="1"/>
  <c r="D438" i="1"/>
  <c r="C438" i="1"/>
  <c r="B438" i="1"/>
  <c r="A438" i="1"/>
  <c r="D437" i="1"/>
  <c r="C437" i="1"/>
  <c r="B437" i="1"/>
  <c r="A437" i="1"/>
  <c r="D436" i="1"/>
  <c r="C436" i="1"/>
  <c r="B436" i="1"/>
  <c r="A436" i="1"/>
  <c r="D435" i="1"/>
  <c r="C435" i="1"/>
  <c r="B435" i="1"/>
  <c r="A435" i="1"/>
  <c r="D434" i="1"/>
  <c r="C434" i="1"/>
  <c r="B434" i="1"/>
  <c r="A434" i="1"/>
  <c r="D433" i="1"/>
  <c r="C433" i="1"/>
  <c r="B433" i="1"/>
  <c r="A433" i="1"/>
  <c r="D432" i="1"/>
  <c r="C432" i="1"/>
  <c r="B432" i="1"/>
  <c r="A432" i="1"/>
  <c r="D431" i="1"/>
  <c r="C431" i="1"/>
  <c r="B431" i="1"/>
  <c r="A431" i="1"/>
  <c r="D430" i="1"/>
  <c r="C430" i="1"/>
  <c r="B430" i="1"/>
  <c r="A430" i="1"/>
  <c r="D429" i="1"/>
  <c r="C429" i="1"/>
  <c r="B429" i="1"/>
  <c r="A429" i="1"/>
  <c r="D428" i="1"/>
  <c r="C428" i="1"/>
  <c r="B428" i="1"/>
  <c r="A428" i="1"/>
  <c r="D427" i="1"/>
  <c r="C427" i="1"/>
  <c r="B427" i="1"/>
  <c r="A427" i="1"/>
  <c r="D426" i="1"/>
  <c r="C426" i="1"/>
  <c r="B426" i="1"/>
  <c r="A426" i="1"/>
  <c r="D425" i="1"/>
  <c r="C425" i="1"/>
  <c r="B425" i="1"/>
  <c r="A425" i="1"/>
  <c r="D424" i="1"/>
  <c r="C424" i="1"/>
  <c r="B424" i="1"/>
  <c r="A424" i="1"/>
  <c r="D423" i="1"/>
  <c r="C423" i="1"/>
  <c r="B423" i="1"/>
  <c r="A423" i="1"/>
  <c r="D422" i="1"/>
  <c r="C422" i="1"/>
  <c r="B422" i="1"/>
  <c r="A422" i="1"/>
  <c r="D421" i="1"/>
  <c r="C421" i="1"/>
  <c r="B421" i="1"/>
  <c r="A421" i="1"/>
  <c r="D420" i="1"/>
  <c r="C420" i="1"/>
  <c r="B420" i="1"/>
  <c r="A420" i="1"/>
  <c r="D419" i="1"/>
  <c r="C419" i="1"/>
  <c r="B419" i="1"/>
  <c r="A419" i="1"/>
  <c r="D418" i="1"/>
  <c r="C418" i="1"/>
  <c r="B418" i="1"/>
  <c r="A418" i="1"/>
  <c r="D417" i="1"/>
  <c r="C417" i="1"/>
  <c r="B417" i="1"/>
  <c r="A417" i="1"/>
  <c r="D416" i="1"/>
  <c r="C416" i="1"/>
  <c r="B416" i="1"/>
  <c r="A416" i="1"/>
  <c r="D415" i="1"/>
  <c r="C415" i="1"/>
  <c r="B415" i="1"/>
  <c r="A415" i="1"/>
  <c r="D414" i="1"/>
  <c r="C414" i="1"/>
  <c r="B414" i="1"/>
  <c r="A414" i="1"/>
  <c r="D413" i="1"/>
  <c r="C413" i="1"/>
  <c r="B413" i="1"/>
  <c r="A413" i="1"/>
  <c r="D412" i="1"/>
  <c r="C412" i="1"/>
  <c r="B412" i="1"/>
  <c r="A412" i="1"/>
  <c r="D411" i="1"/>
  <c r="C411" i="1"/>
  <c r="B411" i="1"/>
  <c r="A411" i="1"/>
  <c r="D410" i="1"/>
  <c r="C410" i="1"/>
  <c r="B410" i="1"/>
  <c r="A410" i="1"/>
  <c r="D409" i="1"/>
  <c r="C409" i="1"/>
  <c r="B409" i="1"/>
  <c r="A409" i="1"/>
  <c r="D408" i="1"/>
  <c r="C408" i="1"/>
  <c r="B408" i="1"/>
  <c r="A408" i="1"/>
  <c r="D407" i="1"/>
  <c r="C407" i="1"/>
  <c r="B407" i="1"/>
  <c r="A407" i="1"/>
  <c r="D406" i="1"/>
  <c r="C406" i="1"/>
  <c r="B406" i="1"/>
  <c r="A406" i="1"/>
  <c r="D405" i="1"/>
  <c r="C405" i="1"/>
  <c r="B405" i="1"/>
  <c r="A405" i="1"/>
  <c r="D404" i="1"/>
  <c r="C404" i="1"/>
  <c r="B404" i="1"/>
  <c r="A404" i="1"/>
  <c r="D403" i="1"/>
  <c r="C403" i="1"/>
  <c r="B403" i="1"/>
  <c r="A403" i="1"/>
  <c r="D402" i="1"/>
  <c r="C402" i="1"/>
  <c r="B402" i="1"/>
  <c r="A402" i="1"/>
  <c r="D401" i="1"/>
  <c r="C401" i="1"/>
  <c r="B401" i="1"/>
  <c r="A401" i="1"/>
  <c r="D400" i="1"/>
  <c r="C400" i="1"/>
  <c r="B400" i="1"/>
  <c r="A400" i="1"/>
  <c r="D399" i="1"/>
  <c r="C399" i="1"/>
  <c r="B399" i="1"/>
  <c r="A399" i="1"/>
  <c r="D398" i="1"/>
  <c r="C398" i="1"/>
  <c r="B398" i="1"/>
  <c r="A398" i="1"/>
  <c r="D397" i="1"/>
  <c r="C397" i="1"/>
  <c r="B397" i="1"/>
  <c r="A397" i="1"/>
  <c r="D396" i="1"/>
  <c r="C396" i="1"/>
  <c r="B396" i="1"/>
  <c r="A396" i="1"/>
  <c r="D395" i="1"/>
  <c r="C395" i="1"/>
  <c r="B395" i="1"/>
  <c r="A395" i="1"/>
  <c r="D394" i="1"/>
  <c r="C394" i="1"/>
  <c r="B394" i="1"/>
  <c r="A394" i="1"/>
  <c r="D393" i="1"/>
  <c r="C393" i="1"/>
  <c r="B393" i="1"/>
  <c r="A393" i="1"/>
  <c r="D392" i="1"/>
  <c r="C392" i="1"/>
  <c r="B392" i="1"/>
  <c r="A392" i="1"/>
  <c r="D391" i="1"/>
  <c r="C391" i="1"/>
  <c r="B391" i="1"/>
  <c r="A391" i="1"/>
  <c r="D390" i="1"/>
  <c r="C390" i="1"/>
  <c r="B390" i="1"/>
  <c r="A390" i="1"/>
  <c r="D389" i="1"/>
  <c r="C389" i="1"/>
  <c r="B389" i="1"/>
  <c r="A389" i="1"/>
  <c r="D388" i="1"/>
  <c r="C388" i="1"/>
  <c r="B388" i="1"/>
  <c r="A388" i="1"/>
  <c r="D387" i="1"/>
  <c r="C387" i="1"/>
  <c r="B387" i="1"/>
  <c r="A387" i="1"/>
  <c r="D386" i="1"/>
  <c r="C386" i="1"/>
  <c r="B386" i="1"/>
  <c r="A386" i="1"/>
  <c r="D385" i="1"/>
  <c r="C385" i="1"/>
  <c r="B385" i="1"/>
  <c r="A385" i="1"/>
  <c r="D384" i="1"/>
  <c r="C384" i="1"/>
  <c r="B384" i="1"/>
  <c r="A384" i="1"/>
  <c r="D383" i="1"/>
  <c r="C383" i="1"/>
  <c r="B383" i="1"/>
  <c r="A383" i="1"/>
  <c r="D382" i="1"/>
  <c r="C382" i="1"/>
  <c r="B382" i="1"/>
  <c r="A382" i="1"/>
  <c r="D381" i="1"/>
  <c r="C381" i="1"/>
  <c r="B381" i="1"/>
  <c r="A381" i="1"/>
  <c r="D380" i="1"/>
  <c r="C380" i="1"/>
  <c r="B380" i="1"/>
  <c r="A380" i="1"/>
  <c r="D379" i="1"/>
  <c r="C379" i="1"/>
  <c r="B379" i="1"/>
  <c r="A379" i="1"/>
  <c r="D378" i="1"/>
  <c r="C378" i="1"/>
  <c r="B378" i="1"/>
  <c r="A378" i="1"/>
  <c r="D377" i="1"/>
  <c r="C377" i="1"/>
  <c r="B377" i="1"/>
  <c r="A377" i="1"/>
  <c r="D376" i="1"/>
  <c r="C376" i="1"/>
  <c r="B376" i="1"/>
  <c r="A376" i="1"/>
  <c r="D375" i="1"/>
  <c r="C375" i="1"/>
  <c r="B375" i="1"/>
  <c r="A375" i="1"/>
  <c r="D374" i="1"/>
  <c r="C374" i="1"/>
  <c r="B374" i="1"/>
  <c r="A374" i="1"/>
  <c r="D373" i="1"/>
  <c r="C373" i="1"/>
  <c r="B373" i="1"/>
  <c r="A373" i="1"/>
  <c r="D372" i="1"/>
  <c r="C372" i="1"/>
  <c r="B372" i="1"/>
  <c r="A372" i="1"/>
  <c r="D371" i="1"/>
  <c r="C371" i="1"/>
  <c r="B371" i="1"/>
  <c r="A371" i="1"/>
  <c r="D370" i="1"/>
  <c r="C370" i="1"/>
  <c r="B370" i="1"/>
  <c r="A370" i="1"/>
  <c r="D369" i="1"/>
  <c r="C369" i="1"/>
  <c r="B369" i="1"/>
  <c r="A369" i="1"/>
  <c r="D368" i="1"/>
  <c r="C368" i="1"/>
  <c r="B368" i="1"/>
  <c r="A368" i="1"/>
  <c r="D367" i="1"/>
  <c r="C367" i="1"/>
  <c r="B367" i="1"/>
  <c r="A367" i="1"/>
  <c r="D366" i="1"/>
  <c r="C366" i="1"/>
  <c r="B366" i="1"/>
  <c r="A366" i="1"/>
  <c r="D365" i="1"/>
  <c r="C365" i="1"/>
  <c r="B365" i="1"/>
  <c r="A365" i="1"/>
  <c r="D364" i="1"/>
  <c r="C364" i="1"/>
  <c r="B364" i="1"/>
  <c r="A364" i="1"/>
  <c r="D363" i="1"/>
  <c r="C363" i="1"/>
  <c r="B363" i="1"/>
  <c r="A363" i="1"/>
  <c r="D362" i="1"/>
  <c r="C362" i="1"/>
  <c r="B362" i="1"/>
  <c r="A362" i="1"/>
  <c r="D361" i="1"/>
  <c r="C361" i="1"/>
  <c r="B361" i="1"/>
  <c r="A361" i="1"/>
  <c r="D360" i="1"/>
  <c r="C360" i="1"/>
  <c r="B360" i="1"/>
  <c r="A360" i="1"/>
  <c r="D359" i="1"/>
  <c r="C359" i="1"/>
  <c r="B359" i="1"/>
  <c r="A359" i="1"/>
  <c r="D358" i="1"/>
  <c r="C358" i="1"/>
  <c r="B358" i="1"/>
  <c r="A358" i="1"/>
  <c r="D357" i="1"/>
  <c r="C357" i="1"/>
  <c r="B357" i="1"/>
  <c r="A357" i="1"/>
  <c r="D356" i="1"/>
  <c r="C356" i="1"/>
  <c r="B356" i="1"/>
  <c r="A356" i="1"/>
  <c r="D355" i="1"/>
  <c r="C355" i="1"/>
  <c r="B355" i="1"/>
  <c r="A355" i="1"/>
  <c r="D354" i="1"/>
  <c r="C354" i="1"/>
  <c r="B354" i="1"/>
  <c r="A354" i="1"/>
  <c r="D353" i="1"/>
  <c r="C353" i="1"/>
  <c r="B353" i="1"/>
  <c r="A353" i="1"/>
  <c r="D352" i="1"/>
  <c r="C352" i="1"/>
  <c r="B352" i="1"/>
  <c r="A352" i="1"/>
  <c r="D351" i="1"/>
  <c r="C351" i="1"/>
  <c r="B351" i="1"/>
  <c r="A351" i="1"/>
  <c r="D350" i="1"/>
  <c r="C350" i="1"/>
  <c r="B350" i="1"/>
  <c r="A350" i="1"/>
  <c r="D349" i="1"/>
  <c r="C349" i="1"/>
  <c r="B349" i="1"/>
  <c r="A349" i="1"/>
  <c r="D348" i="1"/>
  <c r="C348" i="1"/>
  <c r="B348" i="1"/>
  <c r="A348" i="1"/>
  <c r="D347" i="1"/>
  <c r="C347" i="1"/>
  <c r="B347" i="1"/>
  <c r="A347" i="1"/>
  <c r="D346" i="1"/>
  <c r="C346" i="1"/>
  <c r="B346" i="1"/>
  <c r="A346" i="1"/>
  <c r="D345" i="1"/>
  <c r="C345" i="1"/>
  <c r="B345" i="1"/>
  <c r="A345" i="1"/>
  <c r="D344" i="1"/>
  <c r="C344" i="1"/>
  <c r="B344" i="1"/>
  <c r="A344" i="1"/>
  <c r="D343" i="1"/>
  <c r="C343" i="1"/>
  <c r="B343" i="1"/>
  <c r="A343" i="1"/>
  <c r="D342" i="1"/>
  <c r="C342" i="1"/>
  <c r="B342" i="1"/>
  <c r="A342" i="1"/>
  <c r="D341" i="1"/>
  <c r="C341" i="1"/>
  <c r="B341" i="1"/>
  <c r="A341" i="1"/>
  <c r="D340" i="1"/>
  <c r="C340" i="1"/>
  <c r="B340" i="1"/>
  <c r="A340" i="1"/>
  <c r="D339" i="1"/>
  <c r="C339" i="1"/>
  <c r="B339" i="1"/>
  <c r="A339" i="1"/>
  <c r="D338" i="1"/>
  <c r="C338" i="1"/>
  <c r="B338" i="1"/>
  <c r="A338" i="1"/>
  <c r="D337" i="1"/>
  <c r="C337" i="1"/>
  <c r="B337" i="1"/>
  <c r="A337" i="1"/>
  <c r="D336" i="1"/>
  <c r="C336" i="1"/>
  <c r="B336" i="1"/>
  <c r="A336" i="1"/>
  <c r="D335" i="1"/>
  <c r="C335" i="1"/>
  <c r="B335" i="1"/>
  <c r="A335" i="1"/>
  <c r="D334" i="1"/>
  <c r="C334" i="1"/>
  <c r="B334" i="1"/>
  <c r="A334" i="1"/>
  <c r="D333" i="1"/>
  <c r="C333" i="1"/>
  <c r="B333" i="1"/>
  <c r="A333" i="1"/>
  <c r="D332" i="1"/>
  <c r="C332" i="1"/>
  <c r="B332" i="1"/>
  <c r="A332" i="1"/>
  <c r="D331" i="1"/>
  <c r="C331" i="1"/>
  <c r="B331" i="1"/>
  <c r="A331" i="1"/>
  <c r="D330" i="1"/>
  <c r="C330" i="1"/>
  <c r="B330" i="1"/>
  <c r="A330" i="1"/>
  <c r="D329" i="1"/>
  <c r="C329" i="1"/>
  <c r="B329" i="1"/>
  <c r="A329" i="1"/>
  <c r="D328" i="1"/>
  <c r="C328" i="1"/>
  <c r="B328" i="1"/>
  <c r="A328" i="1"/>
  <c r="D327" i="1"/>
  <c r="C327" i="1"/>
  <c r="B327" i="1"/>
  <c r="A327" i="1"/>
  <c r="D326" i="1"/>
  <c r="C326" i="1"/>
  <c r="B326" i="1"/>
  <c r="A326" i="1"/>
  <c r="D325" i="1"/>
  <c r="C325" i="1"/>
  <c r="B325" i="1"/>
  <c r="A325" i="1"/>
  <c r="D324" i="1"/>
  <c r="C324" i="1"/>
  <c r="B324" i="1"/>
  <c r="A324" i="1"/>
  <c r="D323" i="1"/>
  <c r="C323" i="1"/>
  <c r="B323" i="1"/>
  <c r="A323" i="1"/>
  <c r="D322" i="1"/>
  <c r="C322" i="1"/>
  <c r="B322" i="1"/>
  <c r="A322" i="1"/>
  <c r="D321" i="1"/>
  <c r="C321" i="1"/>
  <c r="B321" i="1"/>
  <c r="A321" i="1"/>
  <c r="D320" i="1"/>
  <c r="C320" i="1"/>
  <c r="B320" i="1"/>
  <c r="A320" i="1"/>
  <c r="D319" i="1"/>
  <c r="C319" i="1"/>
  <c r="B319" i="1"/>
  <c r="A319" i="1"/>
  <c r="D318" i="1"/>
  <c r="C318" i="1"/>
  <c r="B318" i="1"/>
  <c r="A318" i="1"/>
  <c r="D317" i="1"/>
  <c r="C317" i="1"/>
  <c r="B317" i="1"/>
  <c r="A317" i="1"/>
  <c r="D316" i="1"/>
  <c r="C316" i="1"/>
  <c r="B316" i="1"/>
  <c r="A316" i="1"/>
  <c r="D315" i="1"/>
  <c r="C315" i="1"/>
  <c r="B315" i="1"/>
  <c r="A315" i="1"/>
  <c r="D314" i="1"/>
  <c r="C314" i="1"/>
  <c r="B314" i="1"/>
  <c r="A314" i="1"/>
  <c r="D313" i="1"/>
  <c r="C313" i="1"/>
  <c r="B313" i="1"/>
  <c r="A313" i="1"/>
  <c r="D312" i="1"/>
  <c r="C312" i="1"/>
  <c r="B312" i="1"/>
  <c r="A312" i="1"/>
  <c r="D311" i="1"/>
  <c r="C311" i="1"/>
  <c r="B311" i="1"/>
  <c r="A311" i="1"/>
  <c r="D310" i="1"/>
  <c r="C310" i="1"/>
  <c r="B310" i="1"/>
  <c r="A310" i="1"/>
  <c r="D309" i="1"/>
  <c r="C309" i="1"/>
  <c r="B309" i="1"/>
  <c r="A309" i="1"/>
  <c r="D308" i="1"/>
  <c r="C308" i="1"/>
  <c r="B308" i="1"/>
  <c r="A308" i="1"/>
  <c r="D307" i="1"/>
  <c r="C307" i="1"/>
  <c r="B307" i="1"/>
  <c r="A307" i="1"/>
  <c r="D306" i="1"/>
  <c r="C306" i="1"/>
  <c r="B306" i="1"/>
  <c r="A306" i="1"/>
  <c r="D305" i="1"/>
  <c r="C305" i="1"/>
  <c r="B305" i="1"/>
  <c r="A305" i="1"/>
  <c r="D304" i="1"/>
  <c r="C304" i="1"/>
  <c r="B304" i="1"/>
  <c r="A304" i="1"/>
  <c r="D303" i="1"/>
  <c r="C303" i="1"/>
  <c r="B303" i="1"/>
  <c r="A303" i="1"/>
  <c r="D302" i="1"/>
  <c r="C302" i="1"/>
  <c r="B302" i="1"/>
  <c r="A302" i="1"/>
  <c r="D301" i="1"/>
  <c r="C301" i="1"/>
  <c r="B301" i="1"/>
  <c r="A301" i="1"/>
  <c r="D300" i="1"/>
  <c r="C300" i="1"/>
  <c r="B300" i="1"/>
  <c r="A300" i="1"/>
  <c r="D299" i="1"/>
  <c r="C299" i="1"/>
  <c r="B299" i="1"/>
  <c r="A299" i="1"/>
  <c r="D298" i="1"/>
  <c r="C298" i="1"/>
  <c r="B298" i="1"/>
  <c r="A298" i="1"/>
  <c r="D297" i="1"/>
  <c r="C297" i="1"/>
  <c r="B297" i="1"/>
  <c r="A297" i="1"/>
  <c r="D296" i="1"/>
  <c r="C296" i="1"/>
  <c r="B296" i="1"/>
  <c r="A296" i="1"/>
  <c r="D295" i="1"/>
  <c r="C295" i="1"/>
  <c r="B295" i="1"/>
  <c r="A295" i="1"/>
  <c r="D294" i="1"/>
  <c r="C294" i="1"/>
  <c r="B294" i="1"/>
  <c r="A294" i="1"/>
  <c r="D293" i="1"/>
  <c r="C293" i="1"/>
  <c r="B293" i="1"/>
  <c r="A293" i="1"/>
  <c r="D292" i="1"/>
  <c r="C292" i="1"/>
  <c r="B292" i="1"/>
  <c r="A292" i="1"/>
  <c r="D291" i="1"/>
  <c r="C291" i="1"/>
  <c r="B291" i="1"/>
  <c r="A291" i="1"/>
  <c r="D290" i="1"/>
  <c r="C290" i="1"/>
  <c r="B290" i="1"/>
  <c r="A290" i="1"/>
  <c r="D289" i="1"/>
  <c r="C289" i="1"/>
  <c r="B289" i="1"/>
  <c r="A289" i="1"/>
  <c r="D288" i="1"/>
  <c r="C288" i="1"/>
  <c r="B288" i="1"/>
  <c r="A288" i="1"/>
  <c r="D287" i="1"/>
  <c r="C287" i="1"/>
  <c r="B287" i="1"/>
  <c r="A287" i="1"/>
  <c r="D286" i="1"/>
  <c r="C286" i="1"/>
  <c r="B286" i="1"/>
  <c r="A286" i="1"/>
  <c r="D285" i="1"/>
  <c r="C285" i="1"/>
  <c r="B285" i="1"/>
  <c r="A285" i="1"/>
  <c r="D284" i="1"/>
  <c r="C284" i="1"/>
  <c r="B284" i="1"/>
  <c r="A284" i="1"/>
  <c r="D283" i="1"/>
  <c r="C283" i="1"/>
  <c r="B283" i="1"/>
  <c r="A283" i="1"/>
  <c r="D282" i="1"/>
  <c r="C282" i="1"/>
  <c r="B282" i="1"/>
  <c r="A282" i="1"/>
  <c r="D281" i="1"/>
  <c r="C281" i="1"/>
  <c r="B281" i="1"/>
  <c r="A281" i="1"/>
  <c r="D280" i="1"/>
  <c r="C280" i="1"/>
  <c r="B280" i="1"/>
  <c r="A280" i="1"/>
  <c r="D279" i="1"/>
  <c r="C279" i="1"/>
  <c r="B279" i="1"/>
  <c r="A279" i="1"/>
  <c r="D278" i="1"/>
  <c r="C278" i="1"/>
  <c r="B278" i="1"/>
  <c r="A278" i="1"/>
  <c r="D277" i="1"/>
  <c r="C277" i="1"/>
  <c r="B277" i="1"/>
  <c r="A277" i="1"/>
  <c r="D276" i="1"/>
  <c r="C276" i="1"/>
  <c r="B276" i="1"/>
  <c r="A276" i="1"/>
  <c r="D275" i="1"/>
  <c r="C275" i="1"/>
  <c r="B275" i="1"/>
  <c r="A275" i="1"/>
  <c r="D274" i="1"/>
  <c r="C274" i="1"/>
  <c r="B274" i="1"/>
  <c r="A274" i="1"/>
  <c r="D273" i="1"/>
  <c r="C273" i="1"/>
  <c r="B273" i="1"/>
  <c r="A273" i="1"/>
  <c r="D272" i="1"/>
  <c r="C272" i="1"/>
  <c r="B272" i="1"/>
  <c r="A272" i="1"/>
  <c r="D271" i="1"/>
  <c r="C271" i="1"/>
  <c r="B271" i="1"/>
  <c r="A271" i="1"/>
  <c r="D270" i="1"/>
  <c r="C270" i="1"/>
  <c r="B270" i="1"/>
  <c r="A270" i="1"/>
  <c r="D269" i="1"/>
  <c r="C269" i="1"/>
  <c r="B269" i="1"/>
  <c r="A269" i="1"/>
  <c r="D268" i="1"/>
  <c r="C268" i="1"/>
  <c r="B268" i="1"/>
  <c r="A268" i="1"/>
  <c r="D267" i="1"/>
  <c r="C267" i="1"/>
  <c r="B267" i="1"/>
  <c r="A267" i="1"/>
  <c r="D266" i="1"/>
  <c r="C266" i="1"/>
  <c r="B266" i="1"/>
  <c r="A266" i="1"/>
  <c r="D265" i="1"/>
  <c r="C265" i="1"/>
  <c r="B265" i="1"/>
  <c r="A265" i="1"/>
  <c r="D264" i="1"/>
  <c r="C264" i="1"/>
  <c r="B264" i="1"/>
  <c r="A264" i="1"/>
  <c r="D263" i="1"/>
  <c r="C263" i="1"/>
  <c r="B263" i="1"/>
  <c r="A263" i="1"/>
  <c r="D262" i="1"/>
  <c r="C262" i="1"/>
  <c r="B262" i="1"/>
  <c r="A262" i="1"/>
  <c r="D261" i="1"/>
  <c r="C261" i="1"/>
  <c r="B261" i="1"/>
  <c r="A261" i="1"/>
  <c r="D260" i="1"/>
  <c r="C260" i="1"/>
  <c r="B260" i="1"/>
  <c r="A260" i="1"/>
  <c r="D259" i="1"/>
  <c r="C259" i="1"/>
  <c r="B259" i="1"/>
  <c r="A259" i="1"/>
  <c r="D258" i="1"/>
  <c r="C258" i="1"/>
  <c r="B258" i="1"/>
  <c r="A258" i="1"/>
  <c r="D257" i="1"/>
  <c r="C257" i="1"/>
  <c r="B257" i="1"/>
  <c r="A257" i="1"/>
  <c r="D256" i="1"/>
  <c r="C256" i="1"/>
  <c r="B256" i="1"/>
  <c r="A256" i="1"/>
  <c r="D255" i="1"/>
  <c r="C255" i="1"/>
  <c r="B255" i="1"/>
  <c r="A255" i="1"/>
  <c r="D254" i="1"/>
  <c r="C254" i="1"/>
  <c r="B254" i="1"/>
  <c r="A254" i="1"/>
  <c r="D253" i="1"/>
  <c r="C253" i="1"/>
  <c r="B253" i="1"/>
  <c r="A253" i="1"/>
  <c r="D252" i="1"/>
  <c r="C252" i="1"/>
  <c r="B252" i="1"/>
  <c r="A252" i="1"/>
  <c r="D251" i="1"/>
  <c r="C251" i="1"/>
  <c r="B251" i="1"/>
  <c r="A251" i="1"/>
  <c r="D250" i="1"/>
  <c r="C250" i="1"/>
  <c r="B250" i="1"/>
  <c r="A250" i="1"/>
  <c r="D249" i="1"/>
  <c r="C249" i="1"/>
  <c r="B249" i="1"/>
  <c r="A249" i="1"/>
  <c r="D248" i="1"/>
  <c r="C248" i="1"/>
  <c r="B248" i="1"/>
  <c r="A248" i="1"/>
  <c r="D247" i="1"/>
  <c r="C247" i="1"/>
  <c r="B247" i="1"/>
  <c r="A247" i="1"/>
  <c r="D246" i="1"/>
  <c r="C246" i="1"/>
  <c r="B246" i="1"/>
  <c r="A246" i="1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D125" i="1"/>
  <c r="C125" i="1"/>
  <c r="B125" i="1"/>
  <c r="A125" i="1"/>
  <c r="D124" i="1"/>
  <c r="C124" i="1"/>
  <c r="B124" i="1"/>
  <c r="A124" i="1"/>
  <c r="D123" i="1"/>
  <c r="C123" i="1"/>
  <c r="B123" i="1"/>
  <c r="A123" i="1"/>
  <c r="D122" i="1"/>
  <c r="C122" i="1"/>
  <c r="B122" i="1"/>
  <c r="A122" i="1"/>
  <c r="D121" i="1"/>
  <c r="C121" i="1"/>
  <c r="B121" i="1"/>
  <c r="A121" i="1"/>
  <c r="D120" i="1"/>
  <c r="C120" i="1"/>
  <c r="B120" i="1"/>
  <c r="A120" i="1"/>
  <c r="D119" i="1"/>
  <c r="C119" i="1"/>
  <c r="B119" i="1"/>
  <c r="A119" i="1"/>
  <c r="D118" i="1"/>
  <c r="C118" i="1"/>
  <c r="B118" i="1"/>
  <c r="A118" i="1"/>
  <c r="D117" i="1"/>
  <c r="C117" i="1"/>
  <c r="B117" i="1"/>
  <c r="A117" i="1"/>
  <c r="D116" i="1"/>
  <c r="C116" i="1"/>
  <c r="B116" i="1"/>
  <c r="A116" i="1"/>
  <c r="D115" i="1"/>
  <c r="C115" i="1"/>
  <c r="B115" i="1"/>
  <c r="A115" i="1"/>
  <c r="D114" i="1"/>
  <c r="C114" i="1"/>
  <c r="B114" i="1"/>
  <c r="A114" i="1"/>
  <c r="D113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E3" i="1"/>
  <c r="A2" i="109"/>
  <c r="A2" i="108"/>
  <c r="A2" i="107"/>
  <c r="A2" i="106"/>
  <c r="A2" i="105"/>
  <c r="A2" i="104"/>
  <c r="A2" i="103"/>
  <c r="A2" i="102"/>
  <c r="A2" i="101"/>
  <c r="A2" i="100"/>
  <c r="A2" i="99"/>
  <c r="A2" i="98"/>
  <c r="A2" i="97"/>
  <c r="A2" i="96"/>
  <c r="A2" i="95"/>
  <c r="A2" i="94"/>
  <c r="A2" i="93"/>
  <c r="A2" i="92"/>
  <c r="A2" i="91"/>
  <c r="A2" i="90"/>
  <c r="A2" i="89"/>
  <c r="A2" i="88"/>
  <c r="A2" i="87"/>
  <c r="A2" i="86"/>
  <c r="A2" i="85"/>
  <c r="A2" i="84"/>
  <c r="A2" i="83"/>
  <c r="A2" i="82"/>
  <c r="A2" i="81"/>
  <c r="A2" i="80"/>
  <c r="A2" i="79"/>
  <c r="A2" i="78"/>
  <c r="A2" i="77"/>
  <c r="A2" i="76"/>
  <c r="A2" i="75"/>
  <c r="A2" i="74"/>
  <c r="A2" i="73"/>
  <c r="A2" i="72"/>
  <c r="A2" i="71"/>
  <c r="A2" i="70"/>
  <c r="A2" i="69"/>
  <c r="A2" i="68"/>
  <c r="A2" i="67"/>
  <c r="A2" i="66"/>
  <c r="A2" i="65"/>
  <c r="A2" i="64"/>
  <c r="A2" i="63"/>
  <c r="A2" i="62"/>
  <c r="A2" i="61"/>
  <c r="A2" i="60"/>
  <c r="A2" i="59"/>
  <c r="A2" i="58"/>
  <c r="A2" i="57"/>
  <c r="A2" i="56"/>
  <c r="A2" i="55"/>
  <c r="A2" i="54"/>
  <c r="A2" i="53"/>
  <c r="A2" i="52"/>
  <c r="A2" i="51"/>
  <c r="A2" i="50"/>
  <c r="A2" i="49"/>
  <c r="A2" i="48"/>
  <c r="A2" i="47"/>
  <c r="A2" i="46"/>
  <c r="A2" i="45"/>
  <c r="A2" i="44"/>
  <c r="A2" i="43"/>
  <c r="A2" i="42"/>
  <c r="A2" i="41"/>
  <c r="A2" i="40"/>
  <c r="A2" i="39"/>
  <c r="A2" i="38"/>
  <c r="A2" i="37"/>
  <c r="A2" i="36"/>
  <c r="A2" i="35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9"/>
  <c r="A2" i="8"/>
  <c r="A2" i="7"/>
  <c r="A2" i="6"/>
  <c r="A2" i="5"/>
  <c r="A2" i="4"/>
  <c r="A2" i="3"/>
  <c r="A2" i="2"/>
</calcChain>
</file>

<file path=xl/sharedStrings.xml><?xml version="1.0" encoding="utf-8"?>
<sst xmlns="http://schemas.openxmlformats.org/spreadsheetml/2006/main" count="51077" uniqueCount="3283">
  <si>
    <t>品目名称</t>
  </si>
  <si>
    <t>commodity</t>
  </si>
  <si>
    <t>アイテム名</t>
  </si>
  <si>
    <t>item</t>
  </si>
  <si>
    <t>単位</t>
  </si>
  <si>
    <t>unit</t>
  </si>
  <si>
    <t>2021000000</t>
  </si>
  <si>
    <t>2021年（C.Y.2021）</t>
  </si>
  <si>
    <t>2022000000</t>
  </si>
  <si>
    <t>2022年（C.Y.2022）</t>
  </si>
  <si>
    <t>2023000000</t>
  </si>
  <si>
    <t>2023年（C.Y.2023）</t>
  </si>
  <si>
    <t>2024000000</t>
  </si>
  <si>
    <t>2024年（C.Y.2024）</t>
  </si>
  <si>
    <t>2025000000</t>
  </si>
  <si>
    <t>2025年（C.Y.2025）</t>
  </si>
  <si>
    <t>2024000303</t>
  </si>
  <si>
    <t>2024年03月（Mar.2024）</t>
  </si>
  <si>
    <t>2024000404</t>
  </si>
  <si>
    <t>2024年04月（Apr.2024）</t>
  </si>
  <si>
    <t>2024000505</t>
  </si>
  <si>
    <t>2024年05月（May2024）</t>
  </si>
  <si>
    <t>2024000606</t>
  </si>
  <si>
    <t>2024年06月（Jun.2024）</t>
  </si>
  <si>
    <t>2024000707</t>
  </si>
  <si>
    <t>2024年07月（Jul.2024）</t>
  </si>
  <si>
    <t>2024000808</t>
  </si>
  <si>
    <t>2024年08月（Aug.2024）</t>
  </si>
  <si>
    <t>2024000909</t>
  </si>
  <si>
    <t>2024年09月（Sep.2024）</t>
  </si>
  <si>
    <t>2024001010</t>
  </si>
  <si>
    <t>2024年10月（Oct.2024）</t>
  </si>
  <si>
    <t>2024001111</t>
  </si>
  <si>
    <t>2024年11月（Nov.2024）</t>
  </si>
  <si>
    <t>2024001212</t>
  </si>
  <si>
    <t>2024年12月（Dec.2024）</t>
  </si>
  <si>
    <t>2025000101</t>
  </si>
  <si>
    <t>2025年01月（Jan.2025）</t>
  </si>
  <si>
    <t>2025000202</t>
  </si>
  <si>
    <t>2025年02月（Feb.2025）</t>
  </si>
  <si>
    <t>2025000303</t>
  </si>
  <si>
    <t>2025年03月（Mar.2025）</t>
  </si>
  <si>
    <t>2025000404</t>
  </si>
  <si>
    <t>2025年04月（Apr.2025）</t>
  </si>
  <si>
    <t>2025000505</t>
  </si>
  <si>
    <t>2025年05月（May2025）</t>
  </si>
  <si>
    <t>2025000606</t>
  </si>
  <si>
    <t>2025年06月（Jun.2025）</t>
  </si>
  <si>
    <t>2025000707</t>
  </si>
  <si>
    <t>2025年07月（Jul.2025）</t>
  </si>
  <si>
    <t>2025000808</t>
  </si>
  <si>
    <t>2025年08月（Aug.2025）</t>
  </si>
  <si>
    <t>2025000909</t>
  </si>
  <si>
    <t>2025年09月（Sep.2025）</t>
  </si>
  <si>
    <t>2025001010</t>
  </si>
  <si>
    <t>2025年10月（Oct.2025）</t>
  </si>
  <si>
    <t>2025001111</t>
  </si>
  <si>
    <t>2025年11月（Nov.2025）</t>
  </si>
  <si>
    <t>2025001212</t>
  </si>
  <si>
    <t>2025年12月（Dec.2025）</t>
  </si>
  <si>
    <t>2026000101</t>
  </si>
  <si>
    <t>2026年01月（Jan.2026）</t>
  </si>
  <si>
    <t>2026000202</t>
  </si>
  <si>
    <t>2026年02月（Feb.2026）</t>
  </si>
  <si>
    <t>2026000303</t>
  </si>
  <si>
    <t>2026年03月（Mar.2026）</t>
  </si>
  <si>
    <t>経済産業省生産動態統計調査（製品統計表）時系列</t>
    <rPh sb="0" eb="2">
      <t>ケイザイ</t>
    </rPh>
    <rPh sb="2" eb="5">
      <t>サンギョウショウ</t>
    </rPh>
    <rPh sb="5" eb="7">
      <t>セイサン</t>
    </rPh>
    <rPh sb="7" eb="9">
      <t>ドウタイ</t>
    </rPh>
    <rPh sb="9" eb="11">
      <t>トウケイ</t>
    </rPh>
    <rPh sb="11" eb="13">
      <t>チョウサ</t>
    </rPh>
    <rPh sb="14" eb="16">
      <t>セイヒン</t>
    </rPh>
    <rPh sb="16" eb="19">
      <t>トウケイヒョウ</t>
    </rPh>
    <rPh sb="20" eb="23">
      <t>ジケイレツ</t>
    </rPh>
    <phoneticPr fontId="2"/>
  </si>
  <si>
    <t>時間軸コード</t>
    <rPh sb="0" eb="2">
      <t>ジカン</t>
    </rPh>
    <rPh sb="2" eb="3">
      <t>ジク</t>
    </rPh>
    <phoneticPr fontId="3"/>
  </si>
  <si>
    <t>製鋼用銑</t>
  </si>
  <si>
    <t>生産数量</t>
  </si>
  <si>
    <t>t</t>
  </si>
  <si>
    <t>Pig iron for steel-making</t>
  </si>
  <si>
    <t>Production quantity</t>
  </si>
  <si>
    <t>X</t>
  </si>
  <si>
    <t>販売数量</t>
  </si>
  <si>
    <t>Sales quantity</t>
  </si>
  <si>
    <t>月末在庫数量</t>
  </si>
  <si>
    <t>Inventory quantity</t>
  </si>
  <si>
    <t>鋳物用銑</t>
  </si>
  <si>
    <t>Foundry pig iron</t>
  </si>
  <si>
    <t>フェロマンガン(高炭素)</t>
  </si>
  <si>
    <t>Ferro-manganese(high-carbon)</t>
  </si>
  <si>
    <t>フェロマンガン(低炭素)</t>
  </si>
  <si>
    <t>Ferro-manganese(low-carbon)</t>
  </si>
  <si>
    <t>シリコマンガン</t>
  </si>
  <si>
    <t>Silico-manganese</t>
  </si>
  <si>
    <t>フェロニッケル</t>
  </si>
  <si>
    <t>Ferro-nickel</t>
  </si>
  <si>
    <t>その他のフェロアロイ</t>
  </si>
  <si>
    <t>Other ferro-alloys</t>
  </si>
  <si>
    <t>鋼塊(普通鋼)</t>
  </si>
  <si>
    <t>Steel ingots(ordinary steel)</t>
  </si>
  <si>
    <t>鋼塊(特殊鋼)</t>
  </si>
  <si>
    <t>Steel ingots(special steel)</t>
  </si>
  <si>
    <t>鋳鋼鋳込(普通鋼)</t>
  </si>
  <si>
    <t>Liquid steel for castings(ordinary steel)</t>
  </si>
  <si>
    <t>鋳鋼鋳込(特殊鋼)</t>
  </si>
  <si>
    <t>Liquid steel for castings(special steel)</t>
  </si>
  <si>
    <t>鋼半製品(普通鋼)</t>
  </si>
  <si>
    <t>Semi-finished steel(ordinary steel)</t>
  </si>
  <si>
    <t>鋼半製品(特殊鋼)</t>
  </si>
  <si>
    <t>Semi-finished steel(special steel)</t>
  </si>
  <si>
    <t>鍛鋼品(打放)(普通鋼)</t>
  </si>
  <si>
    <t>Steel forgings(ordinary steel)</t>
  </si>
  <si>
    <t>鍛鋼品(打放)(特殊鋼)</t>
  </si>
  <si>
    <t>Steel forgings(special steel)</t>
  </si>
  <si>
    <t>鋳鋼品(鋳放)(普通鋼)</t>
  </si>
  <si>
    <t>Steel castings(ordinary steel)</t>
  </si>
  <si>
    <t>鋳鋼品(鋳放)(特殊鋼)</t>
  </si>
  <si>
    <t>Steel castings(special steel)</t>
  </si>
  <si>
    <t>軌条(付属品を含む)・外輪(普通鋼)</t>
  </si>
  <si>
    <t>Rails and accessories, tyres and wheels(ordinary steel)</t>
  </si>
  <si>
    <t>鋼矢板(普通鋼)</t>
  </si>
  <si>
    <t>Sheet pilings(ordinary steel)</t>
  </si>
  <si>
    <t>Ｈ形鋼(普通鋼)</t>
  </si>
  <si>
    <t>Wide flange beams(ordinary steel)</t>
  </si>
  <si>
    <t>大形形鋼(普通鋼)</t>
  </si>
  <si>
    <t>Heavy shapes(ordinary steel)</t>
  </si>
  <si>
    <t>中小形形鋼(普通鋼)</t>
  </si>
  <si>
    <t>Medium and light shapes(ordinary steel)</t>
  </si>
  <si>
    <t>大形棒鋼(普通鋼)</t>
  </si>
  <si>
    <t>Heavy bars(ordinary steel)</t>
  </si>
  <si>
    <t>中形棒鋼(普通鋼)</t>
  </si>
  <si>
    <t>Medium bars(ordinary steel)</t>
  </si>
  <si>
    <t>小形棒鋼(鉄筋用)(普通鋼)</t>
  </si>
  <si>
    <t>Light bars (reinforced bars)(ordinary steel)</t>
  </si>
  <si>
    <t>小形棒鋼(その他用)(普通鋼)</t>
  </si>
  <si>
    <t>Light bars (for others)(ordinary steel)</t>
  </si>
  <si>
    <t>管材(普通鋼)</t>
  </si>
  <si>
    <t>Rounds for tubes(ordinary steel)</t>
  </si>
  <si>
    <t>線材・バーインコイル(鉄筋用)(普通鋼)</t>
  </si>
  <si>
    <t>Bars in coil (reinforced bars)(ordinary steel)</t>
  </si>
  <si>
    <t>線材・バーインコイル(その他用)(普通鋼)</t>
  </si>
  <si>
    <t>Bars in coil (for others)(ordinary steel)</t>
  </si>
  <si>
    <t>普通線材(普通鋼)</t>
  </si>
  <si>
    <t>Ordinary wire rods(ordinary steel)</t>
  </si>
  <si>
    <t>特殊線材(低炭素)(普通鋼)</t>
  </si>
  <si>
    <t>Special wire rods (low carbon wire rods )(ordinary steel)</t>
  </si>
  <si>
    <t>特殊線材(高炭素)(普通鋼)</t>
  </si>
  <si>
    <t>Special wire rods (high carbon wire rods)(ordinary steel)</t>
  </si>
  <si>
    <t>鋼板(厚板)(普通鋼)</t>
  </si>
  <si>
    <t>Sheets and plates (heavy plates)(ordinary steel)</t>
  </si>
  <si>
    <t>鋼板(中板・薄板)(普通鋼)</t>
  </si>
  <si>
    <t>Sheets and plates (medium plates, light sheets)(ordinary steel)</t>
  </si>
  <si>
    <t>鋼帯(幅６００ｍｍ以上)(冷延電気鋼帯用)(普通鋼)</t>
  </si>
  <si>
    <t>Wide strips (greater than or equal to 600mm in width)(cold-rolled electrical sheets and strips )</t>
  </si>
  <si>
    <t>鋼帯(幅６００ｍｍ以上)(その他用)(普通鋼)</t>
  </si>
  <si>
    <t>Wide strips (greater than or equal to 600mm in width)(for others)(ordinary steel )</t>
  </si>
  <si>
    <t>鋼帯(幅６００ｍｍ未満)(普通鋼)</t>
  </si>
  <si>
    <t>Narrow strips (less than 600 mm in width)(ordinary steel)</t>
  </si>
  <si>
    <t>磨帯鋼・冷延鋼板(普通鋼)</t>
  </si>
  <si>
    <t>Cold-rolled narrow strips, cold-rolled sheets and strips(ordinary steel)</t>
  </si>
  <si>
    <t>冷延広幅帯鋼(普通鋼)</t>
  </si>
  <si>
    <t>Cold-rolled wide strips(ordinary steel)</t>
  </si>
  <si>
    <t>冷延電気鋼帯(普通鋼)</t>
  </si>
  <si>
    <t>Cold-rolled electrical sheets and strips(ordinary steel)</t>
  </si>
  <si>
    <t>ブリキ</t>
  </si>
  <si>
    <t>Tin plates</t>
  </si>
  <si>
    <t>ティンフリースチール</t>
  </si>
  <si>
    <t>Tin-free steel</t>
  </si>
  <si>
    <t>亜鉛めっき鋼板(溶融めっき)</t>
  </si>
  <si>
    <t>Galvanized sheets (hot-dip zinc-coated sheets)</t>
  </si>
  <si>
    <t>亜鉛めっき鋼板(電気めっき)</t>
  </si>
  <si>
    <t>Galvanized sheets (electric zinc-coated sheets )</t>
  </si>
  <si>
    <t>その他の金属めっき鋼板</t>
  </si>
  <si>
    <t>Other metallic-coated sheets</t>
  </si>
  <si>
    <t>簡易鋼矢板</t>
  </si>
  <si>
    <t>Cold-formed sheet pilings</t>
  </si>
  <si>
    <t>軽量形鋼</t>
  </si>
  <si>
    <t>Cold-formed shapes</t>
  </si>
  <si>
    <t>形鋼(特殊鋼)</t>
  </si>
  <si>
    <t>Steel shapes(special steel)</t>
  </si>
  <si>
    <t>棒鋼(特殊鋼)</t>
  </si>
  <si>
    <t>Bars(special steel)</t>
  </si>
  <si>
    <t>管材(特殊鋼)</t>
  </si>
  <si>
    <t>Rounds for tubes(special steel)</t>
  </si>
  <si>
    <t>線材(特殊鋼)</t>
  </si>
  <si>
    <t>Wire rods(special steel)</t>
  </si>
  <si>
    <t>鋼板(特殊鋼)</t>
  </si>
  <si>
    <t>Sheets and plates(special steel)</t>
  </si>
  <si>
    <t>鋼帯(特殊鋼)</t>
  </si>
  <si>
    <t>Steel strips(special steel)</t>
  </si>
  <si>
    <t>特殊鋼熱間圧延鋼材計</t>
  </si>
  <si>
    <t>Total of special hot-rolled steel</t>
  </si>
  <si>
    <t>磨帯鋼(特殊鋼)</t>
  </si>
  <si>
    <t>Cold-rolled narrow strips(special steel)</t>
  </si>
  <si>
    <t>冷延広幅帯鋼(特殊鋼)</t>
  </si>
  <si>
    <t>Cold-rolled wide strips(special steel)</t>
  </si>
  <si>
    <t>冷延鋼板(特殊鋼)</t>
  </si>
  <si>
    <t>Cold-rolled sheets and strips(special steel)</t>
  </si>
  <si>
    <t>熱間鋼管（溶鍛接鋼管を含む）(普通鋼)</t>
  </si>
  <si>
    <t>Hot-steel pipes and tubes(including welded and butt welded pipes and tubes)(ordinary steel)</t>
  </si>
  <si>
    <t>冷けん鋼管（再生引抜鋼管を含む）(普通鋼)</t>
  </si>
  <si>
    <t>Cold-drawn steel pipes and tubes(including reproducted drawn steel pipes and tubes)(ordinary steel)</t>
  </si>
  <si>
    <t>めっき鋼管(普通鋼)</t>
  </si>
  <si>
    <t>Metallic-coated steel pipes and tubes (ordinary steel)</t>
  </si>
  <si>
    <t>熱間鋼管（溶接鋼管を含む）(特殊鋼)</t>
  </si>
  <si>
    <t>Hot-steel pipes and tubes(including welded pipes and tubes)(special steel)</t>
  </si>
  <si>
    <t>冷けん鋼管(特殊鋼)</t>
  </si>
  <si>
    <t>Cold-drawn steel pipes and tubes (special steel)</t>
  </si>
  <si>
    <t>磨棒鋼(普通鋼)</t>
  </si>
  <si>
    <t>Cold-finished bars (ordinary steel)</t>
  </si>
  <si>
    <t>鉄線(普通鋼)</t>
  </si>
  <si>
    <t>Steel wires (ordinary steel)</t>
  </si>
  <si>
    <t>冷間圧造用炭素鋼線(普通鋼)</t>
  </si>
  <si>
    <t>Carbon steel wires for cold heading and cold forging (ordinary steel)</t>
  </si>
  <si>
    <t>硬鋼線(普通鋼)</t>
  </si>
  <si>
    <t>Hard-drawn wires (ordinary steel)</t>
  </si>
  <si>
    <t>溶接棒心線(普通鋼)</t>
  </si>
  <si>
    <t>Core wires for welding rods (ordinary steel)</t>
  </si>
  <si>
    <t>針金</t>
  </si>
  <si>
    <t>Galvanized steel wires</t>
  </si>
  <si>
    <t>亜鉛めっき硬鋼線</t>
  </si>
  <si>
    <t>Galvanized hard-drawn wires</t>
  </si>
  <si>
    <t>磨棒鋼(特殊鋼)</t>
  </si>
  <si>
    <t>Cold-finished bars (special steel)</t>
  </si>
  <si>
    <t>ＰＣ鋼線(特殊鋼)</t>
  </si>
  <si>
    <t>PC wires (special steel)</t>
  </si>
  <si>
    <t>ピアノ線(特殊鋼)</t>
  </si>
  <si>
    <t>Piano wires (special steel)</t>
  </si>
  <si>
    <t>ステンレス鋼線(特殊鋼)</t>
  </si>
  <si>
    <t>Stainless steel wires (special steel)</t>
  </si>
  <si>
    <t>冷間圧造用炭素鋼線(特殊鋼)</t>
  </si>
  <si>
    <t>Carbon steel wires for cold heading and cold forging(special steel)</t>
  </si>
  <si>
    <t>その他の特殊鋼線(特殊鋼)</t>
  </si>
  <si>
    <t>Other special steel wires (special steel)</t>
  </si>
  <si>
    <t>鋳鉄管</t>
  </si>
  <si>
    <t>Cast iron pipes and tubes</t>
  </si>
  <si>
    <t>鋼索</t>
  </si>
  <si>
    <t>Wire ropes</t>
  </si>
  <si>
    <t>鋼より線(鋼索の内数)</t>
  </si>
  <si>
    <t>Strand wires (strand wires among wire ropes)</t>
  </si>
  <si>
    <t>ＰＣ鋼より線</t>
  </si>
  <si>
    <t>PC strand wires</t>
  </si>
  <si>
    <t>一般金網・蛇かご</t>
  </si>
  <si>
    <t>General wire netting, wire cylinders</t>
  </si>
  <si>
    <t>溶接金網</t>
  </si>
  <si>
    <t>Welded wire netting</t>
  </si>
  <si>
    <t>鉄くぎ</t>
  </si>
  <si>
    <t>Steel nails</t>
  </si>
  <si>
    <t>電気溶接棒</t>
  </si>
  <si>
    <t>Electrical welding rods</t>
  </si>
  <si>
    <t>ドラム缶</t>
  </si>
  <si>
    <t>Steel drums</t>
  </si>
  <si>
    <t>１８リットル缶</t>
  </si>
  <si>
    <t>18 ℓ cans</t>
  </si>
  <si>
    <t>食缶</t>
  </si>
  <si>
    <t>Food cans</t>
  </si>
  <si>
    <t>一般缶</t>
  </si>
  <si>
    <t>General cans</t>
  </si>
  <si>
    <t>内燃機関(はん用ガソリン機関)(３ＰＳ未満)(２サイクル)</t>
  </si>
  <si>
    <t>台</t>
  </si>
  <si>
    <t>Internal combustion engines,gasoline engines,less than 3PS(two stroke-cycle)</t>
  </si>
  <si>
    <t>n</t>
  </si>
  <si>
    <t>生産容量</t>
  </si>
  <si>
    <t>PS</t>
  </si>
  <si>
    <t>Production capacity</t>
  </si>
  <si>
    <t>生産金額</t>
  </si>
  <si>
    <t>百万円</t>
  </si>
  <si>
    <t>Production value</t>
  </si>
  <si>
    <t>million yen</t>
  </si>
  <si>
    <t>販売容量</t>
  </si>
  <si>
    <t>Sales capacity</t>
  </si>
  <si>
    <t>販売金額</t>
  </si>
  <si>
    <t>Sales value</t>
  </si>
  <si>
    <t>月末在庫容量</t>
  </si>
  <si>
    <t>Inventory capacity</t>
  </si>
  <si>
    <t>内燃機関(はん用ガソリン機関)(３ＰＳ未満)(４サイクル)</t>
  </si>
  <si>
    <t>Internal combustion engines,gasoline engines,less than 3PS(four stroke-cycle)</t>
  </si>
  <si>
    <t>内燃機関(はん用ガソリン機関)(３ＰＳ以上)(２サイクル)</t>
  </si>
  <si>
    <t>Internal combustion engines,gasoline engines,greater than or equal to 3PS(two stroke-cycle)</t>
  </si>
  <si>
    <t>内燃機関(はん用ガソリン機関)(３ＰＳ以上)(４サイクル)</t>
  </si>
  <si>
    <t>Internal combustion engines,gasoline engines,greater than or equal to 3PS(four stroke-cycle)</t>
  </si>
  <si>
    <t>内燃機関(はん用ディーゼル機関)(３０ＰＳ未満)</t>
  </si>
  <si>
    <t>Internal combustion engines,diesel engines,less than 30PS</t>
  </si>
  <si>
    <t>内燃機関(はん用ディーゼル機関)(３０ＰＳ以上１００ＰＳ未満)</t>
  </si>
  <si>
    <t>Internal combustion engines,diesel engines,greater than or equal to 30PS and less than  100PS</t>
  </si>
  <si>
    <t>内燃機関(はん用ディーゼル機関)(１００ＰＳ以上５００ＰＳ未満)</t>
  </si>
  <si>
    <t>Internal combustion engines,diesel engines,greater than or equal to 100PS and less than 500PS</t>
  </si>
  <si>
    <t>内燃機関(はん用ディーゼル機関)(５００ＰＳ以上)</t>
  </si>
  <si>
    <t>Internal combustion engines,diesel engines,greater than or equal to 500PS</t>
  </si>
  <si>
    <t>舶用ディーゼル機関</t>
  </si>
  <si>
    <t>Diesel engines for marine</t>
  </si>
  <si>
    <t>水管ボイラ(一般用)(２ｔ／ｈ未満)</t>
  </si>
  <si>
    <t>Water tube boilers,less than 2t/h(boilers for industry)</t>
  </si>
  <si>
    <t>t/時間</t>
  </si>
  <si>
    <t>t/h</t>
  </si>
  <si>
    <t>水管ボイラ(一般用)(２ｔ／ｈ以上３５ｔ／ｈ未満)</t>
  </si>
  <si>
    <t>Water tube boilers,greater than or equal to 2t/h and less than 35t/h(boilers for industry)</t>
  </si>
  <si>
    <t>水管ボイラ(一般用)(３５ｔ／ｈ以上４９０ｔ／ｈ未満)</t>
  </si>
  <si>
    <t>Water tube boilers,greater than or equal to 35t/h and less than 490t/h(boilers for industry)</t>
  </si>
  <si>
    <t>水管ボイラ(一般用)(４９０ｔ／ｈ以上)</t>
  </si>
  <si>
    <t>Water tube boilers,greater than or equal to 490t/h(boilers for industry)</t>
  </si>
  <si>
    <t>その他の一般用ボイラ</t>
  </si>
  <si>
    <t>Other boilers for other industry</t>
  </si>
  <si>
    <t>舶用ボイラ</t>
  </si>
  <si>
    <t>Marine boilers</t>
  </si>
  <si>
    <t>ボイラの部品・付属品(自己消費を除く)</t>
  </si>
  <si>
    <t>Parts and accessories for boilers(except self-consumption)</t>
  </si>
  <si>
    <t>一般用蒸気タービン</t>
  </si>
  <si>
    <t>Steam turbines for industry</t>
  </si>
  <si>
    <t>kW</t>
  </si>
  <si>
    <t>舶用蒸気タービン</t>
  </si>
  <si>
    <t>Steam turbines for marine</t>
  </si>
  <si>
    <t>蒸気タービンの部品・付属品(自己消費を除く)</t>
  </si>
  <si>
    <t>Parts and accessories for steam turbines(except self-consumption)</t>
  </si>
  <si>
    <t>ガスタービン</t>
  </si>
  <si>
    <t>Gas turbines</t>
  </si>
  <si>
    <t>トラッククレーン・ラフテレンクレーン</t>
  </si>
  <si>
    <t>Truck cranes and rough terrain cranes</t>
  </si>
  <si>
    <t>クローラクレーン</t>
  </si>
  <si>
    <t>Crawler cranes</t>
  </si>
  <si>
    <t>ショベル系掘削機械(油圧式)(０．２㎥未満)</t>
  </si>
  <si>
    <t>Shovel type excavators (hydraulic type) less than 0.2㎥</t>
  </si>
  <si>
    <t>ショベル系掘削機械(油圧式)(０．２㎥以上０．６㎥未満)</t>
  </si>
  <si>
    <t>Shovel type excavators (hydraulic type) greater than or equal to 0.2㎥ and less than 0.6㎥</t>
  </si>
  <si>
    <t>ショベル系掘削機械(油圧式) (０．６㎥ 以上)</t>
  </si>
  <si>
    <t>Shovel type excavators (hydraulic type) greater than or equal to 0.6㎥</t>
  </si>
  <si>
    <t>トンネル掘進機</t>
  </si>
  <si>
    <t>Tunnel boring machines</t>
  </si>
  <si>
    <t>整地機械(ローラ)</t>
  </si>
  <si>
    <t>Rollers for earth finishing</t>
  </si>
  <si>
    <t>整地機械(平板式締め固め機械)</t>
  </si>
  <si>
    <t>Plate type compactors for earth finishing</t>
  </si>
  <si>
    <t>アスファルト舗装機械</t>
  </si>
  <si>
    <t>Asphalt paving machines</t>
  </si>
  <si>
    <t>コンクリート機械</t>
  </si>
  <si>
    <t>Concrete machinery</t>
  </si>
  <si>
    <t>基礎工事用機械(ベースマシンを除く)</t>
  </si>
  <si>
    <t>Foundation works equipment (except base machines)</t>
  </si>
  <si>
    <t>破砕解体機</t>
  </si>
  <si>
    <t>Destructive equipment</t>
  </si>
  <si>
    <t>鉱山機械(せん孔機・さく岩機)</t>
  </si>
  <si>
    <t>Mining machinery(drilling and boring machines and rock drills)</t>
  </si>
  <si>
    <t>破砕機</t>
  </si>
  <si>
    <t>Crushers</t>
  </si>
  <si>
    <t>ろ過機器(化学機械)</t>
  </si>
  <si>
    <t>Filters(chemical machinery)</t>
  </si>
  <si>
    <t>生産重量</t>
  </si>
  <si>
    <t>kg</t>
  </si>
  <si>
    <t>Production weight</t>
  </si>
  <si>
    <t>千円</t>
  </si>
  <si>
    <t>thousand yen</t>
  </si>
  <si>
    <t>分離機器(化学機械)</t>
  </si>
  <si>
    <t>Separators(chemical machinery)</t>
  </si>
  <si>
    <t>集じん機器(化学機械)</t>
  </si>
  <si>
    <t>Dust collectors(chemical machinery)</t>
  </si>
  <si>
    <t>とう(套)管式熱交換器(化学機械)</t>
  </si>
  <si>
    <t>Shell and tube type heat exchangers(chemical machinery)</t>
  </si>
  <si>
    <t>その他の熱交換器(化学機械)</t>
  </si>
  <si>
    <t>Miscellaneous heat exchangers(chemical machinery)</t>
  </si>
  <si>
    <t>混合機、かくはん機、粉砕機(化学機械)</t>
  </si>
  <si>
    <t>Blenders,mixers and crushers(chemical machinery)</t>
  </si>
  <si>
    <t>反応用機器(化学機械)</t>
  </si>
  <si>
    <t>Reaction vessels(chemical machinery)</t>
  </si>
  <si>
    <t>塔槽機器(化学機械)</t>
  </si>
  <si>
    <t>Tower and vessels(chemical machinery)</t>
  </si>
  <si>
    <t>乾燥機器(化学機械)</t>
  </si>
  <si>
    <t>Dryers(chemical machinery)</t>
  </si>
  <si>
    <t>貯蔵槽(固定式)</t>
  </si>
  <si>
    <t>基</t>
  </si>
  <si>
    <t>Fixed roof type storage tanks</t>
  </si>
  <si>
    <t>その他の貯蔵槽</t>
  </si>
  <si>
    <t>Other storage tanks</t>
  </si>
  <si>
    <t>射出成形機(プラスチック加工用)(型締力１００ｔ未満)</t>
  </si>
  <si>
    <t>Injection moulding machines(clamping force range less than 100ｔ)</t>
  </si>
  <si>
    <t>射出成形機(プラスチック加工用)(型締力１００ｔ以上２００ｔ未満)</t>
  </si>
  <si>
    <t>Injection moulding machines(clamping force range,greater than or equal to 100t and less than 200t)</t>
  </si>
  <si>
    <t>射出成形機(プラスチック加工用)(型締力２００ｔ以上５００ｔ未満)</t>
  </si>
  <si>
    <t>Injection moulding machines(clamping force range,greater than or equal to 200t and less than 500t)</t>
  </si>
  <si>
    <t>射出成形機(プラスチック加工用)(型締力５００ｔ以上)</t>
  </si>
  <si>
    <t>Injection moulding machines(clamping force range,greater than or equal to 500t)</t>
  </si>
  <si>
    <t>押出成形機(プラスチック加工用)</t>
  </si>
  <si>
    <t>Extruders</t>
  </si>
  <si>
    <t>押出成形付属装置(プラスチック加工用)</t>
  </si>
  <si>
    <t>Extrusion lines</t>
  </si>
  <si>
    <t>ブロウ成形機(中空成形機)(プラスチック加工用)</t>
  </si>
  <si>
    <t>Blow moulding machines (hollow forming machines)</t>
  </si>
  <si>
    <t>平版印刷機(長巻式)</t>
  </si>
  <si>
    <t>Platen press (web-fed offset press)</t>
  </si>
  <si>
    <t>平版印刷機(枚葉式)</t>
  </si>
  <si>
    <t>Platen press (sheet-fed offset press)</t>
  </si>
  <si>
    <t>おう版印刷機</t>
  </si>
  <si>
    <t>Gravure press</t>
  </si>
  <si>
    <t>産業用デジタル印刷機(Ａ３寸伸び以上)</t>
  </si>
  <si>
    <t>Digital printing machine for industry use (greater than or equal to A3 format )</t>
  </si>
  <si>
    <t>その他の印刷機</t>
  </si>
  <si>
    <t>Other printing machines</t>
  </si>
  <si>
    <t>製版機械</t>
  </si>
  <si>
    <t>Plate making machines</t>
  </si>
  <si>
    <t>製本機械</t>
  </si>
  <si>
    <t>Book binding machines</t>
  </si>
  <si>
    <t>段ボール製造用機械</t>
  </si>
  <si>
    <t>Corrugated board making machines</t>
  </si>
  <si>
    <t>その他の紙工機械(製ばこ機械を含む)</t>
  </si>
  <si>
    <t>Other paper converting machinery (including carton box making machine )</t>
  </si>
  <si>
    <t>うず巻ポンプ(タービン形を含む)(単段式)</t>
  </si>
  <si>
    <t>Centrifugal pumps (including turbine type)(single stage centrifugal pumps)</t>
  </si>
  <si>
    <t>販売重量</t>
  </si>
  <si>
    <t>Sales weight</t>
  </si>
  <si>
    <t>月末在庫重量</t>
  </si>
  <si>
    <t>Inventory weight</t>
  </si>
  <si>
    <t>うず巻ポンプ(タービン形を含む)(多段式)</t>
  </si>
  <si>
    <t>Centrifugal pumps (including turbine type)(multi stage centrifugal pumps)</t>
  </si>
  <si>
    <t>軸・斜流ポンプ</t>
  </si>
  <si>
    <t>Axial flow and diagonal flow pumps</t>
  </si>
  <si>
    <t>回転ポンプ</t>
  </si>
  <si>
    <t>Rotary pumps</t>
  </si>
  <si>
    <t>耐しょく性ポンプ</t>
  </si>
  <si>
    <t>Corrosion resisting pumps</t>
  </si>
  <si>
    <t>水中ポンプ(汚水・土木用)</t>
  </si>
  <si>
    <t>Submersible pumps(pumps for waste water and civil engineering use)</t>
  </si>
  <si>
    <t>水中ポンプ(その他の水中ポンプ(清水用を含む))</t>
  </si>
  <si>
    <t>Submersible pumps(other submersible pumps)(including pump for clean water)</t>
  </si>
  <si>
    <t>その他のポンプ</t>
  </si>
  <si>
    <t>Other pumps</t>
  </si>
  <si>
    <t>真空ポンプ</t>
  </si>
  <si>
    <t>Vacuum pumps</t>
  </si>
  <si>
    <t>往復圧縮機(可搬形)</t>
  </si>
  <si>
    <t>Reciprocating compressors(movable type)</t>
  </si>
  <si>
    <t>往復圧縮機(定置形)</t>
  </si>
  <si>
    <t>Reciprocating compressors(fixed type)</t>
  </si>
  <si>
    <t>回転圧縮機(可搬形)</t>
  </si>
  <si>
    <t>Rotary compressors(movable type)</t>
  </si>
  <si>
    <t>回転圧縮機(定置形)</t>
  </si>
  <si>
    <t>Rotary compressors(fixed type)</t>
  </si>
  <si>
    <t>遠心・軸流圧縮機</t>
  </si>
  <si>
    <t>Centrifugal type and axial flow type turbine compressors</t>
  </si>
  <si>
    <t>回転送風機</t>
  </si>
  <si>
    <t>Rotary blowers</t>
  </si>
  <si>
    <t>遠心送風機</t>
  </si>
  <si>
    <t>Centrifugal type fans and blowers</t>
  </si>
  <si>
    <t>油圧ポンプ(ギヤー形)(ユニット用を含む)</t>
  </si>
  <si>
    <t>Oil-hydraulic pumps (gear pumps)(including for unit)</t>
  </si>
  <si>
    <t>油圧ポンプ(ピストン形)(ユニット用を含む)</t>
  </si>
  <si>
    <t>Oil-hydraulic pumps (piston pumps)(including for unit)</t>
  </si>
  <si>
    <t>その他の油圧ポンプ(ユニット用を含む)</t>
  </si>
  <si>
    <t>Other oil-hydraulic pumps(including for unit)</t>
  </si>
  <si>
    <t>油圧モータ(ユニット用を含む)</t>
  </si>
  <si>
    <t>Oil-hydraulic motors(including for unit)</t>
  </si>
  <si>
    <t>油圧シリンダ(ユニット用を含む)</t>
  </si>
  <si>
    <t>Oil-hydraulic cylinders(including for unit)</t>
  </si>
  <si>
    <t>油圧バルブ(ユニット用を含む)</t>
  </si>
  <si>
    <t>Oil-hydraulic valves(including for unit)</t>
  </si>
  <si>
    <t>その他の油圧機器(ユニット用を含む)</t>
  </si>
  <si>
    <t>Other oil-hydraulic equipment(including for unit)</t>
  </si>
  <si>
    <t>油圧ユニット</t>
  </si>
  <si>
    <t>Oil-hydraulic power unit</t>
  </si>
  <si>
    <t>空気圧シリンダ</t>
  </si>
  <si>
    <t>Pneumatic cylinders</t>
  </si>
  <si>
    <t>空気圧バルブ</t>
  </si>
  <si>
    <t>Pneumatic valves</t>
  </si>
  <si>
    <t>空気清浄化機器(エアドライアを含む)</t>
  </si>
  <si>
    <t>Filter regulator lubricator (including for air dryers)</t>
  </si>
  <si>
    <t>その他の空気圧機器</t>
  </si>
  <si>
    <t>Other pneumatic equipment</t>
  </si>
  <si>
    <t>天井走行クレーン</t>
  </si>
  <si>
    <t>Overhead traveling cranes</t>
  </si>
  <si>
    <t>ジブクレーン(水平引込・塔形を含み、脚部の橋形を除く)</t>
  </si>
  <si>
    <t>Jib cranes(including level luffing and tower crane and except bridge type cranes)</t>
  </si>
  <si>
    <t>橋形クレーン</t>
  </si>
  <si>
    <t>Portal bridge cranes</t>
  </si>
  <si>
    <t>車両塔載形クレーン</t>
  </si>
  <si>
    <t>Truck loading cranes</t>
  </si>
  <si>
    <t>ローダ・アンローダ</t>
  </si>
  <si>
    <t>Loaders and unloaders</t>
  </si>
  <si>
    <t>その他のクレーン</t>
  </si>
  <si>
    <t>Other cranes</t>
  </si>
  <si>
    <t>舶用ウインチ</t>
  </si>
  <si>
    <t>Cargo winches</t>
  </si>
  <si>
    <t>チェーンブロック</t>
  </si>
  <si>
    <t>Chain blocks</t>
  </si>
  <si>
    <t>ベルトコンベヤ</t>
  </si>
  <si>
    <t>Belt conveyors</t>
  </si>
  <si>
    <t>チェーンコンベヤ</t>
  </si>
  <si>
    <t>Chain conveyors</t>
  </si>
  <si>
    <t>ローラーコンベヤ</t>
  </si>
  <si>
    <t>Roller conveyors</t>
  </si>
  <si>
    <t>その他のコンベヤ</t>
  </si>
  <si>
    <t>Other conveyors</t>
  </si>
  <si>
    <t>エレベータ(自動車用エレベータを除く)</t>
  </si>
  <si>
    <t>式</t>
  </si>
  <si>
    <t>Elevators(except car elevators)</t>
  </si>
  <si>
    <t>エスカレータ</t>
  </si>
  <si>
    <t>Escalators</t>
  </si>
  <si>
    <t>機械式駐車装置</t>
  </si>
  <si>
    <t>Mechanical parkings</t>
  </si>
  <si>
    <t>自動立体倉庫装置</t>
  </si>
  <si>
    <t>Automatic highrised warehouses</t>
  </si>
  <si>
    <t>シーケンスロボット・知能ロボット</t>
  </si>
  <si>
    <t>Sequence robots and intelligent robots</t>
  </si>
  <si>
    <t>プレイバックロボット</t>
  </si>
  <si>
    <t>Playback robots</t>
  </si>
  <si>
    <t>数値制御ロボット</t>
  </si>
  <si>
    <t>Numerically controlled robots</t>
  </si>
  <si>
    <t>産業用ロボット部品・付帯装置</t>
  </si>
  <si>
    <t>Parts,accessory for industrial robots</t>
  </si>
  <si>
    <t>固定比減速機・モータ付きのもの(自己消費を除く)</t>
  </si>
  <si>
    <t>Fixed ratio speed reducers,motorized reducers(except self-consumption)</t>
  </si>
  <si>
    <t>固定比減速機・モーターなしのもの(自己消費を除く)</t>
  </si>
  <si>
    <t>Fixed ratio speed reducers,motor-less reducers(except self-consumption)</t>
  </si>
  <si>
    <t>平歯車(粉末や金製品を除く)(自己消費を除く)</t>
  </si>
  <si>
    <t>個</t>
  </si>
  <si>
    <t>Spur gears(except powder metallurgical products)(except self-consumption)</t>
  </si>
  <si>
    <t>はすば歯車(粉末や金製品を除く)(自己消費を除く)</t>
  </si>
  <si>
    <t>Helical gears(except powder metallurgical products)(except self-consumption)</t>
  </si>
  <si>
    <t>かさ歯車(粉末や金製品を除く)(自己消費を除く)</t>
  </si>
  <si>
    <t>Bevel gears(except powder metallurgical products)(except self-consumption)</t>
  </si>
  <si>
    <t>その他の歯車(粉末や金製品を除く)(自己消費を除く)</t>
  </si>
  <si>
    <t>Other gears(except powder metallurgical products)(except self-consumption)</t>
  </si>
  <si>
    <t>スチールチェーン(自己消費を除く)</t>
  </si>
  <si>
    <t>m</t>
  </si>
  <si>
    <t>Steel chains(except self-consumption)</t>
  </si>
  <si>
    <t>動力耕うん機(歩行用トラクタを含む)</t>
  </si>
  <si>
    <t>Power tillers(including walking tractors)</t>
  </si>
  <si>
    <t>装輪式トラクタ(２０ＰＳ未満)</t>
  </si>
  <si>
    <t>Wheel tractors(less than 20PS)</t>
  </si>
  <si>
    <t>装輪式トラクタ(２０ＰＳ以上３０ＰＳ未満)</t>
  </si>
  <si>
    <t>Wheel tractors(greater than or equal to 20PS and less than 30PS)</t>
  </si>
  <si>
    <t>装輪式トラクタ(３０ＰＳ以上)</t>
  </si>
  <si>
    <t>Wheel tractors(greater than or equal to 30PS)</t>
  </si>
  <si>
    <t>動力耕うん機及び装輪式トラクタ用ロータリ・プラウ・すき・ハロー</t>
  </si>
  <si>
    <t>Rotary,plough,suki and harrow for power tiller and wheel tractor</t>
  </si>
  <si>
    <t>田植機</t>
  </si>
  <si>
    <t>Rice planting machines</t>
  </si>
  <si>
    <t>動力噴霧機及び動力散粉機(ミスト機・煙霧機を含む)</t>
  </si>
  <si>
    <t>Power sprayers and power dusters(including mist blowers and fog machine)</t>
  </si>
  <si>
    <t>刈払機(芝刈機を除く)</t>
  </si>
  <si>
    <t>Bush cutters(except lawn mowers)</t>
  </si>
  <si>
    <t>コンバイン(刈取脱穀結合機)</t>
  </si>
  <si>
    <t>Combines</t>
  </si>
  <si>
    <t>籾すり機</t>
  </si>
  <si>
    <t>Rice huskers</t>
  </si>
  <si>
    <t>農業用乾燥機</t>
  </si>
  <si>
    <t>Agricultural driers</t>
  </si>
  <si>
    <t>木工機械及び製材機械</t>
  </si>
  <si>
    <t>Woodworking machinery and sawmill machinery</t>
  </si>
  <si>
    <t>合板機械(繊維板機械を含む)</t>
  </si>
  <si>
    <t>Veneer and plywood machinery(including particle board and fiberboard machinery)</t>
  </si>
  <si>
    <t>数値制御旋盤(ターニングセンタを含む)(立て形)(金属工作用)</t>
  </si>
  <si>
    <t>Numerically controlled lathes (including turning centers)(vertical type)(metal cutting machine tools)</t>
  </si>
  <si>
    <t>数値制御旋盤(ターニングセンタを含む)(横形)(金属工作用)</t>
  </si>
  <si>
    <t>Numerically controlled lathes (including turning centers)(horizontal type)(metal cutting machine tools)</t>
  </si>
  <si>
    <t>その他の旋盤(金属工作用)</t>
  </si>
  <si>
    <t>Other lathes(metal cutting machine tools)</t>
  </si>
  <si>
    <t>数値制御円筒研削盤(金属工作用)</t>
  </si>
  <si>
    <t>Numerically controlled external cylindrical grinding machines(metal cutting machine tools)</t>
  </si>
  <si>
    <t>数値制御平面研削盤(金属工作用)</t>
  </si>
  <si>
    <t>Numerically controlled surface grinding machines(metal cutting machine tools)</t>
  </si>
  <si>
    <t>その他の数値制御研削盤(金属工作用)</t>
  </si>
  <si>
    <t>Other numerically controlled grinding machines(metal cutting machine tools)</t>
  </si>
  <si>
    <t>その他の研削盤(金属工作用)</t>
  </si>
  <si>
    <t>Other grinding machines(metal cutting machine tools)</t>
  </si>
  <si>
    <t>数値制御歯切り盤及び歯車仕上げ機械(金属工作用)</t>
  </si>
  <si>
    <t>Numerically controlled gear cutting and gear finishing machines(metal cutting machine tools)</t>
  </si>
  <si>
    <t>その他の歯切り盤及び歯車仕上げ機械(金属工作用)</t>
  </si>
  <si>
    <t>Other gear cutting and gear finishing machines(metal cutting machine tools)</t>
  </si>
  <si>
    <t>数値制御専用機(金属工作用)</t>
  </si>
  <si>
    <t>Numerically controlled special purpose machines(metal cutting machine tools)</t>
  </si>
  <si>
    <t>その他の専用機(金属工作用)</t>
  </si>
  <si>
    <t>Other special purpose machines(metal cutting machine tools)</t>
  </si>
  <si>
    <t>マシニングセンタ立形(前後ストローク５００ｍｍ未満)(金属工作用)</t>
  </si>
  <si>
    <t>Machining centers vertical spindle type(y-axis travel less than 500mm)(metal cutting machine tools)</t>
  </si>
  <si>
    <t>マシニングセンタ立形(前後ストローク５００ｍｍ以上)(金属工作用)</t>
  </si>
  <si>
    <t>Machining centers vertical spindle type(y-axis travel greater than or equal to 500mm)(metal cutting machine tools)</t>
  </si>
  <si>
    <t>マシニングセンタ横形(テーブルサイズ５００ｍｍ未満)(金属工作用)</t>
  </si>
  <si>
    <t>Machining centers horizontal spindle type(table size less than 500mm)(metal cutting machine tools)</t>
  </si>
  <si>
    <t>マシニングセンタ横形(テーブルサイズ５００ｍｍ以上)(金属工作用)</t>
  </si>
  <si>
    <t>Machining centers horizontal spindle type(table size greater than or equal to 500mm)(metal cutting machine tools)</t>
  </si>
  <si>
    <t>その他のマシニングセンタ(立て・横兼用形、門形)(金属工作用)</t>
  </si>
  <si>
    <t>Other machining centers (vertical spindle, horizontal spindle type, double column type)(metal cutting machine tools)</t>
  </si>
  <si>
    <t>数値制御ボール盤(金属工作用)</t>
  </si>
  <si>
    <t>Numerically controlled drilling machines(metal cutting machine tools)</t>
  </si>
  <si>
    <t>数値制御中ぐり盤(金属工作用)</t>
  </si>
  <si>
    <t>Numerically controlled boring machines(metal cutting machine tools)</t>
  </si>
  <si>
    <t>数値制御フライス盤(金属工作用)</t>
  </si>
  <si>
    <t>Numerically controlled milling machines(metal cutting machine tools)</t>
  </si>
  <si>
    <t>数値制御放電加工機（金属工作用）</t>
  </si>
  <si>
    <t>Numerically controlled electrical discharge machines(metal cutting machine tools)</t>
  </si>
  <si>
    <t>その他の数値制御工作機械(金属工作用)</t>
  </si>
  <si>
    <t xml:space="preserve">Other numerically controlled metal cutting machine tools </t>
  </si>
  <si>
    <t>他に分類されない工作機械(金属工作用)</t>
  </si>
  <si>
    <t>Other metal cutting machine tools</t>
  </si>
  <si>
    <t>圧延機械(本体又は一式のもの)及び同付属装置(シャーはせん断機に含む)(金属加工用)</t>
  </si>
  <si>
    <t>Rolling mill machinery (main body or complete set) and accessories of rolling mill machines(metal forming machinery)</t>
  </si>
  <si>
    <t>圧延機械の部品(ロールを除く)(金属加工用)</t>
  </si>
  <si>
    <t>Parts of rolling mill machines (except rolls)(metal forming machinery)</t>
  </si>
  <si>
    <t>鉄鋼用ロール(鋳鉄製及び鋳鋼製)(金属加工用)</t>
  </si>
  <si>
    <t>本</t>
  </si>
  <si>
    <t>Rolls for steel industry(iron casting and steel casting)(metal forming machinery)</t>
  </si>
  <si>
    <t>鉄鋼用ロール(鍛鋼製)(金属加工用)</t>
  </si>
  <si>
    <t>Rolls for steel industry(steel forgings)(metal forming machinery)</t>
  </si>
  <si>
    <t>ベンディングマシン(矯正機を含む)(金属加工用)</t>
  </si>
  <si>
    <t>Bending machines(including straighteners)(metal forming machinery)</t>
  </si>
  <si>
    <t>液圧プレス(リベッティングマシンを含み、プラスチック加工用のものを除く)(金属加工用)</t>
  </si>
  <si>
    <t>Hydraulic presses (including riveting machines and except those for plastic processing)(metal forming machinery)</t>
  </si>
  <si>
    <t>数値制御式(液圧プレス内数)(金属加工用)</t>
  </si>
  <si>
    <t>Numerically controlled(the inner number of hydraulic presses)(metal forming machinery)</t>
  </si>
  <si>
    <t>機械プレス(１００ｔ未満)(金属加工用)</t>
  </si>
  <si>
    <t>Mechanical presses(less than 100t)(metal forming machinery)</t>
  </si>
  <si>
    <t>機械プレス(１００ｔ以上５００ｔ未満)(金属加工用)</t>
  </si>
  <si>
    <t>Mechanical presses(greater than or equal to 100t and less than 500t)(metal forming machinery)</t>
  </si>
  <si>
    <t>機械プレス(５００ｔ以上)(金属加工用)</t>
  </si>
  <si>
    <t>Mechanical presses(greater than or equal to 500t)(metal forming machinery)</t>
  </si>
  <si>
    <t>数値制御式（機械プレス内数）(金属加工用)</t>
  </si>
  <si>
    <t>Numerically controlled(the inner number of mechanical presses)(metal forming machinery)</t>
  </si>
  <si>
    <t>せん断機(金属加工用)</t>
  </si>
  <si>
    <t>Shearing machines(metal forming machinery)</t>
  </si>
  <si>
    <t>鍛造機械(金属加工用)</t>
  </si>
  <si>
    <t>Forging machines(metal forming machinery)</t>
  </si>
  <si>
    <t>ワイヤーフォーミングマシン(金属加工用)</t>
  </si>
  <si>
    <t>Wire forming machines(metal forming machinery)</t>
  </si>
  <si>
    <t>ダイカストマシン(鋳造用)</t>
  </si>
  <si>
    <t>Die casting machines(for foundry)</t>
  </si>
  <si>
    <t>鋳型機械(鋳造用)</t>
  </si>
  <si>
    <t>Moulding machines(for foundry)</t>
  </si>
  <si>
    <t>砂処理・製品処理機械及び装置(鋳造用)</t>
  </si>
  <si>
    <t>Sand preparing, cleaning machines and equipment(for foundry)</t>
  </si>
  <si>
    <t>精米麦機械</t>
  </si>
  <si>
    <t>Rice and wheat polishing machines</t>
  </si>
  <si>
    <t>製パン・製菓機械</t>
  </si>
  <si>
    <t>Baking and cake making machinery</t>
  </si>
  <si>
    <t>醸造用機械(酒類・しょう油・味噌用に限る)</t>
  </si>
  <si>
    <t>Fermented food and beverage products machinery(only for making alcoholic beverage, soy sauce and miso)</t>
  </si>
  <si>
    <t>牛乳加工・乳製品製造用機械</t>
  </si>
  <si>
    <t>Machinery for milk processing and dairy products manufacturing</t>
  </si>
  <si>
    <t>肉類・水産加工機械</t>
  </si>
  <si>
    <t>Meat and poultry and fishery processing machinery</t>
  </si>
  <si>
    <t>製袋充てん機</t>
  </si>
  <si>
    <t>Forming, filling and closing machines for flexible package</t>
  </si>
  <si>
    <t>容器成形充てん機</t>
  </si>
  <si>
    <t>Forming, filling and sealing machine for rigid package</t>
  </si>
  <si>
    <t>上包機(収縮包装機・ストレッチ包装機を含む)</t>
  </si>
  <si>
    <t>Wrapping machines</t>
  </si>
  <si>
    <t>びん詰機械(洗びん機・殺菌機等を含む)</t>
  </si>
  <si>
    <t>Bottling machinery</t>
  </si>
  <si>
    <t>その他の個装・内装機械</t>
  </si>
  <si>
    <t>Other consumer packaging machinery</t>
  </si>
  <si>
    <t>バンド掛け機</t>
  </si>
  <si>
    <t>Strapping machines</t>
  </si>
  <si>
    <t>ケース詰機</t>
  </si>
  <si>
    <t>Case forming machines</t>
  </si>
  <si>
    <t>その他の外装・荷造機械</t>
  </si>
  <si>
    <t>Other packing machinery</t>
  </si>
  <si>
    <t>複写機(ジアゾ式等を除く)(デジタル機)</t>
  </si>
  <si>
    <t>Copying machines(except diazo and other copying machines)(digital copying machines)</t>
  </si>
  <si>
    <t>複写機(ジアゾ式等を除く)(フルカラー機)</t>
  </si>
  <si>
    <t>Copying machines(except diazo and other copying machines)(full color copying machines)</t>
  </si>
  <si>
    <t>金銭登録機(システム式)(端末機としての機能を有するもの)</t>
  </si>
  <si>
    <t>Cash registers (system type)( one to have function as terminal unit)</t>
  </si>
  <si>
    <t>家庭用ミシン</t>
  </si>
  <si>
    <t>Household sewing machines</t>
  </si>
  <si>
    <t>工業用ミシン(一本針直線本縫)(織物縫用・ニット縫用に限る)</t>
  </si>
  <si>
    <t>Industrial sewing machines(single needle straight line stitch)(only for textile sewing and knittings sewing)</t>
  </si>
  <si>
    <t>工業用ミシン(ヘリ縫)(織物縫用・ニット縫用に限る)</t>
  </si>
  <si>
    <t>Industrial sewing machines(for top stitching)(only for textile sewing and knittings sewing)</t>
  </si>
  <si>
    <t>その他の工業用ミシン</t>
  </si>
  <si>
    <t>Other industrial sewing machines</t>
  </si>
  <si>
    <t>化学繊維機械</t>
  </si>
  <si>
    <t>Chemical fiber machinery</t>
  </si>
  <si>
    <t>紡績機械</t>
  </si>
  <si>
    <t>Spinning machinery</t>
  </si>
  <si>
    <t>準備機械(糸巻機・その他の準備機械)</t>
  </si>
  <si>
    <t>Preparatory machinery(winding machinery, other preparatory machinery)</t>
  </si>
  <si>
    <t>織機</t>
  </si>
  <si>
    <t>Looms</t>
  </si>
  <si>
    <t>編組機械</t>
  </si>
  <si>
    <t>Knitting machinery</t>
  </si>
  <si>
    <t>染色仕上機械</t>
  </si>
  <si>
    <t>Bleaching, dyeing, printing and finishing machinery</t>
  </si>
  <si>
    <t>その他の繊維機械</t>
  </si>
  <si>
    <t>Other textile machinery</t>
  </si>
  <si>
    <t>圧縮機一般冷凍空調用(０．４ｋＷ未満)(電動機付きを含む)</t>
  </si>
  <si>
    <t>Compressors for general refrigeration and air conditioning (less than 0.4kW)</t>
  </si>
  <si>
    <t>圧縮機一般冷凍空調用(０．４ｋＷ以上０．７５ｋＷ未満)(電動機付きを含む)</t>
  </si>
  <si>
    <t>Compressors for general refrigeration and air conditioning (greater than or equal to 0.4kW and less than 0.75kW)</t>
  </si>
  <si>
    <t>圧縮機一般冷凍空調用(０．７５ｋＷ以上７．５ｋＷ未満)(電動機付きを含む)</t>
  </si>
  <si>
    <t>Compressors for general refrigeration and air conditioning (greater than or equal to 0.75kW and less than 7.5kW)</t>
  </si>
  <si>
    <t>圧縮機一般冷凍空調用(７．５ｋＷ以上)(電動機付きを含む)</t>
  </si>
  <si>
    <t>Compressors for general refrigeration and air conditioning (greater than or equal to 7.5kW)</t>
  </si>
  <si>
    <t>圧縮機乗用車エアコン用(トラック用を含む)(電動機付きを含む)</t>
  </si>
  <si>
    <t>Compressors for automobile air conditioning (including for truck)</t>
  </si>
  <si>
    <t>遠心式冷凍機</t>
  </si>
  <si>
    <t>Centrifugal refrigerating machines</t>
  </si>
  <si>
    <t>吸収式冷凍機(冷温水機を含む)</t>
  </si>
  <si>
    <t>Absorption-type refrigeration machines</t>
  </si>
  <si>
    <t>コンデンシングユニット(７．５ｋＷ未満)</t>
  </si>
  <si>
    <t>Condensing units (less than  7.5kW)</t>
  </si>
  <si>
    <t>コンデンシングユニット(７．５ｋＷ以上)</t>
  </si>
  <si>
    <t>Condensing units (greater than or equal to 7.5kW)</t>
  </si>
  <si>
    <t>エアコンディショナ(セパレート形)(室外ユニット)４．０kW以下</t>
  </si>
  <si>
    <t>Air conditioners (split type)(outdoor unit)(less than or equal to 4.0kW)</t>
  </si>
  <si>
    <t>エアコンディショナ(セパレート形)(室外ユニット)４．０kW超７．１kW以下</t>
  </si>
  <si>
    <t>Air conditioners (split type)(outdoor unit)(greater than 4.0kW and less than or equal to 7.1kW)</t>
  </si>
  <si>
    <t>エアコンディショナ(セパレート形)(室外ユニット)７．１kW超</t>
  </si>
  <si>
    <t>Air conditioners (split type)(outdoor unit)(greater than 7.1kW)</t>
  </si>
  <si>
    <t>エアコンディショナ(セパレート形)(室内ユニット)４．０kW以下</t>
  </si>
  <si>
    <t>Air conditioners (split type)(indoor unit)(less than or equal to 4.0kW)</t>
  </si>
  <si>
    <t>エアコンディショナ(セパレート形)(室内ユニット)４．０kW超７．１kW以下</t>
  </si>
  <si>
    <t>Air conditioners (split type)(indoor unit)(greater than 4.0kW and less than or equal to 7.1kW)</t>
  </si>
  <si>
    <t>エアコンディショナ(セパレート形)(室内ユニット)７．１kW超</t>
  </si>
  <si>
    <t>Air conditioners (split type)(indoor unit)(greater than 7.1kW)</t>
  </si>
  <si>
    <t>エアコンディショナ(シングルパッケージ形)(リモートコンデンサ形を含む)</t>
  </si>
  <si>
    <t>Air conditioners (single packaged type)(including remote condenser type)</t>
  </si>
  <si>
    <t>エアコンディショナ(エンジンにより圧縮機を駆動)(室外ユニット)</t>
  </si>
  <si>
    <t>Air conditioner which drives a compressor by engine(outdoor unit)</t>
  </si>
  <si>
    <t>エアコンディショナ(エンジンにより圧縮機を駆動)(室内ユニット)</t>
  </si>
  <si>
    <t>Air conditioner which drives a compressor by engine(indoor unit)</t>
  </si>
  <si>
    <t>エアコンディショナ(乗用車用)(トラック用を含む)</t>
  </si>
  <si>
    <t>Air conditioners for automobiles (including  for trucks)</t>
  </si>
  <si>
    <t>エアコンディショナ(その他の輸送機械用)</t>
  </si>
  <si>
    <t>Air conditioners for another  transportations (train,bus,airplanes etc.)</t>
  </si>
  <si>
    <t>冷凍・冷蔵ショーケース(冷凍機内蔵形)</t>
  </si>
  <si>
    <t>Refrigeration display cases (selfcontained type )</t>
  </si>
  <si>
    <t>冷凍・冷蔵ショーケース(冷凍機別置形)</t>
  </si>
  <si>
    <t>Refrigeration display cases (remote condensing-unit type )</t>
  </si>
  <si>
    <t>フリーザ(業務用冷凍庫を含む)</t>
  </si>
  <si>
    <t>Freezers (including commercial refrigerators )</t>
  </si>
  <si>
    <t>除湿機</t>
  </si>
  <si>
    <t>Dehumidfiers</t>
  </si>
  <si>
    <t>製氷機</t>
  </si>
  <si>
    <t>Ice makers</t>
  </si>
  <si>
    <t>チリングユニット(ヒートポンプ式を含む)</t>
  </si>
  <si>
    <t>Chilling unit (including heat-pump type )</t>
  </si>
  <si>
    <t>冷凍・冷蔵ユニット(輸送機械用)</t>
  </si>
  <si>
    <t>Refrigerating (for transportation machines)</t>
  </si>
  <si>
    <t>その他の冷凍・冷蔵ユニット</t>
  </si>
  <si>
    <t>Other refrigerating unit</t>
  </si>
  <si>
    <t>ファンコイルユニット</t>
  </si>
  <si>
    <t>Room fan-coil units</t>
  </si>
  <si>
    <t>エアハンドリングユニット</t>
  </si>
  <si>
    <t>Air-handling units</t>
  </si>
  <si>
    <t>冷凍・空調用冷却塔</t>
  </si>
  <si>
    <t>Cooling towers for air conditioning and refrigeration</t>
  </si>
  <si>
    <t>自動販売機</t>
  </si>
  <si>
    <t>Vending machines</t>
  </si>
  <si>
    <t>自動改札機・自動入場機</t>
  </si>
  <si>
    <t>Automatic ticket wicket system</t>
  </si>
  <si>
    <t>業務用洗濯機</t>
  </si>
  <si>
    <t>Commercial type washing machines</t>
  </si>
  <si>
    <t>自動車用洗浄機器</t>
  </si>
  <si>
    <t>Cleaning equipment for automobiles</t>
  </si>
  <si>
    <t>ラジアル玉軸受(軸受ユニット用を除く)</t>
  </si>
  <si>
    <t>千個</t>
  </si>
  <si>
    <t>Radial ball bearings(except for bearing units)</t>
  </si>
  <si>
    <t>1000n</t>
  </si>
  <si>
    <t>その他の玉軸受(軸受ユニット用を除く)</t>
  </si>
  <si>
    <t>Other ball bearings(except for bearing units)</t>
  </si>
  <si>
    <t>円筒ころ軸受(軸受ユニット用を除く)</t>
  </si>
  <si>
    <t>Cylindrical roller bearings(except for bearing units)</t>
  </si>
  <si>
    <t>円錐ころ軸受(軸受ユニット用を除く)</t>
  </si>
  <si>
    <t>Tapered roller bearings(except for bearing units)</t>
  </si>
  <si>
    <t>球面ころ軸受(軸受ユニット用を除く)</t>
  </si>
  <si>
    <t>Spherical roller bearings(except for bearing units)</t>
  </si>
  <si>
    <t>針状ころ軸受(軸受ユニット用を除く)</t>
  </si>
  <si>
    <t>Needle roller bearings(except for bearing units)</t>
  </si>
  <si>
    <t>その他のころ軸受(軸受ユニット用を除く)</t>
  </si>
  <si>
    <t>Other roller bearings(except for bearing units)</t>
  </si>
  <si>
    <t>軸受ユニット</t>
  </si>
  <si>
    <t>Bearing units</t>
  </si>
  <si>
    <t>軸受メタル</t>
  </si>
  <si>
    <t>Bearing metals</t>
  </si>
  <si>
    <t>ブッシュ</t>
  </si>
  <si>
    <t>Bushings</t>
  </si>
  <si>
    <t>鉄骨</t>
  </si>
  <si>
    <t>Structural steel frames</t>
  </si>
  <si>
    <t>軽量鉄骨</t>
  </si>
  <si>
    <t>Light structural steel frames</t>
  </si>
  <si>
    <t>橋りょう(陸橋・水路橋・海洋橋等)</t>
  </si>
  <si>
    <t>Steel bridges (highway bridges, aqueduct bridges and other steel bridges)</t>
  </si>
  <si>
    <t>鉄塔(送配電用・通信用・照明用・広告用等)</t>
  </si>
  <si>
    <t>Steel towers (transmission, radio, lighting and advertising, etc)</t>
  </si>
  <si>
    <t>水門(水門巻上機を含む)</t>
  </si>
  <si>
    <t>Water gates (including water gate winches)</t>
  </si>
  <si>
    <t>鋼管(ベンディングロールで成型したものに限る)</t>
  </si>
  <si>
    <t>Steel pipes (only those formed by bending rollers)</t>
  </si>
  <si>
    <t>架線金物(送変電用)</t>
  </si>
  <si>
    <t>Transmission line hardware for transmission lines and substations</t>
  </si>
  <si>
    <t>架線金物(配電用)</t>
  </si>
  <si>
    <t>Transmission line hardware for distribution lines</t>
  </si>
  <si>
    <t>架線金物(通信線路用・電車線用)</t>
  </si>
  <si>
    <t>Transmission line hardware for communications, electric railways</t>
  </si>
  <si>
    <t>かさね板ばね</t>
  </si>
  <si>
    <t>Leaf springs</t>
  </si>
  <si>
    <t>つるまきばね</t>
  </si>
  <si>
    <t>Coil springs</t>
  </si>
  <si>
    <t>ねじり棒ばね</t>
  </si>
  <si>
    <t>Torsion bar springs</t>
  </si>
  <si>
    <t>線ばね(自動車用)(シート用ばねを除く)</t>
  </si>
  <si>
    <t>Wire springs for automobiles (except seat springs)</t>
  </si>
  <si>
    <t>その他の線ばね(機械用・シート用ばねを含む)</t>
  </si>
  <si>
    <t>Other wire springs (including for machinery, seat springs)</t>
  </si>
  <si>
    <t>うす板ばね</t>
  </si>
  <si>
    <t>Flat springs</t>
  </si>
  <si>
    <t>ばね座金</t>
  </si>
  <si>
    <t>Washer springs</t>
  </si>
  <si>
    <t>プレス用金型</t>
  </si>
  <si>
    <t>組</t>
  </si>
  <si>
    <t>Stamping die</t>
  </si>
  <si>
    <t>units</t>
  </si>
  <si>
    <t>鍛造用金型</t>
  </si>
  <si>
    <t>Forging die</t>
  </si>
  <si>
    <t>鋳造用金型</t>
  </si>
  <si>
    <t>Casting molds</t>
  </si>
  <si>
    <t>ダイカスト用金型</t>
  </si>
  <si>
    <t>Die casting die</t>
  </si>
  <si>
    <t>プラスチック用金型</t>
  </si>
  <si>
    <t>Plastic molds</t>
  </si>
  <si>
    <t>ガラス用金型</t>
  </si>
  <si>
    <t>Glass molds</t>
  </si>
  <si>
    <t>ゴム用金型</t>
  </si>
  <si>
    <t>Rubber molds</t>
  </si>
  <si>
    <t>粉末や金用金型</t>
  </si>
  <si>
    <t>Powdered metal molds</t>
  </si>
  <si>
    <t>ドリル(木工用を除く)(工具の材質は特殊鋼に限る)</t>
  </si>
  <si>
    <t>Drills (except for wood)</t>
  </si>
  <si>
    <t>ミーリングカッタ(工具の材質は特殊鋼に限る)</t>
  </si>
  <si>
    <t>Milling cutters</t>
  </si>
  <si>
    <t>ギヤーカッタ(ねじフライスを含む)(工具の材質は特殊鋼に限る)</t>
  </si>
  <si>
    <t>Gear cutters (including for thread milling cutters)</t>
  </si>
  <si>
    <t>ブローチ(工具の材質は特殊鋼に限る)</t>
  </si>
  <si>
    <t>Broaches</t>
  </si>
  <si>
    <t>タップ・ダイス(工具の材質は特殊鋼に限る)</t>
  </si>
  <si>
    <t>Taps and dies</t>
  </si>
  <si>
    <t>リーマ・バイト(工具の材質は特殊鋼に限る)</t>
  </si>
  <si>
    <t>Reamers and single point tools</t>
  </si>
  <si>
    <t>ダイヤモンドドレッサ</t>
  </si>
  <si>
    <t>Diamond dressers</t>
  </si>
  <si>
    <t>グライディングホイール(天然または人造ダイヤモンドを使用したもの)</t>
  </si>
  <si>
    <t>Grinding wheels</t>
  </si>
  <si>
    <t>カッティングソー(天然または人造ダイヤモンドを使用したもの)</t>
  </si>
  <si>
    <t>Cutting saws</t>
  </si>
  <si>
    <t>セグメント工具(天然または人造ダイヤモンドを使用したもの)</t>
  </si>
  <si>
    <t>Segments tools</t>
  </si>
  <si>
    <t>ダイヤモンド切削工具</t>
  </si>
  <si>
    <t>Diamond cutting tools</t>
  </si>
  <si>
    <t>その他のダイヤモンド工具</t>
  </si>
  <si>
    <t>Other diamond tools</t>
  </si>
  <si>
    <t>Ｃ(Ｗ)ＢＮ工具</t>
  </si>
  <si>
    <t>Cubic(wurtzite) boron nitride tools</t>
  </si>
  <si>
    <t>超硬バイト(自家使用を除く)</t>
  </si>
  <si>
    <t>Cemented single point tools</t>
  </si>
  <si>
    <t>超硬カッタ(自家使用を除く)</t>
  </si>
  <si>
    <t>Cemented milling cutter</t>
  </si>
  <si>
    <t>超硬ドリル(自家使用を除く)</t>
  </si>
  <si>
    <t>Cemented carbide drills</t>
  </si>
  <si>
    <t>超硬エンドミル(自家使用を除く)</t>
  </si>
  <si>
    <t>Cemented carbide endmill</t>
  </si>
  <si>
    <t>その他の超硬工具(自家使用を除く)</t>
  </si>
  <si>
    <t>Other cemented carbide tools</t>
  </si>
  <si>
    <t>超硬チップ(ボールペン用及びスパイク用を除く)</t>
  </si>
  <si>
    <t>Cemented carbide tips</t>
  </si>
  <si>
    <t>超硬サーメットチップ(ボールペン用及びスパイク用を除く)</t>
  </si>
  <si>
    <t>Cemented carbide cermet tips</t>
  </si>
  <si>
    <t>バルブ及びコック(一般用)(ステンレス鋼製のもの)(自動調整弁・高温高圧弁を除く)</t>
  </si>
  <si>
    <t>Valves and cocks(for general use)(made of stainless steel)(except automatic control valves, high-temperature and high-pressure valves)</t>
  </si>
  <si>
    <t>バルブ及びコック(一般用)(鋳鋼・鍛鋼製のもの)(自動調整弁・高温高圧弁を除く)</t>
  </si>
  <si>
    <t>Valves and cocks(for general use)(made of cast steel, forged steel)(except automatic control valves, high-temperature and high-pressure valves)</t>
  </si>
  <si>
    <t>バルブ及びコック(一般用)(鋳鉄製のもの)(自動調整弁を除く)</t>
  </si>
  <si>
    <t>Valves and cocks(for general use)(made of cast iron)(except automatic control valves)</t>
  </si>
  <si>
    <t>バルブ及びコック(一般用)(青銅・黄銅製のもの)(自動調整弁を除く)</t>
  </si>
  <si>
    <t>Valves and cocks(for general use)(made of bronze, brass)(except automatic control valves)</t>
  </si>
  <si>
    <t>高温高圧弁(自動調整弁を除き圧力6.5ＭＰａ以上で温度350℃以上のものに限る)</t>
  </si>
  <si>
    <t>High-temperature,high-pressure valves (greater than or equal to 350℃ and 6.5MPa, except automatic control valves)</t>
  </si>
  <si>
    <t>自動調整弁(自力式)(安全弁・スチームトラップ)</t>
  </si>
  <si>
    <t>Automatic control valves(self-contained)(safety valves, steam traps)</t>
  </si>
  <si>
    <t>自動調整弁(その他の自力式)</t>
  </si>
  <si>
    <t>Automatic control valves(other self-contained)</t>
  </si>
  <si>
    <t>自動調整弁(他力式)(電磁弁)</t>
  </si>
  <si>
    <t>Automatic control valves(power drive)(solenoid operated)</t>
  </si>
  <si>
    <t>自動調整弁(その他の他力式)</t>
  </si>
  <si>
    <t>Automatic control valves(other power drive)</t>
  </si>
  <si>
    <t>給水栓(便器洗浄弁・ボールタップ・排水用トラップを含む)</t>
  </si>
  <si>
    <t>Faucets (including flush valves, ball taps and traps)</t>
  </si>
  <si>
    <t>止水栓・分水栓</t>
  </si>
  <si>
    <t>Stop cocks, snap cocks</t>
  </si>
  <si>
    <t>管継手(可鍛鋳鉄製のもの)(フランジ形を含む)</t>
  </si>
  <si>
    <t>Pipe fittings (made of malleable iron castings)(including flange type)</t>
  </si>
  <si>
    <t>管継手(鋼管製のもの)(フランジ形を含む)</t>
  </si>
  <si>
    <t>Pipe fittings (made of steel pipes and tubes)(including flange type)</t>
  </si>
  <si>
    <t>管継手(非鉄金属製のもの)(フランジ形を含む)</t>
  </si>
  <si>
    <t>Pipe fittings (made of non-ferrous metals)(including flange type)</t>
  </si>
  <si>
    <t>空気動工具</t>
  </si>
  <si>
    <t>Pneumatic tools</t>
  </si>
  <si>
    <t>レンチ・スパナ</t>
  </si>
  <si>
    <t>Wrenches spanners</t>
  </si>
  <si>
    <t>プライヤ・ペンチ(ニッパー等を含む)</t>
  </si>
  <si>
    <t>Pliers cutting pliers (including cutting nippers)</t>
  </si>
  <si>
    <t>ドライバ(硬鋼線使用のものに限る)</t>
  </si>
  <si>
    <t>Screwdrivers (only those used hard drawn steel wires)</t>
  </si>
  <si>
    <t>その他の作業工具</t>
  </si>
  <si>
    <t>Other machinist hand tools</t>
  </si>
  <si>
    <t>のこ刃</t>
  </si>
  <si>
    <t>Saw blades</t>
  </si>
  <si>
    <t>鋼板せん断用刃物(シャーブレード)</t>
  </si>
  <si>
    <t>Shear blades</t>
  </si>
  <si>
    <t>合板機械用・木工機械用刃物</t>
  </si>
  <si>
    <t>Knives for veneer machinery for wood-working machinery</t>
  </si>
  <si>
    <t>その他の機械刃物</t>
  </si>
  <si>
    <t>Other knives for industry (machines)</t>
  </si>
  <si>
    <t>ガスこんろ(液化石油ガスこんろ、普通鋳物製七輪を除く)</t>
  </si>
  <si>
    <t>Gas cooking appliances(except gas cartridge stoves and portable metal casting cooking stoves)</t>
  </si>
  <si>
    <t>ガス湯沸器(瞬間形)(元止式(給湯配管の出来ないもの))</t>
  </si>
  <si>
    <t>Gas-fired water heaters(instantaneous type)(main stop system)</t>
  </si>
  <si>
    <t>ガス湯沸器(瞬間形)(先止式(給湯配管の出来るもの))・(貯湯形)</t>
  </si>
  <si>
    <t>Gas-fired water heaters(instantaneous type)(end stop system),(storage type)</t>
  </si>
  <si>
    <t>ガス温水給湯暖房機</t>
  </si>
  <si>
    <t>Gas-fired water heaters and space heaters</t>
  </si>
  <si>
    <t>ガス風呂がま(バーナー付の一体のものを含む)</t>
  </si>
  <si>
    <t>Gas bath boilers(including gas bath boilers with burners)</t>
  </si>
  <si>
    <t>ガス温風暖房機(暖房方式が強制対流のもの)・ガスストーブ(排気筒のないもの)</t>
  </si>
  <si>
    <t>Gas heaters(with circulating fan) and gas space heaters(without exhaust pipes)</t>
  </si>
  <si>
    <t>石油ストーブ(しん式(排気筒のないもの))</t>
  </si>
  <si>
    <t>Oil-burning space heaters (wick type(without exhaust pipes))</t>
  </si>
  <si>
    <t>石油ストーブ(気化式(排気筒のないもの))</t>
  </si>
  <si>
    <t>Oil-burning space heaters (vaporizing type(without exhaust pipes))</t>
  </si>
  <si>
    <t>石油温風暖房機(強制給排気・排気式)</t>
  </si>
  <si>
    <t>Oil-burning warm air furnaces (forced intake, exhaust type)</t>
  </si>
  <si>
    <t>石油小形給湯機(急速加熱方式で熱交換機容量３０ｌ以下のもの)</t>
  </si>
  <si>
    <t>Oil-burning water heaters for residential use</t>
  </si>
  <si>
    <t>石油温水給湯機(「石油小形給湯機」以外の暖房・給湯に用いる石油温水小形ボイラ)</t>
  </si>
  <si>
    <t>Oil-burning water heaters(except for residential use)</t>
  </si>
  <si>
    <t>太陽熱温水器</t>
  </si>
  <si>
    <t>Solar water heaters</t>
  </si>
  <si>
    <t>直流機(一般用・車両用)</t>
  </si>
  <si>
    <t>Direct current machineries for general machinery and vehicles</t>
  </si>
  <si>
    <t>蒸気タービン発電機(一般用)</t>
  </si>
  <si>
    <t>Steam turbine generators for general use</t>
  </si>
  <si>
    <t>kVA</t>
  </si>
  <si>
    <t>ガスタービン発電機(一般用)</t>
  </si>
  <si>
    <t>Gas turbine generators for general use</t>
  </si>
  <si>
    <t>エンジン発電機(一般用)(３ｋＶＡ以下)</t>
  </si>
  <si>
    <t>Engine generators for general use(less than or equal to 3kVA)</t>
  </si>
  <si>
    <t>エンジン発電機(一般用)(３ｋＶＡ超１０ｋＶＡ以下)</t>
  </si>
  <si>
    <t>Engine generators for general use(greater than 3kVA less than or equaｌ to 10kVA)</t>
  </si>
  <si>
    <t>エンジン発電機(一般用)(１０ｋＶＡ超２００ｋＶＡ以下)</t>
  </si>
  <si>
    <t>Engine generators for general use(greater than 10kVA less than or equal to 200kVA)</t>
  </si>
  <si>
    <t>エンジン発電機(一般用)(２００ｋＶＡ超)</t>
  </si>
  <si>
    <t>Engine generators for general use(greater than 200kVA)</t>
  </si>
  <si>
    <t>水車及びその他の交流発電機</t>
  </si>
  <si>
    <t>Hydro generators and Other alternative current generators</t>
  </si>
  <si>
    <t>単相誘導電動機(非標準は７０Ｗ以上のもの)</t>
  </si>
  <si>
    <t>Single phase induction motors(phase induction motors for individual purpose is greater than or equal to 70W)</t>
  </si>
  <si>
    <t>標準三相誘導電動機</t>
  </si>
  <si>
    <t>Three phase induction motors for general use</t>
  </si>
  <si>
    <t>非標準三相誘導電動機(70W以上１１ｋＷ以下のもの)</t>
  </si>
  <si>
    <t>Three phase induction motors for individual purpose(greater than or equal to 70W and less than or equal to 11kW)</t>
  </si>
  <si>
    <t>非標準三相誘導電動機(１１ｋＷ超３７ｋＷ以下)</t>
  </si>
  <si>
    <t>Three phase induction motors for individual purpose(greater than 11kW less than or equal to 37kW)</t>
  </si>
  <si>
    <t>非標準三相誘導電動機(３７ｋＷ超７５ｋＷ以下)</t>
  </si>
  <si>
    <t>Three phase induction motors for individual purpose(greater than 37kW less than or equal to 75kW)</t>
  </si>
  <si>
    <t>非標準三相誘導電動機(７５ｋＷ超１０００ｋＷ以下)</t>
  </si>
  <si>
    <t>Three phase induction motors for individual purpose(greater than 75kW less than or equal to 1,000kW)</t>
  </si>
  <si>
    <t>非標準三相誘導電動機(１０００ｋＷをこえるもの)</t>
  </si>
  <si>
    <t>Three phase induction motors for individual purpose(greater than 1,000kW)</t>
  </si>
  <si>
    <t>ＰＭモータ(自動車用)(７０W以上)</t>
  </si>
  <si>
    <t>Permanent magnet synchronous motors for automobiles(greater than or equal to 70W)</t>
  </si>
  <si>
    <t>その他のＰＭモータ(７０W以上 )</t>
  </si>
  <si>
    <t>Other permanent magnet synchronous motors(greater than or equal to 70W)</t>
  </si>
  <si>
    <t>その他の交流電動機(７０Ｗ以上)</t>
  </si>
  <si>
    <t>Other AC motors (greater than or equal to 70W)</t>
  </si>
  <si>
    <t>サーボモータ</t>
  </si>
  <si>
    <t>Servo motors</t>
  </si>
  <si>
    <t>小形直流電動機(７０Ｗ未満)</t>
  </si>
  <si>
    <t>Small capacity DC motors (less than 70W)</t>
  </si>
  <si>
    <t>小形交流電動機(７０Ｗ未満)</t>
  </si>
  <si>
    <t>Small capacity AC motors (less than 70W)</t>
  </si>
  <si>
    <t>ステッピングモータ(７０Ｗ未満)</t>
  </si>
  <si>
    <t>Stepping motors(less than 70W)</t>
  </si>
  <si>
    <t>その他の小形電動機(７０Ｗ未満)</t>
  </si>
  <si>
    <t>Other small capacity motors (less than 70W)</t>
  </si>
  <si>
    <t>超小形電動機(入力３Ｗ以下のもの)</t>
  </si>
  <si>
    <t>Micro motors(less than or equal to 3W)</t>
  </si>
  <si>
    <t>電気ホイスト</t>
  </si>
  <si>
    <t>Electric hoists</t>
  </si>
  <si>
    <t>電気ブロワ</t>
  </si>
  <si>
    <t>Electric blowers</t>
  </si>
  <si>
    <t>電気グラインダ</t>
  </si>
  <si>
    <t>Electric grinders</t>
  </si>
  <si>
    <t>電気ドリル</t>
  </si>
  <si>
    <t>Electric drills</t>
  </si>
  <si>
    <t>電池式ドリル及びドライバ</t>
  </si>
  <si>
    <t>Drills and drivers (battery use)</t>
  </si>
  <si>
    <t>電気のこぎり</t>
  </si>
  <si>
    <t>Electric saws</t>
  </si>
  <si>
    <t>その他の電動工具</t>
  </si>
  <si>
    <t>Other electric tools</t>
  </si>
  <si>
    <t>変圧器(標準)(油入り)(電力会社向)</t>
  </si>
  <si>
    <t>Oil immersed power distribution transformers for electric companies</t>
  </si>
  <si>
    <t>変圧器(標準)(油入り)(電力会社向以外)</t>
  </si>
  <si>
    <t>Oil immersed power distribution transformers for others</t>
  </si>
  <si>
    <t>変圧器(標準)(モールド変圧器)</t>
  </si>
  <si>
    <t>Mold type power distribution transformers</t>
  </si>
  <si>
    <t>変圧器(非標準)(油入)(２０００ｋＶＡ以下)</t>
  </si>
  <si>
    <t>Oil immersed power transformers( less than or equal to 2,000kVA)</t>
  </si>
  <si>
    <t>変圧器(非標準)(油入)(２００１ｋＶＡ以上１００００ｋＶＡ未満)</t>
  </si>
  <si>
    <t>Oil immersed power transformers(greater than or equal to 2,001kVA and less than 10,000kVA)</t>
  </si>
  <si>
    <t>変圧器(非標準)(油入)(１００００ｋＶＡ以上１０００００ｋＶＡ未満)</t>
  </si>
  <si>
    <t>Oil immersed power transformers(greater than or equal to 10,000kVA and less than 100,000kVA)</t>
  </si>
  <si>
    <t>変圧器(非標準)(油入)(１０００００ｋＶＡ以上)</t>
  </si>
  <si>
    <t>Oil immersed power transformers(greater than or equal to 100,000kVA)</t>
  </si>
  <si>
    <t>変圧器(非標準)(モールド変圧器)(２０００ｋＶＡ以下)</t>
  </si>
  <si>
    <t>Mold type power transformers(less than or equal to 2,000kVA)</t>
  </si>
  <si>
    <t>変圧器(非標準)(モールド変圧器)(２００１ｋＶＡ以上)</t>
  </si>
  <si>
    <t>Mold type power transformers(greater than or equal to 2,001kVA)</t>
  </si>
  <si>
    <t>その他の乾式変圧器(非標準)</t>
  </si>
  <si>
    <t>Other non-oil immersed power transformers</t>
  </si>
  <si>
    <t>特殊用途変圧器</t>
  </si>
  <si>
    <t>Transformers for special purpose</t>
  </si>
  <si>
    <t>計器用変成器</t>
  </si>
  <si>
    <t>Transformers for meter</t>
  </si>
  <si>
    <t>無停電電源装置</t>
  </si>
  <si>
    <t>Uninterruptible power supply</t>
  </si>
  <si>
    <t>系統用・その他の一般負荷用電力変換装置</t>
  </si>
  <si>
    <t>Power conversion equipment for the system and for other general load</t>
  </si>
  <si>
    <t>インバータ(はん用)</t>
  </si>
  <si>
    <t>Inverters for general purpose</t>
  </si>
  <si>
    <t>その他のインバータ</t>
  </si>
  <si>
    <t>Other inverters</t>
  </si>
  <si>
    <t>サーボアンプ</t>
  </si>
  <si>
    <t>Servo amplifier</t>
  </si>
  <si>
    <t>その他の電動機駆動用変換装置</t>
  </si>
  <si>
    <t>Other converter for the motor drive</t>
  </si>
  <si>
    <t>コンデンサ(特別高圧・高圧電力用)</t>
  </si>
  <si>
    <t>Condenser for the special and high-pressure high tension power</t>
  </si>
  <si>
    <t>コンデンサ(低圧電力・機器用)</t>
  </si>
  <si>
    <t>Condenser for low voltage electric power and capacitors for electrical appliance</t>
  </si>
  <si>
    <t>避雷装置</t>
  </si>
  <si>
    <t>Arresting equipment</t>
  </si>
  <si>
    <t>リアクトル</t>
  </si>
  <si>
    <t>Reactors</t>
  </si>
  <si>
    <t>電気炉</t>
  </si>
  <si>
    <t>Electric furnaces</t>
  </si>
  <si>
    <t>自動アーク溶接機(標準)</t>
  </si>
  <si>
    <t>Standard automatic arc welders</t>
  </si>
  <si>
    <t>その他のアーク溶接機</t>
  </si>
  <si>
    <t>Other arc welders</t>
  </si>
  <si>
    <t>抵抗溶接機</t>
  </si>
  <si>
    <t>Resistance electric welders</t>
  </si>
  <si>
    <t>密閉形ガス絶縁開閉装置</t>
  </si>
  <si>
    <t>Gas insulated switchgears</t>
  </si>
  <si>
    <t>特別高圧・高圧配電盤</t>
  </si>
  <si>
    <t>面</t>
  </si>
  <si>
    <t>Switch boards for extra high and high voltage</t>
  </si>
  <si>
    <t>低圧配電盤</t>
  </si>
  <si>
    <t>Switch boards for low voltage</t>
  </si>
  <si>
    <t>産業用分電盤</t>
  </si>
  <si>
    <t>Low voltage panel boards for industrial use</t>
  </si>
  <si>
    <t>住宅用分電盤</t>
  </si>
  <si>
    <t>Low voltage panel boards for household use</t>
  </si>
  <si>
    <t>監視制御装置</t>
  </si>
  <si>
    <t>Supervisory and control equipment</t>
  </si>
  <si>
    <t>その他の開閉制御装置</t>
  </si>
  <si>
    <t>Other switchgears and controlling equipment</t>
  </si>
  <si>
    <t>保護継電器</t>
  </si>
  <si>
    <t>Protective relays</t>
  </si>
  <si>
    <t>電磁開閉器</t>
  </si>
  <si>
    <t>Electromagnetic starters</t>
  </si>
  <si>
    <t>電磁リレー</t>
  </si>
  <si>
    <t>Electromagnetic relays</t>
  </si>
  <si>
    <t>その他の制御リレー</t>
  </si>
  <si>
    <t>Other controlling relays</t>
  </si>
  <si>
    <t>プログラマブルコントローラ(１２８点未満)</t>
  </si>
  <si>
    <t>Programmable controllers (less than 128 point)</t>
  </si>
  <si>
    <t>プログラマブルコントローラ(１２８点以上)</t>
  </si>
  <si>
    <t>Programmable controllers(greater than or equal to 128 point)</t>
  </si>
  <si>
    <t>操作スイッチ</t>
  </si>
  <si>
    <t>Operating switches</t>
  </si>
  <si>
    <t>検出スイッチ</t>
  </si>
  <si>
    <t>Detecting switches</t>
  </si>
  <si>
    <t>マイクロスイッチ</t>
  </si>
  <si>
    <t>Micro-switches</t>
  </si>
  <si>
    <t>その他の低圧器具</t>
  </si>
  <si>
    <t>Other low voltage equipment</t>
  </si>
  <si>
    <t>高圧開閉器</t>
  </si>
  <si>
    <t>High voltage switches</t>
  </si>
  <si>
    <t>配線用遮断器</t>
  </si>
  <si>
    <t>Molded case circuit breakers</t>
  </si>
  <si>
    <t>漏電遮断器</t>
  </si>
  <si>
    <t>Residual current operated circuit breakers</t>
  </si>
  <si>
    <t>安全ブレーカ</t>
  </si>
  <si>
    <t>Safety breakers</t>
  </si>
  <si>
    <t>機器保護用及びその他の遮断器</t>
  </si>
  <si>
    <t>Circuit breakers for equipment and other circuit breakers</t>
  </si>
  <si>
    <t>真空遮断器</t>
  </si>
  <si>
    <t>Vacuum type circuit breakers</t>
  </si>
  <si>
    <t>ガス遮断器</t>
  </si>
  <si>
    <t>Gas type circuit breakers</t>
  </si>
  <si>
    <t>その他の高圧遮断器</t>
  </si>
  <si>
    <t>Other high-voltage circuit breakers</t>
  </si>
  <si>
    <t>電磁クラッチ</t>
  </si>
  <si>
    <t>Electromagnetic clutches</t>
  </si>
  <si>
    <t>電気がま</t>
  </si>
  <si>
    <t>Electric rice cookers</t>
  </si>
  <si>
    <t>食器洗い乾燥機</t>
  </si>
  <si>
    <t>Automatic dish washers and driers</t>
  </si>
  <si>
    <t>電気冷蔵庫</t>
  </si>
  <si>
    <t>Electric refrigerators</t>
  </si>
  <si>
    <t>クッキングヒーター</t>
  </si>
  <si>
    <t>Electric cooktops</t>
  </si>
  <si>
    <t>換気扇</t>
  </si>
  <si>
    <t>Ventilating fans</t>
  </si>
  <si>
    <t>電気温水器</t>
  </si>
  <si>
    <t>Electric storage tank water heaters</t>
  </si>
  <si>
    <t>自然冷媒ヒートポンプ式給湯機</t>
  </si>
  <si>
    <t>Natural coolant heat pump formula hot-water supply machine</t>
  </si>
  <si>
    <t>家庭用電気井戸ポンプ</t>
  </si>
  <si>
    <t>Electric well pumps for consumer</t>
  </si>
  <si>
    <t>電気洗濯機（洗濯乾燥機含む)</t>
  </si>
  <si>
    <t>Electric washing machines (including Automatic clothes washer and drier)</t>
  </si>
  <si>
    <t>電気掃除機</t>
  </si>
  <si>
    <t>Electric vacuum cleaners</t>
  </si>
  <si>
    <t>温水洗浄便座</t>
  </si>
  <si>
    <t>Electric toilet seats</t>
  </si>
  <si>
    <t>電気かみそり</t>
  </si>
  <si>
    <t>Electric shavers</t>
  </si>
  <si>
    <t>電気マッサージ器具</t>
  </si>
  <si>
    <t>Electric massagers</t>
  </si>
  <si>
    <t>自動車用電球</t>
  </si>
  <si>
    <t>Incandescent lamps(automotive lamps)</t>
  </si>
  <si>
    <t>ハロゲン電球</t>
  </si>
  <si>
    <t>Incandescent lamps(tungsten halogen lamps)</t>
  </si>
  <si>
    <t>その他の白熱電球</t>
  </si>
  <si>
    <t>Other incandescent lamps</t>
  </si>
  <si>
    <t>蛍光ランプ(直管形の２０Ｗ)</t>
  </si>
  <si>
    <t>Fluorescent lamps(straight type 20W)</t>
  </si>
  <si>
    <t>蛍光ランプ(直管形の４０Ｗ)</t>
  </si>
  <si>
    <t>Fluorescent lamps(straight type 40W)</t>
  </si>
  <si>
    <t>その他の蛍光ランプ</t>
  </si>
  <si>
    <t>Other fluorescent lamps</t>
  </si>
  <si>
    <t>ＨＩＤランプ</t>
  </si>
  <si>
    <t>High intensity discharge lamps</t>
  </si>
  <si>
    <t>その他の放電ランプ</t>
  </si>
  <si>
    <t>Other discharge lamps</t>
  </si>
  <si>
    <t>ＬＥＤランプ(電球形)(直管を除く)</t>
  </si>
  <si>
    <t>Light emitting diode lamps (bulb type) (except straight type)</t>
  </si>
  <si>
    <t>ＬＥＤランプ(直管)</t>
  </si>
  <si>
    <t>Light emitting diode lamps (straight type)</t>
  </si>
  <si>
    <t>配線器具(接続器)(自己消費を除く)</t>
  </si>
  <si>
    <t>Connectors (except self-consumption)</t>
  </si>
  <si>
    <t>その他の配線器具(自己消費を除く)</t>
  </si>
  <si>
    <t>Other wiring devices (except self-consumption)</t>
  </si>
  <si>
    <t>白熱灯器具</t>
  </si>
  <si>
    <t>Incandescent luminaires</t>
  </si>
  <si>
    <t>蛍光灯器具(直管又は環形管を使用するもの)</t>
  </si>
  <si>
    <t>Fluorescent luminaires(using straight type or circular type)</t>
  </si>
  <si>
    <t>高圧放電灯器具</t>
  </si>
  <si>
    <t>High pressure discharge luminaires</t>
  </si>
  <si>
    <t>ＬＥＤ器具（自動車用を除く）</t>
  </si>
  <si>
    <t>Light emitting diode luminaires (except for automobiles)</t>
  </si>
  <si>
    <t>自動車用電気照明器具(二輪自動車用を含む)</t>
  </si>
  <si>
    <t>Electric luminaires for automobiles(including for motor cycles)</t>
  </si>
  <si>
    <t>電話機(固定式)</t>
  </si>
  <si>
    <t>Telephone sets (fixed phone)</t>
  </si>
  <si>
    <t>ボタン電話装置</t>
  </si>
  <si>
    <t>Key system telephone equipment</t>
  </si>
  <si>
    <t>インターホン</t>
  </si>
  <si>
    <t>Interphone</t>
  </si>
  <si>
    <t>電子交換機</t>
  </si>
  <si>
    <t>Electronic switching system</t>
  </si>
  <si>
    <t>その他の交換機・付属装置</t>
  </si>
  <si>
    <t>Other switching equipment and auxiliaries</t>
  </si>
  <si>
    <t>デジタル伝送装置</t>
  </si>
  <si>
    <t>Digital transmission equipment</t>
  </si>
  <si>
    <t>その他の搬送装置・付属装置（変復調装置を含む）</t>
  </si>
  <si>
    <t>Other carrier transmission equipment(including modems)</t>
  </si>
  <si>
    <t>放送装置</t>
  </si>
  <si>
    <t>Broadcasting equipment</t>
  </si>
  <si>
    <t>固定通信装置（衛星・地上系）</t>
  </si>
  <si>
    <t>Fixed communication equipment( ground based equipment)( satellite equipment)</t>
  </si>
  <si>
    <t>携帯電話</t>
  </si>
  <si>
    <t>Landing radio communication equipment, cellular telephone</t>
  </si>
  <si>
    <t>その他の陸上移動通信装置</t>
  </si>
  <si>
    <t>Other radio communication equipment for mobile station</t>
  </si>
  <si>
    <t>海上・航空移動通信装置</t>
  </si>
  <si>
    <t>Marine and aeronautical radio communication equipment</t>
  </si>
  <si>
    <t>基地局通信装置</t>
  </si>
  <si>
    <t>Basic exchange for mobile customer premises</t>
  </si>
  <si>
    <t>その他の無線通信装置</t>
  </si>
  <si>
    <t>Other radio communication equipment</t>
  </si>
  <si>
    <t>レーダ装置</t>
  </si>
  <si>
    <t>Radar equipment</t>
  </si>
  <si>
    <t>無線位置測定装置</t>
  </si>
  <si>
    <t>Maker radio measuring equipment</t>
  </si>
  <si>
    <t>テレメータ・テレコントロール</t>
  </si>
  <si>
    <t>Telemeter,telecontrol</t>
  </si>
  <si>
    <t>その他の無線応用装置</t>
  </si>
  <si>
    <t>Other associated radio equipment</t>
  </si>
  <si>
    <t>ネットワーク接続機器</t>
  </si>
  <si>
    <t>Network access equipment</t>
  </si>
  <si>
    <t>薄型テレビ</t>
  </si>
  <si>
    <t>Flat panel television</t>
  </si>
  <si>
    <t>デジタルカメラ( 一眼レフタイプ)(レンズ交換式)</t>
  </si>
  <si>
    <t>Digital still camera, single lens reflex type (lens exchange type)</t>
  </si>
  <si>
    <t>デジタルカメラ(コンパクトタイプ)</t>
  </si>
  <si>
    <t>Digital still camera, compact type</t>
  </si>
  <si>
    <t>カーオーディオ</t>
  </si>
  <si>
    <t>Car audio</t>
  </si>
  <si>
    <t>カーナビゲーションシステム</t>
  </si>
  <si>
    <t>Car navigation system</t>
  </si>
  <si>
    <t>補聴器</t>
  </si>
  <si>
    <t>Hearing aid</t>
  </si>
  <si>
    <t>炭素系可変抵抗器(半固定を除く)</t>
  </si>
  <si>
    <t>Carbon composition potentiometers (except trimmer potentiometers)</t>
  </si>
  <si>
    <t>その他の可変抵抗器</t>
  </si>
  <si>
    <t>Other potentiometers</t>
  </si>
  <si>
    <t>ネットワーク抵抗器(固定)</t>
  </si>
  <si>
    <t>Networks resistors</t>
  </si>
  <si>
    <t>チップ抵抗器(固定)</t>
  </si>
  <si>
    <t>Chip resistors</t>
  </si>
  <si>
    <t>その他の固定抵抗器</t>
  </si>
  <si>
    <t>Other fixed resistors</t>
  </si>
  <si>
    <t>アルミ電解コンデンサ</t>
  </si>
  <si>
    <t>Aluminum electrolytic capacitors</t>
  </si>
  <si>
    <t>タンタル電解コンデンサ</t>
  </si>
  <si>
    <t>Tantalum electrolytic capacitors</t>
  </si>
  <si>
    <t>セラミックコンデンサ</t>
  </si>
  <si>
    <t>Ceramic capacitors</t>
  </si>
  <si>
    <t>金属化有機フィルムコンデンサ</t>
  </si>
  <si>
    <t>Metallized plastic film capacitors</t>
  </si>
  <si>
    <t>その他の固定コンデンサ</t>
  </si>
  <si>
    <t>Other fixed capacitors</t>
  </si>
  <si>
    <t>トランス(電子部品)</t>
  </si>
  <si>
    <t>Transformers(parts of electronic equipment)</t>
  </si>
  <si>
    <t>インダクタ(コイルを含む)(電子部品)</t>
  </si>
  <si>
    <t>Inductors(including coils)(parts of electronic equipment)</t>
  </si>
  <si>
    <t>水晶振動子(電子部品)</t>
  </si>
  <si>
    <t>Quartz crystal units(parts of electronic equipment)</t>
  </si>
  <si>
    <t>フィルタ(電子部品)</t>
  </si>
  <si>
    <t>Filters(parts of electronic equipment)</t>
  </si>
  <si>
    <t>複合部品(電子部品)</t>
  </si>
  <si>
    <t>Multiple components(parts of electronic equipment)</t>
  </si>
  <si>
    <t>スイッチ(通信・電子装置用に限る)</t>
  </si>
  <si>
    <t>Switches(only for communication and electronic equipment)</t>
  </si>
  <si>
    <t>同軸コネクタ</t>
  </si>
  <si>
    <t>Coaxial connectors</t>
  </si>
  <si>
    <t>プリント基板用コネクタ</t>
  </si>
  <si>
    <t>Printed wiring board connectors</t>
  </si>
  <si>
    <t>丸形コネクタ</t>
  </si>
  <si>
    <t>Circular connectors</t>
  </si>
  <si>
    <t>角形コネクタ</t>
  </si>
  <si>
    <t>Square connectors</t>
  </si>
  <si>
    <t>その他のコネクタ</t>
  </si>
  <si>
    <t>Other connectors</t>
  </si>
  <si>
    <t>リレー(有線通信機器用に限る)</t>
  </si>
  <si>
    <t>Relays(only for communication, electronic equipment)</t>
  </si>
  <si>
    <t>リジッド片面プリント配線板</t>
  </si>
  <si>
    <t>㎡</t>
  </si>
  <si>
    <t>Single-sided printed wiring boards</t>
  </si>
  <si>
    <t>リジッド両面プリント配線板</t>
  </si>
  <si>
    <t>Double-sided printed wiring boards</t>
  </si>
  <si>
    <t>リジッド多層プリント配線板(４層)</t>
  </si>
  <si>
    <t>Multi layer printed wiring boards(4layers)</t>
  </si>
  <si>
    <t>リジッド多層プリント配線板(６～８層)</t>
  </si>
  <si>
    <t>Multi layer printed wiring boards(6 and 8layers)</t>
  </si>
  <si>
    <t>リジッド多層プリント配線板(１０層以上)</t>
  </si>
  <si>
    <t>Multi layer printed wiring boards(greater than or equal to 10layers)</t>
  </si>
  <si>
    <t>リジッドビルドアップ多層プリント配線板</t>
  </si>
  <si>
    <t>Build-up multi layer printed wiring boards</t>
  </si>
  <si>
    <t>フレキシブル片面プリント配線板</t>
  </si>
  <si>
    <t>Single-sided flexible printed wiring boards</t>
  </si>
  <si>
    <t>フレキシブル両面・多層プリント配線板</t>
  </si>
  <si>
    <t>Double-sided or multilayer flexible printed wiring boards</t>
  </si>
  <si>
    <t>リジッド系モジュール基板</t>
  </si>
  <si>
    <t>Rigid-system module boards</t>
  </si>
  <si>
    <t>その他のモジュール基板</t>
  </si>
  <si>
    <t>Other module boards</t>
  </si>
  <si>
    <t>プリント配線実装基板</t>
  </si>
  <si>
    <t>Printed wiring jisso boards</t>
  </si>
  <si>
    <t>モジュール実装基板</t>
  </si>
  <si>
    <t>Module jisso boards</t>
  </si>
  <si>
    <t>音響部品(スピーカ・マイクロホン)</t>
  </si>
  <si>
    <t>Electroacoustics transducers (loudspeakers, microphones)</t>
  </si>
  <si>
    <t>メモリ部品（磁気テープ・光ディスク）</t>
  </si>
  <si>
    <t>Memorizing components(magnetic tapes and optical disks)</t>
  </si>
  <si>
    <t>スイッチング電源</t>
  </si>
  <si>
    <t>千台</t>
  </si>
  <si>
    <t>Switching power supply units</t>
  </si>
  <si>
    <t>マイクロ波管</t>
  </si>
  <si>
    <t>Microwave tubes</t>
  </si>
  <si>
    <t>Ｘ線管</t>
  </si>
  <si>
    <t>X-ray tubes</t>
  </si>
  <si>
    <t>その他の電子管</t>
  </si>
  <si>
    <t>Other electronic tubes</t>
  </si>
  <si>
    <t>シリコンダイオード</t>
  </si>
  <si>
    <t>Silicon diodes</t>
  </si>
  <si>
    <t>整流素子(１００ｍＡ以上)</t>
  </si>
  <si>
    <t>Rectifiers devices (greater than or equal to 100mA )</t>
  </si>
  <si>
    <t>シリコントランジスタ(１Ｗ未満)</t>
  </si>
  <si>
    <t>Silicon transistors (less than 1W)</t>
  </si>
  <si>
    <t>シリコントランジスタ(１Ｗ以上)</t>
  </si>
  <si>
    <t>Silicon transistors (greater than or equal to 1W )</t>
  </si>
  <si>
    <t>電界効果型トランジスタ</t>
  </si>
  <si>
    <t>Field effect transistors</t>
  </si>
  <si>
    <t>ＩＧＢＴ</t>
  </si>
  <si>
    <t>IGBT(insulated gate bipolar transistors)</t>
  </si>
  <si>
    <t>サーミスタ(半導体素子)</t>
  </si>
  <si>
    <t>Thermistors</t>
  </si>
  <si>
    <t>バリスタ(半導体素子)</t>
  </si>
  <si>
    <t>Varistors</t>
  </si>
  <si>
    <t>サイリスタ(半導体素子)</t>
  </si>
  <si>
    <t>Thyristors</t>
  </si>
  <si>
    <t>発光ダイオード</t>
  </si>
  <si>
    <t>Light emitting diodes</t>
  </si>
  <si>
    <t>レーザダイオード</t>
  </si>
  <si>
    <t>Laser diodes</t>
  </si>
  <si>
    <t>カプラ・インタラプタ</t>
  </si>
  <si>
    <t>Photo couplers and photo interrupters</t>
  </si>
  <si>
    <t>太陽電池セル</t>
  </si>
  <si>
    <t>Photovoltaic cells</t>
  </si>
  <si>
    <t>その他の光電変換素子</t>
  </si>
  <si>
    <t>Other opto electronic devices</t>
  </si>
  <si>
    <t>その他の半導体素子</t>
  </si>
  <si>
    <t>Other semiconductor devices</t>
  </si>
  <si>
    <t>標準線形回路</t>
  </si>
  <si>
    <t>Standard linear ICs</t>
  </si>
  <si>
    <t>非標準線形回路(産業用機器向)</t>
  </si>
  <si>
    <t>Non standard linear ICs (for industrial products)</t>
  </si>
  <si>
    <t>非標準線形回路(民生用機器向)</t>
  </si>
  <si>
    <t>Non standard linear ICs (for consumer products)</t>
  </si>
  <si>
    <t>バイポーラ型半導体集積回路</t>
  </si>
  <si>
    <t>Bipolar ICs</t>
  </si>
  <si>
    <t>モス型マイクロコンピュータ(ＭＰＵ)</t>
  </si>
  <si>
    <t>Micro processing units</t>
  </si>
  <si>
    <t>モス型マイクロコンピュータ(ＭＣＵ)</t>
  </si>
  <si>
    <t>Micro controller units</t>
  </si>
  <si>
    <t>モス型標準ロジック</t>
  </si>
  <si>
    <t>Standard logic ICs</t>
  </si>
  <si>
    <t>モス型セミカスタム</t>
  </si>
  <si>
    <t>Semicustom ICs</t>
  </si>
  <si>
    <t>モス型ディスプレイドライバ</t>
  </si>
  <si>
    <t>Display driver ICs</t>
  </si>
  <si>
    <t>モス型その他ロジック</t>
  </si>
  <si>
    <t>Other logic ICs</t>
  </si>
  <si>
    <t>Other logic Ics</t>
  </si>
  <si>
    <t>モス型メモリ</t>
  </si>
  <si>
    <t>Memory ICs</t>
  </si>
  <si>
    <t>その他のモス型（ＣＣＤを含む）</t>
  </si>
  <si>
    <t>Miscellaneous MOS ICs(including charge coupled devices)</t>
  </si>
  <si>
    <t>混成集積回路</t>
  </si>
  <si>
    <t>Hybrid ICs</t>
  </si>
  <si>
    <t>アクティブ型液晶素子（４．５型未満）</t>
  </si>
  <si>
    <t>Active matrix LCDs (less than 4.5inch)</t>
  </si>
  <si>
    <t>アクティブ型液晶素子（４．５型以上７．７型未満）</t>
  </si>
  <si>
    <t>Active matrix LCDs (greater than or equal to 4.5inch, less than 7.7inch)</t>
  </si>
  <si>
    <t>アクティブ型液晶素子(７．７型以上)</t>
  </si>
  <si>
    <t>Active matrix LCDs(greater than or equal to 7.7inch)</t>
  </si>
  <si>
    <t>太陽電池モジュール</t>
  </si>
  <si>
    <t>Photovoltaic modules</t>
  </si>
  <si>
    <t>はん(汎)用コンピュータ(メインフレーム)・ミッドレンジコンピュータ</t>
  </si>
  <si>
    <t>General purpose computers(mainframe)　and midrange computers</t>
  </si>
  <si>
    <t>パーソナルコンピュータ(サーバ用)</t>
  </si>
  <si>
    <t>Personal computers(server use)</t>
  </si>
  <si>
    <t>パーソナルコンピュータ(デスクトップ型)(タワー型及び一体型を含む)</t>
  </si>
  <si>
    <t>Personal computers(desktop style)(including tower type and unity type)</t>
  </si>
  <si>
    <t>パーソナルコンピュータ(ノートブック型)(タブレット型を含む)</t>
  </si>
  <si>
    <t>Personal computers(notebook style)(including tablet type)</t>
  </si>
  <si>
    <t>ディスクアレイ装置</t>
  </si>
  <si>
    <t>Disk drive array</t>
  </si>
  <si>
    <t>その他の外部記憶装置</t>
  </si>
  <si>
    <t>Other external storages</t>
  </si>
  <si>
    <t>インクジェットプリンタ</t>
  </si>
  <si>
    <t>Inkjet printers</t>
  </si>
  <si>
    <t>レーザプリンタ</t>
  </si>
  <si>
    <t>Laser printers</t>
  </si>
  <si>
    <t>その他のプリンタ</t>
  </si>
  <si>
    <t>Other printers</t>
  </si>
  <si>
    <t>モニター（３１型未満）</t>
  </si>
  <si>
    <t>Monitors(less than 31inch)</t>
  </si>
  <si>
    <t>モニター（３１型以上）</t>
  </si>
  <si>
    <t>Monitors(greater than or equal to 31inch)</t>
  </si>
  <si>
    <t>プロジェクタ</t>
  </si>
  <si>
    <t>Projector</t>
  </si>
  <si>
    <t>現金自動預払機(支払機含む)</t>
  </si>
  <si>
    <t>Automatic teller machines(including cash dispensers)</t>
  </si>
  <si>
    <t>その他の金融用端末装置</t>
  </si>
  <si>
    <t>Other banking terminals</t>
  </si>
  <si>
    <t>情報キオスク端末装置</t>
  </si>
  <si>
    <t>Kiosk terminals</t>
  </si>
  <si>
    <t>携帯型専用端末装置</t>
  </si>
  <si>
    <t>Handy terminals</t>
  </si>
  <si>
    <t>その他の情報端末</t>
  </si>
  <si>
    <t>Other information terminals</t>
  </si>
  <si>
    <t>指示計器</t>
  </si>
  <si>
    <t>Indicating instruments</t>
  </si>
  <si>
    <t>電力量計</t>
  </si>
  <si>
    <t>Watt-hour meters</t>
  </si>
  <si>
    <t>電圧・電流・電力測定器</t>
  </si>
  <si>
    <t>Voltage current and power measuring</t>
  </si>
  <si>
    <t>無線通信測定器</t>
  </si>
  <si>
    <t>Audio communication measuring instruments</t>
  </si>
  <si>
    <t>ロジックＩＣテスタ</t>
  </si>
  <si>
    <t>Logic IC testers</t>
  </si>
  <si>
    <t>ＩＣ測定関連機器</t>
  </si>
  <si>
    <t>IC testing peripheral equipment</t>
  </si>
  <si>
    <t>その他の半導体・ＩＣ測定器</t>
  </si>
  <si>
    <t>Other semiconductor and IC measuring instruments</t>
  </si>
  <si>
    <t>その他の電気測定器</t>
  </si>
  <si>
    <t>Other test and measuring equipment</t>
  </si>
  <si>
    <t>温度計(プロセスオートメーション用)(発信器)</t>
  </si>
  <si>
    <t>Thermometers (for process automation)</t>
  </si>
  <si>
    <t>圧力計(プロセスオートメーション用)(発信器)</t>
  </si>
  <si>
    <t>Pressure gauge (for process automation)</t>
  </si>
  <si>
    <t>流量計(プロセスオートメーション用)(発信器)</t>
  </si>
  <si>
    <t>Flow gauge (for process automation)</t>
  </si>
  <si>
    <t>差圧計(プロセスオートメーション用)(発信器)</t>
  </si>
  <si>
    <t>Differential pressure transmitter  (for process automation)</t>
  </si>
  <si>
    <t>その他の発信器(プロセスオートメーション用)</t>
  </si>
  <si>
    <t>Other detector transmitter (for process automation)</t>
  </si>
  <si>
    <t>受信計(プロセスオートメーション用)</t>
  </si>
  <si>
    <t>Receiving instruments  (for process automation)</t>
  </si>
  <si>
    <t>プロセス用分析計(プロセスオートメーション用)</t>
  </si>
  <si>
    <t>Analyzer for processing　(for process automation)</t>
  </si>
  <si>
    <t>デジタル計装制御システム(プロセスオートメーション用)</t>
  </si>
  <si>
    <t>Distributed control systems　(for process automation)</t>
  </si>
  <si>
    <t>その他のプロセス監視制御システム(プロセスオートメーション用)</t>
  </si>
  <si>
    <t>Other monitoring and controlsystem for processing　(for process automation)</t>
  </si>
  <si>
    <t>その他のプロセスオートメーション用計測制御機器</t>
  </si>
  <si>
    <t>Other　industrial measuring equipment instruments for process automation</t>
  </si>
  <si>
    <t>ガス警報器</t>
  </si>
  <si>
    <t>Gas alarm</t>
  </si>
  <si>
    <t>Ｘ線装置(医科・歯科用)</t>
  </si>
  <si>
    <t>X- ray equipment (for medical and  dental use)</t>
  </si>
  <si>
    <t>Ｘ線医用ＣＴ装置</t>
  </si>
  <si>
    <t>Equipment computed tomograph</t>
  </si>
  <si>
    <t>その他のＸ線装置</t>
  </si>
  <si>
    <t>Other X-ray equipment</t>
  </si>
  <si>
    <t>放射性物質応用機器</t>
  </si>
  <si>
    <t>Radio isotope equipment</t>
  </si>
  <si>
    <t>放射線測定器</t>
  </si>
  <si>
    <t>Radiation instruments</t>
  </si>
  <si>
    <t>洗浄機 (超音波応用装置)</t>
  </si>
  <si>
    <t>Washers(ultrasonic instruments)</t>
  </si>
  <si>
    <t>医療機器(超音波応用装置)</t>
  </si>
  <si>
    <t>Medical equipment(ultrasonic instruments)</t>
  </si>
  <si>
    <t>溶接機(超音波応用装置)</t>
  </si>
  <si>
    <t>Welders　(ultrasonic instruments)</t>
  </si>
  <si>
    <t>その他の超音波応用装置</t>
  </si>
  <si>
    <t>Other ultrasonic instruments</t>
  </si>
  <si>
    <t>電子顕微鏡</t>
  </si>
  <si>
    <t>Electron microscopes</t>
  </si>
  <si>
    <t>産業用テレビジョン装置</t>
  </si>
  <si>
    <t>Industrial use television equipment</t>
  </si>
  <si>
    <t>医用測定器</t>
  </si>
  <si>
    <t>Medical use measuring instruments</t>
  </si>
  <si>
    <t>その他の電子応用装置(特掲以外)</t>
  </si>
  <si>
    <t>Other associated electronic equipment</t>
  </si>
  <si>
    <t>酸化銀電池</t>
  </si>
  <si>
    <t>Silver oxide batteries</t>
  </si>
  <si>
    <t>アルカリマンガン乾電池</t>
  </si>
  <si>
    <t>Alkaline manganese dioxide batteries</t>
  </si>
  <si>
    <t>リチウム電池(乾電池)</t>
  </si>
  <si>
    <t>Lithium batteries(dry  cells)</t>
  </si>
  <si>
    <t>鉛蓄電池(自動車用(二輪自動車用を除く))</t>
  </si>
  <si>
    <t>Lead acid(storage) batteries for automobiles(except for motorcycle)</t>
  </si>
  <si>
    <t>鉛量t</t>
  </si>
  <si>
    <t>lead(t)</t>
  </si>
  <si>
    <t>その他の鉛蓄電池</t>
  </si>
  <si>
    <t>Other lead acid (storage) batteries</t>
  </si>
  <si>
    <t>アルカリ蓄電池(ニッケル・水素電池)</t>
  </si>
  <si>
    <t>Sealed nickel-metal hydride rechargeable batteries</t>
  </si>
  <si>
    <t>千Ah</t>
  </si>
  <si>
    <t>1000Ah</t>
  </si>
  <si>
    <t>その他のアルカリ蓄電池</t>
  </si>
  <si>
    <t>Other alkaline storage batteries</t>
  </si>
  <si>
    <t>リチウムイオン蓄電池(車載用)</t>
  </si>
  <si>
    <t>Small sized sealed lithium ion rechargeable batteries for automobiles</t>
  </si>
  <si>
    <t>その他のリチウムイオン蓄電池</t>
  </si>
  <si>
    <t>Other small sized sealed lithium ion rechargeable batteries</t>
  </si>
  <si>
    <t>軽乗用車</t>
  </si>
  <si>
    <t>Midget passenger cars</t>
  </si>
  <si>
    <t>小型乗用車</t>
  </si>
  <si>
    <t>Small passenger cars</t>
  </si>
  <si>
    <t>普通乗用車</t>
  </si>
  <si>
    <t>Large passenger cars</t>
  </si>
  <si>
    <t>小型バス</t>
  </si>
  <si>
    <t>Small buses</t>
  </si>
  <si>
    <t>大型バス</t>
  </si>
  <si>
    <t>Large buses</t>
  </si>
  <si>
    <t>軽トラック</t>
  </si>
  <si>
    <t>Midget trucks</t>
  </si>
  <si>
    <t>小型トラック</t>
  </si>
  <si>
    <t>Small trucks</t>
  </si>
  <si>
    <t>普通トラック</t>
  </si>
  <si>
    <t>Large trucks</t>
  </si>
  <si>
    <t>けん引車</t>
  </si>
  <si>
    <t>Tractor trucks</t>
  </si>
  <si>
    <t>特殊自動車</t>
  </si>
  <si>
    <t>Special passenger cars</t>
  </si>
  <si>
    <t>トレーラ</t>
  </si>
  <si>
    <t>Trailers</t>
  </si>
  <si>
    <t>二輪自動車（気筒容積１２５ｍｌ以下のうち 最高出力４ｋW以下）</t>
  </si>
  <si>
    <t>Motor cycles(cylinder capacity less than or equal to 125ml and a maximum power output less than or equal 4kW)</t>
  </si>
  <si>
    <t>二輪自動車（気筒容積 ５０ｍｌを超え１２５ｍｌ以下のうち 最高出力 ４ｋWを超えるもの）</t>
  </si>
  <si>
    <t>Motor cycles(cylinder capacity greater than 50ml and less than or equal to 125ml and a maximum power output greater than 4kW)</t>
  </si>
  <si>
    <t>二輪自動車（気筒容積１２５ｍｌを超え２５０ｍｌ以下）</t>
  </si>
  <si>
    <t>Motor cycles(cylinder capacity greater than 125ml and less than or equal to 250ml)</t>
  </si>
  <si>
    <t>二輪自動車（気筒容積２５０ｍｌを超えるもの）</t>
  </si>
  <si>
    <t>Motor cycles(cylinder capacity greater than 250ml)</t>
  </si>
  <si>
    <t>トラックボデー（小型トラック荷台）</t>
  </si>
  <si>
    <t>Truck bodies(small truck platforms)</t>
  </si>
  <si>
    <t>トラックボデー（普通トラック荷台）</t>
  </si>
  <si>
    <t>Truck bodies(large truck platforms)</t>
  </si>
  <si>
    <t>小型特装ボデー</t>
  </si>
  <si>
    <t>Small special bodies</t>
  </si>
  <si>
    <t>普通特装ボデー</t>
  </si>
  <si>
    <t>Large special bodies</t>
  </si>
  <si>
    <t>HEV車及びPHEV車（乗用車生産内訳）</t>
  </si>
  <si>
    <t>Hybrid vehicles and Plug-in hybrid vehicles(inner number of passenger cars)</t>
  </si>
  <si>
    <t>電気自動車及び燃料電池車（乗用車生産内訳）</t>
  </si>
  <si>
    <t>Electric and fuel cell vehicles(inner number of passenger cars)</t>
  </si>
  <si>
    <t>HEV車、PHEV車、電気自動車及び燃料電池車（バス及びトラック生産内訳）</t>
  </si>
  <si>
    <t>Hybrid vehicles, plug-in hybrid vehicles, electric vehicles and fuel cell vehicles(inner number of bus and trucks)</t>
  </si>
  <si>
    <t>ガソリンエンジン(自動車部品)</t>
  </si>
  <si>
    <t>Gasoline engines for motor vehicles</t>
  </si>
  <si>
    <t>ディーゼルエンジン(自動車部品)</t>
  </si>
  <si>
    <t>Diesel engines for motor vehicles</t>
  </si>
  <si>
    <t>ピストン(自動車部品)</t>
  </si>
  <si>
    <t>Pistons for motor vehicles</t>
  </si>
  <si>
    <t>ピストンリング・シリンダーライナ(自動車部品)</t>
  </si>
  <si>
    <t>Piston rings and cylinder liners for motor vehicles</t>
  </si>
  <si>
    <t>吸気弁・排気弁(自動車部品)</t>
  </si>
  <si>
    <t>Intake valves and exhaust valves for motor vehicles</t>
  </si>
  <si>
    <t>ガスケット(自動車部品)</t>
  </si>
  <si>
    <t>Gaskets for motor vehicles</t>
  </si>
  <si>
    <t>燃料ポンプ(自動車部品)</t>
  </si>
  <si>
    <t>Fuel pumps for motor vehicles</t>
  </si>
  <si>
    <t>燃料噴射装置(自動車部品)</t>
  </si>
  <si>
    <t>Fuel injection equipment for motor vehicles</t>
  </si>
  <si>
    <t>空気清浄器(自動車部品)</t>
  </si>
  <si>
    <t>Air filters for motor vehicles</t>
  </si>
  <si>
    <t>油清浄器(自動車部品)</t>
  </si>
  <si>
    <t>Oil filters for motor vehicles</t>
  </si>
  <si>
    <t>油ポンプ(自動車部品)</t>
  </si>
  <si>
    <t>Oil pumps for motor vehicles</t>
  </si>
  <si>
    <t>水ポンプ(自動車部品)</t>
  </si>
  <si>
    <t>Water pumps for motor vehicles</t>
  </si>
  <si>
    <t>放熱器(ラジエータ)(自動車部品)</t>
  </si>
  <si>
    <t>Radiators for motor vehicles</t>
  </si>
  <si>
    <t>クラッチ装置(自動車部品)</t>
  </si>
  <si>
    <t>Clutch system for motor vehicles</t>
  </si>
  <si>
    <t>自動変速装置(自動車部品)</t>
  </si>
  <si>
    <t>Automatic transmission system for motor vehicles</t>
  </si>
  <si>
    <t>ユニバーサルジョイント(自動車部品)</t>
  </si>
  <si>
    <t>Universal joints for motor vehicles</t>
  </si>
  <si>
    <t>プロペラシャフト(自動車部品)</t>
  </si>
  <si>
    <t>Propeller shafts for motor vehicles</t>
  </si>
  <si>
    <t>車輪(自動車部品)</t>
  </si>
  <si>
    <t>Wheels for motor vehicles</t>
  </si>
  <si>
    <t>かじ取りハンドル(自動車部品)</t>
  </si>
  <si>
    <t>Steering wheels for motor vehicles</t>
  </si>
  <si>
    <t>ステアリング装置・タイロッド・タイロッドエンド(自動車部品)</t>
  </si>
  <si>
    <t>Steering system,tie rods and tie rod ends for motor vehicles</t>
  </si>
  <si>
    <t>ショックアブソーバ(自動車部品)</t>
  </si>
  <si>
    <t>Shock absorbers for motor vehicles</t>
  </si>
  <si>
    <t>ブレーキ倍力装置(自動車部品)</t>
  </si>
  <si>
    <t>Power brake system for motor vehicles</t>
  </si>
  <si>
    <t>ブレーキシリンダ(自動車部品)</t>
  </si>
  <si>
    <t>Brake cylinders for motor vehicles</t>
  </si>
  <si>
    <t>ブレーキパイプ(自動車部品)</t>
  </si>
  <si>
    <t>Brake pipes for motor vehicles</t>
  </si>
  <si>
    <t>ブレーキシュー(自動車部品)</t>
  </si>
  <si>
    <t>Brake shoes for motor vehicles</t>
  </si>
  <si>
    <t>電子式ブレーキ制御装置(自動車部品)</t>
  </si>
  <si>
    <t>Electronic brake-related devices for motor vehicles</t>
  </si>
  <si>
    <t>燃料タンク(ＬＰＧ用を除く)(自動車部品)</t>
  </si>
  <si>
    <t>Fuel tanks(except L.P.G.tanks) for motor vehicles</t>
  </si>
  <si>
    <t>排気管・消音器(自動車部品)</t>
  </si>
  <si>
    <t>Exhaust pipes and mufflers for motor vehicles</t>
  </si>
  <si>
    <t>窓わく(自動車部品)</t>
  </si>
  <si>
    <t>Window frames for motor vehicles</t>
  </si>
  <si>
    <t>ドアヒンジ・ドアハンドル・ロック(自動車部品)</t>
  </si>
  <si>
    <t>Door hinges,door handles and locks for motor vehicles</t>
  </si>
  <si>
    <t>窓ガラス開閉装置(自動車部品)</t>
  </si>
  <si>
    <t>Window regulators system for motor vehicles</t>
  </si>
  <si>
    <t>シート(自動車部品)</t>
  </si>
  <si>
    <t>Seats for motor vehicles</t>
  </si>
  <si>
    <t>シートベルト(自動車部品)</t>
  </si>
  <si>
    <t>Seatbelts for motor vehicles</t>
  </si>
  <si>
    <t>エアバッグモジュール(自動車部品)</t>
  </si>
  <si>
    <t>Air bag module for motor vehicles</t>
  </si>
  <si>
    <t>スイッチ類(自動車部品)</t>
  </si>
  <si>
    <t>Switches for motor vehicles</t>
  </si>
  <si>
    <t>計器類(自動車部品)</t>
  </si>
  <si>
    <t>Meters for motor vehicles</t>
  </si>
  <si>
    <t>ワイパー(自動車部品)</t>
  </si>
  <si>
    <t>Windshield wipers for motor vehicles</t>
  </si>
  <si>
    <t>警音器(自動車部品)</t>
  </si>
  <si>
    <t>Horns for motor vehicles</t>
  </si>
  <si>
    <t>充電発電機(ダイナモ)(内燃機関電装品)</t>
  </si>
  <si>
    <t>Ignition generators(electric equipment for internal combustion engines)</t>
  </si>
  <si>
    <t>始動電動機(スタータ)(内燃機関電装品)</t>
  </si>
  <si>
    <t>Starters(electric equipment for internal combustion engines)</t>
  </si>
  <si>
    <t>点火線輪(イグニションコイル)(内燃機関電装品)</t>
  </si>
  <si>
    <t>Ignition coils(electric equipment for internal combustion engines)</t>
  </si>
  <si>
    <t>点火栓(プラグ)(内燃機関電装品)</t>
  </si>
  <si>
    <t>Sparking plugs(electric equipment for internal combustion engines)</t>
  </si>
  <si>
    <t>エンジン(二輪自動車部品)</t>
  </si>
  <si>
    <t>Engines for motor cycles</t>
  </si>
  <si>
    <t>燃料噴射装置(二輪自動車部品)</t>
  </si>
  <si>
    <t>Fuel injection equipment for motor cycles</t>
  </si>
  <si>
    <t>ショックアブソーバ(二輪自動車部品)</t>
  </si>
  <si>
    <t>Shock absorbers for motor cycles</t>
  </si>
  <si>
    <t>計器類(二輪自動車部品)</t>
  </si>
  <si>
    <t>Meters for motor cycles</t>
  </si>
  <si>
    <t>ブレーキ装置(二輪自動車部品)</t>
  </si>
  <si>
    <t>Brake equipment for motor cycles</t>
  </si>
  <si>
    <t>自転車(軽快車)</t>
  </si>
  <si>
    <t>Light bicycles</t>
  </si>
  <si>
    <t>自転車(電動アシスト車)</t>
  </si>
  <si>
    <t>Electric power assist bicycles</t>
  </si>
  <si>
    <t>その他の自転車</t>
  </si>
  <si>
    <t>Other bicycles</t>
  </si>
  <si>
    <t>車いす(手動式)</t>
  </si>
  <si>
    <t>Manually propelled wheelchairs</t>
  </si>
  <si>
    <t>車いす(電動式)</t>
  </si>
  <si>
    <t>Electric wheelchairs</t>
  </si>
  <si>
    <t>蓄電池式運搬車(パレットトラックを含む)・内燃機関運搬車・無人搬送車</t>
  </si>
  <si>
    <t>Electric platform trucks (including pallet trucks),internal combustion platform trucks and automatic guided vehicles</t>
  </si>
  <si>
    <t>フォークリフトトラック(蓄電池式)</t>
  </si>
  <si>
    <t>Forklift trucks(electric type)</t>
  </si>
  <si>
    <t>フォークリフトトラック(内燃機関式)</t>
  </si>
  <si>
    <t>Forklift trucks(internal combustion type)</t>
  </si>
  <si>
    <t>ショベルトラック</t>
  </si>
  <si>
    <t>Shovel trucks</t>
  </si>
  <si>
    <t>ターボジェット機(航空機)</t>
  </si>
  <si>
    <t>生産額計</t>
  </si>
  <si>
    <t>Turbo-jet airplanes</t>
  </si>
  <si>
    <t>ターボプロップ機(航空機)</t>
  </si>
  <si>
    <t>Turbo-prop airplanes</t>
  </si>
  <si>
    <t>ヘリコプタ(航空機)</t>
  </si>
  <si>
    <t>Helicopters</t>
  </si>
  <si>
    <t>その他の航空機</t>
  </si>
  <si>
    <t>Other aircrafts</t>
  </si>
  <si>
    <t>機体部品(プロペラ・回転翼を含む)(航空機用)</t>
  </si>
  <si>
    <t>Airframe components(including propellers and rotors)</t>
  </si>
  <si>
    <t>付属装置・室内装備(保命装置を含む)(航空機用)</t>
  </si>
  <si>
    <t>Aircraft appliance equipment and interior equipment(including life saving equipment)</t>
  </si>
  <si>
    <t>ターボジェット発動機(航空機用)</t>
  </si>
  <si>
    <t>Turbo-jet engines(for aircraft)</t>
  </si>
  <si>
    <t>ターボシャフト発動機(航空機用)</t>
  </si>
  <si>
    <t>Turbo-shaft engines(for aircraft)</t>
  </si>
  <si>
    <t>その他の発動機(航空機用)</t>
  </si>
  <si>
    <t>Other aircraft engines</t>
  </si>
  <si>
    <t>発動機部品(航空機用)</t>
  </si>
  <si>
    <t>Aircraft engine parts</t>
  </si>
  <si>
    <t>補機(発動機の付属品を含む)(航空機用)</t>
  </si>
  <si>
    <t>Aircraft accessories(including accessories of aircraft engines)</t>
  </si>
  <si>
    <t>航空計器・操縦訓練用設備(航空機用)</t>
  </si>
  <si>
    <t>Aeronautical instruments and pilot training instruments</t>
  </si>
  <si>
    <t>工業用長さ計</t>
  </si>
  <si>
    <t>Industrial measures</t>
  </si>
  <si>
    <t>ガスメータ</t>
  </si>
  <si>
    <t>Gas-meters</t>
  </si>
  <si>
    <t>水道メータ</t>
  </si>
  <si>
    <t>Water-meters</t>
  </si>
  <si>
    <t>積算式ガソリン量器</t>
  </si>
  <si>
    <t>Flow meter fuel dispensers</t>
  </si>
  <si>
    <t>工業用計重機</t>
  </si>
  <si>
    <t>Measuring instruments and controllers for industry</t>
  </si>
  <si>
    <t>圧力計(アネロイド形)</t>
  </si>
  <si>
    <t>Aneroid type barometers or pressure gauges</t>
  </si>
  <si>
    <t>精密測定機(光学測定機を含む)</t>
  </si>
  <si>
    <t>Precision measuring machines and instruments (including optical measuring machines)</t>
  </si>
  <si>
    <t>光分析機器</t>
  </si>
  <si>
    <t>Optical and spectrophotometric analyzers</t>
  </si>
  <si>
    <t>電磁気分析機器(Ｘ線回折装置を除く)</t>
  </si>
  <si>
    <t>Electromagnetic analyzers (except X-ray diffractometers)</t>
  </si>
  <si>
    <t>クロマト・分離・蒸留機器</t>
  </si>
  <si>
    <t>Chromatograph, separator and distillation apparatus</t>
  </si>
  <si>
    <t>その他の分析機器</t>
  </si>
  <si>
    <t>Other analytical instruments</t>
  </si>
  <si>
    <t>環境計測機器</t>
  </si>
  <si>
    <t>Monitoring instruments for environmental quality</t>
  </si>
  <si>
    <t>材料試験機</t>
  </si>
  <si>
    <t>Testing machines for materials</t>
  </si>
  <si>
    <t>動的試験機・構造物試験機</t>
  </si>
  <si>
    <t>Dynamic testing machines and structure testing machines</t>
  </si>
  <si>
    <t>測量機器(トランシット・レベル，光波測距儀)</t>
  </si>
  <si>
    <t>Surveying equipment(Transits, Level and Optical distance measuring instruments)</t>
  </si>
  <si>
    <t>カメラ</t>
  </si>
  <si>
    <t>Still cameras</t>
  </si>
  <si>
    <t>カメラ用交換レンズ</t>
  </si>
  <si>
    <t>Interchangeable lenses for cameras</t>
  </si>
  <si>
    <t>完成品（電池式ウオッチ（ストップウオッチを除く）・電池式クロック（機械時計を除く））</t>
  </si>
  <si>
    <t>Total of completed watches and clocks(battery-driven watches(except stopwatches) and battery-driven clocks(except mechanical clocks))</t>
  </si>
  <si>
    <t>ムーブメント(自己消費を除く)</t>
  </si>
  <si>
    <t>Movements for watches and clocks (except self-consumption)</t>
  </si>
  <si>
    <t>粉末や金製軸受合金(輸送機械用)</t>
  </si>
  <si>
    <t>Sintered products machine materials bearings for transport equipment</t>
  </si>
  <si>
    <t>その他用の粉末や金製軸受合金</t>
  </si>
  <si>
    <t>Sintered products machine materials bearings for others</t>
  </si>
  <si>
    <t>粉末や金製機械部品(輸送機械用)</t>
  </si>
  <si>
    <t>Sintered products machine materials machine parts for transport equipment</t>
  </si>
  <si>
    <t>その他用の粉末や金製機械部品</t>
  </si>
  <si>
    <t>Sintered products machine materials machine parts for others</t>
  </si>
  <si>
    <t>粉末や金製機械材料(摩擦材料)</t>
  </si>
  <si>
    <t>Sintered products machine materials friction materials</t>
  </si>
  <si>
    <t>粉末や金製電気接点</t>
  </si>
  <si>
    <t>Sintered products sintered electric contact materials</t>
  </si>
  <si>
    <t>粉末や金製磁性材料(硬質)</t>
  </si>
  <si>
    <t>Sintered products magnetic materials hard magnetic materials</t>
  </si>
  <si>
    <t>粉末や金製磁性材料(軟質)</t>
  </si>
  <si>
    <t>Sintered products magnetic materials soft magnetic materials</t>
  </si>
  <si>
    <t>その他の粉末や金製品(超硬チップを除く)</t>
  </si>
  <si>
    <t xml:space="preserve">Other sintered products(except cemented carbide tips) </t>
  </si>
  <si>
    <t>鉄系熱間鍛造品(型鍛造品)(産業機械・土木建設機械用)</t>
  </si>
  <si>
    <t>Ferrous hot forgings(closed die forgings)(for industrial machinery, engineering and construction machinery)</t>
  </si>
  <si>
    <t>鉄系熱間鍛造品(型鍛造品)(自動車用)</t>
  </si>
  <si>
    <t>Ferrous hot forgings(closed die forgings)(for automobiles)</t>
  </si>
  <si>
    <t>その他用の鉄系熱間鍛造品(型鍛造品)</t>
  </si>
  <si>
    <t>Ferrous hot forgings for others(closed die forgings)</t>
  </si>
  <si>
    <t>鉄系熱間鍛造品(自由鍛造品)(産業機械・土木建設機械用)</t>
  </si>
  <si>
    <t>Ferrous hot forgings(open die forgings)(for industrial machinery, engineering and construction machinery)</t>
  </si>
  <si>
    <t>鉄系熱間鍛造品(自由鍛造品)(輸送機械用)</t>
  </si>
  <si>
    <t>Ferrous hot forgings(open die forgings)(for transport equipment)</t>
  </si>
  <si>
    <t>その他用の鉄系熱間鍛造品(自由鍛造品)</t>
  </si>
  <si>
    <t>Ferrous hot forgings for others(open die forgings)</t>
  </si>
  <si>
    <t>鉄系熱間鍛造品(リングロール品)(産業機械・土木建設機械用)</t>
  </si>
  <si>
    <t>Ferrous hot forgings(ring rolling)(for industrial machinery, engineering and construction machinery)</t>
  </si>
  <si>
    <t>鉄系熱間鍛造品(リングロール品)(自動車用)</t>
  </si>
  <si>
    <t>Ferrous hot forgings(ring rolling)(for automobiles)</t>
  </si>
  <si>
    <t>その他用の鉄系熱間鍛造品(リングロール品)</t>
  </si>
  <si>
    <t>Ferrous hot forgings for others(ring rolling)</t>
  </si>
  <si>
    <t>鉄系冷間鍛造品(自動車用)</t>
  </si>
  <si>
    <t>Ferrous cold forgings(for automobiles)</t>
  </si>
  <si>
    <t>その他用の鉄系冷間鍛造品</t>
  </si>
  <si>
    <t>Ferrous cold forgings for others</t>
  </si>
  <si>
    <t>アルミニウム系熱間鍛造品(自動車用)</t>
  </si>
  <si>
    <t>Aluminum hot forgings(for automobiles)</t>
  </si>
  <si>
    <t>その他用のアルミニウム系熱間鍛造品</t>
  </si>
  <si>
    <t>Aluminum hot forgings for others</t>
  </si>
  <si>
    <t>アルミニウム系冷間鍛造品(自動車用)</t>
  </si>
  <si>
    <t>Aluminum cold forgings(for automobiles)</t>
  </si>
  <si>
    <t>その他用のアルミニウム系冷間鍛造品</t>
  </si>
  <si>
    <t>Aluminum cold forgings for others</t>
  </si>
  <si>
    <t>銑鉄鋳物(産業機械器具用)(球状黒鉛鋳鉄を除く)</t>
  </si>
  <si>
    <t>Iron castings for industrial machine parts(except ductile iron castings)</t>
  </si>
  <si>
    <t>銑鉄鋳物(金属工作・加工機械用)(球状黒鉛鋳鉄を除く)</t>
  </si>
  <si>
    <t>Iron castings for metal cutting, forming machinery(except ductile iron castings)</t>
  </si>
  <si>
    <t>その他の一般・電気機械用銑鉄鋳物(球状黒鉛鋳鉄を除く)</t>
  </si>
  <si>
    <t>Other iron castings for general, electrical machinery(except ductile iron castings)</t>
  </si>
  <si>
    <t>銑鉄鋳物(自動車用)(球状黒鉛鋳鉄を除く)</t>
  </si>
  <si>
    <t>Iron castings for automobiles(except ductile iron castings)</t>
  </si>
  <si>
    <t>その他の輸送機械用銑鉄鋳物(球状黒鉛鋳鉄を除く)</t>
  </si>
  <si>
    <t>Other iron castings for transport equipment(except ductile iron castings)</t>
  </si>
  <si>
    <t>その他用の銑鉄鋳物(球状黒鉛鋳鉄を除く)</t>
  </si>
  <si>
    <t>Iron castings for others(except ductile iron castings)</t>
  </si>
  <si>
    <t>銑鉄鋳物(球状黒鉛鋳鉄を除く)計</t>
  </si>
  <si>
    <t>Total of iron castings (except ductile iron castings)</t>
  </si>
  <si>
    <t>球状黒鉛鋳鉄(産業機械器具用)</t>
  </si>
  <si>
    <t>Ductile iron castings for industrial machine parts</t>
  </si>
  <si>
    <t>球状黒鉛鋳鉄(金属工作・加工機械用)</t>
  </si>
  <si>
    <t>Ductile iron castings for metal cutting, forming machinery</t>
  </si>
  <si>
    <t>その他の一般・電気機械用球状黒鉛鋳鉄</t>
  </si>
  <si>
    <t>Other ductile iron castings for general, electrical machinery</t>
  </si>
  <si>
    <t>球状黒鉛鋳鉄(自動車用)</t>
  </si>
  <si>
    <t>Ductile iron castings for automobiles</t>
  </si>
  <si>
    <t>その他の輸送機械用球状黒鉛鋳鉄</t>
  </si>
  <si>
    <t>Other ductile iron castings for transport equipment</t>
  </si>
  <si>
    <t>その他用の球状黒鉛鋳鉄</t>
  </si>
  <si>
    <t>Ductile iron castings for others</t>
  </si>
  <si>
    <t>球状黒鉛鋳鉄計</t>
  </si>
  <si>
    <t>Total of ductile iron castings</t>
  </si>
  <si>
    <t>可鍛鋳鉄</t>
  </si>
  <si>
    <t>Malleable iron castings</t>
  </si>
  <si>
    <t>精密鋳造品(ガスタービン用)</t>
  </si>
  <si>
    <t>Precision castings for gas turbines</t>
  </si>
  <si>
    <t>精密鋳造品(一般機械用)</t>
  </si>
  <si>
    <t>Precision castings for general machinery</t>
  </si>
  <si>
    <t>精密鋳造品(自動車用)</t>
  </si>
  <si>
    <t>Precision castings for automobiles</t>
  </si>
  <si>
    <t>精密鋳造品(航空機・武器用)</t>
  </si>
  <si>
    <t>Precision castings for aircraft, weapons</t>
  </si>
  <si>
    <t>その他用の精密鋳造品</t>
  </si>
  <si>
    <t>Precision castings for others</t>
  </si>
  <si>
    <t>銅・銅合金鋳物(産業機械器具用)</t>
  </si>
  <si>
    <t>Copper, copper alloy castings for industrial machinery</t>
  </si>
  <si>
    <t>銅・銅合金鋳物(軸受メタル用)</t>
  </si>
  <si>
    <t>Copper, copper alloy castings for bearing metal</t>
  </si>
  <si>
    <t>銅・銅合金鋳物(バルブコック用)(管継手用を含む)</t>
  </si>
  <si>
    <t>Copper, copper alloy castings for valves and cocks including for pipe fittings</t>
  </si>
  <si>
    <t>銅・銅合金鋳物(輸送機械用)</t>
  </si>
  <si>
    <t>Copper, copper alloy castings for transport equipment</t>
  </si>
  <si>
    <t>その他用の銅・銅合金鋳物</t>
  </si>
  <si>
    <t>Copper, copper alloy castings for others</t>
  </si>
  <si>
    <t>アルミニウム鋳物(一般機械用)</t>
  </si>
  <si>
    <t>Aluminum alloy castings for general machinery</t>
  </si>
  <si>
    <t>アルミニウム鋳物(自動車用)</t>
  </si>
  <si>
    <t>Aluminum alloy castings for transport equipment for automobiles</t>
  </si>
  <si>
    <t>アルミニウム鋳物(その他の輸送機械用)</t>
  </si>
  <si>
    <t>Aluminum alloy castings for other transport equipment</t>
  </si>
  <si>
    <t>その他用のアルミニウム鋳物</t>
  </si>
  <si>
    <t>Aluminum alloy castings for others</t>
  </si>
  <si>
    <t>アルミニウムダイカスト(一般機械用)</t>
  </si>
  <si>
    <t>Aluminum alloy die castings for general machinery</t>
  </si>
  <si>
    <t>アルミニウムダイカスト(電気機械用)</t>
  </si>
  <si>
    <t>Aluminum alloy die castings for electrical machinery</t>
  </si>
  <si>
    <t>アルミニウムダイカスト(自動車用)</t>
  </si>
  <si>
    <t>Aluminum alloy die castings for automobiles</t>
  </si>
  <si>
    <t>アルミニウムダイカスト(二輪自動車用)</t>
  </si>
  <si>
    <t>Aluminum alloy die castings for motorcycles</t>
  </si>
  <si>
    <t>その他用のアルミニウムダイカスト</t>
  </si>
  <si>
    <t>Aluminum alloy die castings for others</t>
  </si>
  <si>
    <t>亜鉛ダイカスト(自動車用)</t>
  </si>
  <si>
    <t>Zinc alloy die castings for automobiles</t>
  </si>
  <si>
    <t>その他用の亜鉛ダイカスト</t>
  </si>
  <si>
    <t>Zinc alloy die castings for others</t>
  </si>
  <si>
    <t>その他のダイカスト</t>
  </si>
  <si>
    <t>Other die castings</t>
  </si>
  <si>
    <t>ウエハ製造用装置(半導体製造装置)</t>
  </si>
  <si>
    <t>Wafer manufacturing system for manufacturing of semiconductor</t>
  </si>
  <si>
    <t>ウエハプロセス用処理装置</t>
  </si>
  <si>
    <t>Wafer processing system for manufacturing of semiconductor</t>
  </si>
  <si>
    <t>組立用装置(半導体製造装置)</t>
  </si>
  <si>
    <t>Assembly system for manufacturing of semiconductor</t>
  </si>
  <si>
    <t>半導体製造装置用関連装置(マスク・レチクル製造用装置を含む)</t>
  </si>
  <si>
    <t>Related system for manufacturing of semiconductor(including mask, reticle manufacturing system)</t>
  </si>
  <si>
    <t>フラットパネル・ディスプレイ製造装置</t>
  </si>
  <si>
    <t>Flat-panel display manufacturing system</t>
  </si>
  <si>
    <t>再生・半合成繊維</t>
  </si>
  <si>
    <t>Regenerated and semi-synthetic fibers</t>
  </si>
  <si>
    <t>ナイロン長繊維</t>
  </si>
  <si>
    <t>Nylon filament fibers</t>
  </si>
  <si>
    <t>アクリル短繊維</t>
  </si>
  <si>
    <t>Acrylic staple fibers</t>
  </si>
  <si>
    <t>ポリエステル長繊維</t>
  </si>
  <si>
    <t>Polyester filament fibers</t>
  </si>
  <si>
    <t>ポリエステル短繊維</t>
  </si>
  <si>
    <t>Polyester staple fibers</t>
  </si>
  <si>
    <t>ポリエチレン長繊維</t>
  </si>
  <si>
    <t>Polyethylene filament fibers</t>
  </si>
  <si>
    <t>ポリプロピレン長繊維</t>
  </si>
  <si>
    <t>Polypropylene filament fibers</t>
  </si>
  <si>
    <t>ポリプロピレン短繊維</t>
  </si>
  <si>
    <t>Polypropylene staple fibers</t>
  </si>
  <si>
    <t>その他の合成繊維(長繊維)</t>
  </si>
  <si>
    <t>Other synthetic filament fibers</t>
  </si>
  <si>
    <t>その他の合成繊維(短繊維)</t>
  </si>
  <si>
    <t>Other synthetic staple fibers</t>
  </si>
  <si>
    <t>綿糸(コンデンサー糸を含む)</t>
  </si>
  <si>
    <t>Cotton yarn (including condenser yarn)</t>
  </si>
  <si>
    <t>そ毛糸</t>
  </si>
  <si>
    <t>Worsted yarn</t>
  </si>
  <si>
    <t>紡毛糸</t>
  </si>
  <si>
    <t>Woolen yarn</t>
  </si>
  <si>
    <t>麻糸</t>
  </si>
  <si>
    <t>Flax yarn</t>
  </si>
  <si>
    <t>再生・半合成繊維糸</t>
  </si>
  <si>
    <t>Regenerated and semi-synthetic fiber</t>
  </si>
  <si>
    <t>アクリル糸</t>
  </si>
  <si>
    <t>Acrylic yarn</t>
  </si>
  <si>
    <t>ポリエステル糸</t>
  </si>
  <si>
    <t>Polyester yarn</t>
  </si>
  <si>
    <t>その他の合成繊維糸</t>
  </si>
  <si>
    <t>Other synthetic fiber yarn</t>
  </si>
  <si>
    <t>綿織物</t>
  </si>
  <si>
    <t>Cotton fabrics</t>
  </si>
  <si>
    <t>そ毛織物</t>
  </si>
  <si>
    <t>Worsted fabrics</t>
  </si>
  <si>
    <t>紡毛織物</t>
  </si>
  <si>
    <t>Woolen fabrics</t>
  </si>
  <si>
    <t>絹・絹紡織物</t>
  </si>
  <si>
    <t>Silk and spun silk fabrics</t>
  </si>
  <si>
    <t>ビスコーススフ織物</t>
  </si>
  <si>
    <t>Viscose staple fabrics</t>
  </si>
  <si>
    <t>人絹・アセテート織物</t>
  </si>
  <si>
    <t>Rayon filament and acetate fabrics</t>
  </si>
  <si>
    <t>ナイロン長繊維織物</t>
  </si>
  <si>
    <t>Nylon synthetic filament fabrics</t>
  </si>
  <si>
    <t>ポリエステル長繊維織物</t>
  </si>
  <si>
    <t>Polyester synthetic filament fabrics</t>
  </si>
  <si>
    <t>その他の長繊維織物</t>
  </si>
  <si>
    <t>Other synthetic filament fabrics</t>
  </si>
  <si>
    <t>ポリエステル短繊維織物</t>
  </si>
  <si>
    <t>Polyester synthetic staple fabrics</t>
  </si>
  <si>
    <t>その他の短繊維織物</t>
  </si>
  <si>
    <t>Other synthetic staple fabrics</t>
  </si>
  <si>
    <t>タイヤコード</t>
  </si>
  <si>
    <t>Tire cord</t>
  </si>
  <si>
    <t>タオル</t>
  </si>
  <si>
    <t>Towel</t>
  </si>
  <si>
    <t>タフテッドカーペット(不織布カーペットを除く)</t>
  </si>
  <si>
    <t>Tufted carpet (except non-woven fabric)</t>
  </si>
  <si>
    <t>プレスフェルト(ニードルフェルトを除く)</t>
  </si>
  <si>
    <t>Press felt (except needle felt)</t>
  </si>
  <si>
    <t>不織布(乾式)</t>
  </si>
  <si>
    <t>Non-woven fabrics (dry laid type)</t>
  </si>
  <si>
    <t>不織布(湿式)</t>
  </si>
  <si>
    <t>Non-woven fabrics (wet laid type)</t>
  </si>
  <si>
    <t>綿織物染色整理</t>
  </si>
  <si>
    <t>製品月末在庫</t>
  </si>
  <si>
    <t>千㎡</t>
  </si>
  <si>
    <t>Cotton fabrics dyeing and finishing processes</t>
  </si>
  <si>
    <t>Products inventory</t>
  </si>
  <si>
    <t>1000㎡</t>
  </si>
  <si>
    <t>加工高</t>
  </si>
  <si>
    <t>Finishing processes products quantity</t>
  </si>
  <si>
    <t>そ毛織物染色整理</t>
  </si>
  <si>
    <t>Worsted fabrics dyeing and finishing processes</t>
  </si>
  <si>
    <t>紡毛織物染色整理</t>
  </si>
  <si>
    <t>Woolen fabrics dyeing and finishing processes</t>
  </si>
  <si>
    <t>絹・絹紡織物染色整理</t>
  </si>
  <si>
    <t>Silk-spun silk fabrics dyeing and finishing processes</t>
  </si>
  <si>
    <t>人絹・キュプラ・アセテート織物染色整理</t>
  </si>
  <si>
    <t>Rayon filament, cuprammonium rayon and acetate fabrics dyeing and finishing processes</t>
  </si>
  <si>
    <t>スフ織物染色整理</t>
  </si>
  <si>
    <t>Rayon staple fabrics dyeing and finishing processes</t>
  </si>
  <si>
    <t>ナイロン長繊維織物染色整理</t>
  </si>
  <si>
    <t>Nylon filament fabrics dyeing and finishing processes</t>
  </si>
  <si>
    <t>ポリエステル長繊維織物染色整理</t>
  </si>
  <si>
    <t>Polyester filament fabrics dyeing and finishing processes</t>
  </si>
  <si>
    <t>ポリエステル短繊維織物染色整理</t>
  </si>
  <si>
    <t>Polyester staple fabrics dyeing and finishing processes</t>
  </si>
  <si>
    <t>織物加工賃</t>
  </si>
  <si>
    <t>Woven fabrics processing fees</t>
  </si>
  <si>
    <t xml:space="preserve">Finishing processes products quantity </t>
  </si>
  <si>
    <t>たて編合成繊維ニット生地染色整理</t>
  </si>
  <si>
    <t>Synthetic fibers of warp knitted fabrics dyeing and finishing processes</t>
  </si>
  <si>
    <t>丸編合成繊維ニット生地染色整理</t>
  </si>
  <si>
    <t>Circular synthetic fibers knitted fabrics dyeing and finishing processes</t>
  </si>
  <si>
    <t>その他の丸編ニット生地染色整理</t>
  </si>
  <si>
    <t>Other circular knitted fabrics dyeing and finishing processes</t>
  </si>
  <si>
    <t>ニット生地加工賃</t>
  </si>
  <si>
    <t>Knitted fabrics processing fees</t>
  </si>
  <si>
    <t>ニット生地(綿)</t>
  </si>
  <si>
    <t>Knit fabrics (cotton)</t>
  </si>
  <si>
    <t>ニット生地(毛)</t>
  </si>
  <si>
    <t>Knit fabrics (wool)</t>
  </si>
  <si>
    <t>ニット生地(ナイロン)</t>
  </si>
  <si>
    <t>Knit fabrics (nylon)</t>
  </si>
  <si>
    <t>ニット生地(アクリル)</t>
  </si>
  <si>
    <t>Knit fabrics (acrylic)</t>
  </si>
  <si>
    <t>ニット生地(ポリエステル)</t>
  </si>
  <si>
    <t>Knit fabrics (polyester)</t>
  </si>
  <si>
    <t>その他の合成繊維製ニット生地</t>
  </si>
  <si>
    <t>Knit fabrics (others synthetic fiber fabrics )</t>
  </si>
  <si>
    <t>その他の繊維製ニット生地</t>
  </si>
  <si>
    <t>Knit fabrics (others fiber fabrics)</t>
  </si>
  <si>
    <t>ニット製外衣</t>
  </si>
  <si>
    <t>点</t>
  </si>
  <si>
    <t>Knitted fabrics outer wears</t>
  </si>
  <si>
    <t>ニット製下着・補整着・寝着類</t>
  </si>
  <si>
    <t>Knitted fabrics underwear, foundation garment, nightwear</t>
  </si>
  <si>
    <t>ニット製靴下</t>
  </si>
  <si>
    <t>Knitted fabrics hosiery</t>
  </si>
  <si>
    <t>ニット製手袋</t>
  </si>
  <si>
    <t>Knitted fabrics gloves and mittens</t>
  </si>
  <si>
    <t>織物製外衣</t>
  </si>
  <si>
    <t>Woven fabrics outer wears</t>
  </si>
  <si>
    <t>織物製下着・補整着・寝着類</t>
  </si>
  <si>
    <t>Woven fabrics underwear, foundation garment, nightwear</t>
  </si>
  <si>
    <t>製綿(合成繊維)</t>
  </si>
  <si>
    <t>Wadding (synthetic fiber)</t>
  </si>
  <si>
    <t>その他の製綿(羊毛を含む)</t>
  </si>
  <si>
    <t>Other wadding(including wool)</t>
  </si>
  <si>
    <t>掛ふとん(羽毛・羽根ふとんを除く)</t>
  </si>
  <si>
    <t>枚</t>
  </si>
  <si>
    <t>Comforters (except down or feather quilt)</t>
  </si>
  <si>
    <t>sheets</t>
  </si>
  <si>
    <t>敷ふとん</t>
  </si>
  <si>
    <t>Underlay</t>
  </si>
  <si>
    <t>こたつふとん</t>
  </si>
  <si>
    <t>Kotatsu quilt</t>
  </si>
  <si>
    <t>羽毛・羽根ふとん</t>
  </si>
  <si>
    <t>Down or feather quilt</t>
  </si>
  <si>
    <t>漁網</t>
  </si>
  <si>
    <t>Fishing nets</t>
  </si>
  <si>
    <t>陸上網</t>
  </si>
  <si>
    <t>Ground nets</t>
  </si>
  <si>
    <t>合成繊維綱</t>
  </si>
  <si>
    <t>Synthetic fiber ropes</t>
  </si>
  <si>
    <t>細幅織物</t>
  </si>
  <si>
    <t>Narrow fabrics</t>
  </si>
  <si>
    <t>組ひも</t>
  </si>
  <si>
    <t>Braids</t>
  </si>
  <si>
    <t>レース生地(編・ボビン)</t>
  </si>
  <si>
    <t>Knitted lace and bobbin lace</t>
  </si>
  <si>
    <t>レース生地(刺しゅう)</t>
  </si>
  <si>
    <t>Embroidery lace</t>
  </si>
  <si>
    <t>クラフトパルプ(さらし)(針葉樹)</t>
  </si>
  <si>
    <t>Kraft pulp (bleached )( softwood)</t>
  </si>
  <si>
    <t>クラフトパルプ(さらし)(広葉樹)</t>
  </si>
  <si>
    <t>Kraft pulp (bleached )(hardwood)</t>
  </si>
  <si>
    <t>クラフトパルプ(未ざらし)</t>
  </si>
  <si>
    <t>Kraft pulp (unbleached )</t>
  </si>
  <si>
    <t>サーモメカニカルパルプ</t>
  </si>
  <si>
    <t>Thermo mechanical pulp</t>
  </si>
  <si>
    <t>リファイナーグラウンドパルプ</t>
  </si>
  <si>
    <t>Refiner groundwood pulp</t>
  </si>
  <si>
    <t>砕木パルプ</t>
  </si>
  <si>
    <t>Groundwood pulp</t>
  </si>
  <si>
    <t>その他製紙パルプ</t>
  </si>
  <si>
    <t>Other paper pulp</t>
  </si>
  <si>
    <t>新聞巻取紙</t>
  </si>
  <si>
    <t>Newsprint paper in rolls</t>
  </si>
  <si>
    <t>非塗工印刷用紙(上級印刷紙)</t>
  </si>
  <si>
    <t>Uncoated printing paper (woodfree printing paper)</t>
  </si>
  <si>
    <t>非塗工印刷用紙(中級印刷紙)</t>
  </si>
  <si>
    <t>Uncoated printing paper (wood containing paper, middle grade)</t>
  </si>
  <si>
    <t>非塗工印刷用紙(下級印刷紙)</t>
  </si>
  <si>
    <t>Uncoated printing paper (wood containing paper, low grade)</t>
  </si>
  <si>
    <t>非塗工印刷用紙(薄葉印刷紙)</t>
  </si>
  <si>
    <t>Uncoated printing paper (thin printing paper)</t>
  </si>
  <si>
    <t>微塗工印刷用紙</t>
  </si>
  <si>
    <t>Ultra light weight coated paper</t>
  </si>
  <si>
    <t>アート紙</t>
  </si>
  <si>
    <t>Art paper</t>
  </si>
  <si>
    <t>コート紙</t>
  </si>
  <si>
    <t>Coated paper</t>
  </si>
  <si>
    <t>軽量コート紙</t>
  </si>
  <si>
    <t>Light weight coated paper</t>
  </si>
  <si>
    <t>その他塗工印刷紙</t>
  </si>
  <si>
    <t>Other coated printing paper</t>
  </si>
  <si>
    <t>色上質紙</t>
  </si>
  <si>
    <t>Colored fine paper</t>
  </si>
  <si>
    <t>その他特殊印刷用紙</t>
  </si>
  <si>
    <t>Other special printing paper</t>
  </si>
  <si>
    <t>複写原紙</t>
  </si>
  <si>
    <t>Manifold base paper</t>
  </si>
  <si>
    <t>フォーム用紙</t>
  </si>
  <si>
    <t>Business form paper</t>
  </si>
  <si>
    <t>ＰＰＣ用紙</t>
  </si>
  <si>
    <t>Paper for plain paper copy</t>
  </si>
  <si>
    <t>情報記録紙</t>
  </si>
  <si>
    <t>Recording paper</t>
  </si>
  <si>
    <t>その他情報用紙</t>
  </si>
  <si>
    <t>Other communication paper</t>
  </si>
  <si>
    <t>重袋用両更クラフト紙</t>
  </si>
  <si>
    <t>Unglazed shipping sacks kraft paper</t>
  </si>
  <si>
    <t>その他両更クラフト紙</t>
  </si>
  <si>
    <t>Other unglazed bag paper</t>
  </si>
  <si>
    <t>その他未ざらし包装紙</t>
  </si>
  <si>
    <t>Other unbleached wrapping paper</t>
  </si>
  <si>
    <t>純白ロール紙</t>
  </si>
  <si>
    <t>Machine glazed poster paper</t>
  </si>
  <si>
    <t>さらしクラフト紙</t>
  </si>
  <si>
    <t>Bleached kraft paper</t>
  </si>
  <si>
    <t>その他さらし包装紙</t>
  </si>
  <si>
    <t>Other bleached wrapping</t>
  </si>
  <si>
    <t>ティシュペーパー</t>
  </si>
  <si>
    <t>Facial tissue</t>
  </si>
  <si>
    <t>トイレットペーパー</t>
  </si>
  <si>
    <t>Toilet tissue paper</t>
  </si>
  <si>
    <t>タオル用紙</t>
  </si>
  <si>
    <t>Toweling paper</t>
  </si>
  <si>
    <t>その他衛生用紙</t>
  </si>
  <si>
    <t>Other sanitary paper</t>
  </si>
  <si>
    <t>加工原紙</t>
  </si>
  <si>
    <t>Base stock for converting paper</t>
  </si>
  <si>
    <t>電気絶縁紙</t>
  </si>
  <si>
    <t>Electrical insulating paper</t>
  </si>
  <si>
    <t>その他工業用雑種紙</t>
  </si>
  <si>
    <t>Other miscellaneous paper for industry</t>
  </si>
  <si>
    <t>家庭用雑種紙</t>
  </si>
  <si>
    <t>Miscellaneous paper for household</t>
  </si>
  <si>
    <t>段ボール原紙(外装用ライナー)(クラフト)</t>
  </si>
  <si>
    <t>Container board (liner board)(kraft)</t>
  </si>
  <si>
    <t>段ボール原紙(外装用ライナー)(ジュート)</t>
  </si>
  <si>
    <t>Container board (liner board)(jute)</t>
  </si>
  <si>
    <t>段ボール原紙(内装用ライナー)</t>
  </si>
  <si>
    <t>Container board (jute liner board for interior)</t>
  </si>
  <si>
    <t>段ボール原紙(中芯原紙)</t>
  </si>
  <si>
    <t>Container board (corrugating medium)</t>
  </si>
  <si>
    <t>紙器用板紙(白板紙)(マニラボール)</t>
  </si>
  <si>
    <t>Paperboard for paper container (white board)(manila board solid bleached board)</t>
  </si>
  <si>
    <t>紙器用板紙(白板紙)白ボール</t>
  </si>
  <si>
    <t>Paperboard for paper container (white board)( white lined board)</t>
  </si>
  <si>
    <t>紙器用板紙(黄・チップ・色板紙)</t>
  </si>
  <si>
    <t>Paperboard for paper container (straw, chip &amp; color board)</t>
  </si>
  <si>
    <t>建材原紙</t>
  </si>
  <si>
    <t>Building paperboard</t>
  </si>
  <si>
    <t>紙管原紙</t>
  </si>
  <si>
    <t>Tube and core paperboard</t>
  </si>
  <si>
    <t>その他板紙</t>
  </si>
  <si>
    <t>Other paperboard</t>
  </si>
  <si>
    <t>段ボールシート(両面)</t>
  </si>
  <si>
    <t>Corrugated fiberboard</t>
  </si>
  <si>
    <t>段ボールシート(複両面)</t>
  </si>
  <si>
    <t>Corrugated fiberboard (double wall)(incl. triple wall)</t>
  </si>
  <si>
    <t>段ボールシート(片面)</t>
  </si>
  <si>
    <t>Corrugated fiberboard (single faced)</t>
  </si>
  <si>
    <t>段ボールシート合計</t>
  </si>
  <si>
    <t>Corrugated cardboard total</t>
  </si>
  <si>
    <t>段ボール箱等</t>
  </si>
  <si>
    <t>Corrugated box, etc.</t>
  </si>
  <si>
    <t xml:space="preserve">Production value </t>
  </si>
  <si>
    <t>大人用紙おむつ（パンツタイプ・テープ止め式）</t>
  </si>
  <si>
    <t>千枚</t>
  </si>
  <si>
    <t>Disposable diaper for adult (tape-tabbed style of pants-type)</t>
  </si>
  <si>
    <t>大人用紙おむつ（パンツタイプ・パンツ式）</t>
  </si>
  <si>
    <t>Disposable diaper for adult (pull-on style of pants-type)</t>
  </si>
  <si>
    <t>大人用紙おむつ（フラット）</t>
  </si>
  <si>
    <t xml:space="preserve">Disposable diaper for adult (flat-type) </t>
  </si>
  <si>
    <t>パッド・ライナー（尿とりパッド）</t>
  </si>
  <si>
    <t>Pad/liner (incontinence pad)</t>
  </si>
  <si>
    <t>パッド・ライナー（軽失禁ライナー、軽失禁パッド）</t>
  </si>
  <si>
    <t>Pad/liner (light incontinence liner/pad)</t>
  </si>
  <si>
    <t>乳幼児用紙おむつ（パンツタイプ・テープ止め式）</t>
  </si>
  <si>
    <t>Disposable diaper for baby (tape-tabbed style of pants-type)</t>
  </si>
  <si>
    <t>乳幼児用紙おむつ（パンツタイプ・パンツ式）</t>
  </si>
  <si>
    <t>Disposable diaper for baby (pull-on style of pants-type)</t>
  </si>
  <si>
    <t>印刷合計</t>
  </si>
  <si>
    <t>Printing total</t>
  </si>
  <si>
    <t>出版印刷</t>
  </si>
  <si>
    <t>Publishing printing</t>
  </si>
  <si>
    <t>商業印刷</t>
  </si>
  <si>
    <t>Commercial printing</t>
  </si>
  <si>
    <t>証券印刷</t>
  </si>
  <si>
    <t>Security printing</t>
  </si>
  <si>
    <t>事務用印刷</t>
  </si>
  <si>
    <t>Printing for the office work</t>
  </si>
  <si>
    <t>包装印刷</t>
  </si>
  <si>
    <t>Package printing</t>
  </si>
  <si>
    <t>建装材印刷</t>
  </si>
  <si>
    <t>Decorative materials printing</t>
  </si>
  <si>
    <t>その他の印刷</t>
  </si>
  <si>
    <t>Other printing</t>
  </si>
  <si>
    <t>ピアノ</t>
  </si>
  <si>
    <t>Pianos</t>
  </si>
  <si>
    <t>電子ピアノ・電子オルガン</t>
  </si>
  <si>
    <t>Electronic pianos and electronic organs</t>
  </si>
  <si>
    <t>電子キーボード類(ミニキーボードを除く)</t>
  </si>
  <si>
    <t>Electronic keyboards (except mini keyboards)</t>
  </si>
  <si>
    <t>管楽器</t>
  </si>
  <si>
    <t>Wind instruments</t>
  </si>
  <si>
    <t>ギター・電気ギター</t>
  </si>
  <si>
    <t>Acoustic guitars and electric guitars</t>
  </si>
  <si>
    <t>金属製事務用机</t>
  </si>
  <si>
    <t>Metal office desks</t>
  </si>
  <si>
    <t>金属製その他の机(卓子を含む)</t>
  </si>
  <si>
    <t>Metal other desks(including tables)</t>
  </si>
  <si>
    <t>金属製回転式いす</t>
  </si>
  <si>
    <t>Metal swivel chairs</t>
  </si>
  <si>
    <t>その他の金属製いす</t>
  </si>
  <si>
    <t>Other metal chairs</t>
  </si>
  <si>
    <t>金属製引出箱</t>
  </si>
  <si>
    <t>Metal filing cabinets</t>
  </si>
  <si>
    <t>金属製保管庫類</t>
  </si>
  <si>
    <t>Metal storage cabinets</t>
  </si>
  <si>
    <t>金属製耐火金庫</t>
  </si>
  <si>
    <t>Metal fire-resistive containers</t>
  </si>
  <si>
    <t>金属製流し台</t>
  </si>
  <si>
    <t>Metal sink cabinets</t>
  </si>
  <si>
    <t>金属製ガス台</t>
  </si>
  <si>
    <t>Metal range tables</t>
  </si>
  <si>
    <t>金属製調理台</t>
  </si>
  <si>
    <t>Metal cooking tables</t>
  </si>
  <si>
    <t>金属製システムキッチン</t>
  </si>
  <si>
    <t>セット</t>
  </si>
  <si>
    <t>Metal system kitchens</t>
  </si>
  <si>
    <t>sets</t>
  </si>
  <si>
    <t>金属製ベッド</t>
  </si>
  <si>
    <t>Metal beds</t>
  </si>
  <si>
    <t>金属製棚</t>
  </si>
  <si>
    <t>Metal racks</t>
  </si>
  <si>
    <t>金属製間仕切り</t>
  </si>
  <si>
    <t>Metal partitions</t>
  </si>
  <si>
    <t>その他の金属製家具</t>
  </si>
  <si>
    <t>Other metal furniture</t>
  </si>
  <si>
    <t>木製たんす</t>
  </si>
  <si>
    <t>Wooden chest of drawers</t>
  </si>
  <si>
    <t>木製食器棚</t>
  </si>
  <si>
    <t>Wooden cupboards</t>
  </si>
  <si>
    <t>その他の木製棚</t>
  </si>
  <si>
    <t>Wooden other shelves</t>
  </si>
  <si>
    <t>木製机</t>
  </si>
  <si>
    <t>Wooden desks</t>
  </si>
  <si>
    <t>木製テーブル</t>
  </si>
  <si>
    <t>Wooden tables</t>
  </si>
  <si>
    <t>木製応接いす</t>
  </si>
  <si>
    <t>Wooden sofas</t>
  </si>
  <si>
    <t>木製食卓いす</t>
  </si>
  <si>
    <t>Wooden dining chairs</t>
  </si>
  <si>
    <t>その他の木製いす</t>
  </si>
  <si>
    <t>Wooden other chairs</t>
  </si>
  <si>
    <t>木製ベッド</t>
  </si>
  <si>
    <t>Wooden beds</t>
  </si>
  <si>
    <t>その他の木製家具</t>
  </si>
  <si>
    <t>Other wooden furniture</t>
  </si>
  <si>
    <t>軽金属板製品(日用品)</t>
  </si>
  <si>
    <t>Light metal plate products for daily necessities</t>
  </si>
  <si>
    <t>軽金属板製品(電気器具用品)</t>
  </si>
  <si>
    <t>Light metal plate products for electric equipment</t>
  </si>
  <si>
    <t>軽金属板製品(船舶・車両用品)</t>
  </si>
  <si>
    <t>Light metal plate products for ships, vehicles</t>
  </si>
  <si>
    <t>軽金属板製品(飲料用缶(缶体))</t>
  </si>
  <si>
    <t>Light metal plate products(cans for beverages)(can bodies)</t>
  </si>
  <si>
    <t>軽金属板製品(飲料用缶(缶ふた))</t>
  </si>
  <si>
    <t>Light metal plate products(cans for beverages)(can lids)</t>
  </si>
  <si>
    <t>その他の産業用軽金属板製品</t>
  </si>
  <si>
    <t>Other light metal plate products for industry</t>
  </si>
  <si>
    <t>鉛筆</t>
  </si>
  <si>
    <t>グロス</t>
  </si>
  <si>
    <t>Pencils</t>
  </si>
  <si>
    <t>gross</t>
  </si>
  <si>
    <t>シャープペンシル</t>
  </si>
  <si>
    <t>千本</t>
  </si>
  <si>
    <t>Mechanical pencils</t>
  </si>
  <si>
    <t>水性ボールペン(完成品)</t>
  </si>
  <si>
    <t>Roller ball pens</t>
  </si>
  <si>
    <t>油性ボールペン(完成品)</t>
  </si>
  <si>
    <t>Oil ball pens</t>
  </si>
  <si>
    <t>マーキングペン</t>
  </si>
  <si>
    <t>Marking pens</t>
  </si>
  <si>
    <t>クレヨン・パス・水彩絵の具</t>
  </si>
  <si>
    <t>Crayons, oil pastels and water color paints</t>
  </si>
  <si>
    <t>修正液</t>
  </si>
  <si>
    <t>Correction fluids</t>
  </si>
  <si>
    <t>修正テープ</t>
  </si>
  <si>
    <t>Correction tapes</t>
  </si>
  <si>
    <t>電子応用玩具</t>
  </si>
  <si>
    <t>ダース</t>
  </si>
  <si>
    <t>Electronic applied toys</t>
  </si>
  <si>
    <t>dozen</t>
  </si>
  <si>
    <t>電動玩具</t>
  </si>
  <si>
    <t>Electric toys</t>
  </si>
  <si>
    <t>プラスチックモデル</t>
  </si>
  <si>
    <t>Plastic models</t>
  </si>
  <si>
    <t>その他のプラスチック製玩具</t>
  </si>
  <si>
    <t>Other plastic toys</t>
  </si>
  <si>
    <t>紳士用革靴</t>
  </si>
  <si>
    <t>足</t>
  </si>
  <si>
    <t>Men's leather boots and shoes</t>
  </si>
  <si>
    <t>pair</t>
  </si>
  <si>
    <t>婦人用・子供用革靴</t>
  </si>
  <si>
    <t>Women's and children's leather boots and shoes</t>
  </si>
  <si>
    <t>運動用革靴</t>
  </si>
  <si>
    <t>Leather boots and shoes for sports exclusively</t>
  </si>
  <si>
    <t>作業用革靴</t>
  </si>
  <si>
    <t>Work leather boots and shoes</t>
  </si>
  <si>
    <t>クロム甲革(成牛)</t>
  </si>
  <si>
    <t>枚（丸革換算）</t>
  </si>
  <si>
    <t>Chrome tanned upper leather made from cattle hide</t>
  </si>
  <si>
    <t>Sheet (conversion of whole hide)</t>
  </si>
  <si>
    <t>販売面積</t>
  </si>
  <si>
    <t>千d㎡</t>
  </si>
  <si>
    <t>Area</t>
  </si>
  <si>
    <t>1000 d㎡</t>
  </si>
  <si>
    <t>クロム甲革(その他（成牛以外）)</t>
  </si>
  <si>
    <t>Other chrome tanned upper leather (except made from cattle hide)</t>
  </si>
  <si>
    <t>電球類用・電子管用ガラスバルブ(管・棒を含む)</t>
  </si>
  <si>
    <t>Glass bulbs for electric lamp and tube</t>
  </si>
  <si>
    <t>光学用ガラス素地</t>
  </si>
  <si>
    <t>Optical glass blanks</t>
  </si>
  <si>
    <t>照明・信号用ガラスレンズ</t>
  </si>
  <si>
    <t>Glass lenses for lighting or signal</t>
  </si>
  <si>
    <t>無アルカリガラス基板</t>
  </si>
  <si>
    <t>Nonalkali glass substrates</t>
  </si>
  <si>
    <t>酒類用ガラスびん</t>
  </si>
  <si>
    <t>Glass bottles for alcoholic beverage</t>
  </si>
  <si>
    <t>清涼飲料用ガラスびん</t>
  </si>
  <si>
    <t>Glass bottles for soft drink</t>
  </si>
  <si>
    <t>し好・滋養飲料用ガラスびん</t>
  </si>
  <si>
    <t>Glass bottles for fancy drink</t>
  </si>
  <si>
    <t>食料用・調味料用ガラス製容器</t>
  </si>
  <si>
    <t>Glass containers for food or seasoning</t>
  </si>
  <si>
    <t>化粧品用ガラス製容器</t>
  </si>
  <si>
    <t>Glass containers for cosmetics</t>
  </si>
  <si>
    <t>ガラス製薬びん</t>
  </si>
  <si>
    <t>Glass bottles for medicine</t>
  </si>
  <si>
    <t>ガラス製コップ(台所・食卓用品)</t>
  </si>
  <si>
    <t>Glass tumblers (tablewares and kitchenwares)</t>
  </si>
  <si>
    <t>その他のガラス製台所・食卓用品(花びん・灰皿を含む)</t>
  </si>
  <si>
    <t>Other glass tablewares and kitchenwares (including vases and ashtray)</t>
  </si>
  <si>
    <t>その他のガラス製品</t>
  </si>
  <si>
    <t>Other glass products</t>
  </si>
  <si>
    <t>ほうろう鉄器製品</t>
  </si>
  <si>
    <t>Enameled iron products</t>
  </si>
  <si>
    <r>
      <t>外装タイル(５０ｃｍ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</si>
  <si>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Facing tiles (more than 50cm2)</t>
  </si>
  <si>
    <r>
      <t>内装タイル(５０ｃｍ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</si>
  <si>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Interior wall tiles (more than 50cm2)</t>
  </si>
  <si>
    <r>
      <t>床タイル(５０ｃｍ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</si>
  <si>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Floor tiles (more than 50cm2)</t>
  </si>
  <si>
    <r>
      <t>モザイクタイル(陶片)(５０ｃｍ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以下のもの)</t>
    </r>
  </si>
  <si>
    <t>Mosaic tiles (less than or equal to 50cm2)</t>
  </si>
  <si>
    <t>衛生用陶磁器(水洗式大便器)</t>
  </si>
  <si>
    <t>Sanitary ceramic wares(Sitting style toilet, squatting style toilet)</t>
  </si>
  <si>
    <t>衛生用陶磁器(水洗式小便器)</t>
  </si>
  <si>
    <t>Sanitary ceramic wares(urinal)</t>
  </si>
  <si>
    <t>衛生用陶磁器(洗面手洗器)</t>
  </si>
  <si>
    <t>Sanitary ceramic wares(lavatories and wash basins)</t>
  </si>
  <si>
    <t>衛生用陶磁器(タンク・流し類)</t>
  </si>
  <si>
    <t>Sanitary ceramic wares(tanks and sinks)</t>
  </si>
  <si>
    <t>がい子(特別高圧用)</t>
  </si>
  <si>
    <t>Insulators (extra-high voltage)</t>
  </si>
  <si>
    <t>がい子(高・低圧用)</t>
  </si>
  <si>
    <t>Insulators (high and low voltage)</t>
  </si>
  <si>
    <t>その他の電気用品(陶磁器)</t>
  </si>
  <si>
    <t>Other electrical porcelain insulators(ceramic wares)</t>
  </si>
  <si>
    <t>台所・食卓用陶磁器(和飲食器)</t>
  </si>
  <si>
    <t>Ceramic wares for tablewares and kitchenwares (japanese style tablewares)</t>
  </si>
  <si>
    <t>台所・食卓用陶磁器(洋飲食器)</t>
  </si>
  <si>
    <t>Ceramic wares for tablewares and kitchenwares (foreign style tablewares)</t>
  </si>
  <si>
    <t>その他の台所・食卓用陶磁器</t>
  </si>
  <si>
    <t>Other ceramic tablewares and kitchenwares</t>
  </si>
  <si>
    <t>玩具・置物(陶磁器)</t>
  </si>
  <si>
    <t>Toys and ornamental ceramic wares</t>
  </si>
  <si>
    <t>ファインセラミックス(集積回路用パッケージ)</t>
  </si>
  <si>
    <t>Fine ceramics (ceramic packages for integrated circuits use)</t>
  </si>
  <si>
    <t>ファインセラミックス(機能回路用パッケージ)</t>
  </si>
  <si>
    <t>Fine ceramics (ceramic packages for functional circuits use)</t>
  </si>
  <si>
    <t>ファインセラミックス(白基板)</t>
  </si>
  <si>
    <t>Fine ceramics (ceramic substrates)</t>
  </si>
  <si>
    <t>ファインセラミックス(圧電機能素子)</t>
  </si>
  <si>
    <t>Fine ceramics (piezoelectric ceramic devices)</t>
  </si>
  <si>
    <t>ファインセラミックス(ガスセンサ素子)</t>
  </si>
  <si>
    <t>Fine ceramics (gas sensor ceramic devices)</t>
  </si>
  <si>
    <t>ファインセラミックス(生体用部材)</t>
  </si>
  <si>
    <t>Fine ceramics (bioceramics)</t>
  </si>
  <si>
    <t>その他のファインセラミックス機能材</t>
  </si>
  <si>
    <t>Other ceramic products for functional use</t>
  </si>
  <si>
    <t>ファインセラミックス(触媒担体・セラミックフィルタ)</t>
  </si>
  <si>
    <t>Fine ceramics (ceramic catalyst supports and ceramic filter)</t>
  </si>
  <si>
    <t>ファインセラミックス(耐熱材)</t>
  </si>
  <si>
    <t>Fine ceramics (heat‐resisting materials)</t>
  </si>
  <si>
    <t>ファインセラミックス(工具材)</t>
  </si>
  <si>
    <t>Fine ceramics (ceramic tools)</t>
  </si>
  <si>
    <t>ファインセラミックス(耐摩耗・耐食材)</t>
  </si>
  <si>
    <t>Fine ceramics (wear resisting materials and corrosion resisting materials)</t>
  </si>
  <si>
    <t>その他のファインセラミックス構造材</t>
  </si>
  <si>
    <t>Other ceramic materials for structural use</t>
  </si>
  <si>
    <r>
      <t>アンモニア(ＮＨ</t>
    </r>
    <r>
      <rPr>
        <vertAlign val="subscript"/>
        <sz val="11"/>
        <color theme="1"/>
        <rFont val="游ゴシック"/>
        <family val="3"/>
        <charset val="128"/>
        <scheme val="minor"/>
      </rPr>
      <t>３</t>
    </r>
    <r>
      <rPr>
        <sz val="11"/>
        <color theme="1"/>
        <rFont val="游ゴシック"/>
        <family val="3"/>
        <charset val="128"/>
        <scheme val="minor"/>
      </rPr>
      <t>１００％換算)</t>
    </r>
  </si>
  <si>
    <t>Ammonia (NH3 conv. to 100%)</t>
  </si>
  <si>
    <t>硝酸(９８％換算)</t>
  </si>
  <si>
    <t>Nitric acid (conv. to 98%)</t>
  </si>
  <si>
    <t>硫酸アンモニウム</t>
  </si>
  <si>
    <t>Ammonium sulfate</t>
  </si>
  <si>
    <t>複合肥料(高度化成)(粒状)</t>
  </si>
  <si>
    <t>Compound fertilizers (granular chemical fertilizer) high-analysis compound fertilizers (granulation)</t>
  </si>
  <si>
    <t>複合肥料(普通化成)(粒状)</t>
  </si>
  <si>
    <t>Compound fertilizers (granular chemical fertilizer) low-analysis compound fertilizers (granulation)</t>
  </si>
  <si>
    <t>生石灰</t>
  </si>
  <si>
    <t>Quick lime</t>
  </si>
  <si>
    <t>消石灰</t>
  </si>
  <si>
    <t>Slaked lime</t>
  </si>
  <si>
    <t>軽質炭酸カルシウム</t>
  </si>
  <si>
    <t>Precipitated calcium carbonate</t>
  </si>
  <si>
    <t>か性ソーダ(液体９７％換算・固形有姿)</t>
  </si>
  <si>
    <t>Sodium hydroxide (liquid(conv. to 97%)solid)</t>
  </si>
  <si>
    <t>塩素ガス</t>
  </si>
  <si>
    <t>Chlorine, gas</t>
  </si>
  <si>
    <t>液体塩素</t>
  </si>
  <si>
    <t>Chlorine, liquid</t>
  </si>
  <si>
    <t>塩酸(合成)(３５％換算)</t>
  </si>
  <si>
    <t>Hydrochloric acid (conv. to 35%) synthesis</t>
  </si>
  <si>
    <t>塩酸(副生)(３５％換算)</t>
  </si>
  <si>
    <t>Hydrochloric acid (conv. to 35%) by-product</t>
  </si>
  <si>
    <t>次亜塩素酸ナトリウム溶液(１２％換算)</t>
  </si>
  <si>
    <t>Sodium hypochlorite (conv. to 12%)</t>
  </si>
  <si>
    <t>コールタール</t>
  </si>
  <si>
    <t>Coal tar</t>
  </si>
  <si>
    <t>粗製ベンゼン（180℃までに100％留出のものに換算）</t>
  </si>
  <si>
    <t>Crude benzene(conv.to 100% distillation at temperature of less than 180℃)</t>
  </si>
  <si>
    <t>クレオソート油</t>
  </si>
  <si>
    <t>Creosote oil</t>
  </si>
  <si>
    <t>ナフタリン</t>
  </si>
  <si>
    <t>Naphthalene</t>
  </si>
  <si>
    <t>副生硫酸アンモニウム</t>
  </si>
  <si>
    <t>Ammonium sulfate ( by-products )</t>
  </si>
  <si>
    <t>ジフェニルメタンジイソシアネート</t>
  </si>
  <si>
    <t>Diphenyl methane diisocyanate</t>
  </si>
  <si>
    <t>シクロヘキサン</t>
  </si>
  <si>
    <t>Cyclohexane</t>
  </si>
  <si>
    <t>無水フタル酸(石油化学製品を除く)</t>
  </si>
  <si>
    <t>Phthalic anhydride (non-petroleum base)</t>
  </si>
  <si>
    <t>合成染料</t>
  </si>
  <si>
    <t>Synthetic dyes</t>
  </si>
  <si>
    <t>有機ゴム薬品</t>
  </si>
  <si>
    <t>Organic rubber chemicals</t>
  </si>
  <si>
    <t>発酵エチルアルコール(９５％)</t>
  </si>
  <si>
    <t>kl</t>
  </si>
  <si>
    <t>Ethyl alcohol (non-petroleum base)(conv.to 95%)</t>
  </si>
  <si>
    <t>ホルマリン</t>
  </si>
  <si>
    <t>Formalin</t>
  </si>
  <si>
    <t>塩化メチル</t>
  </si>
  <si>
    <t>Methyl chloride</t>
  </si>
  <si>
    <t>塩化メチレン</t>
  </si>
  <si>
    <t>Methylene chloride</t>
  </si>
  <si>
    <t>無水マレイン酸</t>
  </si>
  <si>
    <t>Maleic anhydride</t>
  </si>
  <si>
    <t>フタル酸系可塑剤</t>
  </si>
  <si>
    <t>Phthalate plasticizers</t>
  </si>
  <si>
    <t>りん酸系可塑剤</t>
  </si>
  <si>
    <t>Phosphate plasticizers</t>
  </si>
  <si>
    <t>エポキシ系可塑剤</t>
  </si>
  <si>
    <t>Epoxy plasticizers</t>
  </si>
  <si>
    <t>写真フィルム</t>
  </si>
  <si>
    <t>Photo film</t>
  </si>
  <si>
    <t>ポリエチレン(低密度のもの(密度０．９４未満のもの))</t>
  </si>
  <si>
    <t>Polyethylene (low-density ) (less than 0.94 density)</t>
  </si>
  <si>
    <t>ポリエチレン(高密度のもの(密度０．９４以上のもの))</t>
  </si>
  <si>
    <t>Polyethylene (high-density ) (greater than or equal to 0.94 density)</t>
  </si>
  <si>
    <t>ポリエチレン(エチレン・酢酸ビニルコポリマー)</t>
  </si>
  <si>
    <t>Polyethylene (ethylene­vinyl acetate copolymers)</t>
  </si>
  <si>
    <t>ポリスチレン(成形材料(ＧＰ・ＨＩ))</t>
  </si>
  <si>
    <t>Polystyrene (molding materials)(GP, HI)</t>
  </si>
  <si>
    <t>ポリスチレン(発泡用(ＦＳ))</t>
  </si>
  <si>
    <t>Foamed polystyrene (FS)</t>
  </si>
  <si>
    <t>ポリスチレン(ＡＳ樹脂・ＡＢＳ樹脂)</t>
  </si>
  <si>
    <t>Polystyrene ((styrene-acrylonitrile)(AS) &amp;(acrylonitrile-butadiene-styrene)(ABS))</t>
  </si>
  <si>
    <t>ポリプロピレン</t>
  </si>
  <si>
    <t>Polypropylene (PP)</t>
  </si>
  <si>
    <t>石油樹脂</t>
  </si>
  <si>
    <t>Petroleum resin</t>
  </si>
  <si>
    <t>スチレンブタジエンラバー(クラム(油入りを除く))</t>
  </si>
  <si>
    <t>Styrene­butadiene rubber (crumb rubber )(non-oil)</t>
  </si>
  <si>
    <t>スチレンブタジエンラバー(クラム(油入り))</t>
  </si>
  <si>
    <t>Styrene­butadiene rubber (crumb rubber )(oil extended)</t>
  </si>
  <si>
    <t>スチレンブタジエンラバー(ラテックス)</t>
  </si>
  <si>
    <t>Styrene­butadiene rubber (latex)</t>
  </si>
  <si>
    <t>アクリロニトリルブタジエンラバー</t>
  </si>
  <si>
    <t>Acrylonitrile­butadiene rubber</t>
  </si>
  <si>
    <t>ポリクロロプレン</t>
  </si>
  <si>
    <t>Polychloroprene</t>
  </si>
  <si>
    <t>ポリブタジエン</t>
  </si>
  <si>
    <t>Polybutadiene</t>
  </si>
  <si>
    <t>エチレンプロピレンラバー</t>
  </si>
  <si>
    <t>Ethylene­propylene rubber</t>
  </si>
  <si>
    <t>その他の合成ゴム</t>
  </si>
  <si>
    <t>Other synthetic rubber</t>
  </si>
  <si>
    <t>スチレンモノマー</t>
  </si>
  <si>
    <t>Styrene monomer</t>
  </si>
  <si>
    <t>フェノール</t>
  </si>
  <si>
    <t>Phenol</t>
  </si>
  <si>
    <t>ビスフェノールＡ</t>
  </si>
  <si>
    <t>Bisphenol A</t>
  </si>
  <si>
    <t>無水フタル酸</t>
  </si>
  <si>
    <t>Phthalic anhydride</t>
  </si>
  <si>
    <t>テレフタル酸(高純度のもの)</t>
  </si>
  <si>
    <t>Terephthalic acid (pure)</t>
  </si>
  <si>
    <t>純ベンゼン(非石油系を含む)</t>
  </si>
  <si>
    <t>Benzene, pure (including non-petroleum base)</t>
  </si>
  <si>
    <t>純トルエン(非石油系を含む)</t>
  </si>
  <si>
    <t>Toluene, pure (including non-petroleum base)</t>
  </si>
  <si>
    <t>キシレン(非石油系を含む)</t>
  </si>
  <si>
    <t>Xylene (including non-petroleum base)</t>
  </si>
  <si>
    <t>オルソキシレン</t>
  </si>
  <si>
    <t>Ortho-xylene</t>
  </si>
  <si>
    <t>パラキシレン</t>
  </si>
  <si>
    <t>Para-xylene</t>
  </si>
  <si>
    <t>エチレン</t>
  </si>
  <si>
    <t>Ethylene</t>
  </si>
  <si>
    <t>酸化エチレン</t>
  </si>
  <si>
    <t>Ethylene oxide</t>
  </si>
  <si>
    <t>エチレングリコール</t>
  </si>
  <si>
    <t>Ethylene glycol</t>
  </si>
  <si>
    <t>エチレングリコールエーテル</t>
  </si>
  <si>
    <t>Ethylene glycol ethers</t>
  </si>
  <si>
    <t>アセトアルデヒド</t>
  </si>
  <si>
    <t>Acetaldehyde</t>
  </si>
  <si>
    <t>エチルアルコール</t>
  </si>
  <si>
    <t>Ethyl alcohol</t>
  </si>
  <si>
    <t>二塩化エチレン</t>
  </si>
  <si>
    <t>Ethylene dichloride</t>
  </si>
  <si>
    <t>プロピレン</t>
  </si>
  <si>
    <t>Propylene</t>
  </si>
  <si>
    <t>酸化プロピレン</t>
  </si>
  <si>
    <t>Propylene oxide</t>
  </si>
  <si>
    <t>ポリプロピレングリコール</t>
  </si>
  <si>
    <t>Polypropylene glycol</t>
  </si>
  <si>
    <t>エピクロルヒドリン</t>
  </si>
  <si>
    <t>Epichlorohydrin</t>
  </si>
  <si>
    <t>イソプロピルアルコール</t>
  </si>
  <si>
    <t>Isopropyl alcohol</t>
  </si>
  <si>
    <t>合成アセトン</t>
  </si>
  <si>
    <t>Acetone, synthetic</t>
  </si>
  <si>
    <t>メチルイソブチルケトン</t>
  </si>
  <si>
    <t>Methyl isobutyl ketone</t>
  </si>
  <si>
    <t>アクリロニトリル</t>
  </si>
  <si>
    <t>Acrylonitrile</t>
  </si>
  <si>
    <t>アクリル酸エステル</t>
  </si>
  <si>
    <t>Acrylic esters</t>
  </si>
  <si>
    <t>合成オクタノール</t>
  </si>
  <si>
    <t>Octanol, synthetic</t>
  </si>
  <si>
    <t>合成ブタノール</t>
  </si>
  <si>
    <t>Butanol, synthetic</t>
  </si>
  <si>
    <t>メチルエチルケトン</t>
  </si>
  <si>
    <t>Methyl ethyl ketone</t>
  </si>
  <si>
    <t>ブタン・ブチレン</t>
  </si>
  <si>
    <t>Butane, butylene</t>
  </si>
  <si>
    <t>ブタジエン</t>
  </si>
  <si>
    <t>Butadiene</t>
  </si>
  <si>
    <t>分解ガソリン</t>
  </si>
  <si>
    <t>Pyrolysis gasoline</t>
  </si>
  <si>
    <t>ふっ化水素酸(５０％換算値)</t>
  </si>
  <si>
    <t>Hydrofluoric acid (conv.to 50%)</t>
  </si>
  <si>
    <t>りん酸</t>
  </si>
  <si>
    <t>Phosphoric acid</t>
  </si>
  <si>
    <t>水酸化カリウム</t>
  </si>
  <si>
    <t>Potassium hydroxide</t>
  </si>
  <si>
    <t>酸化亜鉛</t>
  </si>
  <si>
    <t>Zinc oxide</t>
  </si>
  <si>
    <t>酸化第二鉄</t>
  </si>
  <si>
    <t>Ferric oxide</t>
  </si>
  <si>
    <t>アゾ顔料</t>
  </si>
  <si>
    <t>Azo pigment</t>
  </si>
  <si>
    <t>フタロシアニン系顔料</t>
  </si>
  <si>
    <t>Copper phthalocyanine type pigments</t>
  </si>
  <si>
    <t>酸化チタン(アナタース型)</t>
  </si>
  <si>
    <t>Titanium oxide (anatase type)</t>
  </si>
  <si>
    <t>酸化チタン(ルチル型)</t>
  </si>
  <si>
    <t>Titanium oxide (rutile type)</t>
  </si>
  <si>
    <t>カーボンブラック</t>
  </si>
  <si>
    <t>Carbon black</t>
  </si>
  <si>
    <t>活性炭(粒状)</t>
  </si>
  <si>
    <t>Granular activated carbon</t>
  </si>
  <si>
    <t>硫酸アルミニウム(１４％固形換算値)</t>
  </si>
  <si>
    <t>Aluminum sulfates (conv. to 14%)</t>
  </si>
  <si>
    <t>ポリ塩化アルミニウム(アルミナ１０％換算値)</t>
  </si>
  <si>
    <t>Poly-aluminum chloride (alumina, conv. to 10%)</t>
  </si>
  <si>
    <t>よう素</t>
  </si>
  <si>
    <t>Iodine</t>
  </si>
  <si>
    <t>けい酸ナトリウム</t>
  </si>
  <si>
    <t>Sodium silicate</t>
  </si>
  <si>
    <t>過酸化水素(１００％重量換算値)</t>
  </si>
  <si>
    <t>Hydrogen peroxide (amount conv. to 100%)</t>
  </si>
  <si>
    <t>化学石こう(２水塩換算値)</t>
  </si>
  <si>
    <t>Chemical gypsum(conv. to dihydrate)</t>
  </si>
  <si>
    <t>硫酸(１００％換算値)</t>
  </si>
  <si>
    <t>Sulfuric acid (conv. to 100%)</t>
  </si>
  <si>
    <t>硝安油剤爆薬</t>
  </si>
  <si>
    <t>Ammonium nitrate fuel oil explosive</t>
  </si>
  <si>
    <t>火薬及びその他の爆薬(武器用を除く)</t>
  </si>
  <si>
    <t>Gunpowders and other explosives (except ammunition)</t>
  </si>
  <si>
    <t>石油精製用触媒(水素化処理用(重油脱硫用を含む))</t>
  </si>
  <si>
    <t>Catalyst for hydrotreating (including desulfurization of fuel oil)</t>
  </si>
  <si>
    <t>その他の石油精製用触媒</t>
  </si>
  <si>
    <t>Other catalyst for petroleum refining</t>
  </si>
  <si>
    <t>石油化学品製造用触媒</t>
  </si>
  <si>
    <t>Catalyst for petrochemical</t>
  </si>
  <si>
    <t>高分子重合用触媒</t>
  </si>
  <si>
    <t>Catalyst for polymerization</t>
  </si>
  <si>
    <t>油脂加工・医薬・食品製造用触媒</t>
  </si>
  <si>
    <t>Catalyst for oil &amp; fats processing , pharmaceutical and food production</t>
  </si>
  <si>
    <t>その他の工業用触媒(無機・雰囲気ガス等)</t>
  </si>
  <si>
    <t>Other catalyst for industrial use(inorganic gas, atmospheric gas etc.)</t>
  </si>
  <si>
    <t>自動車排気ガス浄化用触媒</t>
  </si>
  <si>
    <t>Catalyst for auto emissions control</t>
  </si>
  <si>
    <t>その他の環境保全用触媒</t>
  </si>
  <si>
    <t>Other catalyst for environmental</t>
  </si>
  <si>
    <t>酸素ガス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</si>
  <si>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</si>
  <si>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Oxygen,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</si>
  <si>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</si>
  <si>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液化酸素</t>
  </si>
  <si>
    <t>Oxygen, liquid</t>
  </si>
  <si>
    <t>窒素ガス</t>
  </si>
  <si>
    <t>Nitrogen, gas</t>
  </si>
  <si>
    <t>液化窒素</t>
  </si>
  <si>
    <t>Nitrogen, liquid</t>
  </si>
  <si>
    <t>アルゴン</t>
  </si>
  <si>
    <t>Argon</t>
  </si>
  <si>
    <t>水素</t>
  </si>
  <si>
    <t>Hydrogen</t>
  </si>
  <si>
    <t>溶解アセチレン</t>
  </si>
  <si>
    <t>Dissolved acetylene</t>
  </si>
  <si>
    <t>フルオロカーボン</t>
  </si>
  <si>
    <t>Fluoro carbon</t>
  </si>
  <si>
    <t>炭酸ガス</t>
  </si>
  <si>
    <t>Carbon dioxide</t>
  </si>
  <si>
    <t>フェノール樹脂(成形材料)</t>
  </si>
  <si>
    <t>Phenol­formaldehyde resins (PF)(molding materials)</t>
  </si>
  <si>
    <t>フェノール樹脂(積層品)</t>
  </si>
  <si>
    <t>Phenol­formaldehyde resins (PF)(laminates)</t>
  </si>
  <si>
    <t>フェノール樹脂(木材加工接着剤用)</t>
  </si>
  <si>
    <t>Phenol­formaldehyde resins (PF)(for lumber manufacturing adhesives)</t>
  </si>
  <si>
    <t>その他のフェノール樹脂</t>
  </si>
  <si>
    <t>Other phenol­formaldehyde resins (PF)</t>
  </si>
  <si>
    <t>ユリア樹脂</t>
  </si>
  <si>
    <t>Urea-formaldehyde resins (UF)</t>
  </si>
  <si>
    <t>メラミン樹脂(化粧板用)</t>
  </si>
  <si>
    <t>Melamine-formaldehyde resins (MF)(for decorative laminating)</t>
  </si>
  <si>
    <t>メラミン樹脂(塗料用)</t>
  </si>
  <si>
    <t>Melamine-formaldehyde resins (MF)(for coating)</t>
  </si>
  <si>
    <t>メラミン樹脂(接着剤用)</t>
  </si>
  <si>
    <t>Melamine-formaldehyde resins (MF)(for adhesives)</t>
  </si>
  <si>
    <t>その他のメラミン樹脂</t>
  </si>
  <si>
    <t>Other melamine-formaldehyde resins (MF)</t>
  </si>
  <si>
    <t>不飽和ポリエステル樹脂(ＦＲＰ用)</t>
  </si>
  <si>
    <t>Unsaturated polyester resins (UP)(for FRP)</t>
  </si>
  <si>
    <t>その他の不飽和ポリエステル樹脂</t>
  </si>
  <si>
    <t>Other unsaturated polyester resins (UP)</t>
  </si>
  <si>
    <t>アルキド樹脂</t>
  </si>
  <si>
    <t>Alkyd resins</t>
  </si>
  <si>
    <t>エポキシ樹脂</t>
  </si>
  <si>
    <t>Epoxy resins</t>
  </si>
  <si>
    <t>ウレタンフォーム(軟質)</t>
  </si>
  <si>
    <t>Polyurethane foam (flexible)</t>
  </si>
  <si>
    <t>ウレタンフォーム(硬質)</t>
  </si>
  <si>
    <t>Polyurethane foam (rigid)</t>
  </si>
  <si>
    <t>メタクリル酸エステル(モノマー)</t>
  </si>
  <si>
    <t>Methacrylate (monomer)</t>
  </si>
  <si>
    <t>メタクリル樹脂(成形材料)</t>
  </si>
  <si>
    <t>Methacrylic resins (molding materials)</t>
  </si>
  <si>
    <t>その他のメタクリル樹脂</t>
  </si>
  <si>
    <t>Other methacrylic resins (for others)</t>
  </si>
  <si>
    <t>酢酸ビニル(モノマー)</t>
  </si>
  <si>
    <t>Vinyl acetate (monomer)</t>
  </si>
  <si>
    <t>ポリビニルアルコール</t>
  </si>
  <si>
    <t>Polyvinyl alcohol (POVAL)</t>
  </si>
  <si>
    <t>塩化ビニル(モノマー)</t>
  </si>
  <si>
    <t>Vinyl chlorides (monomer)</t>
  </si>
  <si>
    <t>塩化ビニル樹脂(ポリマー)</t>
  </si>
  <si>
    <t>Polyvinyl chloride (PVC)(polymer)</t>
  </si>
  <si>
    <t>塩化ビニル樹脂(コポリマー)</t>
  </si>
  <si>
    <t>Polyvinyl chloride (PVC)(copolymer)</t>
  </si>
  <si>
    <t>塩化ビニル樹脂(ペースト)</t>
  </si>
  <si>
    <t>Polyvinyl chloride (PVC)(paste resin)</t>
  </si>
  <si>
    <t>カプロラクタム</t>
  </si>
  <si>
    <t>Caprolactam</t>
  </si>
  <si>
    <t>ポリアミド系樹脂成形材料</t>
  </si>
  <si>
    <t>Polyamide resins (molding material)</t>
  </si>
  <si>
    <t>ふっ素樹脂</t>
  </si>
  <si>
    <t>Fluorocarbon resins</t>
  </si>
  <si>
    <t>ポリカーボネート</t>
  </si>
  <si>
    <t>Polycarbonate</t>
  </si>
  <si>
    <t>ポリアセタール</t>
  </si>
  <si>
    <t>Polyacetal</t>
  </si>
  <si>
    <t>ポリエチレンテレフタレート(繊維用)</t>
  </si>
  <si>
    <t>Polyethylene terephthalate (PET)(for fiber)</t>
  </si>
  <si>
    <t>ポリエチレンテレフタレート(容器用)</t>
  </si>
  <si>
    <t>Polyethylene terephthalate (PET)(for bottle)</t>
  </si>
  <si>
    <t>その他のポリエチレンテレフタレート</t>
  </si>
  <si>
    <t>Other polyethylene terephthalate (PET)</t>
  </si>
  <si>
    <t>ポリブチレンテレフタレート</t>
  </si>
  <si>
    <t>Polybutylene terephthalate (PBT)</t>
  </si>
  <si>
    <t>ポリフェニレンサルファイド</t>
  </si>
  <si>
    <t xml:space="preserve">Polyphenylene sulfide </t>
  </si>
  <si>
    <t>その他の樹脂</t>
  </si>
  <si>
    <t>Other resins</t>
  </si>
  <si>
    <t>直分脂肪酸</t>
  </si>
  <si>
    <t>Split fatty acids</t>
  </si>
  <si>
    <t>硬化脂肪酸</t>
  </si>
  <si>
    <t>Hardened fatty acids</t>
  </si>
  <si>
    <t>分別・分留脂肪酸</t>
  </si>
  <si>
    <t>Fractionated, fractionally distillated fatty acids</t>
  </si>
  <si>
    <t>精製グリセリン(９８．５％換算)</t>
  </si>
  <si>
    <t>Refined glycerol (conv.to 98.5%)</t>
  </si>
  <si>
    <t>浴用固形石けん</t>
  </si>
  <si>
    <t>Soap (toilet soap, solid)</t>
  </si>
  <si>
    <t>手洗用液体石けん</t>
  </si>
  <si>
    <t>Soap (hand soap, liquid)</t>
  </si>
  <si>
    <t>その他の石けん</t>
  </si>
  <si>
    <t>Other soap</t>
  </si>
  <si>
    <t>洗顔・ボディ用身体洗浄剤</t>
  </si>
  <si>
    <t>Facial, body cleaners</t>
  </si>
  <si>
    <t>洗濯用粉末合成洗剤</t>
  </si>
  <si>
    <t>Powder laundry detergents</t>
  </si>
  <si>
    <t>洗濯用液体合成洗剤(中性)</t>
  </si>
  <si>
    <t>Liquid laundry detergents (including pastes)(neutral)</t>
  </si>
  <si>
    <t>洗濯用液体合成洗剤(中性以外のもの)</t>
  </si>
  <si>
    <t>Liquid laundry detergents (including pastes)(except neutral)</t>
  </si>
  <si>
    <t>台所用合成洗剤</t>
  </si>
  <si>
    <t>Kitchen detergents</t>
  </si>
  <si>
    <t>住宅・家具用合成洗剤</t>
  </si>
  <si>
    <t>Detergents for house, furniture</t>
  </si>
  <si>
    <t>柔軟仕上げ剤</t>
  </si>
  <si>
    <t>Fabric softeners</t>
  </si>
  <si>
    <t>漂白剤(酸素系)</t>
  </si>
  <si>
    <t>Bleaching agents (oxide type)</t>
  </si>
  <si>
    <t>漂白剤(塩素系)</t>
  </si>
  <si>
    <t>Bleaching agents (chloride type)</t>
  </si>
  <si>
    <t>酸・アルカリ洗浄剤</t>
  </si>
  <si>
    <t>Acid and alkaline cleaners</t>
  </si>
  <si>
    <t>クレンザー</t>
  </si>
  <si>
    <t>Scouring cleanser</t>
  </si>
  <si>
    <t>陰イオン界面活性剤(硫酸エステル型)</t>
  </si>
  <si>
    <t>Anionic surfactants (sulfate type)</t>
  </si>
  <si>
    <t>陰イオン界面活性剤(アルキル(アリル)スルホネート)</t>
  </si>
  <si>
    <t>Anionic surfactants (alkyl(aryl)sulfonates)</t>
  </si>
  <si>
    <t>陰イオン界面活性剤(その他のスルホン酸型)</t>
  </si>
  <si>
    <t>Anionic surfactants (other sulfate type)</t>
  </si>
  <si>
    <t>その他の陰イオン界面活性剤</t>
  </si>
  <si>
    <t>Other anionic surfactants</t>
  </si>
  <si>
    <t>陽イオン界面活性剤</t>
  </si>
  <si>
    <t>Cationic surfactants</t>
  </si>
  <si>
    <t>非イオン界面活性剤(ＰＯＥアルキルエーテル)</t>
  </si>
  <si>
    <t>Nonionic surfactants (polyoxyethlene alkyl ethers)</t>
  </si>
  <si>
    <t>非イオン界面活性剤(ＰＯＥアルキルアリルエーテル)</t>
  </si>
  <si>
    <t>Nonionic surfactants (polyoxyethlene alkyl aryl ethers)</t>
  </si>
  <si>
    <t>非イオン界面活性剤(その他のエーテル)</t>
  </si>
  <si>
    <t>Nonionic surfactants (other ethers)</t>
  </si>
  <si>
    <t>非イオン界面活性剤(エステル・エーテル型)</t>
  </si>
  <si>
    <t>Nonionic surfactants (ester-ether type)</t>
  </si>
  <si>
    <t>非イオン界面活性剤(多価アルコールエステル)</t>
  </si>
  <si>
    <t>Nonionic surfactants (polyhydric alcohol esters)</t>
  </si>
  <si>
    <t>その他の非イオン界面活性剤</t>
  </si>
  <si>
    <t>Other nonionic surfactants</t>
  </si>
  <si>
    <t>両性イオン界面活性剤</t>
  </si>
  <si>
    <t>Amphoteric surfactants</t>
  </si>
  <si>
    <t>調合界面活性剤</t>
  </si>
  <si>
    <t>Surface-active preparations</t>
  </si>
  <si>
    <t>香水・オーデコロン</t>
  </si>
  <si>
    <t>Perfume and eau de cologne</t>
  </si>
  <si>
    <t>販売個数</t>
  </si>
  <si>
    <t>十個</t>
  </si>
  <si>
    <t>Sales number</t>
  </si>
  <si>
    <t>ten</t>
  </si>
  <si>
    <t>シャンプー</t>
  </si>
  <si>
    <t>Shampoo</t>
  </si>
  <si>
    <t>ヘアリンス</t>
  </si>
  <si>
    <t>Hair rinse</t>
  </si>
  <si>
    <t>ヘアトニック</t>
  </si>
  <si>
    <t>Hair tonic</t>
  </si>
  <si>
    <t>ヘアトリートメント</t>
  </si>
  <si>
    <t>Hair treatment</t>
  </si>
  <si>
    <t>ポマード・チック・ヘアクリーム・香油</t>
  </si>
  <si>
    <t>Hair pomade, tique, hair cream, hair oil</t>
  </si>
  <si>
    <t>液状・泡状整髪料</t>
  </si>
  <si>
    <t>Liquid and foamy hair dressing</t>
  </si>
  <si>
    <t>セットローション</t>
  </si>
  <si>
    <t>Waveset lotion</t>
  </si>
  <si>
    <t>ヘアスプレー</t>
  </si>
  <si>
    <t>Hair spray</t>
  </si>
  <si>
    <t>染毛料</t>
  </si>
  <si>
    <t>Hair coloring preparations</t>
  </si>
  <si>
    <t>その他の頭髪用化粧品</t>
  </si>
  <si>
    <t>Other hair care products</t>
  </si>
  <si>
    <t>洗顔クリーム・フォーム</t>
  </si>
  <si>
    <t>Facial washing cream and foam</t>
  </si>
  <si>
    <t>クレンジングクリーム</t>
  </si>
  <si>
    <t>Cleansing cream</t>
  </si>
  <si>
    <t>マッサージ・コールドクリーム</t>
  </si>
  <si>
    <t>Massage and cold cream</t>
  </si>
  <si>
    <t>モイスチャークリーム</t>
  </si>
  <si>
    <t>Moisture cream</t>
  </si>
  <si>
    <t>乳液</t>
  </si>
  <si>
    <t>Milky lotion</t>
  </si>
  <si>
    <t>化粧水</t>
  </si>
  <si>
    <t>Skin lotion</t>
  </si>
  <si>
    <t>美容液</t>
  </si>
  <si>
    <t>Beauty essence</t>
  </si>
  <si>
    <t>パック</t>
  </si>
  <si>
    <t>Beauty mask</t>
  </si>
  <si>
    <t>男性皮膚用化粧品</t>
  </si>
  <si>
    <t>Skin care for men</t>
  </si>
  <si>
    <t>その他の皮膚用化粧品</t>
  </si>
  <si>
    <t>Other skin care products</t>
  </si>
  <si>
    <t>ファンデーション</t>
  </si>
  <si>
    <t>Makeup foundation</t>
  </si>
  <si>
    <t>おしろい</t>
  </si>
  <si>
    <t>Face powder</t>
  </si>
  <si>
    <t>口紅</t>
  </si>
  <si>
    <t>Lipstick</t>
  </si>
  <si>
    <t>リップクリーム</t>
  </si>
  <si>
    <t>Lip cream</t>
  </si>
  <si>
    <t>ほほ紅</t>
  </si>
  <si>
    <t>Cheek color</t>
  </si>
  <si>
    <t>アイメークアップ</t>
  </si>
  <si>
    <t>Eye makeup</t>
  </si>
  <si>
    <t>まゆ墨・まつ毛化粧料</t>
  </si>
  <si>
    <t>Eye brow and mascara</t>
  </si>
  <si>
    <t>つめ化粧料(除光液を含む)</t>
  </si>
  <si>
    <t>Nail makeup preparations (including nail makeup remover)</t>
  </si>
  <si>
    <t>その他の仕上用化粧品</t>
  </si>
  <si>
    <t>Other makeup products</t>
  </si>
  <si>
    <t>日やけ止め及び日やけ用化粧品</t>
  </si>
  <si>
    <t>Sunscreen and suntan preparations</t>
  </si>
  <si>
    <t>ひげそり用・浴用化粧品</t>
  </si>
  <si>
    <t>Shaving and bath preparations</t>
  </si>
  <si>
    <t>その他の特殊用途化粧品</t>
  </si>
  <si>
    <t>Other specific use products</t>
  </si>
  <si>
    <t>ラッカー</t>
  </si>
  <si>
    <t>Nitrocellulose lacquers</t>
  </si>
  <si>
    <t>電気絶縁塗料</t>
  </si>
  <si>
    <t>Insulating paints</t>
  </si>
  <si>
    <t>ワニス・エナメル</t>
  </si>
  <si>
    <t>Varnishes and enamels</t>
  </si>
  <si>
    <t>調合ペイント</t>
  </si>
  <si>
    <t>Ready mixed paint</t>
  </si>
  <si>
    <t>さび止ペイント</t>
  </si>
  <si>
    <t>Anti-corrosive paint</t>
  </si>
  <si>
    <t>アミノアルキド樹脂系塗料</t>
  </si>
  <si>
    <t>Amino alkyd resin paints</t>
  </si>
  <si>
    <t>アクリル樹脂系塗料(常温乾燥型)</t>
  </si>
  <si>
    <t>Acrylic resin paints(air type)</t>
  </si>
  <si>
    <t>アクリル樹脂系塗料(焼付乾燥型)</t>
  </si>
  <si>
    <t>Acrylic resin paints(baking type)</t>
  </si>
  <si>
    <t>エポキシ樹脂系塗料</t>
  </si>
  <si>
    <t>Epoxy resin paints</t>
  </si>
  <si>
    <t>ウレタン樹脂系塗料</t>
  </si>
  <si>
    <t>Polyurethane paints</t>
  </si>
  <si>
    <t>不飽和ポリエステル樹脂系塗料</t>
  </si>
  <si>
    <t>Unsaturated polyester resin paints</t>
  </si>
  <si>
    <t>船底塗料</t>
  </si>
  <si>
    <t>Ship bottom paints</t>
  </si>
  <si>
    <t>その他の溶剤系塗料</t>
  </si>
  <si>
    <t>Other solvent varnishes</t>
  </si>
  <si>
    <t>エマルションペイント</t>
  </si>
  <si>
    <t>Emulsion paints</t>
  </si>
  <si>
    <t>厚膜型エマルションペイント</t>
  </si>
  <si>
    <t>Emulsion paints high build textured</t>
  </si>
  <si>
    <t>水性樹脂系塗料</t>
  </si>
  <si>
    <t>Water soluble resin paints</t>
  </si>
  <si>
    <t>粉体塗料</t>
  </si>
  <si>
    <t>Powdered paints</t>
  </si>
  <si>
    <t>トラフィックペイント</t>
  </si>
  <si>
    <t>Traffic paints</t>
  </si>
  <si>
    <t>その他の塗料</t>
  </si>
  <si>
    <t>Other paints</t>
  </si>
  <si>
    <t>シンナー</t>
  </si>
  <si>
    <t>Thinners</t>
  </si>
  <si>
    <t>平版インキ</t>
  </si>
  <si>
    <t>Planographic inks</t>
  </si>
  <si>
    <t>樹脂凸版インキ</t>
  </si>
  <si>
    <t>Resin letterpress inks</t>
  </si>
  <si>
    <t>金属印刷インキ</t>
  </si>
  <si>
    <t>Metal decorating inks</t>
  </si>
  <si>
    <t>グラビアインキ</t>
  </si>
  <si>
    <t>Gravure inks</t>
  </si>
  <si>
    <t>その他の一般インキ</t>
  </si>
  <si>
    <t>Other general inks</t>
  </si>
  <si>
    <t>新聞インキ</t>
  </si>
  <si>
    <t>News papers inks</t>
  </si>
  <si>
    <t>印刷インキ用ワニス</t>
  </si>
  <si>
    <t>Printing ink varnishes</t>
  </si>
  <si>
    <t>トラック・バス用タイヤ</t>
  </si>
  <si>
    <t>Tires for trucks and buses</t>
  </si>
  <si>
    <t>1000 pieces</t>
  </si>
  <si>
    <t>乗用車用タイヤ</t>
  </si>
  <si>
    <t>Tires for passenger cars</t>
  </si>
  <si>
    <t>小型トラック用タイヤ</t>
  </si>
  <si>
    <t>Tires for light trucks</t>
  </si>
  <si>
    <t>二輪自動車用タイヤ</t>
  </si>
  <si>
    <t>Tires for motorcycles</t>
  </si>
  <si>
    <t>特殊車両用タイヤ</t>
  </si>
  <si>
    <t>Tires for special motor vehicles</t>
  </si>
  <si>
    <t>ゴム底布ぐつ</t>
  </si>
  <si>
    <t>千足</t>
  </si>
  <si>
    <t>Rubber-soled canvas shoes</t>
  </si>
  <si>
    <t>1000 pairs</t>
  </si>
  <si>
    <t>生産新ゴム量</t>
  </si>
  <si>
    <t>新ゴム量t</t>
  </si>
  <si>
    <t>Tonnage of production "new rubber"</t>
  </si>
  <si>
    <t>new rubber/t</t>
  </si>
  <si>
    <t>その他のゴム製履物(総ゴムぐつを含む)</t>
  </si>
  <si>
    <t>Other articles for shoes (boots and shoes, wholly of rubber)</t>
  </si>
  <si>
    <t>プラスチック製くつ(射出成形品)</t>
  </si>
  <si>
    <t>Boots and shoes (footwear of artificial plastic materials )(injected)</t>
  </si>
  <si>
    <t>その他のプラスチック製履物(ゴム・プラスチック製底のくつ、サンダルを含む)</t>
  </si>
  <si>
    <t>Other footwear of artificial plastic materials (inc. footwear with soles of rubber and plastic, plastic sandals)</t>
  </si>
  <si>
    <t>コンベヤ用ゴムベルト</t>
  </si>
  <si>
    <t>千cmプライ</t>
  </si>
  <si>
    <t>Rubber belting for conveyor and elevator</t>
  </si>
  <si>
    <t>1000㎝Ply</t>
  </si>
  <si>
    <t>歯付ゴムベルト</t>
  </si>
  <si>
    <t>Rubber synchronous belts</t>
  </si>
  <si>
    <t>その他のゴムベルト</t>
  </si>
  <si>
    <t>Other rubber beltings</t>
  </si>
  <si>
    <t>高圧用ゴムホース</t>
  </si>
  <si>
    <t>千m</t>
  </si>
  <si>
    <t>Rubber hoses for high pressure</t>
  </si>
  <si>
    <t>1000m</t>
  </si>
  <si>
    <t>自動車用ゴムホース</t>
  </si>
  <si>
    <t>Rubber hoses for automobiles</t>
  </si>
  <si>
    <t>その他のゴムホース</t>
  </si>
  <si>
    <t>Other rubber hoses</t>
  </si>
  <si>
    <t>防振ゴム</t>
  </si>
  <si>
    <t>Anti-vibration rubber</t>
  </si>
  <si>
    <t>ゴム製防げん材</t>
  </si>
  <si>
    <t>Marine fender</t>
  </si>
  <si>
    <t>ゴムロール(一般工業用等)</t>
  </si>
  <si>
    <t>Industrial rubber covered rollers</t>
  </si>
  <si>
    <t>ゴム製パッキン類</t>
  </si>
  <si>
    <t>Rubber packing</t>
  </si>
  <si>
    <t>オイルシール（ゴム製パッキン類の内数）</t>
  </si>
  <si>
    <t>Oil seals</t>
  </si>
  <si>
    <t>ゴム製スポンジ製品</t>
  </si>
  <si>
    <t>Sponge rubber</t>
  </si>
  <si>
    <t>ゴム板</t>
  </si>
  <si>
    <t>Rubber sheeting</t>
  </si>
  <si>
    <t>その他の工業用ゴム製品(自動車用タイヤを除く)</t>
  </si>
  <si>
    <t>Other industrial rubber products (except tires for automobiles)</t>
  </si>
  <si>
    <t>更生タイヤ用練生地</t>
  </si>
  <si>
    <t>Compounded rubber for retread tires and recapped tires</t>
  </si>
  <si>
    <t>医療・衛生用ゴム製品</t>
  </si>
  <si>
    <t>Rubber products for medical and surgical dressings</t>
  </si>
  <si>
    <t>運動競技用ゴム製品</t>
  </si>
  <si>
    <t>Rubber products for athletics</t>
  </si>
  <si>
    <t>その他のゴム製品(自動車用タイヤを除く)</t>
  </si>
  <si>
    <t>Other rubber products (except tires for automobiles)</t>
  </si>
  <si>
    <t>再生ゴム</t>
  </si>
  <si>
    <t>Regenerated rubber</t>
  </si>
  <si>
    <t>プラスチック製農業用フィルム(軟質製品)</t>
  </si>
  <si>
    <t>Plastic film for agriculture (soft plastic goods)</t>
  </si>
  <si>
    <t>プラスチック製包装用フィルム(軟質製品)</t>
  </si>
  <si>
    <t>Plastic film for packages (soft plastic goods)</t>
  </si>
  <si>
    <t>プラスチック製ラミネートフィルム(軟質製品)</t>
  </si>
  <si>
    <t>Plastic film for laminate (soft plastic goods)</t>
  </si>
  <si>
    <t>プラスチック製その他のフィルム(軟質製品)</t>
  </si>
  <si>
    <t>Plastic film for others (soft plastic goods)</t>
  </si>
  <si>
    <t>プラスチック製フィルム(硬質製品)</t>
  </si>
  <si>
    <t>Plastic film (hard plastic goods)</t>
  </si>
  <si>
    <t>プラスチック製シート</t>
  </si>
  <si>
    <t>Plastic sheets</t>
  </si>
  <si>
    <t>プラスチック製平板</t>
  </si>
  <si>
    <t>Plastic flat plates</t>
  </si>
  <si>
    <t>プラスチック製波板</t>
  </si>
  <si>
    <t>Plastic wave plates</t>
  </si>
  <si>
    <t>プラスチック製合成皮革</t>
  </si>
  <si>
    <t>Plastic synthetic leathers (supported sheets)</t>
  </si>
  <si>
    <t>プラスチック製パイプ</t>
  </si>
  <si>
    <t>Plastic pipes</t>
  </si>
  <si>
    <t>プラスチック製継手</t>
  </si>
  <si>
    <t>Plastic pipe fittings</t>
  </si>
  <si>
    <t>プラスチック製輸送機械用部品</t>
  </si>
  <si>
    <t>Plastic products for transport equipment parts</t>
  </si>
  <si>
    <t>プラスチック製電気通信用部品</t>
  </si>
  <si>
    <t>Plastic products for electronic communication equipment parts</t>
  </si>
  <si>
    <t>プラスチック製その他の機械器具部品</t>
  </si>
  <si>
    <t>Plastic products for other machine tools and parts</t>
  </si>
  <si>
    <t>プラスチック製日用品・雑貨</t>
  </si>
  <si>
    <t>Plastic products for daily necessaries and miscellaneous goods</t>
  </si>
  <si>
    <t>プラスチック製中空成形容器</t>
  </si>
  <si>
    <t>Plastic containers (blow-molding)</t>
  </si>
  <si>
    <t>プラスチック製その他の容器</t>
  </si>
  <si>
    <t>Plastic containers (except blow-molding)</t>
  </si>
  <si>
    <t>プラスチック製雨どい及び同付属品</t>
  </si>
  <si>
    <t>Plastic materials for rainwater pipes and attachments</t>
  </si>
  <si>
    <t>プラスチック製床材料</t>
  </si>
  <si>
    <t>Plastic materials for floor materials</t>
  </si>
  <si>
    <t>プラスチック製その他の建材</t>
  </si>
  <si>
    <t>Plastic materials for other building materials</t>
  </si>
  <si>
    <t>プラスチック製板物(発泡製品)</t>
  </si>
  <si>
    <t>Plastic foam plates</t>
  </si>
  <si>
    <t>プラスチック製型物(発泡製品)</t>
  </si>
  <si>
    <t>Plastic foam moulds</t>
  </si>
  <si>
    <t>プラスチック製その他の発泡製品</t>
  </si>
  <si>
    <t>Other plastic foam products</t>
  </si>
  <si>
    <t>プラスチック製強化製品</t>
  </si>
  <si>
    <t>Plastic reinforced products</t>
  </si>
  <si>
    <t>プラスチック製異形押出製品(建材を除く)</t>
  </si>
  <si>
    <t>Deformed extruding products (except material for building)</t>
  </si>
  <si>
    <t>プラスチック製ホース</t>
  </si>
  <si>
    <t>Plastic hoses</t>
  </si>
  <si>
    <t>プラスチック製ディスクレコード</t>
  </si>
  <si>
    <t>Plastic disk records</t>
  </si>
  <si>
    <t>プラスチック製その他製品</t>
  </si>
  <si>
    <t>Other plastic products</t>
  </si>
  <si>
    <t>プラスチック製浴槽 (特掲)</t>
  </si>
  <si>
    <t>(inserted specially) Plastic bathtubs</t>
  </si>
  <si>
    <t>プラスチック製浄化槽 (特掲)</t>
  </si>
  <si>
    <t>(inserted specially) Plastic septic tanks</t>
  </si>
  <si>
    <t>板ガラス</t>
  </si>
  <si>
    <t>換算箱</t>
  </si>
  <si>
    <t>Flat glass</t>
  </si>
  <si>
    <t>blocks</t>
  </si>
  <si>
    <t>自動車用・鉄道車両用合わせガラス</t>
  </si>
  <si>
    <t>Laminated glass for road vehicles and railway rolling stock</t>
  </si>
  <si>
    <t>その他の合わせガラス</t>
  </si>
  <si>
    <t>Other laminated glass</t>
  </si>
  <si>
    <t>強化ガラス</t>
  </si>
  <si>
    <t>Tempered glass</t>
  </si>
  <si>
    <t>複層ガラス</t>
  </si>
  <si>
    <t>Multiple glass</t>
  </si>
  <si>
    <t>ガラス短繊維(フェルト)</t>
  </si>
  <si>
    <t>Glass fiber wool products (glass fiber wool felts)</t>
  </si>
  <si>
    <t>ガラス短繊維(ボード)</t>
  </si>
  <si>
    <t>Glass fiber wool products (glass fiber wool boards)</t>
  </si>
  <si>
    <t>その他のガラス短繊維</t>
  </si>
  <si>
    <t>Other glass fiber wool products</t>
  </si>
  <si>
    <t>ガラス長繊維(ロービング)</t>
  </si>
  <si>
    <t>Glass fiber continuous textiles (glass fiber rovings)</t>
  </si>
  <si>
    <t>ガラス長繊維(チョップドストランド)</t>
  </si>
  <si>
    <t>Glass fiber continuous textiles (glass fiber chopped strand)</t>
  </si>
  <si>
    <t>ガラス長繊維(マット)</t>
  </si>
  <si>
    <t>Glass fiber continuous textiles (glass fiber mats)</t>
  </si>
  <si>
    <t>ガラス長繊維(糸)</t>
  </si>
  <si>
    <t>Glass fiber continuous textiles (glass fiber yarn)</t>
  </si>
  <si>
    <t>ガラス長繊維(布)</t>
  </si>
  <si>
    <t>Glass fiber continuous textiles (glass fiber cloth)</t>
  </si>
  <si>
    <t>その他のガラス長繊維</t>
  </si>
  <si>
    <t>Other glass fiber continuous textiles</t>
  </si>
  <si>
    <t>耐火れんが(粘土質)</t>
  </si>
  <si>
    <t>Fireclay refractory bricks</t>
  </si>
  <si>
    <t>耐火れんが(高アルミナ質(電鋳品を含む))</t>
  </si>
  <si>
    <t>High­alumina refractory bricks (including electrically casted high­alumina refractory bricks)</t>
  </si>
  <si>
    <t>耐火れんが(塩基性れんが(ドロマイト質を含む))</t>
  </si>
  <si>
    <t>Basic refractory bricks (including dolomitic refractory bricks)</t>
  </si>
  <si>
    <t>耐火れんが(ジルコン(ジルコニアを含む))</t>
  </si>
  <si>
    <t>Zircon bricks (including zirconia bricks)</t>
  </si>
  <si>
    <t>その他の耐火れんが</t>
  </si>
  <si>
    <t>Other refractory bricks</t>
  </si>
  <si>
    <t>キャスタブル耐火物</t>
  </si>
  <si>
    <t>Castable refractories</t>
  </si>
  <si>
    <t>吹付材耐火物</t>
  </si>
  <si>
    <t>Gunning refractories</t>
  </si>
  <si>
    <t>その他の不定形耐火物</t>
  </si>
  <si>
    <t>Other monolithic refractories</t>
  </si>
  <si>
    <t>人造黒鉛電極(丸形)</t>
  </si>
  <si>
    <t>Artificial graphite electrodes (circle)</t>
  </si>
  <si>
    <t>その他の炭素製電極(連続自焼式電極ペーストを含む)</t>
  </si>
  <si>
    <t>Other solidity carbonaceous (including so­derberg paste)</t>
  </si>
  <si>
    <t>炭素製ブラシ</t>
  </si>
  <si>
    <t>Carbon brushes</t>
  </si>
  <si>
    <t>特殊炭素製品</t>
  </si>
  <si>
    <t>Carbon specialties products</t>
  </si>
  <si>
    <t>炭素繊維</t>
  </si>
  <si>
    <t>Carbon fiber</t>
  </si>
  <si>
    <t>ビトリファイド法砥石</t>
  </si>
  <si>
    <t>Vitrified grinding wheels</t>
  </si>
  <si>
    <t>レジノイド法砥石</t>
  </si>
  <si>
    <t>Resinoid grinding wheels</t>
  </si>
  <si>
    <t>せっこうボード</t>
  </si>
  <si>
    <t>Gypsum board</t>
  </si>
  <si>
    <t>繊維板(硬質)</t>
  </si>
  <si>
    <t>Fiberboard (hard fiberboard)</t>
  </si>
  <si>
    <t>繊維板(中質)</t>
  </si>
  <si>
    <t>Fiberboard (medium density fiberboard)</t>
  </si>
  <si>
    <t>繊維板(軟質)</t>
  </si>
  <si>
    <t>Fiberboard (insulation fiberboard)</t>
  </si>
  <si>
    <t>パーティクルボード</t>
  </si>
  <si>
    <t>Particle board</t>
  </si>
  <si>
    <t>プレハブ建築用コンクリート系パネル</t>
  </si>
  <si>
    <t>Panels for prefabricated construction(concrete panels)</t>
  </si>
  <si>
    <t>プレハブ建築用軽量鉄骨系パネル</t>
  </si>
  <si>
    <t>Panels for prefabricated construction(light weight reinforced steel panels)</t>
  </si>
  <si>
    <t>プレハブ建築用木質系パネル</t>
  </si>
  <si>
    <t>Panels for prefabricated construction(wooden panels)</t>
  </si>
  <si>
    <t>木造住宅用アルミニウムサッシ（アルミ）</t>
  </si>
  <si>
    <t>Aluminum sashes for wooden house(aluminum)</t>
  </si>
  <si>
    <t>木造住宅用アルミニウムサッシ（アルミ樹脂複合）</t>
  </si>
  <si>
    <t>Aluminum sashes for wooden house(aluminum plastic combined)</t>
  </si>
  <si>
    <t>ビル用アルミニウムサッシ</t>
  </si>
  <si>
    <t>Aluminum sashes for building</t>
  </si>
  <si>
    <t>アルミニウムドア</t>
  </si>
  <si>
    <t>Aluminum doors</t>
  </si>
  <si>
    <t>アルミニウムエクステリア</t>
  </si>
  <si>
    <t>Aluminum exterior</t>
  </si>
  <si>
    <t>アルミニウム製室内建具</t>
  </si>
  <si>
    <t>Aluminum interior products</t>
  </si>
  <si>
    <t>スチール又はステンレスサッシ</t>
  </si>
  <si>
    <t>Steel and stainless steel sashes</t>
  </si>
  <si>
    <t>スチール又はステンレスドア</t>
  </si>
  <si>
    <t>Steel and stainless steel doors</t>
  </si>
  <si>
    <t>スチール又はステンレスシャッター</t>
  </si>
  <si>
    <t>Steel and stainless steel shutters</t>
  </si>
  <si>
    <t>早強・中庸熱ポルトランドセメント</t>
  </si>
  <si>
    <t>High early strength and moderate heat portland cement</t>
  </si>
  <si>
    <t>普通ポルトランドセメント</t>
  </si>
  <si>
    <t>Ordinary portland cement</t>
  </si>
  <si>
    <t>高炉セメント</t>
  </si>
  <si>
    <t>Portland blast­furnace cement</t>
  </si>
  <si>
    <t>その他のセメント</t>
  </si>
  <si>
    <t>Other cement</t>
  </si>
  <si>
    <t>クリンカ</t>
  </si>
  <si>
    <t>Clinker</t>
  </si>
  <si>
    <t>遠心力鉄筋コンクリート管</t>
  </si>
  <si>
    <t>Centrifugal reinforced­concrete pipes</t>
  </si>
  <si>
    <t>遠心力鉄筋コンクリートポール</t>
  </si>
  <si>
    <t>Centrifugal reinforced­concrete poles</t>
  </si>
  <si>
    <t>遠心力鉄筋コンクリートパイル</t>
  </si>
  <si>
    <t>Centrifugal reinforced­concrete piles</t>
  </si>
  <si>
    <t>空洞コンクリートブロック</t>
  </si>
  <si>
    <t>Hollow concrete blocks</t>
  </si>
  <si>
    <t>護岸用コンクリートブロック</t>
  </si>
  <si>
    <t>Concrete blocks for bank protection</t>
  </si>
  <si>
    <t>道路用コンクリート製品</t>
  </si>
  <si>
    <t>Concrete products for road</t>
  </si>
  <si>
    <t>プレストレストコンクリート製品(はり・けた)</t>
  </si>
  <si>
    <t>Prestressed concrete products(beam and crossbeam)</t>
  </si>
  <si>
    <t>その他のプレストレストコンクリート製品</t>
  </si>
  <si>
    <t>Other prestressed concrete products</t>
  </si>
  <si>
    <t>木毛･木片セメント板</t>
  </si>
  <si>
    <t>Wood wool and wooden chip cement board</t>
  </si>
  <si>
    <t>1000sheets</t>
  </si>
  <si>
    <t>気泡コンクリート製品</t>
  </si>
  <si>
    <r>
      <t>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</si>
  <si>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Autoclaved light weight concrete products</t>
  </si>
  <si>
    <t>けい石</t>
  </si>
  <si>
    <t>Silica stone</t>
  </si>
  <si>
    <t>石灰石</t>
  </si>
  <si>
    <t>Limestone</t>
  </si>
  <si>
    <t>ドロマイト</t>
  </si>
  <si>
    <t>Dolomite</t>
  </si>
  <si>
    <t>けい砂</t>
  </si>
  <si>
    <t>Silica sand</t>
  </si>
  <si>
    <t>コークス</t>
  </si>
  <si>
    <t>Coal coke</t>
  </si>
  <si>
    <t>金鉱(金含有量)</t>
  </si>
  <si>
    <t>g</t>
  </si>
  <si>
    <t>Gold ores (concentrate ore production, gold content)</t>
  </si>
  <si>
    <t>金鉱(銀含有量)</t>
  </si>
  <si>
    <t>Gold ores (concentrate ore production, silver content)</t>
  </si>
  <si>
    <t>金鉱(鉛含有量)</t>
  </si>
  <si>
    <t>Gold ores (concentrate ore production, plumbum content)</t>
  </si>
  <si>
    <t>金鉱(亜鉛含有量)</t>
  </si>
  <si>
    <t>Gold ores (concentrate ore production, zinc content)</t>
  </si>
  <si>
    <t>出荷数量</t>
  </si>
  <si>
    <t>Shipments quantity</t>
  </si>
  <si>
    <t>原油</t>
  </si>
  <si>
    <t>Crude oil</t>
  </si>
  <si>
    <t>天然ガス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</si>
  <si>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(基準状態)</t>
    </r>
  </si>
  <si>
    <t>Natural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</si>
  <si>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(in standard condition)</t>
    </r>
  </si>
  <si>
    <t>自動車用高級ガソリン</t>
  </si>
  <si>
    <t>Premium motor gasoline</t>
  </si>
  <si>
    <t>出荷数量（販売部門）</t>
  </si>
  <si>
    <t>Shipments quantity "to sales department"</t>
  </si>
  <si>
    <t>自動車用並級ガソリン</t>
  </si>
  <si>
    <t>Regular motor gasoline</t>
  </si>
  <si>
    <t>その他用ガソリン</t>
  </si>
  <si>
    <t xml:space="preserve">Gasoline use for others </t>
  </si>
  <si>
    <t>石油化学用ナフサ</t>
  </si>
  <si>
    <t>Naphtha for petrochemical use</t>
  </si>
  <si>
    <t>その他用ナフサ</t>
  </si>
  <si>
    <t>Naphtha use for others</t>
  </si>
  <si>
    <t>ジェット燃料油</t>
  </si>
  <si>
    <t>Jet fuel</t>
  </si>
  <si>
    <t>灯油</t>
  </si>
  <si>
    <t>Kerosene</t>
  </si>
  <si>
    <t>軽油</t>
  </si>
  <si>
    <t>Gas oil</t>
  </si>
  <si>
    <t>Ａ重油</t>
  </si>
  <si>
    <t>Fuel oil A</t>
  </si>
  <si>
    <t>Ｂ・Ｃ重油</t>
  </si>
  <si>
    <t>Fuel oil B, C</t>
  </si>
  <si>
    <t>潤滑油</t>
  </si>
  <si>
    <t>Lubricating oil</t>
  </si>
  <si>
    <t>パラフィン</t>
  </si>
  <si>
    <t>Paraffin wax</t>
  </si>
  <si>
    <t>アスファルト</t>
  </si>
  <si>
    <t>Asphalt</t>
  </si>
  <si>
    <t>液化石油ガス(Ｐ．Ｐ及びＰ．Ｂ)</t>
  </si>
  <si>
    <t>Propane, Propylene and Propane, Butane</t>
  </si>
  <si>
    <t>液化石油ガス(Ｂ．Ｂ)</t>
  </si>
  <si>
    <t>Butane, Butylene</t>
  </si>
  <si>
    <t>オイルコークス</t>
  </si>
  <si>
    <t>Petroleum coke</t>
  </si>
  <si>
    <t>回収いおう</t>
  </si>
  <si>
    <t>Recovered sulfur</t>
  </si>
  <si>
    <t>その他の石油製品</t>
  </si>
  <si>
    <t>Other petroleum products</t>
  </si>
  <si>
    <t>精製及び混合原料油</t>
  </si>
  <si>
    <t>Refining material and blending component oil</t>
  </si>
  <si>
    <t>石油ガス</t>
  </si>
  <si>
    <t>Off gas</t>
  </si>
  <si>
    <t>精製アルミニウム地金</t>
  </si>
  <si>
    <t>High-grade aluminum metal</t>
  </si>
  <si>
    <t>アルミニウム合金地金(鋳物・ダイカスト用)</t>
  </si>
  <si>
    <t>Aluminum alloy ingots (for castings, die castings)</t>
  </si>
  <si>
    <t>アルミニウム合金地金(その他用)</t>
  </si>
  <si>
    <t>Aluminum alloy ingots ( for others)</t>
  </si>
  <si>
    <t>アルミニウム二次地金(脱酸用)</t>
  </si>
  <si>
    <t>Secondary aluminum ingots (for ingots for deoxidizing)</t>
  </si>
  <si>
    <t>アルミニウム二次地金(その他用)</t>
  </si>
  <si>
    <t>Secondary aluminum ingots (for others)</t>
  </si>
  <si>
    <t>アルミニウム二次合金地金(鋳物・ダイカスト用)</t>
  </si>
  <si>
    <t>Secondary aluminum alloy ingots (for castings, die castings)</t>
  </si>
  <si>
    <t>アルミニウム二次合金地金(その他用)</t>
  </si>
  <si>
    <t>Secondary aluminum alloy ingots (for others)</t>
  </si>
  <si>
    <t>アルミニウム粉</t>
  </si>
  <si>
    <t>Aluminum powder</t>
  </si>
  <si>
    <t>銅製品(板)</t>
  </si>
  <si>
    <t>Elongated copper products(plates and sheets)</t>
  </si>
  <si>
    <t>銅製品(条)</t>
  </si>
  <si>
    <t>Elongated copper products(strips)</t>
  </si>
  <si>
    <t>銅製品(管)</t>
  </si>
  <si>
    <t>Elongated copper products(pipes and tubes)</t>
  </si>
  <si>
    <t>銅製品(棒・線)</t>
  </si>
  <si>
    <t>Elongated copper products(rods and bars, wires)</t>
  </si>
  <si>
    <t>黄銅製品(板)</t>
  </si>
  <si>
    <t>Elongated brass products(plates and sheets)</t>
  </si>
  <si>
    <t>黄銅製品(条)</t>
  </si>
  <si>
    <t>Elongated brass products(strips)</t>
  </si>
  <si>
    <t>黄銅製品(管)</t>
  </si>
  <si>
    <t>Elongated brass products(pipes and tubes)</t>
  </si>
  <si>
    <t>黄銅製品(棒)</t>
  </si>
  <si>
    <t>Elongated brass products(rods and bars)</t>
  </si>
  <si>
    <t>黄銅製品(線)</t>
  </si>
  <si>
    <t>Elongated brass products(wires)</t>
  </si>
  <si>
    <t>その他の伸銅製品(板・条)</t>
  </si>
  <si>
    <t>Other elongated copper product(plates and sheets, strips)</t>
  </si>
  <si>
    <t>その他の伸銅製品(棒・線)</t>
  </si>
  <si>
    <t>Other elongated copper product(rods and bars, wires)</t>
  </si>
  <si>
    <t>シリコンウエハ５インチ(１２５ｍｍ)以下</t>
  </si>
  <si>
    <t>千Ｓｑ．Ｉｎ．</t>
  </si>
  <si>
    <t>Silicon wafers less than or equal to 5 inches</t>
  </si>
  <si>
    <t>thousand Sq.In.</t>
  </si>
  <si>
    <t>シリコンウエハ６インチ(１５０ｍｍ)</t>
  </si>
  <si>
    <t>Silicon wafers 6 inches</t>
  </si>
  <si>
    <t>シリコンウエハ８インチ(２００ｍｍ)</t>
  </si>
  <si>
    <t>Silicon wafers 8 inches</t>
  </si>
  <si>
    <t>シリコンウエハ１２インチ(３００ｍｍ)以上</t>
  </si>
  <si>
    <t xml:space="preserve">Silicon wafers greater than or equal to 12 inches </t>
  </si>
  <si>
    <t>シリコンウエハ販売金額合計</t>
  </si>
  <si>
    <t>Total of silicon wafers</t>
  </si>
  <si>
    <t>はんだ</t>
  </si>
  <si>
    <t>Solders</t>
  </si>
  <si>
    <t>銅合金塊</t>
  </si>
  <si>
    <t>Copper alloy ingots</t>
  </si>
  <si>
    <t>アルミニウム圧延製品(板)</t>
  </si>
  <si>
    <t>Aluminum mill products(plates and sheets)</t>
  </si>
  <si>
    <t>アルミニウム圧延製品(円板)</t>
  </si>
  <si>
    <t>Aluminum mill products(circles)</t>
  </si>
  <si>
    <t>アルミニウム圧延製品(条)</t>
  </si>
  <si>
    <t>Aluminum mill products(strips)</t>
  </si>
  <si>
    <t>アルミニウム圧延製品(管)</t>
  </si>
  <si>
    <t>Aluminum mill products(pipes and tubes)</t>
  </si>
  <si>
    <t>アルミニウム圧延製品(棒・線)</t>
  </si>
  <si>
    <t>Aluminum mill products(rods and bars/wires)</t>
  </si>
  <si>
    <t>アルミニウム圧延製品(形材)</t>
  </si>
  <si>
    <t>Aluminum mill products(shapes and profiles)</t>
  </si>
  <si>
    <t>アルミニウム圧延製品(はく)</t>
  </si>
  <si>
    <t>Aluminum mill products(foils)</t>
  </si>
  <si>
    <t>銅裸線(電線メーカー向け心線)</t>
  </si>
  <si>
    <t>導体t</t>
  </si>
  <si>
    <t>Electric wires of bare copper wires(for electric wire manufactures)</t>
  </si>
  <si>
    <t>metal core tons</t>
  </si>
  <si>
    <t>銅裸線(ユーザー向け)</t>
  </si>
  <si>
    <t>Electric wires of bare copper wires (for users)</t>
  </si>
  <si>
    <t>銅巻線</t>
  </si>
  <si>
    <t>Electric wires of winding wires</t>
  </si>
  <si>
    <t>機器用銅電線</t>
  </si>
  <si>
    <t>Electric wires and cables for appliance wires</t>
  </si>
  <si>
    <t>輸送機器用銅電線</t>
  </si>
  <si>
    <t>Electric wires and cables for transport equipment</t>
  </si>
  <si>
    <t>通信用銅電線・ケーブル</t>
  </si>
  <si>
    <t>Electric wires and cables for telecommunication</t>
  </si>
  <si>
    <t>電力用銅電線・ケーブル</t>
  </si>
  <si>
    <t>Electric wires and cables for power</t>
  </si>
  <si>
    <t>その他の絶縁銅電線</t>
  </si>
  <si>
    <t>Other insulated electric wires and cables</t>
  </si>
  <si>
    <t>アルミニウム電線</t>
  </si>
  <si>
    <t>Electric wires of aluminum wires</t>
  </si>
  <si>
    <t>光ファイバケーブル(通信複合ケーブルを含む)</t>
  </si>
  <si>
    <t>kmコア</t>
  </si>
  <si>
    <t>Optical fiber cables (including telecommunication composite cables)</t>
  </si>
  <si>
    <t>km core</t>
  </si>
  <si>
    <t>その他の光ケーブル</t>
  </si>
  <si>
    <t>Other optical fiber products</t>
  </si>
  <si>
    <t>光ファイバ心線(ユーザー向け)</t>
  </si>
  <si>
    <t>Optical fiber core wires (for users)</t>
  </si>
  <si>
    <t>光ファイバ製品販売金額計</t>
  </si>
  <si>
    <t>Total of optical fiber products</t>
  </si>
  <si>
    <t>電気金</t>
  </si>
  <si>
    <t>Electrolytic gold</t>
  </si>
  <si>
    <t>電気銀</t>
  </si>
  <si>
    <t>Electrolytic silver</t>
  </si>
  <si>
    <t>粗銅</t>
  </si>
  <si>
    <t>Blister copper</t>
  </si>
  <si>
    <t>電気銅</t>
  </si>
  <si>
    <t>Electrolytic copper</t>
  </si>
  <si>
    <t>粗鉛(副産粗鉛含む)</t>
  </si>
  <si>
    <t>Lead bullion (including crude lead sub-product )</t>
  </si>
  <si>
    <t>電気鉛</t>
  </si>
  <si>
    <t>Electrolytic lead</t>
  </si>
  <si>
    <t>亜鉛</t>
  </si>
  <si>
    <t>Zinc</t>
  </si>
  <si>
    <t>経済産業省生産動態統計　製品時系列表 目次</t>
  </si>
  <si>
    <t>[調査票番号][月報名]から該当シートのA1セルへ、[品目名]から該当セルへそれぞれ移動します。</t>
  </si>
  <si>
    <t>過去時系列修正【E列の修正情報に★印のある品目】の詳細は、こちらでご確認ください。</t>
  </si>
  <si>
    <t>調査票番号</t>
  </si>
  <si>
    <t>調査票名</t>
  </si>
  <si>
    <t>品目番号</t>
  </si>
  <si>
    <t>修正情報</t>
  </si>
  <si>
    <t>利用上の注意</t>
    <rPh sb="0" eb="3">
      <t>リヨウジョウ</t>
    </rPh>
    <rPh sb="4" eb="6">
      <t>チュウイ</t>
    </rPh>
    <phoneticPr fontId="9"/>
  </si>
  <si>
    <t>Ⅰ</t>
    <phoneticPr fontId="9"/>
  </si>
  <si>
    <t>生産動態統計において調査を実施している全品目（約１６００品目）について、共通的な項目である生産・出荷・在庫に限定して掲載しています。</t>
    <phoneticPr fontId="9"/>
  </si>
  <si>
    <t>調査の概要、用語の解説等は経済産業省のホームページを参照してください。</t>
    <phoneticPr fontId="9"/>
  </si>
  <si>
    <t>Ⅱ</t>
    <phoneticPr fontId="9"/>
  </si>
  <si>
    <t>最新５年分の年計及び最新２５か月分の数値を掲載しています。「X」の表記は、秘匿を表しています。</t>
    <phoneticPr fontId="9"/>
  </si>
  <si>
    <t>Ⅲ</t>
    <phoneticPr fontId="9"/>
  </si>
  <si>
    <t>時系列表に掲載している品目は、現在調査を行っている品目となっており、調査票改正等により現在調査を行っていない品目の過去の変遷や 数値については、</t>
    <phoneticPr fontId="9"/>
  </si>
  <si>
    <t>「調査品目の変遷」や</t>
    <phoneticPr fontId="13"/>
  </si>
  <si>
    <t>年報等</t>
    <phoneticPr fontId="13"/>
  </si>
  <si>
    <t>を参照してください。</t>
    <rPh sb="1" eb="3">
      <t>サンショウ</t>
    </rPh>
    <phoneticPr fontId="9"/>
  </si>
  <si>
    <t>Ⅳ</t>
    <phoneticPr fontId="9"/>
  </si>
  <si>
    <t>単位未満、生産・出荷・在庫実績なしは「０」、その時点で調査していない場合は、「***」としています。</t>
    <phoneticPr fontId="9"/>
  </si>
  <si>
    <t>Ⅴ</t>
    <phoneticPr fontId="9"/>
  </si>
  <si>
    <t>時系列表の修正該当品目は目次のE列に「★」印を付けています。過去時系列の修正情報はこちらを参照してください。</t>
    <phoneticPr fontId="9"/>
  </si>
  <si>
    <t>Ⅵ</t>
    <phoneticPr fontId="9"/>
  </si>
  <si>
    <t>調査票改正などにより、過去の数値との比較ができなくなった場合は、リンク係数（接続係数）を用いて前月比・前年同月比などを計算してください。</t>
    <phoneticPr fontId="9"/>
  </si>
  <si>
    <t>リンク係数はこちらでご確認ください。</t>
  </si>
  <si>
    <r>
      <t>外装タイル(５０ｃｍ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</si>
  <si>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内装タイル(５０ｃｍ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</si>
  <si>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床タイル(５０ｃｍ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</si>
  <si>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モザイクタイル(陶片)(５０ｃｍ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以下のもの)</t>
    </r>
    <phoneticPr fontId="2"/>
  </si>
  <si>
    <r>
      <t>アンモニア(ＮＨ</t>
    </r>
    <r>
      <rPr>
        <u/>
        <vertAlign val="subscript"/>
        <sz val="11"/>
        <color rgb="FF0000FF"/>
        <rFont val="ＭＳ Ｐゴシック"/>
        <family val="3"/>
        <charset val="128"/>
      </rPr>
      <t>３</t>
    </r>
    <r>
      <rPr>
        <u/>
        <sz val="11"/>
        <color rgb="FF0000FF"/>
        <rFont val="ＭＳ Ｐゴシック"/>
        <family val="3"/>
        <charset val="128"/>
      </rPr>
      <t>１００％換算)</t>
    </r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</si>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</sst>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vertAlign val="subscript"/>
      <sz val="11"/>
      <color theme="1"/>
      <name val="游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1"/>
      <color theme="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u/>
      <vertAlign val="superscript"/>
      <sz val="11"/>
      <color rgb="FF0000FF"/>
      <name val="ＭＳ Ｐゴシック"/>
      <family val="3"/>
      <charset val="128"/>
    </font>
    <font>
      <u/>
      <vertAlign val="subscript"/>
      <sz val="11"/>
      <color rgb="FF0000FF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Continuous" vertical="center"/>
    </xf>
    <xf numFmtId="0" fontId="1" fillId="0" borderId="0" xfId="1" applyAlignment="1">
      <alignment horizontal="left" vertical="center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8" fillId="0" borderId="0" xfId="3" applyFont="1">
      <alignment vertical="center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0" fontId="12" fillId="0" borderId="0" xfId="4" applyFill="1">
      <alignment vertical="center"/>
    </xf>
    <xf numFmtId="0" fontId="12" fillId="0" borderId="0" xfId="4" applyAlignment="1" applyProtection="1">
      <alignment vertical="center"/>
    </xf>
    <xf numFmtId="0" fontId="14" fillId="0" borderId="0" xfId="5" applyFill="1">
      <alignment vertical="center"/>
    </xf>
    <xf numFmtId="0" fontId="15" fillId="2" borderId="0" xfId="0" applyFont="1" applyFill="1" applyAlignment="1">
      <alignment horizontal="centerContinuous" vertical="center"/>
    </xf>
    <xf numFmtId="0" fontId="15" fillId="2" borderId="0" xfId="0" applyFont="1" applyFill="1">
      <alignment vertical="center"/>
    </xf>
    <xf numFmtId="0" fontId="10" fillId="0" borderId="0" xfId="0" applyFont="1">
      <alignment vertical="center"/>
    </xf>
    <xf numFmtId="0" fontId="10" fillId="3" borderId="0" xfId="0" applyFont="1" applyFill="1">
      <alignment vertical="center"/>
    </xf>
    <xf numFmtId="0" fontId="16" fillId="4" borderId="0" xfId="0" applyFont="1" applyFill="1">
      <alignment vertical="center"/>
    </xf>
    <xf numFmtId="0" fontId="17" fillId="4" borderId="0" xfId="2" applyFont="1" applyFill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Continuous" vertical="center"/>
    </xf>
    <xf numFmtId="0" fontId="10" fillId="5" borderId="1" xfId="0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8" fillId="0" borderId="0" xfId="2" applyFont="1">
      <alignment vertical="center"/>
    </xf>
  </cellXfs>
  <cellStyles count="6">
    <cellStyle name="ハイパーリンク" xfId="2" builtinId="8"/>
    <cellStyle name="ハイパーリンク 2" xfId="4" xr:uid="{C588DABD-2D99-428D-A90F-C175C9B9D9E0}"/>
    <cellStyle name="ハイパーリンク 3" xfId="5" xr:uid="{49F05AB5-4C00-4B21-967C-968FC00FCAE8}"/>
    <cellStyle name="標準" xfId="0" builtinId="0"/>
    <cellStyle name="標準 2" xfId="3" xr:uid="{2202A27E-03BC-46BF-A6A2-C17689C88601}"/>
    <cellStyle name="標準 4" xfId="1" xr:uid="{9D207AAA-4022-4F65-A1DD-3E49D280F2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i.go.jp/statistics/tyo/seidou/result/ichiran/08_seidou.html" TargetMode="External"/><Relationship Id="rId1" Type="http://schemas.openxmlformats.org/officeDocument/2006/relationships/hyperlink" Target="https://www.meti.go.jp/statistics/tyo/seidou/chosahinmoku_hense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C5174-5EE8-4FEB-90A2-21881452402C}">
  <dimension ref="A1:M10"/>
  <sheetViews>
    <sheetView tabSelected="1" workbookViewId="0"/>
  </sheetViews>
  <sheetFormatPr defaultRowHeight="13.5" x14ac:dyDescent="0.4"/>
  <cols>
    <col min="1" max="16384" width="9" style="7"/>
  </cols>
  <sheetData>
    <row r="1" spans="1:13" ht="19.5" customHeight="1" x14ac:dyDescent="0.4">
      <c r="A1" s="6" t="s">
        <v>3259</v>
      </c>
    </row>
    <row r="2" spans="1:13" ht="19.5" customHeight="1" x14ac:dyDescent="0.4">
      <c r="A2" s="8" t="s">
        <v>3260</v>
      </c>
      <c r="B2" s="7" t="s">
        <v>3261</v>
      </c>
    </row>
    <row r="3" spans="1:13" ht="19.5" customHeight="1" x14ac:dyDescent="0.4">
      <c r="A3" s="8"/>
      <c r="B3" s="7" t="s">
        <v>3262</v>
      </c>
      <c r="J3" s="9" t="str">
        <f>HYPERLINK("https://www.meti.go.jp/statistics/tyo/seidou/gaiyo.html","Go to Meti Statistics_HP")</f>
        <v>Go to Meti Statistics_HP</v>
      </c>
    </row>
    <row r="4" spans="1:13" ht="19.5" customHeight="1" x14ac:dyDescent="0.4">
      <c r="A4" s="8" t="s">
        <v>3263</v>
      </c>
      <c r="B4" s="7" t="s">
        <v>3264</v>
      </c>
    </row>
    <row r="5" spans="1:13" ht="19.5" customHeight="1" x14ac:dyDescent="0.4">
      <c r="A5" s="8" t="s">
        <v>3265</v>
      </c>
      <c r="B5" s="7" t="s">
        <v>3266</v>
      </c>
    </row>
    <row r="6" spans="1:13" ht="19.5" customHeight="1" x14ac:dyDescent="0.4">
      <c r="A6" s="8"/>
      <c r="B6" s="10" t="s">
        <v>3267</v>
      </c>
      <c r="E6" s="10" t="s">
        <v>3268</v>
      </c>
      <c r="F6" s="7" t="s">
        <v>3269</v>
      </c>
    </row>
    <row r="7" spans="1:13" ht="19.5" customHeight="1" x14ac:dyDescent="0.4">
      <c r="A7" s="8" t="s">
        <v>3270</v>
      </c>
      <c r="B7" s="7" t="s">
        <v>3271</v>
      </c>
    </row>
    <row r="8" spans="1:13" ht="19.5" customHeight="1" x14ac:dyDescent="0.4">
      <c r="A8" s="8" t="s">
        <v>3272</v>
      </c>
      <c r="B8" s="7" t="s">
        <v>3273</v>
      </c>
      <c r="M8" s="9" t="str">
        <f>HYPERLINK("https://www.meti.go.jp/statistics/tyo/seidou/result-3.html","Go to Meti Statistics_HP")</f>
        <v>Go to Meti Statistics_HP</v>
      </c>
    </row>
    <row r="9" spans="1:13" ht="19.5" customHeight="1" x14ac:dyDescent="0.4">
      <c r="A9" s="8" t="s">
        <v>3274</v>
      </c>
      <c r="B9" s="7" t="s">
        <v>3275</v>
      </c>
    </row>
    <row r="10" spans="1:13" ht="19.5" customHeight="1" x14ac:dyDescent="0.4">
      <c r="B10" s="7" t="s">
        <v>3276</v>
      </c>
      <c r="F10" s="11" t="str">
        <f>HYPERLINK("https://www.meti.go.jp/statistics/tyo/seidou/result/ichiran/08_seidou.html#menu1","Go to Meti Statistics_HP")</f>
        <v>Go to Meti Statistics_HP</v>
      </c>
    </row>
  </sheetData>
  <phoneticPr fontId="2"/>
  <hyperlinks>
    <hyperlink ref="B6" r:id="rId1" xr:uid="{C38B01BB-420E-47C8-9D4B-18567C6D31ED}"/>
    <hyperlink ref="E6" r:id="rId2" location="menu3" xr:uid="{48E96CFC-4596-41AF-A08B-289C910A6E9A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89850-7829-4401-BB17-934055AAE377}">
  <dimension ref="A1:E1537"/>
  <sheetViews>
    <sheetView workbookViewId="0"/>
  </sheetViews>
  <sheetFormatPr defaultRowHeight="13.5" x14ac:dyDescent="0.4"/>
  <cols>
    <col min="1" max="1" width="10.625" style="14" customWidth="1"/>
    <col min="2" max="2" width="36.375" style="14" customWidth="1"/>
    <col min="3" max="3" width="9" style="14"/>
    <col min="4" max="4" width="30.625" style="14" customWidth="1"/>
    <col min="5" max="16384" width="9" style="14"/>
  </cols>
  <sheetData>
    <row r="1" spans="1:5" x14ac:dyDescent="0.4">
      <c r="A1" s="12" t="s">
        <v>3252</v>
      </c>
      <c r="B1" s="12"/>
      <c r="C1" s="12"/>
      <c r="D1" s="12"/>
      <c r="E1" s="13"/>
    </row>
    <row r="2" spans="1:5" x14ac:dyDescent="0.4">
      <c r="A2" s="15" t="s">
        <v>3253</v>
      </c>
      <c r="B2" s="15"/>
      <c r="C2" s="15"/>
      <c r="D2" s="15"/>
      <c r="E2" s="15"/>
    </row>
    <row r="3" spans="1:5" x14ac:dyDescent="0.4">
      <c r="A3" s="16" t="s">
        <v>3254</v>
      </c>
      <c r="B3" s="16"/>
      <c r="C3" s="16"/>
      <c r="D3" s="16"/>
      <c r="E3" s="17" t="str">
        <f>HYPERLINK("https://www.meti.go.jp/statistics/tyo/seidou/result-3.html","Go to Meti Statistics_HP")</f>
        <v>Go to Meti Statistics_HP</v>
      </c>
    </row>
    <row r="4" spans="1:5" x14ac:dyDescent="0.4">
      <c r="A4" s="18" t="s">
        <v>3255</v>
      </c>
      <c r="B4" s="18" t="s">
        <v>3256</v>
      </c>
      <c r="C4" s="19" t="s">
        <v>3257</v>
      </c>
      <c r="D4" s="19" t="s">
        <v>0</v>
      </c>
      <c r="E4" s="20" t="s">
        <v>3258</v>
      </c>
    </row>
    <row r="5" spans="1:5" x14ac:dyDescent="0.4">
      <c r="A5" s="21">
        <f t="shared" ref="A5:A21" si="0">HYPERLINK("#1010!A1 ",1010)</f>
        <v>1010</v>
      </c>
      <c r="B5" s="22" t="str">
        <f t="shared" ref="B5:B21" si="1">HYPERLINK("#1010!A1 ","鉄鋼月報（その１）銑鉄・フェロアロイ・粗鋼・鋼半製品・鍛鋼品・鋳鋼品")</f>
        <v>鉄鋼月報（その１）銑鉄・フェロアロイ・粗鋼・鋼半製品・鍛鋼品・鋳鋼品</v>
      </c>
      <c r="C5" s="21" t="str">
        <f>HYPERLINK("#1010!C3","0101")</f>
        <v>0101</v>
      </c>
      <c r="D5" s="22" t="str">
        <f>HYPERLINK("#1010!C3","製鋼用銑")</f>
        <v>製鋼用銑</v>
      </c>
    </row>
    <row r="6" spans="1:5" x14ac:dyDescent="0.4">
      <c r="A6" s="21">
        <f t="shared" si="0"/>
        <v>1010</v>
      </c>
      <c r="B6" s="22" t="str">
        <f t="shared" si="1"/>
        <v>鉄鋼月報（その１）銑鉄・フェロアロイ・粗鋼・鋼半製品・鍛鋼品・鋳鋼品</v>
      </c>
      <c r="C6" s="21" t="str">
        <f>HYPERLINK("#1010!F3","0102")</f>
        <v>0102</v>
      </c>
      <c r="D6" s="22" t="str">
        <f>HYPERLINK("#1010!F3","鋳物用銑")</f>
        <v>鋳物用銑</v>
      </c>
    </row>
    <row r="7" spans="1:5" x14ac:dyDescent="0.4">
      <c r="A7" s="21">
        <f t="shared" si="0"/>
        <v>1010</v>
      </c>
      <c r="B7" s="22" t="str">
        <f t="shared" si="1"/>
        <v>鉄鋼月報（その１）銑鉄・フェロアロイ・粗鋼・鋼半製品・鍛鋼品・鋳鋼品</v>
      </c>
      <c r="C7" s="21" t="str">
        <f>HYPERLINK("#1010!I3","0103")</f>
        <v>0103</v>
      </c>
      <c r="D7" s="22" t="str">
        <f>HYPERLINK("#1010!I3","フェロマンガン(高炭素)")</f>
        <v>フェロマンガン(高炭素)</v>
      </c>
    </row>
    <row r="8" spans="1:5" x14ac:dyDescent="0.4">
      <c r="A8" s="21">
        <f t="shared" si="0"/>
        <v>1010</v>
      </c>
      <c r="B8" s="22" t="str">
        <f t="shared" si="1"/>
        <v>鉄鋼月報（その１）銑鉄・フェロアロイ・粗鋼・鋼半製品・鍛鋼品・鋳鋼品</v>
      </c>
      <c r="C8" s="21" t="str">
        <f>HYPERLINK("#1010!L3","0104")</f>
        <v>0104</v>
      </c>
      <c r="D8" s="22" t="str">
        <f>HYPERLINK("#1010!L3","フェロマンガン(低炭素)")</f>
        <v>フェロマンガン(低炭素)</v>
      </c>
    </row>
    <row r="9" spans="1:5" x14ac:dyDescent="0.4">
      <c r="A9" s="21">
        <f t="shared" si="0"/>
        <v>1010</v>
      </c>
      <c r="B9" s="22" t="str">
        <f t="shared" si="1"/>
        <v>鉄鋼月報（その１）銑鉄・フェロアロイ・粗鋼・鋼半製品・鍛鋼品・鋳鋼品</v>
      </c>
      <c r="C9" s="21" t="str">
        <f>HYPERLINK("#1010!O3","0105")</f>
        <v>0105</v>
      </c>
      <c r="D9" s="22" t="str">
        <f>HYPERLINK("#1010!O3","シリコマンガン")</f>
        <v>シリコマンガン</v>
      </c>
    </row>
    <row r="10" spans="1:5" x14ac:dyDescent="0.4">
      <c r="A10" s="21">
        <f t="shared" si="0"/>
        <v>1010</v>
      </c>
      <c r="B10" s="22" t="str">
        <f t="shared" si="1"/>
        <v>鉄鋼月報（その１）銑鉄・フェロアロイ・粗鋼・鋼半製品・鍛鋼品・鋳鋼品</v>
      </c>
      <c r="C10" s="21" t="str">
        <f>HYPERLINK("#1010!R3","0106")</f>
        <v>0106</v>
      </c>
      <c r="D10" s="22" t="str">
        <f>HYPERLINK("#1010!R3","フェロニッケル")</f>
        <v>フェロニッケル</v>
      </c>
    </row>
    <row r="11" spans="1:5" x14ac:dyDescent="0.4">
      <c r="A11" s="21">
        <f t="shared" si="0"/>
        <v>1010</v>
      </c>
      <c r="B11" s="22" t="str">
        <f t="shared" si="1"/>
        <v>鉄鋼月報（その１）銑鉄・フェロアロイ・粗鋼・鋼半製品・鍛鋼品・鋳鋼品</v>
      </c>
      <c r="C11" s="21" t="str">
        <f>HYPERLINK("#1010!U3","0107")</f>
        <v>0107</v>
      </c>
      <c r="D11" s="22" t="str">
        <f>HYPERLINK("#1010!U3","その他のフェロアロイ")</f>
        <v>その他のフェロアロイ</v>
      </c>
    </row>
    <row r="12" spans="1:5" x14ac:dyDescent="0.4">
      <c r="A12" s="21">
        <f t="shared" si="0"/>
        <v>1010</v>
      </c>
      <c r="B12" s="22" t="str">
        <f t="shared" si="1"/>
        <v>鉄鋼月報（その１）銑鉄・フェロアロイ・粗鋼・鋼半製品・鍛鋼品・鋳鋼品</v>
      </c>
      <c r="C12" s="21" t="str">
        <f>HYPERLINK("#1010!X3","0108")</f>
        <v>0108</v>
      </c>
      <c r="D12" s="22" t="str">
        <f>HYPERLINK("#1010!X3","鋼塊(普通鋼)")</f>
        <v>鋼塊(普通鋼)</v>
      </c>
    </row>
    <row r="13" spans="1:5" x14ac:dyDescent="0.4">
      <c r="A13" s="21">
        <f t="shared" si="0"/>
        <v>1010</v>
      </c>
      <c r="B13" s="22" t="str">
        <f t="shared" si="1"/>
        <v>鉄鋼月報（その１）銑鉄・フェロアロイ・粗鋼・鋼半製品・鍛鋼品・鋳鋼品</v>
      </c>
      <c r="C13" s="21" t="str">
        <f>HYPERLINK("#1010!AA3","0109")</f>
        <v>0109</v>
      </c>
      <c r="D13" s="22" t="str">
        <f>HYPERLINK("#1010!AA3","鋼塊(特殊鋼)")</f>
        <v>鋼塊(特殊鋼)</v>
      </c>
    </row>
    <row r="14" spans="1:5" x14ac:dyDescent="0.4">
      <c r="A14" s="21">
        <f t="shared" si="0"/>
        <v>1010</v>
      </c>
      <c r="B14" s="22" t="str">
        <f t="shared" si="1"/>
        <v>鉄鋼月報（その１）銑鉄・フェロアロイ・粗鋼・鋼半製品・鍛鋼品・鋳鋼品</v>
      </c>
      <c r="C14" s="21" t="str">
        <f>HYPERLINK("#1010!AD3","0110")</f>
        <v>0110</v>
      </c>
      <c r="D14" s="22" t="str">
        <f>HYPERLINK("#1010!AD3","鋳鋼鋳込(普通鋼)")</f>
        <v>鋳鋼鋳込(普通鋼)</v>
      </c>
    </row>
    <row r="15" spans="1:5" x14ac:dyDescent="0.4">
      <c r="A15" s="21">
        <f t="shared" si="0"/>
        <v>1010</v>
      </c>
      <c r="B15" s="22" t="str">
        <f t="shared" si="1"/>
        <v>鉄鋼月報（その１）銑鉄・フェロアロイ・粗鋼・鋼半製品・鍛鋼品・鋳鋼品</v>
      </c>
      <c r="C15" s="21" t="str">
        <f>HYPERLINK("#1010!AG3","0111")</f>
        <v>0111</v>
      </c>
      <c r="D15" s="22" t="str">
        <f>HYPERLINK("#1010!AG3","鋳鋼鋳込(特殊鋼)")</f>
        <v>鋳鋼鋳込(特殊鋼)</v>
      </c>
    </row>
    <row r="16" spans="1:5" x14ac:dyDescent="0.4">
      <c r="A16" s="21">
        <f t="shared" si="0"/>
        <v>1010</v>
      </c>
      <c r="B16" s="22" t="str">
        <f t="shared" si="1"/>
        <v>鉄鋼月報（その１）銑鉄・フェロアロイ・粗鋼・鋼半製品・鍛鋼品・鋳鋼品</v>
      </c>
      <c r="C16" s="21" t="str">
        <f>HYPERLINK("#1010!AJ3","0112")</f>
        <v>0112</v>
      </c>
      <c r="D16" s="22" t="str">
        <f>HYPERLINK("#1010!AJ3","鋼半製品(普通鋼)")</f>
        <v>鋼半製品(普通鋼)</v>
      </c>
    </row>
    <row r="17" spans="1:4" x14ac:dyDescent="0.4">
      <c r="A17" s="21">
        <f t="shared" si="0"/>
        <v>1010</v>
      </c>
      <c r="B17" s="22" t="str">
        <f t="shared" si="1"/>
        <v>鉄鋼月報（その１）銑鉄・フェロアロイ・粗鋼・鋼半製品・鍛鋼品・鋳鋼品</v>
      </c>
      <c r="C17" s="21" t="str">
        <f>HYPERLINK("#1010!AM3","0113")</f>
        <v>0113</v>
      </c>
      <c r="D17" s="22" t="str">
        <f>HYPERLINK("#1010!AM3","鋼半製品(特殊鋼)")</f>
        <v>鋼半製品(特殊鋼)</v>
      </c>
    </row>
    <row r="18" spans="1:4" x14ac:dyDescent="0.4">
      <c r="A18" s="21">
        <f t="shared" si="0"/>
        <v>1010</v>
      </c>
      <c r="B18" s="22" t="str">
        <f t="shared" si="1"/>
        <v>鉄鋼月報（その１）銑鉄・フェロアロイ・粗鋼・鋼半製品・鍛鋼品・鋳鋼品</v>
      </c>
      <c r="C18" s="21" t="str">
        <f>HYPERLINK("#1010!AP3","0114")</f>
        <v>0114</v>
      </c>
      <c r="D18" s="22" t="str">
        <f>HYPERLINK("#1010!AP3","鍛鋼品(打放)(普通鋼)")</f>
        <v>鍛鋼品(打放)(普通鋼)</v>
      </c>
    </row>
    <row r="19" spans="1:4" x14ac:dyDescent="0.4">
      <c r="A19" s="21">
        <f t="shared" si="0"/>
        <v>1010</v>
      </c>
      <c r="B19" s="22" t="str">
        <f t="shared" si="1"/>
        <v>鉄鋼月報（その１）銑鉄・フェロアロイ・粗鋼・鋼半製品・鍛鋼品・鋳鋼品</v>
      </c>
      <c r="C19" s="21" t="str">
        <f>HYPERLINK("#1010!AS3","0115")</f>
        <v>0115</v>
      </c>
      <c r="D19" s="22" t="str">
        <f>HYPERLINK("#1010!AS3","鍛鋼品(打放)(特殊鋼)")</f>
        <v>鍛鋼品(打放)(特殊鋼)</v>
      </c>
    </row>
    <row r="20" spans="1:4" x14ac:dyDescent="0.4">
      <c r="A20" s="21">
        <f t="shared" si="0"/>
        <v>1010</v>
      </c>
      <c r="B20" s="22" t="str">
        <f t="shared" si="1"/>
        <v>鉄鋼月報（その１）銑鉄・フェロアロイ・粗鋼・鋼半製品・鍛鋼品・鋳鋼品</v>
      </c>
      <c r="C20" s="21" t="str">
        <f>HYPERLINK("#1010!AV3","0116")</f>
        <v>0116</v>
      </c>
      <c r="D20" s="22" t="str">
        <f>HYPERLINK("#1010!AV3","鋳鋼品(鋳放)(普通鋼)")</f>
        <v>鋳鋼品(鋳放)(普通鋼)</v>
      </c>
    </row>
    <row r="21" spans="1:4" x14ac:dyDescent="0.4">
      <c r="A21" s="21">
        <f t="shared" si="0"/>
        <v>1010</v>
      </c>
      <c r="B21" s="22" t="str">
        <f t="shared" si="1"/>
        <v>鉄鋼月報（その１）銑鉄・フェロアロイ・粗鋼・鋼半製品・鍛鋼品・鋳鋼品</v>
      </c>
      <c r="C21" s="21" t="str">
        <f>HYPERLINK("#1010!AY3","0117")</f>
        <v>0117</v>
      </c>
      <c r="D21" s="22" t="str">
        <f>HYPERLINK("#1010!AY3","鋳鋼品(鋳放)(特殊鋼)")</f>
        <v>鋳鋼品(鋳放)(特殊鋼)</v>
      </c>
    </row>
    <row r="22" spans="1:4" x14ac:dyDescent="0.4">
      <c r="A22" s="21">
        <f t="shared" ref="A22:A41" si="2">HYPERLINK("#1020!A1 ",1020)</f>
        <v>1020</v>
      </c>
      <c r="B22" s="22" t="str">
        <f t="shared" ref="B22:B41" si="3">HYPERLINK("#1020!A1 ","鉄鋼月報（その２）普通鋼熱間圧延鋼材")</f>
        <v>鉄鋼月報（その２）普通鋼熱間圧延鋼材</v>
      </c>
      <c r="C22" s="21" t="str">
        <f>HYPERLINK("#1020!C3","0101")</f>
        <v>0101</v>
      </c>
      <c r="D22" s="22" t="str">
        <f>HYPERLINK("#1020!C3","軌条(付属品を含む)・外輪(普通鋼)")</f>
        <v>軌条(付属品を含む)・外輪(普通鋼)</v>
      </c>
    </row>
    <row r="23" spans="1:4" x14ac:dyDescent="0.4">
      <c r="A23" s="21">
        <f t="shared" si="2"/>
        <v>1020</v>
      </c>
      <c r="B23" s="22" t="str">
        <f t="shared" si="3"/>
        <v>鉄鋼月報（その２）普通鋼熱間圧延鋼材</v>
      </c>
      <c r="C23" s="21" t="str">
        <f>HYPERLINK("#1020!F3","0102")</f>
        <v>0102</v>
      </c>
      <c r="D23" s="22" t="str">
        <f>HYPERLINK("#1020!F3","鋼矢板(普通鋼)")</f>
        <v>鋼矢板(普通鋼)</v>
      </c>
    </row>
    <row r="24" spans="1:4" x14ac:dyDescent="0.4">
      <c r="A24" s="21">
        <f t="shared" si="2"/>
        <v>1020</v>
      </c>
      <c r="B24" s="22" t="str">
        <f t="shared" si="3"/>
        <v>鉄鋼月報（その２）普通鋼熱間圧延鋼材</v>
      </c>
      <c r="C24" s="21" t="str">
        <f>HYPERLINK("#1020!I3","0103")</f>
        <v>0103</v>
      </c>
      <c r="D24" s="22" t="str">
        <f>HYPERLINK("#1020!I3","Ｈ形鋼(普通鋼)")</f>
        <v>Ｈ形鋼(普通鋼)</v>
      </c>
    </row>
    <row r="25" spans="1:4" x14ac:dyDescent="0.4">
      <c r="A25" s="21">
        <f t="shared" si="2"/>
        <v>1020</v>
      </c>
      <c r="B25" s="22" t="str">
        <f t="shared" si="3"/>
        <v>鉄鋼月報（その２）普通鋼熱間圧延鋼材</v>
      </c>
      <c r="C25" s="21" t="str">
        <f>HYPERLINK("#1020!L3","0104")</f>
        <v>0104</v>
      </c>
      <c r="D25" s="22" t="str">
        <f>HYPERLINK("#1020!L3","大形形鋼(普通鋼)")</f>
        <v>大形形鋼(普通鋼)</v>
      </c>
    </row>
    <row r="26" spans="1:4" x14ac:dyDescent="0.4">
      <c r="A26" s="21">
        <f t="shared" si="2"/>
        <v>1020</v>
      </c>
      <c r="B26" s="22" t="str">
        <f t="shared" si="3"/>
        <v>鉄鋼月報（その２）普通鋼熱間圧延鋼材</v>
      </c>
      <c r="C26" s="21" t="str">
        <f>HYPERLINK("#1020!O3","0105")</f>
        <v>0105</v>
      </c>
      <c r="D26" s="22" t="str">
        <f>HYPERLINK("#1020!O3","中小形形鋼(普通鋼)")</f>
        <v>中小形形鋼(普通鋼)</v>
      </c>
    </row>
    <row r="27" spans="1:4" x14ac:dyDescent="0.4">
      <c r="A27" s="21">
        <f t="shared" si="2"/>
        <v>1020</v>
      </c>
      <c r="B27" s="22" t="str">
        <f t="shared" si="3"/>
        <v>鉄鋼月報（その２）普通鋼熱間圧延鋼材</v>
      </c>
      <c r="C27" s="21" t="str">
        <f>HYPERLINK("#1020!R3","0106")</f>
        <v>0106</v>
      </c>
      <c r="D27" s="22" t="str">
        <f>HYPERLINK("#1020!R3","大形棒鋼(普通鋼)")</f>
        <v>大形棒鋼(普通鋼)</v>
      </c>
    </row>
    <row r="28" spans="1:4" x14ac:dyDescent="0.4">
      <c r="A28" s="21">
        <f t="shared" si="2"/>
        <v>1020</v>
      </c>
      <c r="B28" s="22" t="str">
        <f t="shared" si="3"/>
        <v>鉄鋼月報（その２）普通鋼熱間圧延鋼材</v>
      </c>
      <c r="C28" s="21" t="str">
        <f>HYPERLINK("#1020!U3","0107")</f>
        <v>0107</v>
      </c>
      <c r="D28" s="22" t="str">
        <f>HYPERLINK("#1020!U3","中形棒鋼(普通鋼)")</f>
        <v>中形棒鋼(普通鋼)</v>
      </c>
    </row>
    <row r="29" spans="1:4" x14ac:dyDescent="0.4">
      <c r="A29" s="21">
        <f t="shared" si="2"/>
        <v>1020</v>
      </c>
      <c r="B29" s="22" t="str">
        <f t="shared" si="3"/>
        <v>鉄鋼月報（その２）普通鋼熱間圧延鋼材</v>
      </c>
      <c r="C29" s="21" t="str">
        <f>HYPERLINK("#1020!X3","0108")</f>
        <v>0108</v>
      </c>
      <c r="D29" s="22" t="str">
        <f>HYPERLINK("#1020!X3","小形棒鋼(鉄筋用)(普通鋼)")</f>
        <v>小形棒鋼(鉄筋用)(普通鋼)</v>
      </c>
    </row>
    <row r="30" spans="1:4" x14ac:dyDescent="0.4">
      <c r="A30" s="21">
        <f t="shared" si="2"/>
        <v>1020</v>
      </c>
      <c r="B30" s="22" t="str">
        <f t="shared" si="3"/>
        <v>鉄鋼月報（その２）普通鋼熱間圧延鋼材</v>
      </c>
      <c r="C30" s="21" t="str">
        <f>HYPERLINK("#1020!AA3","0109")</f>
        <v>0109</v>
      </c>
      <c r="D30" s="22" t="str">
        <f>HYPERLINK("#1020!AA3","小形棒鋼(その他用)(普通鋼)")</f>
        <v>小形棒鋼(その他用)(普通鋼)</v>
      </c>
    </row>
    <row r="31" spans="1:4" x14ac:dyDescent="0.4">
      <c r="A31" s="21">
        <f t="shared" si="2"/>
        <v>1020</v>
      </c>
      <c r="B31" s="22" t="str">
        <f t="shared" si="3"/>
        <v>鉄鋼月報（その２）普通鋼熱間圧延鋼材</v>
      </c>
      <c r="C31" s="21" t="str">
        <f>HYPERLINK("#1020!AD3","0110")</f>
        <v>0110</v>
      </c>
      <c r="D31" s="22" t="str">
        <f>HYPERLINK("#1020!AD3","管材(普通鋼)")</f>
        <v>管材(普通鋼)</v>
      </c>
    </row>
    <row r="32" spans="1:4" x14ac:dyDescent="0.4">
      <c r="A32" s="21">
        <f t="shared" si="2"/>
        <v>1020</v>
      </c>
      <c r="B32" s="22" t="str">
        <f t="shared" si="3"/>
        <v>鉄鋼月報（その２）普通鋼熱間圧延鋼材</v>
      </c>
      <c r="C32" s="21" t="str">
        <f>HYPERLINK("#1020!AG3","0111")</f>
        <v>0111</v>
      </c>
      <c r="D32" s="22" t="str">
        <f>HYPERLINK("#1020!AG3","線材・バーインコイル(鉄筋用)(普通鋼)")</f>
        <v>線材・バーインコイル(鉄筋用)(普通鋼)</v>
      </c>
    </row>
    <row r="33" spans="1:4" x14ac:dyDescent="0.4">
      <c r="A33" s="21">
        <f t="shared" si="2"/>
        <v>1020</v>
      </c>
      <c r="B33" s="22" t="str">
        <f t="shared" si="3"/>
        <v>鉄鋼月報（その２）普通鋼熱間圧延鋼材</v>
      </c>
      <c r="C33" s="21" t="str">
        <f>HYPERLINK("#1020!AJ3","0112")</f>
        <v>0112</v>
      </c>
      <c r="D33" s="22" t="str">
        <f>HYPERLINK("#1020!AJ3","線材・バーインコイル(その他用)(普通鋼)")</f>
        <v>線材・バーインコイル(その他用)(普通鋼)</v>
      </c>
    </row>
    <row r="34" spans="1:4" x14ac:dyDescent="0.4">
      <c r="A34" s="21">
        <f t="shared" si="2"/>
        <v>1020</v>
      </c>
      <c r="B34" s="22" t="str">
        <f t="shared" si="3"/>
        <v>鉄鋼月報（その２）普通鋼熱間圧延鋼材</v>
      </c>
      <c r="C34" s="21" t="str">
        <f>HYPERLINK("#1020!AM3","0113")</f>
        <v>0113</v>
      </c>
      <c r="D34" s="22" t="str">
        <f>HYPERLINK("#1020!AM3","普通線材(普通鋼)")</f>
        <v>普通線材(普通鋼)</v>
      </c>
    </row>
    <row r="35" spans="1:4" x14ac:dyDescent="0.4">
      <c r="A35" s="21">
        <f t="shared" si="2"/>
        <v>1020</v>
      </c>
      <c r="B35" s="22" t="str">
        <f t="shared" si="3"/>
        <v>鉄鋼月報（その２）普通鋼熱間圧延鋼材</v>
      </c>
      <c r="C35" s="21" t="str">
        <f>HYPERLINK("#1020!AP3","0114")</f>
        <v>0114</v>
      </c>
      <c r="D35" s="22" t="str">
        <f>HYPERLINK("#1020!AP3","特殊線材(低炭素)(普通鋼)")</f>
        <v>特殊線材(低炭素)(普通鋼)</v>
      </c>
    </row>
    <row r="36" spans="1:4" x14ac:dyDescent="0.4">
      <c r="A36" s="21">
        <f t="shared" si="2"/>
        <v>1020</v>
      </c>
      <c r="B36" s="22" t="str">
        <f t="shared" si="3"/>
        <v>鉄鋼月報（その２）普通鋼熱間圧延鋼材</v>
      </c>
      <c r="C36" s="21" t="str">
        <f>HYPERLINK("#1020!AS3","0115")</f>
        <v>0115</v>
      </c>
      <c r="D36" s="22" t="str">
        <f>HYPERLINK("#1020!AS3","特殊線材(高炭素)(普通鋼)")</f>
        <v>特殊線材(高炭素)(普通鋼)</v>
      </c>
    </row>
    <row r="37" spans="1:4" x14ac:dyDescent="0.4">
      <c r="A37" s="21">
        <f t="shared" si="2"/>
        <v>1020</v>
      </c>
      <c r="B37" s="22" t="str">
        <f t="shared" si="3"/>
        <v>鉄鋼月報（その２）普通鋼熱間圧延鋼材</v>
      </c>
      <c r="C37" s="21" t="str">
        <f>HYPERLINK("#1020!AV3","0116")</f>
        <v>0116</v>
      </c>
      <c r="D37" s="22" t="str">
        <f>HYPERLINK("#1020!AV3","鋼板(厚板)(普通鋼)")</f>
        <v>鋼板(厚板)(普通鋼)</v>
      </c>
    </row>
    <row r="38" spans="1:4" x14ac:dyDescent="0.4">
      <c r="A38" s="21">
        <f t="shared" si="2"/>
        <v>1020</v>
      </c>
      <c r="B38" s="22" t="str">
        <f t="shared" si="3"/>
        <v>鉄鋼月報（その２）普通鋼熱間圧延鋼材</v>
      </c>
      <c r="C38" s="21" t="str">
        <f>HYPERLINK("#1020!AY3","0117")</f>
        <v>0117</v>
      </c>
      <c r="D38" s="22" t="str">
        <f>HYPERLINK("#1020!AY3","鋼板(中板・薄板)(普通鋼)")</f>
        <v>鋼板(中板・薄板)(普通鋼)</v>
      </c>
    </row>
    <row r="39" spans="1:4" x14ac:dyDescent="0.4">
      <c r="A39" s="21">
        <f t="shared" si="2"/>
        <v>1020</v>
      </c>
      <c r="B39" s="22" t="str">
        <f t="shared" si="3"/>
        <v>鉄鋼月報（その２）普通鋼熱間圧延鋼材</v>
      </c>
      <c r="C39" s="21" t="str">
        <f>HYPERLINK("#1020!BB3","0118")</f>
        <v>0118</v>
      </c>
      <c r="D39" s="22" t="str">
        <f>HYPERLINK("#1020!BB3","鋼帯(幅６００ｍｍ以上)(冷延電気鋼帯用)(普通鋼)")</f>
        <v>鋼帯(幅６００ｍｍ以上)(冷延電気鋼帯用)(普通鋼)</v>
      </c>
    </row>
    <row r="40" spans="1:4" x14ac:dyDescent="0.4">
      <c r="A40" s="21">
        <f t="shared" si="2"/>
        <v>1020</v>
      </c>
      <c r="B40" s="22" t="str">
        <f t="shared" si="3"/>
        <v>鉄鋼月報（その２）普通鋼熱間圧延鋼材</v>
      </c>
      <c r="C40" s="21" t="str">
        <f>HYPERLINK("#1020!BE3","0119")</f>
        <v>0119</v>
      </c>
      <c r="D40" s="22" t="str">
        <f>HYPERLINK("#1020!BE3","鋼帯(幅６００ｍｍ以上)(その他用)(普通鋼)")</f>
        <v>鋼帯(幅６００ｍｍ以上)(その他用)(普通鋼)</v>
      </c>
    </row>
    <row r="41" spans="1:4" x14ac:dyDescent="0.4">
      <c r="A41" s="21">
        <f t="shared" si="2"/>
        <v>1020</v>
      </c>
      <c r="B41" s="22" t="str">
        <f t="shared" si="3"/>
        <v>鉄鋼月報（その２）普通鋼熱間圧延鋼材</v>
      </c>
      <c r="C41" s="21" t="str">
        <f>HYPERLINK("#1020!BH3","0120")</f>
        <v>0120</v>
      </c>
      <c r="D41" s="22" t="str">
        <f>HYPERLINK("#1020!BH3","鋼帯(幅６００ｍｍ未満)(普通鋼)")</f>
        <v>鋼帯(幅６００ｍｍ未満)(普通鋼)</v>
      </c>
    </row>
    <row r="42" spans="1:4" x14ac:dyDescent="0.4">
      <c r="A42" s="21">
        <f t="shared" ref="A42:A51" si="4">HYPERLINK("#1040!A1 ",1040)</f>
        <v>1040</v>
      </c>
      <c r="B42" s="22" t="str">
        <f t="shared" ref="B42:B51" si="5">HYPERLINK("#1040!A1 ","鉄鋼月報（その４）普通鋼冷間仕上鋼材(線類を除く)･めっき鋼材(線類を除く)･冷間ロール成型形鋼")</f>
        <v>鉄鋼月報（その４）普通鋼冷間仕上鋼材(線類を除く)･めっき鋼材(線類を除く)･冷間ロール成型形鋼</v>
      </c>
      <c r="C42" s="21" t="str">
        <f>HYPERLINK("#1040!C3","0101")</f>
        <v>0101</v>
      </c>
      <c r="D42" s="22" t="str">
        <f>HYPERLINK("#1040!C3","磨帯鋼・冷延鋼板(普通鋼)")</f>
        <v>磨帯鋼・冷延鋼板(普通鋼)</v>
      </c>
    </row>
    <row r="43" spans="1:4" x14ac:dyDescent="0.4">
      <c r="A43" s="21">
        <f t="shared" si="4"/>
        <v>1040</v>
      </c>
      <c r="B43" s="22" t="str">
        <f t="shared" si="5"/>
        <v>鉄鋼月報（その４）普通鋼冷間仕上鋼材(線類を除く)･めっき鋼材(線類を除く)･冷間ロール成型形鋼</v>
      </c>
      <c r="C43" s="21" t="str">
        <f>HYPERLINK("#1040!F3","0102")</f>
        <v>0102</v>
      </c>
      <c r="D43" s="22" t="str">
        <f>HYPERLINK("#1040!F3","冷延広幅帯鋼(普通鋼)")</f>
        <v>冷延広幅帯鋼(普通鋼)</v>
      </c>
    </row>
    <row r="44" spans="1:4" x14ac:dyDescent="0.4">
      <c r="A44" s="21">
        <f t="shared" si="4"/>
        <v>1040</v>
      </c>
      <c r="B44" s="22" t="str">
        <f t="shared" si="5"/>
        <v>鉄鋼月報（その４）普通鋼冷間仕上鋼材(線類を除く)･めっき鋼材(線類を除く)･冷間ロール成型形鋼</v>
      </c>
      <c r="C44" s="21" t="str">
        <f>HYPERLINK("#1040!I3","0103")</f>
        <v>0103</v>
      </c>
      <c r="D44" s="22" t="str">
        <f>HYPERLINK("#1040!I3","冷延電気鋼帯(普通鋼)")</f>
        <v>冷延電気鋼帯(普通鋼)</v>
      </c>
    </row>
    <row r="45" spans="1:4" x14ac:dyDescent="0.4">
      <c r="A45" s="21">
        <f t="shared" si="4"/>
        <v>1040</v>
      </c>
      <c r="B45" s="22" t="str">
        <f t="shared" si="5"/>
        <v>鉄鋼月報（その４）普通鋼冷間仕上鋼材(線類を除く)･めっき鋼材(線類を除く)･冷間ロール成型形鋼</v>
      </c>
      <c r="C45" s="21" t="str">
        <f>HYPERLINK("#1040!L3","0104")</f>
        <v>0104</v>
      </c>
      <c r="D45" s="22" t="str">
        <f>HYPERLINK("#1040!L3","ブリキ")</f>
        <v>ブリキ</v>
      </c>
    </row>
    <row r="46" spans="1:4" x14ac:dyDescent="0.4">
      <c r="A46" s="21">
        <f t="shared" si="4"/>
        <v>1040</v>
      </c>
      <c r="B46" s="22" t="str">
        <f t="shared" si="5"/>
        <v>鉄鋼月報（その４）普通鋼冷間仕上鋼材(線類を除く)･めっき鋼材(線類を除く)･冷間ロール成型形鋼</v>
      </c>
      <c r="C46" s="21" t="str">
        <f>HYPERLINK("#1040!O3","0105")</f>
        <v>0105</v>
      </c>
      <c r="D46" s="22" t="str">
        <f>HYPERLINK("#1040!O3","ティンフリースチール")</f>
        <v>ティンフリースチール</v>
      </c>
    </row>
    <row r="47" spans="1:4" x14ac:dyDescent="0.4">
      <c r="A47" s="21">
        <f t="shared" si="4"/>
        <v>1040</v>
      </c>
      <c r="B47" s="22" t="str">
        <f t="shared" si="5"/>
        <v>鉄鋼月報（その４）普通鋼冷間仕上鋼材(線類を除く)･めっき鋼材(線類を除く)･冷間ロール成型形鋼</v>
      </c>
      <c r="C47" s="21" t="str">
        <f>HYPERLINK("#1040!R3","0106")</f>
        <v>0106</v>
      </c>
      <c r="D47" s="22" t="str">
        <f>HYPERLINK("#1040!R3","亜鉛めっき鋼板(溶融めっき)")</f>
        <v>亜鉛めっき鋼板(溶融めっき)</v>
      </c>
    </row>
    <row r="48" spans="1:4" x14ac:dyDescent="0.4">
      <c r="A48" s="21">
        <f t="shared" si="4"/>
        <v>1040</v>
      </c>
      <c r="B48" s="22" t="str">
        <f t="shared" si="5"/>
        <v>鉄鋼月報（その４）普通鋼冷間仕上鋼材(線類を除く)･めっき鋼材(線類を除く)･冷間ロール成型形鋼</v>
      </c>
      <c r="C48" s="21" t="str">
        <f>HYPERLINK("#1040!U3","0107")</f>
        <v>0107</v>
      </c>
      <c r="D48" s="22" t="str">
        <f>HYPERLINK("#1040!U3","亜鉛めっき鋼板(電気めっき)")</f>
        <v>亜鉛めっき鋼板(電気めっき)</v>
      </c>
    </row>
    <row r="49" spans="1:4" x14ac:dyDescent="0.4">
      <c r="A49" s="21">
        <f t="shared" si="4"/>
        <v>1040</v>
      </c>
      <c r="B49" s="22" t="str">
        <f t="shared" si="5"/>
        <v>鉄鋼月報（その４）普通鋼冷間仕上鋼材(線類を除く)･めっき鋼材(線類を除く)･冷間ロール成型形鋼</v>
      </c>
      <c r="C49" s="21" t="str">
        <f>HYPERLINK("#1040!X3","0108")</f>
        <v>0108</v>
      </c>
      <c r="D49" s="22" t="str">
        <f>HYPERLINK("#1040!X3","その他の金属めっき鋼板")</f>
        <v>その他の金属めっき鋼板</v>
      </c>
    </row>
    <row r="50" spans="1:4" x14ac:dyDescent="0.4">
      <c r="A50" s="21">
        <f t="shared" si="4"/>
        <v>1040</v>
      </c>
      <c r="B50" s="22" t="str">
        <f t="shared" si="5"/>
        <v>鉄鋼月報（その４）普通鋼冷間仕上鋼材(線類を除く)･めっき鋼材(線類を除く)･冷間ロール成型形鋼</v>
      </c>
      <c r="C50" s="21" t="str">
        <f>HYPERLINK("#1040!AA3","0109")</f>
        <v>0109</v>
      </c>
      <c r="D50" s="22" t="str">
        <f>HYPERLINK("#1040!AA3","簡易鋼矢板")</f>
        <v>簡易鋼矢板</v>
      </c>
    </row>
    <row r="51" spans="1:4" x14ac:dyDescent="0.4">
      <c r="A51" s="21">
        <f t="shared" si="4"/>
        <v>1040</v>
      </c>
      <c r="B51" s="22" t="str">
        <f t="shared" si="5"/>
        <v>鉄鋼月報（その４）普通鋼冷間仕上鋼材(線類を除く)･めっき鋼材(線類を除く)･冷間ロール成型形鋼</v>
      </c>
      <c r="C51" s="21" t="str">
        <f>HYPERLINK("#1040!AD3","0110")</f>
        <v>0110</v>
      </c>
      <c r="D51" s="22" t="str">
        <f>HYPERLINK("#1040!AD3","軽量形鋼")</f>
        <v>軽量形鋼</v>
      </c>
    </row>
    <row r="52" spans="1:4" x14ac:dyDescent="0.4">
      <c r="A52" s="21">
        <f t="shared" ref="A52:A61" si="6">HYPERLINK("#1050!A1 ",1050)</f>
        <v>1050</v>
      </c>
      <c r="B52" s="22" t="str">
        <f t="shared" ref="B52:B61" si="7">HYPERLINK("#1050!A1 ","鉄鋼月報（その５）特殊鋼圧延鋼材")</f>
        <v>鉄鋼月報（その５）特殊鋼圧延鋼材</v>
      </c>
      <c r="C52" s="21" t="str">
        <f>HYPERLINK("#1050!C3","0101")</f>
        <v>0101</v>
      </c>
      <c r="D52" s="22" t="str">
        <f>HYPERLINK("#1050!C3","形鋼(特殊鋼)")</f>
        <v>形鋼(特殊鋼)</v>
      </c>
    </row>
    <row r="53" spans="1:4" x14ac:dyDescent="0.4">
      <c r="A53" s="21">
        <f t="shared" si="6"/>
        <v>1050</v>
      </c>
      <c r="B53" s="22" t="str">
        <f t="shared" si="7"/>
        <v>鉄鋼月報（その５）特殊鋼圧延鋼材</v>
      </c>
      <c r="C53" s="21" t="str">
        <f>HYPERLINK("#1050!F3","0102")</f>
        <v>0102</v>
      </c>
      <c r="D53" s="22" t="str">
        <f>HYPERLINK("#1050!F3","棒鋼(特殊鋼)")</f>
        <v>棒鋼(特殊鋼)</v>
      </c>
    </row>
    <row r="54" spans="1:4" x14ac:dyDescent="0.4">
      <c r="A54" s="21">
        <f t="shared" si="6"/>
        <v>1050</v>
      </c>
      <c r="B54" s="22" t="str">
        <f t="shared" si="7"/>
        <v>鉄鋼月報（その５）特殊鋼圧延鋼材</v>
      </c>
      <c r="C54" s="21" t="str">
        <f>HYPERLINK("#1050!I3","0103")</f>
        <v>0103</v>
      </c>
      <c r="D54" s="22" t="str">
        <f>HYPERLINK("#1050!I3","管材(特殊鋼)")</f>
        <v>管材(特殊鋼)</v>
      </c>
    </row>
    <row r="55" spans="1:4" x14ac:dyDescent="0.4">
      <c r="A55" s="21">
        <f t="shared" si="6"/>
        <v>1050</v>
      </c>
      <c r="B55" s="22" t="str">
        <f t="shared" si="7"/>
        <v>鉄鋼月報（その５）特殊鋼圧延鋼材</v>
      </c>
      <c r="C55" s="21" t="str">
        <f>HYPERLINK("#1050!L3","0104")</f>
        <v>0104</v>
      </c>
      <c r="D55" s="22" t="str">
        <f>HYPERLINK("#1050!L3","線材(特殊鋼)")</f>
        <v>線材(特殊鋼)</v>
      </c>
    </row>
    <row r="56" spans="1:4" x14ac:dyDescent="0.4">
      <c r="A56" s="21">
        <f t="shared" si="6"/>
        <v>1050</v>
      </c>
      <c r="B56" s="22" t="str">
        <f t="shared" si="7"/>
        <v>鉄鋼月報（その５）特殊鋼圧延鋼材</v>
      </c>
      <c r="C56" s="21" t="str">
        <f>HYPERLINK("#1050!O3","0105")</f>
        <v>0105</v>
      </c>
      <c r="D56" s="22" t="str">
        <f>HYPERLINK("#1050!O3","鋼板(特殊鋼)")</f>
        <v>鋼板(特殊鋼)</v>
      </c>
    </row>
    <row r="57" spans="1:4" x14ac:dyDescent="0.4">
      <c r="A57" s="21">
        <f t="shared" si="6"/>
        <v>1050</v>
      </c>
      <c r="B57" s="22" t="str">
        <f t="shared" si="7"/>
        <v>鉄鋼月報（その５）特殊鋼圧延鋼材</v>
      </c>
      <c r="C57" s="21" t="str">
        <f>HYPERLINK("#1050!R3","0106")</f>
        <v>0106</v>
      </c>
      <c r="D57" s="22" t="str">
        <f>HYPERLINK("#1050!R3","鋼帯(特殊鋼)")</f>
        <v>鋼帯(特殊鋼)</v>
      </c>
    </row>
    <row r="58" spans="1:4" x14ac:dyDescent="0.4">
      <c r="A58" s="21">
        <f t="shared" si="6"/>
        <v>1050</v>
      </c>
      <c r="B58" s="22" t="str">
        <f t="shared" si="7"/>
        <v>鉄鋼月報（その５）特殊鋼圧延鋼材</v>
      </c>
      <c r="C58" s="21" t="str">
        <f>HYPERLINK("#1050!U3","0107")</f>
        <v>0107</v>
      </c>
      <c r="D58" s="22" t="str">
        <f>HYPERLINK("#1050!U3","特殊鋼熱間圧延鋼材計")</f>
        <v>特殊鋼熱間圧延鋼材計</v>
      </c>
    </row>
    <row r="59" spans="1:4" x14ac:dyDescent="0.4">
      <c r="A59" s="21">
        <f t="shared" si="6"/>
        <v>1050</v>
      </c>
      <c r="B59" s="22" t="str">
        <f t="shared" si="7"/>
        <v>鉄鋼月報（その５）特殊鋼圧延鋼材</v>
      </c>
      <c r="C59" s="21" t="str">
        <f>HYPERLINK("#1050!X3","0108")</f>
        <v>0108</v>
      </c>
      <c r="D59" s="22" t="str">
        <f>HYPERLINK("#1050!X3","磨帯鋼(特殊鋼)")</f>
        <v>磨帯鋼(特殊鋼)</v>
      </c>
    </row>
    <row r="60" spans="1:4" x14ac:dyDescent="0.4">
      <c r="A60" s="21">
        <f t="shared" si="6"/>
        <v>1050</v>
      </c>
      <c r="B60" s="22" t="str">
        <f t="shared" si="7"/>
        <v>鉄鋼月報（その５）特殊鋼圧延鋼材</v>
      </c>
      <c r="C60" s="21" t="str">
        <f>HYPERLINK("#1050!AA3","0109")</f>
        <v>0109</v>
      </c>
      <c r="D60" s="22" t="str">
        <f>HYPERLINK("#1050!AA3","冷延広幅帯鋼(特殊鋼)")</f>
        <v>冷延広幅帯鋼(特殊鋼)</v>
      </c>
    </row>
    <row r="61" spans="1:4" x14ac:dyDescent="0.4">
      <c r="A61" s="21">
        <f t="shared" si="6"/>
        <v>1050</v>
      </c>
      <c r="B61" s="22" t="str">
        <f t="shared" si="7"/>
        <v>鉄鋼月報（その５）特殊鋼圧延鋼材</v>
      </c>
      <c r="C61" s="21" t="str">
        <f>HYPERLINK("#1050!AD3","0110")</f>
        <v>0110</v>
      </c>
      <c r="D61" s="22" t="str">
        <f>HYPERLINK("#1050!AD3","冷延鋼板(特殊鋼)")</f>
        <v>冷延鋼板(特殊鋼)</v>
      </c>
    </row>
    <row r="62" spans="1:4" x14ac:dyDescent="0.4">
      <c r="A62" s="21">
        <f>HYPERLINK("#1060!A1 ",1060)</f>
        <v>1060</v>
      </c>
      <c r="B62" s="22" t="str">
        <f>HYPERLINK("#1060!A1 ","鉄鋼月報（その６）鋼管")</f>
        <v>鉄鋼月報（その６）鋼管</v>
      </c>
      <c r="C62" s="21" t="str">
        <f>HYPERLINK("#1060!C3","0101")</f>
        <v>0101</v>
      </c>
      <c r="D62" s="22" t="str">
        <f>HYPERLINK("#1060!C3","熱間鋼管（溶鍛接鋼管を含む）(普通鋼)")</f>
        <v>熱間鋼管（溶鍛接鋼管を含む）(普通鋼)</v>
      </c>
    </row>
    <row r="63" spans="1:4" x14ac:dyDescent="0.4">
      <c r="A63" s="21">
        <f>HYPERLINK("#1060!A1 ",1060)</f>
        <v>1060</v>
      </c>
      <c r="B63" s="22" t="str">
        <f>HYPERLINK("#1060!A1 ","鉄鋼月報（その６）鋼管")</f>
        <v>鉄鋼月報（その６）鋼管</v>
      </c>
      <c r="C63" s="21" t="str">
        <f>HYPERLINK("#1060!F3","0102")</f>
        <v>0102</v>
      </c>
      <c r="D63" s="22" t="str">
        <f>HYPERLINK("#1060!F3","冷けん鋼管（再生引抜鋼管を含む）(普通鋼)")</f>
        <v>冷けん鋼管（再生引抜鋼管を含む）(普通鋼)</v>
      </c>
    </row>
    <row r="64" spans="1:4" x14ac:dyDescent="0.4">
      <c r="A64" s="21">
        <f>HYPERLINK("#1060!A1 ",1060)</f>
        <v>1060</v>
      </c>
      <c r="B64" s="22" t="str">
        <f>HYPERLINK("#1060!A1 ","鉄鋼月報（その６）鋼管")</f>
        <v>鉄鋼月報（その６）鋼管</v>
      </c>
      <c r="C64" s="21" t="str">
        <f>HYPERLINK("#1060!I3","0103")</f>
        <v>0103</v>
      </c>
      <c r="D64" s="22" t="str">
        <f>HYPERLINK("#1060!I3","めっき鋼管(普通鋼)")</f>
        <v>めっき鋼管(普通鋼)</v>
      </c>
    </row>
    <row r="65" spans="1:4" x14ac:dyDescent="0.4">
      <c r="A65" s="21">
        <f>HYPERLINK("#1060!A1 ",1060)</f>
        <v>1060</v>
      </c>
      <c r="B65" s="22" t="str">
        <f>HYPERLINK("#1060!A1 ","鉄鋼月報（その６）鋼管")</f>
        <v>鉄鋼月報（その６）鋼管</v>
      </c>
      <c r="C65" s="21" t="str">
        <f>HYPERLINK("#1060!L3","0104")</f>
        <v>0104</v>
      </c>
      <c r="D65" s="22" t="str">
        <f>HYPERLINK("#1060!L3","熱間鋼管（溶接鋼管を含む）(特殊鋼)")</f>
        <v>熱間鋼管（溶接鋼管を含む）(特殊鋼)</v>
      </c>
    </row>
    <row r="66" spans="1:4" x14ac:dyDescent="0.4">
      <c r="A66" s="21">
        <f>HYPERLINK("#1060!A1 ",1060)</f>
        <v>1060</v>
      </c>
      <c r="B66" s="22" t="str">
        <f>HYPERLINK("#1060!A1 ","鉄鋼月報（その６）鋼管")</f>
        <v>鉄鋼月報（その６）鋼管</v>
      </c>
      <c r="C66" s="21" t="str">
        <f>HYPERLINK("#1060!O3","0105")</f>
        <v>0105</v>
      </c>
      <c r="D66" s="22" t="str">
        <f>HYPERLINK("#1060!O3","冷けん鋼管(特殊鋼)")</f>
        <v>冷けん鋼管(特殊鋼)</v>
      </c>
    </row>
    <row r="67" spans="1:4" x14ac:dyDescent="0.4">
      <c r="A67" s="21">
        <f t="shared" ref="A67:A91" si="8">HYPERLINK("#1070!A1 ",1070)</f>
        <v>1070</v>
      </c>
      <c r="B67" s="22" t="str">
        <f t="shared" ref="B67:B91" si="9">HYPERLINK("#1070!A1 ","鉄鋼月報（その７）磨棒鋼･線類・鋳鉄管・鉄鋼加工製品")</f>
        <v>鉄鋼月報（その７）磨棒鋼･線類・鋳鉄管・鉄鋼加工製品</v>
      </c>
      <c r="C67" s="21" t="str">
        <f>HYPERLINK("#1070!C3","0101")</f>
        <v>0101</v>
      </c>
      <c r="D67" s="22" t="str">
        <f>HYPERLINK("#1070!C3","磨棒鋼(普通鋼)")</f>
        <v>磨棒鋼(普通鋼)</v>
      </c>
    </row>
    <row r="68" spans="1:4" x14ac:dyDescent="0.4">
      <c r="A68" s="21">
        <f t="shared" si="8"/>
        <v>1070</v>
      </c>
      <c r="B68" s="22" t="str">
        <f t="shared" si="9"/>
        <v>鉄鋼月報（その７）磨棒鋼･線類・鋳鉄管・鉄鋼加工製品</v>
      </c>
      <c r="C68" s="21" t="str">
        <f>HYPERLINK("#1070!F3","0102")</f>
        <v>0102</v>
      </c>
      <c r="D68" s="22" t="str">
        <f>HYPERLINK("#1070!F3","鉄線(普通鋼)")</f>
        <v>鉄線(普通鋼)</v>
      </c>
    </row>
    <row r="69" spans="1:4" x14ac:dyDescent="0.4">
      <c r="A69" s="21">
        <f t="shared" si="8"/>
        <v>1070</v>
      </c>
      <c r="B69" s="22" t="str">
        <f t="shared" si="9"/>
        <v>鉄鋼月報（その７）磨棒鋼･線類・鋳鉄管・鉄鋼加工製品</v>
      </c>
      <c r="C69" s="21" t="str">
        <f>HYPERLINK("#1070!I3","0103")</f>
        <v>0103</v>
      </c>
      <c r="D69" s="22" t="str">
        <f>HYPERLINK("#1070!I3","冷間圧造用炭素鋼線(普通鋼)")</f>
        <v>冷間圧造用炭素鋼線(普通鋼)</v>
      </c>
    </row>
    <row r="70" spans="1:4" x14ac:dyDescent="0.4">
      <c r="A70" s="21">
        <f t="shared" si="8"/>
        <v>1070</v>
      </c>
      <c r="B70" s="22" t="str">
        <f t="shared" si="9"/>
        <v>鉄鋼月報（その７）磨棒鋼･線類・鋳鉄管・鉄鋼加工製品</v>
      </c>
      <c r="C70" s="21" t="str">
        <f>HYPERLINK("#1070!L3","0104")</f>
        <v>0104</v>
      </c>
      <c r="D70" s="22" t="str">
        <f>HYPERLINK("#1070!L3","硬鋼線(普通鋼)")</f>
        <v>硬鋼線(普通鋼)</v>
      </c>
    </row>
    <row r="71" spans="1:4" x14ac:dyDescent="0.4">
      <c r="A71" s="21">
        <f t="shared" si="8"/>
        <v>1070</v>
      </c>
      <c r="B71" s="22" t="str">
        <f t="shared" si="9"/>
        <v>鉄鋼月報（その７）磨棒鋼･線類・鋳鉄管・鉄鋼加工製品</v>
      </c>
      <c r="C71" s="21" t="str">
        <f>HYPERLINK("#1070!O3","0105")</f>
        <v>0105</v>
      </c>
      <c r="D71" s="22" t="str">
        <f>HYPERLINK("#1070!O3","溶接棒心線(普通鋼)")</f>
        <v>溶接棒心線(普通鋼)</v>
      </c>
    </row>
    <row r="72" spans="1:4" x14ac:dyDescent="0.4">
      <c r="A72" s="21">
        <f t="shared" si="8"/>
        <v>1070</v>
      </c>
      <c r="B72" s="22" t="str">
        <f t="shared" si="9"/>
        <v>鉄鋼月報（その７）磨棒鋼･線類・鋳鉄管・鉄鋼加工製品</v>
      </c>
      <c r="C72" s="21" t="str">
        <f>HYPERLINK("#1070!R3","0106")</f>
        <v>0106</v>
      </c>
      <c r="D72" s="22" t="str">
        <f>HYPERLINK("#1070!R3","針金")</f>
        <v>針金</v>
      </c>
    </row>
    <row r="73" spans="1:4" x14ac:dyDescent="0.4">
      <c r="A73" s="21">
        <f t="shared" si="8"/>
        <v>1070</v>
      </c>
      <c r="B73" s="22" t="str">
        <f t="shared" si="9"/>
        <v>鉄鋼月報（その７）磨棒鋼･線類・鋳鉄管・鉄鋼加工製品</v>
      </c>
      <c r="C73" s="21" t="str">
        <f>HYPERLINK("#1070!U3","0107")</f>
        <v>0107</v>
      </c>
      <c r="D73" s="22" t="str">
        <f>HYPERLINK("#1070!U3","亜鉛めっき硬鋼線")</f>
        <v>亜鉛めっき硬鋼線</v>
      </c>
    </row>
    <row r="74" spans="1:4" x14ac:dyDescent="0.4">
      <c r="A74" s="21">
        <f t="shared" si="8"/>
        <v>1070</v>
      </c>
      <c r="B74" s="22" t="str">
        <f t="shared" si="9"/>
        <v>鉄鋼月報（その７）磨棒鋼･線類・鋳鉄管・鉄鋼加工製品</v>
      </c>
      <c r="C74" s="21" t="str">
        <f>HYPERLINK("#1070!X3","0108")</f>
        <v>0108</v>
      </c>
      <c r="D74" s="22" t="str">
        <f>HYPERLINK("#1070!X3","磨棒鋼(特殊鋼)")</f>
        <v>磨棒鋼(特殊鋼)</v>
      </c>
    </row>
    <row r="75" spans="1:4" x14ac:dyDescent="0.4">
      <c r="A75" s="21">
        <f t="shared" si="8"/>
        <v>1070</v>
      </c>
      <c r="B75" s="22" t="str">
        <f t="shared" si="9"/>
        <v>鉄鋼月報（その７）磨棒鋼･線類・鋳鉄管・鉄鋼加工製品</v>
      </c>
      <c r="C75" s="21" t="str">
        <f>HYPERLINK("#1070!AA3","0109")</f>
        <v>0109</v>
      </c>
      <c r="D75" s="22" t="str">
        <f>HYPERLINK("#1070!AA3","ＰＣ鋼線(特殊鋼)")</f>
        <v>ＰＣ鋼線(特殊鋼)</v>
      </c>
    </row>
    <row r="76" spans="1:4" x14ac:dyDescent="0.4">
      <c r="A76" s="21">
        <f t="shared" si="8"/>
        <v>1070</v>
      </c>
      <c r="B76" s="22" t="str">
        <f t="shared" si="9"/>
        <v>鉄鋼月報（その７）磨棒鋼･線類・鋳鉄管・鉄鋼加工製品</v>
      </c>
      <c r="C76" s="21" t="str">
        <f>HYPERLINK("#1070!AD3","0110")</f>
        <v>0110</v>
      </c>
      <c r="D76" s="22" t="str">
        <f>HYPERLINK("#1070!AD3","ピアノ線(特殊鋼)")</f>
        <v>ピアノ線(特殊鋼)</v>
      </c>
    </row>
    <row r="77" spans="1:4" x14ac:dyDescent="0.4">
      <c r="A77" s="21">
        <f t="shared" si="8"/>
        <v>1070</v>
      </c>
      <c r="B77" s="22" t="str">
        <f t="shared" si="9"/>
        <v>鉄鋼月報（その７）磨棒鋼･線類・鋳鉄管・鉄鋼加工製品</v>
      </c>
      <c r="C77" s="21" t="str">
        <f>HYPERLINK("#1070!AG3","0111")</f>
        <v>0111</v>
      </c>
      <c r="D77" s="22" t="str">
        <f>HYPERLINK("#1070!AG3","ステンレス鋼線(特殊鋼)")</f>
        <v>ステンレス鋼線(特殊鋼)</v>
      </c>
    </row>
    <row r="78" spans="1:4" x14ac:dyDescent="0.4">
      <c r="A78" s="21">
        <f t="shared" si="8"/>
        <v>1070</v>
      </c>
      <c r="B78" s="22" t="str">
        <f t="shared" si="9"/>
        <v>鉄鋼月報（その７）磨棒鋼･線類・鋳鉄管・鉄鋼加工製品</v>
      </c>
      <c r="C78" s="21" t="str">
        <f>HYPERLINK("#1070!AJ3","0112")</f>
        <v>0112</v>
      </c>
      <c r="D78" s="22" t="str">
        <f>HYPERLINK("#1070!AJ3","冷間圧造用炭素鋼線(特殊鋼)")</f>
        <v>冷間圧造用炭素鋼線(特殊鋼)</v>
      </c>
    </row>
    <row r="79" spans="1:4" x14ac:dyDescent="0.4">
      <c r="A79" s="21">
        <f t="shared" si="8"/>
        <v>1070</v>
      </c>
      <c r="B79" s="22" t="str">
        <f t="shared" si="9"/>
        <v>鉄鋼月報（その７）磨棒鋼･線類・鋳鉄管・鉄鋼加工製品</v>
      </c>
      <c r="C79" s="21" t="str">
        <f>HYPERLINK("#1070!AM3","0113")</f>
        <v>0113</v>
      </c>
      <c r="D79" s="22" t="str">
        <f>HYPERLINK("#1070!AM3","その他の特殊鋼線(特殊鋼)")</f>
        <v>その他の特殊鋼線(特殊鋼)</v>
      </c>
    </row>
    <row r="80" spans="1:4" x14ac:dyDescent="0.4">
      <c r="A80" s="21">
        <f t="shared" si="8"/>
        <v>1070</v>
      </c>
      <c r="B80" s="22" t="str">
        <f t="shared" si="9"/>
        <v>鉄鋼月報（その７）磨棒鋼･線類・鋳鉄管・鉄鋼加工製品</v>
      </c>
      <c r="C80" s="21" t="str">
        <f>HYPERLINK("#1070!AP3","0114")</f>
        <v>0114</v>
      </c>
      <c r="D80" s="22" t="str">
        <f>HYPERLINK("#1070!AP3","鋳鉄管")</f>
        <v>鋳鉄管</v>
      </c>
    </row>
    <row r="81" spans="1:4" x14ac:dyDescent="0.4">
      <c r="A81" s="21">
        <f t="shared" si="8"/>
        <v>1070</v>
      </c>
      <c r="B81" s="22" t="str">
        <f t="shared" si="9"/>
        <v>鉄鋼月報（その７）磨棒鋼･線類・鋳鉄管・鉄鋼加工製品</v>
      </c>
      <c r="C81" s="21" t="str">
        <f>HYPERLINK("#1070!AS3","0121")</f>
        <v>0121</v>
      </c>
      <c r="D81" s="22" t="str">
        <f>HYPERLINK("#1070!AS3","鋼索")</f>
        <v>鋼索</v>
      </c>
    </row>
    <row r="82" spans="1:4" x14ac:dyDescent="0.4">
      <c r="A82" s="21">
        <f t="shared" si="8"/>
        <v>1070</v>
      </c>
      <c r="B82" s="22" t="str">
        <f t="shared" si="9"/>
        <v>鉄鋼月報（その７）磨棒鋼･線類・鋳鉄管・鉄鋼加工製品</v>
      </c>
      <c r="C82" s="21" t="str">
        <f>HYPERLINK("#1070!AV3","0122")</f>
        <v>0122</v>
      </c>
      <c r="D82" s="22" t="str">
        <f>HYPERLINK("#1070!AV3","鋼より線(鋼索の内数)")</f>
        <v>鋼より線(鋼索の内数)</v>
      </c>
    </row>
    <row r="83" spans="1:4" x14ac:dyDescent="0.4">
      <c r="A83" s="21">
        <f t="shared" si="8"/>
        <v>1070</v>
      </c>
      <c r="B83" s="22" t="str">
        <f t="shared" si="9"/>
        <v>鉄鋼月報（その７）磨棒鋼･線類・鋳鉄管・鉄鋼加工製品</v>
      </c>
      <c r="C83" s="21" t="str">
        <f>HYPERLINK("#1070!AY3","0123")</f>
        <v>0123</v>
      </c>
      <c r="D83" s="22" t="str">
        <f>HYPERLINK("#1070!AY3","ＰＣ鋼より線")</f>
        <v>ＰＣ鋼より線</v>
      </c>
    </row>
    <row r="84" spans="1:4" x14ac:dyDescent="0.4">
      <c r="A84" s="21">
        <f t="shared" si="8"/>
        <v>1070</v>
      </c>
      <c r="B84" s="22" t="str">
        <f t="shared" si="9"/>
        <v>鉄鋼月報（その７）磨棒鋼･線類・鋳鉄管・鉄鋼加工製品</v>
      </c>
      <c r="C84" s="21" t="str">
        <f>HYPERLINK("#1070!BB3","0124")</f>
        <v>0124</v>
      </c>
      <c r="D84" s="22" t="str">
        <f>HYPERLINK("#1070!BB3","一般金網・蛇かご")</f>
        <v>一般金網・蛇かご</v>
      </c>
    </row>
    <row r="85" spans="1:4" x14ac:dyDescent="0.4">
      <c r="A85" s="21">
        <f t="shared" si="8"/>
        <v>1070</v>
      </c>
      <c r="B85" s="22" t="str">
        <f t="shared" si="9"/>
        <v>鉄鋼月報（その７）磨棒鋼･線類・鋳鉄管・鉄鋼加工製品</v>
      </c>
      <c r="C85" s="21" t="str">
        <f>HYPERLINK("#1070!BE3","0125")</f>
        <v>0125</v>
      </c>
      <c r="D85" s="22" t="str">
        <f>HYPERLINK("#1070!BE3","溶接金網")</f>
        <v>溶接金網</v>
      </c>
    </row>
    <row r="86" spans="1:4" x14ac:dyDescent="0.4">
      <c r="A86" s="21">
        <f t="shared" si="8"/>
        <v>1070</v>
      </c>
      <c r="B86" s="22" t="str">
        <f t="shared" si="9"/>
        <v>鉄鋼月報（その７）磨棒鋼･線類・鋳鉄管・鉄鋼加工製品</v>
      </c>
      <c r="C86" s="21" t="str">
        <f>HYPERLINK("#1070!BH3","0126")</f>
        <v>0126</v>
      </c>
      <c r="D86" s="22" t="str">
        <f>HYPERLINK("#1070!BH3","鉄くぎ")</f>
        <v>鉄くぎ</v>
      </c>
    </row>
    <row r="87" spans="1:4" x14ac:dyDescent="0.4">
      <c r="A87" s="21">
        <f t="shared" si="8"/>
        <v>1070</v>
      </c>
      <c r="B87" s="22" t="str">
        <f t="shared" si="9"/>
        <v>鉄鋼月報（その７）磨棒鋼･線類・鋳鉄管・鉄鋼加工製品</v>
      </c>
      <c r="C87" s="21" t="str">
        <f>HYPERLINK("#1070!BK3","0127")</f>
        <v>0127</v>
      </c>
      <c r="D87" s="22" t="str">
        <f>HYPERLINK("#1070!BK3","電気溶接棒")</f>
        <v>電気溶接棒</v>
      </c>
    </row>
    <row r="88" spans="1:4" x14ac:dyDescent="0.4">
      <c r="A88" s="21">
        <f t="shared" si="8"/>
        <v>1070</v>
      </c>
      <c r="B88" s="22" t="str">
        <f t="shared" si="9"/>
        <v>鉄鋼月報（その７）磨棒鋼･線類・鋳鉄管・鉄鋼加工製品</v>
      </c>
      <c r="C88" s="21" t="str">
        <f>HYPERLINK("#1070!BN3","0128")</f>
        <v>0128</v>
      </c>
      <c r="D88" s="22" t="str">
        <f>HYPERLINK("#1070!BN3","ドラム缶")</f>
        <v>ドラム缶</v>
      </c>
    </row>
    <row r="89" spans="1:4" x14ac:dyDescent="0.4">
      <c r="A89" s="21">
        <f t="shared" si="8"/>
        <v>1070</v>
      </c>
      <c r="B89" s="22" t="str">
        <f t="shared" si="9"/>
        <v>鉄鋼月報（その７）磨棒鋼･線類・鋳鉄管・鉄鋼加工製品</v>
      </c>
      <c r="C89" s="21" t="str">
        <f>HYPERLINK("#1070!BQ3","0129")</f>
        <v>0129</v>
      </c>
      <c r="D89" s="22" t="str">
        <f>HYPERLINK("#1070!BQ3","１８リットル缶")</f>
        <v>１８リットル缶</v>
      </c>
    </row>
    <row r="90" spans="1:4" x14ac:dyDescent="0.4">
      <c r="A90" s="21">
        <f t="shared" si="8"/>
        <v>1070</v>
      </c>
      <c r="B90" s="22" t="str">
        <f t="shared" si="9"/>
        <v>鉄鋼月報（その７）磨棒鋼･線類・鋳鉄管・鉄鋼加工製品</v>
      </c>
      <c r="C90" s="21" t="str">
        <f>HYPERLINK("#1070!BT3","0130")</f>
        <v>0130</v>
      </c>
      <c r="D90" s="22" t="str">
        <f>HYPERLINK("#1070!BT3","食缶")</f>
        <v>食缶</v>
      </c>
    </row>
    <row r="91" spans="1:4" x14ac:dyDescent="0.4">
      <c r="A91" s="21">
        <f t="shared" si="8"/>
        <v>1070</v>
      </c>
      <c r="B91" s="22" t="str">
        <f t="shared" si="9"/>
        <v>鉄鋼月報（その７）磨棒鋼･線類・鋳鉄管・鉄鋼加工製品</v>
      </c>
      <c r="C91" s="21" t="str">
        <f>HYPERLINK("#1070!BW3","0131")</f>
        <v>0131</v>
      </c>
      <c r="D91" s="22" t="str">
        <f>HYPERLINK("#1070!BW3","一般缶")</f>
        <v>一般缶</v>
      </c>
    </row>
    <row r="92" spans="1:4" x14ac:dyDescent="0.4">
      <c r="A92" s="21">
        <f t="shared" ref="A92:A111" si="10">HYPERLINK("#2010!A1 ",2010)</f>
        <v>2010</v>
      </c>
      <c r="B92" s="22" t="str">
        <f t="shared" ref="B92:B111" si="11">HYPERLINK("#2010!A1 ","機械器具月報（その１）ボイラ及び原動機（自動車用、二輪自動車用、鉄道車両用及び航空機用のものを除く）")</f>
        <v>機械器具月報（その１）ボイラ及び原動機（自動車用、二輪自動車用、鉄道車両用及び航空機用のものを除く）</v>
      </c>
      <c r="C92" s="21" t="str">
        <f>HYPERLINK("#2010!C3","0101")</f>
        <v>0101</v>
      </c>
      <c r="D92" s="22" t="str">
        <f>HYPERLINK("#2010!C3","内燃機関(はん用ガソリン機関)(３ＰＳ未満)(２サイクル)")</f>
        <v>内燃機関(はん用ガソリン機関)(３ＰＳ未満)(２サイクル)</v>
      </c>
    </row>
    <row r="93" spans="1:4" x14ac:dyDescent="0.4">
      <c r="A93" s="21">
        <f t="shared" si="10"/>
        <v>2010</v>
      </c>
      <c r="B93" s="22" t="str">
        <f t="shared" si="11"/>
        <v>機械器具月報（その１）ボイラ及び原動機（自動車用、二輪自動車用、鉄道車両用及び航空機用のものを除く）</v>
      </c>
      <c r="C93" s="21" t="str">
        <f>HYPERLINK("#2010!K3","0102")</f>
        <v>0102</v>
      </c>
      <c r="D93" s="22" t="str">
        <f>HYPERLINK("#2010!K3","内燃機関(はん用ガソリン機関)(３ＰＳ未満)(４サイクル)")</f>
        <v>内燃機関(はん用ガソリン機関)(３ＰＳ未満)(４サイクル)</v>
      </c>
    </row>
    <row r="94" spans="1:4" x14ac:dyDescent="0.4">
      <c r="A94" s="21">
        <f t="shared" si="10"/>
        <v>2010</v>
      </c>
      <c r="B94" s="22" t="str">
        <f t="shared" si="11"/>
        <v>機械器具月報（その１）ボイラ及び原動機（自動車用、二輪自動車用、鉄道車両用及び航空機用のものを除く）</v>
      </c>
      <c r="C94" s="21" t="str">
        <f>HYPERLINK("#2010!S3","0103")</f>
        <v>0103</v>
      </c>
      <c r="D94" s="22" t="str">
        <f>HYPERLINK("#2010!S3","内燃機関(はん用ガソリン機関)(３ＰＳ以上)(２サイクル)")</f>
        <v>内燃機関(はん用ガソリン機関)(３ＰＳ以上)(２サイクル)</v>
      </c>
    </row>
    <row r="95" spans="1:4" x14ac:dyDescent="0.4">
      <c r="A95" s="21">
        <f t="shared" si="10"/>
        <v>2010</v>
      </c>
      <c r="B95" s="22" t="str">
        <f t="shared" si="11"/>
        <v>機械器具月報（その１）ボイラ及び原動機（自動車用、二輪自動車用、鉄道車両用及び航空機用のものを除く）</v>
      </c>
      <c r="C95" s="21" t="str">
        <f>HYPERLINK("#2010!AA3","0104")</f>
        <v>0104</v>
      </c>
      <c r="D95" s="22" t="str">
        <f>HYPERLINK("#2010!AA3","内燃機関(はん用ガソリン機関)(３ＰＳ以上)(４サイクル)")</f>
        <v>内燃機関(はん用ガソリン機関)(３ＰＳ以上)(４サイクル)</v>
      </c>
    </row>
    <row r="96" spans="1:4" x14ac:dyDescent="0.4">
      <c r="A96" s="21">
        <f t="shared" si="10"/>
        <v>2010</v>
      </c>
      <c r="B96" s="22" t="str">
        <f t="shared" si="11"/>
        <v>機械器具月報（その１）ボイラ及び原動機（自動車用、二輪自動車用、鉄道車両用及び航空機用のものを除く）</v>
      </c>
      <c r="C96" s="21" t="str">
        <f>HYPERLINK("#2010!AI3","0105")</f>
        <v>0105</v>
      </c>
      <c r="D96" s="22" t="str">
        <f>HYPERLINK("#2010!AI3","内燃機関(はん用ディーゼル機関)(３０ＰＳ未満)")</f>
        <v>内燃機関(はん用ディーゼル機関)(３０ＰＳ未満)</v>
      </c>
    </row>
    <row r="97" spans="1:4" x14ac:dyDescent="0.4">
      <c r="A97" s="21">
        <f t="shared" si="10"/>
        <v>2010</v>
      </c>
      <c r="B97" s="22" t="str">
        <f t="shared" si="11"/>
        <v>機械器具月報（その１）ボイラ及び原動機（自動車用、二輪自動車用、鉄道車両用及び航空機用のものを除く）</v>
      </c>
      <c r="C97" s="21" t="str">
        <f>HYPERLINK("#2010!AQ3","0106")</f>
        <v>0106</v>
      </c>
      <c r="D97" s="22" t="str">
        <f>HYPERLINK("#2010!AQ3","内燃機関(はん用ディーゼル機関)(３０ＰＳ以上１００ＰＳ未満)")</f>
        <v>内燃機関(はん用ディーゼル機関)(３０ＰＳ以上１００ＰＳ未満)</v>
      </c>
    </row>
    <row r="98" spans="1:4" x14ac:dyDescent="0.4">
      <c r="A98" s="21">
        <f t="shared" si="10"/>
        <v>2010</v>
      </c>
      <c r="B98" s="22" t="str">
        <f t="shared" si="11"/>
        <v>機械器具月報（その１）ボイラ及び原動機（自動車用、二輪自動車用、鉄道車両用及び航空機用のものを除く）</v>
      </c>
      <c r="C98" s="21" t="str">
        <f>HYPERLINK("#2010!AY3","0107")</f>
        <v>0107</v>
      </c>
      <c r="D98" s="22" t="str">
        <f>HYPERLINK("#2010!AY3","内燃機関(はん用ディーゼル機関)(１００ＰＳ以上５００ＰＳ未満)")</f>
        <v>内燃機関(はん用ディーゼル機関)(１００ＰＳ以上５００ＰＳ未満)</v>
      </c>
    </row>
    <row r="99" spans="1:4" x14ac:dyDescent="0.4">
      <c r="A99" s="21">
        <f t="shared" si="10"/>
        <v>2010</v>
      </c>
      <c r="B99" s="22" t="str">
        <f t="shared" si="11"/>
        <v>機械器具月報（その１）ボイラ及び原動機（自動車用、二輪自動車用、鉄道車両用及び航空機用のものを除く）</v>
      </c>
      <c r="C99" s="21" t="str">
        <f>HYPERLINK("#2010!BG3","0108")</f>
        <v>0108</v>
      </c>
      <c r="D99" s="22" t="str">
        <f>HYPERLINK("#2010!BG3","内燃機関(はん用ディーゼル機関)(５００ＰＳ以上)")</f>
        <v>内燃機関(はん用ディーゼル機関)(５００ＰＳ以上)</v>
      </c>
    </row>
    <row r="100" spans="1:4" x14ac:dyDescent="0.4">
      <c r="A100" s="21">
        <f t="shared" si="10"/>
        <v>2010</v>
      </c>
      <c r="B100" s="22" t="str">
        <f t="shared" si="11"/>
        <v>機械器具月報（その１）ボイラ及び原動機（自動車用、二輪自動車用、鉄道車両用及び航空機用のものを除く）</v>
      </c>
      <c r="C100" s="21" t="str">
        <f>HYPERLINK("#2010!BO3","0109")</f>
        <v>0109</v>
      </c>
      <c r="D100" s="22" t="str">
        <f>HYPERLINK("#2010!BO3","舶用ディーゼル機関")</f>
        <v>舶用ディーゼル機関</v>
      </c>
    </row>
    <row r="101" spans="1:4" x14ac:dyDescent="0.4">
      <c r="A101" s="21">
        <f t="shared" si="10"/>
        <v>2010</v>
      </c>
      <c r="B101" s="22" t="str">
        <f t="shared" si="11"/>
        <v>機械器具月報（その１）ボイラ及び原動機（自動車用、二輪自動車用、鉄道車両用及び航空機用のものを除く）</v>
      </c>
      <c r="C101" s="21" t="str">
        <f>HYPERLINK("#2010!BR3","0110")</f>
        <v>0110</v>
      </c>
      <c r="D101" s="22" t="str">
        <f>HYPERLINK("#2010!BR3","水管ボイラ(一般用)(２ｔ／ｈ未満)")</f>
        <v>水管ボイラ(一般用)(２ｔ／ｈ未満)</v>
      </c>
    </row>
    <row r="102" spans="1:4" x14ac:dyDescent="0.4">
      <c r="A102" s="21">
        <f t="shared" si="10"/>
        <v>2010</v>
      </c>
      <c r="B102" s="22" t="str">
        <f t="shared" si="11"/>
        <v>機械器具月報（その１）ボイラ及び原動機（自動車用、二輪自動車用、鉄道車両用及び航空機用のものを除く）</v>
      </c>
      <c r="C102" s="21" t="str">
        <f>HYPERLINK("#2010!BU3","0111")</f>
        <v>0111</v>
      </c>
      <c r="D102" s="22" t="str">
        <f>HYPERLINK("#2010!BU3","水管ボイラ(一般用)(２ｔ／ｈ以上３５ｔ／ｈ未満)")</f>
        <v>水管ボイラ(一般用)(２ｔ／ｈ以上３５ｔ／ｈ未満)</v>
      </c>
    </row>
    <row r="103" spans="1:4" x14ac:dyDescent="0.4">
      <c r="A103" s="21">
        <f t="shared" si="10"/>
        <v>2010</v>
      </c>
      <c r="B103" s="22" t="str">
        <f t="shared" si="11"/>
        <v>機械器具月報（その１）ボイラ及び原動機（自動車用、二輪自動車用、鉄道車両用及び航空機用のものを除く）</v>
      </c>
      <c r="C103" s="21" t="str">
        <f>HYPERLINK("#2010!BX3","0112")</f>
        <v>0112</v>
      </c>
      <c r="D103" s="22" t="str">
        <f>HYPERLINK("#2010!BX3","水管ボイラ(一般用)(３５ｔ／ｈ以上４９０ｔ／ｈ未満)")</f>
        <v>水管ボイラ(一般用)(３５ｔ／ｈ以上４９０ｔ／ｈ未満)</v>
      </c>
    </row>
    <row r="104" spans="1:4" x14ac:dyDescent="0.4">
      <c r="A104" s="21">
        <f t="shared" si="10"/>
        <v>2010</v>
      </c>
      <c r="B104" s="22" t="str">
        <f t="shared" si="11"/>
        <v>機械器具月報（その１）ボイラ及び原動機（自動車用、二輪自動車用、鉄道車両用及び航空機用のものを除く）</v>
      </c>
      <c r="C104" s="21" t="str">
        <f>HYPERLINK("#2010!CA3","0113")</f>
        <v>0113</v>
      </c>
      <c r="D104" s="22" t="str">
        <f>HYPERLINK("#2010!CA3","水管ボイラ(一般用)(４９０ｔ／ｈ以上)")</f>
        <v>水管ボイラ(一般用)(４９０ｔ／ｈ以上)</v>
      </c>
    </row>
    <row r="105" spans="1:4" x14ac:dyDescent="0.4">
      <c r="A105" s="21">
        <f t="shared" si="10"/>
        <v>2010</v>
      </c>
      <c r="B105" s="22" t="str">
        <f t="shared" si="11"/>
        <v>機械器具月報（その１）ボイラ及び原動機（自動車用、二輪自動車用、鉄道車両用及び航空機用のものを除く）</v>
      </c>
      <c r="C105" s="21" t="str">
        <f>HYPERLINK("#2010!CD3","0114")</f>
        <v>0114</v>
      </c>
      <c r="D105" s="22" t="str">
        <f>HYPERLINK("#2010!CD3","その他の一般用ボイラ")</f>
        <v>その他の一般用ボイラ</v>
      </c>
    </row>
    <row r="106" spans="1:4" x14ac:dyDescent="0.4">
      <c r="A106" s="21">
        <f t="shared" si="10"/>
        <v>2010</v>
      </c>
      <c r="B106" s="22" t="str">
        <f t="shared" si="11"/>
        <v>機械器具月報（その１）ボイラ及び原動機（自動車用、二輪自動車用、鉄道車両用及び航空機用のものを除く）</v>
      </c>
      <c r="C106" s="21" t="str">
        <f>HYPERLINK("#2010!CG3","0115")</f>
        <v>0115</v>
      </c>
      <c r="D106" s="22" t="str">
        <f>HYPERLINK("#2010!CG3","舶用ボイラ")</f>
        <v>舶用ボイラ</v>
      </c>
    </row>
    <row r="107" spans="1:4" x14ac:dyDescent="0.4">
      <c r="A107" s="21">
        <f t="shared" si="10"/>
        <v>2010</v>
      </c>
      <c r="B107" s="22" t="str">
        <f t="shared" si="11"/>
        <v>機械器具月報（その１）ボイラ及び原動機（自動車用、二輪自動車用、鉄道車両用及び航空機用のものを除く）</v>
      </c>
      <c r="C107" s="21" t="str">
        <f>HYPERLINK("#2010!CJ3","0116")</f>
        <v>0116</v>
      </c>
      <c r="D107" s="22" t="str">
        <f>HYPERLINK("#2010!CJ3","ボイラの部品・付属品(自己消費を除く)")</f>
        <v>ボイラの部品・付属品(自己消費を除く)</v>
      </c>
    </row>
    <row r="108" spans="1:4" x14ac:dyDescent="0.4">
      <c r="A108" s="21">
        <f t="shared" si="10"/>
        <v>2010</v>
      </c>
      <c r="B108" s="22" t="str">
        <f t="shared" si="11"/>
        <v>機械器具月報（その１）ボイラ及び原動機（自動車用、二輪自動車用、鉄道車両用及び航空機用のものを除く）</v>
      </c>
      <c r="C108" s="21" t="str">
        <f>HYPERLINK("#2010!CK3","0117")</f>
        <v>0117</v>
      </c>
      <c r="D108" s="22" t="str">
        <f>HYPERLINK("#2010!CK3","一般用蒸気タービン")</f>
        <v>一般用蒸気タービン</v>
      </c>
    </row>
    <row r="109" spans="1:4" x14ac:dyDescent="0.4">
      <c r="A109" s="21">
        <f t="shared" si="10"/>
        <v>2010</v>
      </c>
      <c r="B109" s="22" t="str">
        <f t="shared" si="11"/>
        <v>機械器具月報（その１）ボイラ及び原動機（自動車用、二輪自動車用、鉄道車両用及び航空機用のものを除く）</v>
      </c>
      <c r="C109" s="21" t="str">
        <f>HYPERLINK("#2010!CN3","0118")</f>
        <v>0118</v>
      </c>
      <c r="D109" s="22" t="str">
        <f>HYPERLINK("#2010!CN3","舶用蒸気タービン")</f>
        <v>舶用蒸気タービン</v>
      </c>
    </row>
    <row r="110" spans="1:4" x14ac:dyDescent="0.4">
      <c r="A110" s="21">
        <f t="shared" si="10"/>
        <v>2010</v>
      </c>
      <c r="B110" s="22" t="str">
        <f t="shared" si="11"/>
        <v>機械器具月報（その１）ボイラ及び原動機（自動車用、二輪自動車用、鉄道車両用及び航空機用のものを除く）</v>
      </c>
      <c r="C110" s="21" t="str">
        <f>HYPERLINK("#2010!CQ3","0119")</f>
        <v>0119</v>
      </c>
      <c r="D110" s="22" t="str">
        <f>HYPERLINK("#2010!CQ3","蒸気タービンの部品・付属品(自己消費を除く)")</f>
        <v>蒸気タービンの部品・付属品(自己消費を除く)</v>
      </c>
    </row>
    <row r="111" spans="1:4" x14ac:dyDescent="0.4">
      <c r="A111" s="21">
        <f t="shared" si="10"/>
        <v>2010</v>
      </c>
      <c r="B111" s="22" t="str">
        <f t="shared" si="11"/>
        <v>機械器具月報（その１）ボイラ及び原動機（自動車用、二輪自動車用、鉄道車両用及び航空機用のものを除く）</v>
      </c>
      <c r="C111" s="21" t="str">
        <f>HYPERLINK("#2010!CR3","0120")</f>
        <v>0120</v>
      </c>
      <c r="D111" s="22" t="str">
        <f>HYPERLINK("#2010!CR3","ガスタービン")</f>
        <v>ガスタービン</v>
      </c>
    </row>
    <row r="112" spans="1:4" x14ac:dyDescent="0.4">
      <c r="A112" s="21">
        <f t="shared" ref="A112:A125" si="12">HYPERLINK("#2020!A1 ",2020)</f>
        <v>2020</v>
      </c>
      <c r="B112" s="22" t="str">
        <f t="shared" ref="B112:B125" si="13">HYPERLINK("#2020!A1 ","機械器具月報（その２）土木建設機械、鉱山機械及び破砕機")</f>
        <v>機械器具月報（その２）土木建設機械、鉱山機械及び破砕機</v>
      </c>
      <c r="C112" s="21" t="str">
        <f>HYPERLINK("#2020!C3","0101")</f>
        <v>0101</v>
      </c>
      <c r="D112" s="22" t="str">
        <f>HYPERLINK("#2020!C3","トラッククレーン・ラフテレンクレーン")</f>
        <v>トラッククレーン・ラフテレンクレーン</v>
      </c>
    </row>
    <row r="113" spans="1:4" x14ac:dyDescent="0.4">
      <c r="A113" s="21">
        <f t="shared" si="12"/>
        <v>2020</v>
      </c>
      <c r="B113" s="22" t="str">
        <f t="shared" si="13"/>
        <v>機械器具月報（その２）土木建設機械、鉱山機械及び破砕機</v>
      </c>
      <c r="C113" s="21" t="str">
        <f>HYPERLINK("#2020!H3","0102")</f>
        <v>0102</v>
      </c>
      <c r="D113" s="22" t="str">
        <f>HYPERLINK("#2020!H3","クローラクレーン")</f>
        <v>クローラクレーン</v>
      </c>
    </row>
    <row r="114" spans="1:4" x14ac:dyDescent="0.4">
      <c r="A114" s="21">
        <f t="shared" si="12"/>
        <v>2020</v>
      </c>
      <c r="B114" s="22" t="str">
        <f t="shared" si="13"/>
        <v>機械器具月報（その２）土木建設機械、鉱山機械及び破砕機</v>
      </c>
      <c r="C114" s="21" t="str">
        <f>HYPERLINK("#2020!M3","0103")</f>
        <v>0103</v>
      </c>
      <c r="D114" s="22" t="str">
        <f>HYPERLINK("#2020!M3","ショベル系掘削機械(油圧式)(０．２㎥未満)")</f>
        <v>ショベル系掘削機械(油圧式)(０．２㎥未満)</v>
      </c>
    </row>
    <row r="115" spans="1:4" x14ac:dyDescent="0.4">
      <c r="A115" s="21">
        <f t="shared" si="12"/>
        <v>2020</v>
      </c>
      <c r="B115" s="22" t="str">
        <f t="shared" si="13"/>
        <v>機械器具月報（その２）土木建設機械、鉱山機械及び破砕機</v>
      </c>
      <c r="C115" s="21" t="str">
        <f>HYPERLINK("#2020!R3","0104")</f>
        <v>0104</v>
      </c>
      <c r="D115" s="22" t="str">
        <f>HYPERLINK("#2020!R3","ショベル系掘削機械(油圧式)(０．２㎥以上０．６㎥未満)")</f>
        <v>ショベル系掘削機械(油圧式)(０．２㎥以上０．６㎥未満)</v>
      </c>
    </row>
    <row r="116" spans="1:4" x14ac:dyDescent="0.4">
      <c r="A116" s="21">
        <f t="shared" si="12"/>
        <v>2020</v>
      </c>
      <c r="B116" s="22" t="str">
        <f t="shared" si="13"/>
        <v>機械器具月報（その２）土木建設機械、鉱山機械及び破砕機</v>
      </c>
      <c r="C116" s="21" t="str">
        <f>HYPERLINK("#2020!W3","0105")</f>
        <v>0105</v>
      </c>
      <c r="D116" s="22" t="str">
        <f>HYPERLINK("#2020!W3","ショベル系掘削機械(油圧式) (０．６㎥ 以上)")</f>
        <v>ショベル系掘削機械(油圧式) (０．６㎥ 以上)</v>
      </c>
    </row>
    <row r="117" spans="1:4" x14ac:dyDescent="0.4">
      <c r="A117" s="21">
        <f t="shared" si="12"/>
        <v>2020</v>
      </c>
      <c r="B117" s="22" t="str">
        <f t="shared" si="13"/>
        <v>機械器具月報（その２）土木建設機械、鉱山機械及び破砕機</v>
      </c>
      <c r="C117" s="21" t="str">
        <f>HYPERLINK("#2020!AB3","0106")</f>
        <v>0106</v>
      </c>
      <c r="D117" s="22" t="str">
        <f>HYPERLINK("#2020!AB3","トンネル掘進機")</f>
        <v>トンネル掘進機</v>
      </c>
    </row>
    <row r="118" spans="1:4" x14ac:dyDescent="0.4">
      <c r="A118" s="21">
        <f t="shared" si="12"/>
        <v>2020</v>
      </c>
      <c r="B118" s="22" t="str">
        <f t="shared" si="13"/>
        <v>機械器具月報（その２）土木建設機械、鉱山機械及び破砕機</v>
      </c>
      <c r="C118" s="21" t="str">
        <f>HYPERLINK("#2020!AG3","0107")</f>
        <v>0107</v>
      </c>
      <c r="D118" s="22" t="str">
        <f>HYPERLINK("#2020!AG3","整地機械(ローラ)")</f>
        <v>整地機械(ローラ)</v>
      </c>
    </row>
    <row r="119" spans="1:4" x14ac:dyDescent="0.4">
      <c r="A119" s="21">
        <f t="shared" si="12"/>
        <v>2020</v>
      </c>
      <c r="B119" s="22" t="str">
        <f t="shared" si="13"/>
        <v>機械器具月報（その２）土木建設機械、鉱山機械及び破砕機</v>
      </c>
      <c r="C119" s="21" t="str">
        <f>HYPERLINK("#2020!AL3","0108")</f>
        <v>0108</v>
      </c>
      <c r="D119" s="22" t="str">
        <f>HYPERLINK("#2020!AL3","整地機械(平板式締め固め機械)")</f>
        <v>整地機械(平板式締め固め機械)</v>
      </c>
    </row>
    <row r="120" spans="1:4" x14ac:dyDescent="0.4">
      <c r="A120" s="21">
        <f t="shared" si="12"/>
        <v>2020</v>
      </c>
      <c r="B120" s="22" t="str">
        <f t="shared" si="13"/>
        <v>機械器具月報（その２）土木建設機械、鉱山機械及び破砕機</v>
      </c>
      <c r="C120" s="21" t="str">
        <f>HYPERLINK("#2020!AQ3","0109")</f>
        <v>0109</v>
      </c>
      <c r="D120" s="22" t="str">
        <f>HYPERLINK("#2020!AQ3","アスファルト舗装機械")</f>
        <v>アスファルト舗装機械</v>
      </c>
    </row>
    <row r="121" spans="1:4" x14ac:dyDescent="0.4">
      <c r="A121" s="21">
        <f t="shared" si="12"/>
        <v>2020</v>
      </c>
      <c r="B121" s="22" t="str">
        <f t="shared" si="13"/>
        <v>機械器具月報（その２）土木建設機械、鉱山機械及び破砕機</v>
      </c>
      <c r="C121" s="21" t="str">
        <f>HYPERLINK("#2020!AV3","0110")</f>
        <v>0110</v>
      </c>
      <c r="D121" s="22" t="str">
        <f>HYPERLINK("#2020!AV3","コンクリート機械")</f>
        <v>コンクリート機械</v>
      </c>
    </row>
    <row r="122" spans="1:4" x14ac:dyDescent="0.4">
      <c r="A122" s="21">
        <f t="shared" si="12"/>
        <v>2020</v>
      </c>
      <c r="B122" s="22" t="str">
        <f t="shared" si="13"/>
        <v>機械器具月報（その２）土木建設機械、鉱山機械及び破砕機</v>
      </c>
      <c r="C122" s="21" t="str">
        <f>HYPERLINK("#2020!BA3","0111")</f>
        <v>0111</v>
      </c>
      <c r="D122" s="22" t="str">
        <f>HYPERLINK("#2020!BA3","基礎工事用機械(ベースマシンを除く)")</f>
        <v>基礎工事用機械(ベースマシンを除く)</v>
      </c>
    </row>
    <row r="123" spans="1:4" x14ac:dyDescent="0.4">
      <c r="A123" s="21">
        <f t="shared" si="12"/>
        <v>2020</v>
      </c>
      <c r="B123" s="22" t="str">
        <f t="shared" si="13"/>
        <v>機械器具月報（その２）土木建設機械、鉱山機械及び破砕機</v>
      </c>
      <c r="C123" s="21" t="str">
        <f>HYPERLINK("#2020!BF3","0112")</f>
        <v>0112</v>
      </c>
      <c r="D123" s="22" t="str">
        <f>HYPERLINK("#2020!BF3","破砕解体機")</f>
        <v>破砕解体機</v>
      </c>
    </row>
    <row r="124" spans="1:4" x14ac:dyDescent="0.4">
      <c r="A124" s="21">
        <f t="shared" si="12"/>
        <v>2020</v>
      </c>
      <c r="B124" s="22" t="str">
        <f t="shared" si="13"/>
        <v>機械器具月報（その２）土木建設機械、鉱山機械及び破砕機</v>
      </c>
      <c r="C124" s="21" t="str">
        <f>HYPERLINK("#2020!BK3","0113")</f>
        <v>0113</v>
      </c>
      <c r="D124" s="22" t="str">
        <f>HYPERLINK("#2020!BK3","鉱山機械(せん孔機・さく岩機)")</f>
        <v>鉱山機械(せん孔機・さく岩機)</v>
      </c>
    </row>
    <row r="125" spans="1:4" x14ac:dyDescent="0.4">
      <c r="A125" s="21">
        <f t="shared" si="12"/>
        <v>2020</v>
      </c>
      <c r="B125" s="22" t="str">
        <f t="shared" si="13"/>
        <v>機械器具月報（その２）土木建設機械、鉱山機械及び破砕機</v>
      </c>
      <c r="C125" s="21" t="str">
        <f>HYPERLINK("#2020!BM3","0114")</f>
        <v>0114</v>
      </c>
      <c r="D125" s="22" t="str">
        <f>HYPERLINK("#2020!BM3","破砕機")</f>
        <v>破砕機</v>
      </c>
    </row>
    <row r="126" spans="1:4" x14ac:dyDescent="0.4">
      <c r="A126" s="21">
        <f t="shared" ref="A126:A136" si="14">HYPERLINK("#2030!A1 ",2030)</f>
        <v>2030</v>
      </c>
      <c r="B126" s="22" t="str">
        <f t="shared" ref="B126:B136" si="15">HYPERLINK("#2030!A1 ","機械器具月報（その３）化学機械及び貯蔵槽")</f>
        <v>機械器具月報（その３）化学機械及び貯蔵槽</v>
      </c>
      <c r="C126" s="21" t="str">
        <f>HYPERLINK("#2030!C3","0101")</f>
        <v>0101</v>
      </c>
      <c r="D126" s="22" t="str">
        <f>HYPERLINK("#2030!C3","ろ過機器(化学機械)")</f>
        <v>ろ過機器(化学機械)</v>
      </c>
    </row>
    <row r="127" spans="1:4" x14ac:dyDescent="0.4">
      <c r="A127" s="21">
        <f t="shared" si="14"/>
        <v>2030</v>
      </c>
      <c r="B127" s="22" t="str">
        <f t="shared" si="15"/>
        <v>機械器具月報（その３）化学機械及び貯蔵槽</v>
      </c>
      <c r="C127" s="21" t="str">
        <f>HYPERLINK("#2030!F3","0102")</f>
        <v>0102</v>
      </c>
      <c r="D127" s="22" t="str">
        <f>HYPERLINK("#2030!F3","分離機器(化学機械)")</f>
        <v>分離機器(化学機械)</v>
      </c>
    </row>
    <row r="128" spans="1:4" x14ac:dyDescent="0.4">
      <c r="A128" s="21">
        <f t="shared" si="14"/>
        <v>2030</v>
      </c>
      <c r="B128" s="22" t="str">
        <f t="shared" si="15"/>
        <v>機械器具月報（その３）化学機械及び貯蔵槽</v>
      </c>
      <c r="C128" s="21" t="str">
        <f>HYPERLINK("#2030!I3","0103")</f>
        <v>0103</v>
      </c>
      <c r="D128" s="22" t="str">
        <f>HYPERLINK("#2030!I3","集じん機器(化学機械)")</f>
        <v>集じん機器(化学機械)</v>
      </c>
    </row>
    <row r="129" spans="1:4" x14ac:dyDescent="0.4">
      <c r="A129" s="21">
        <f t="shared" si="14"/>
        <v>2030</v>
      </c>
      <c r="B129" s="22" t="str">
        <f t="shared" si="15"/>
        <v>機械器具月報（その３）化学機械及び貯蔵槽</v>
      </c>
      <c r="C129" s="21" t="str">
        <f>HYPERLINK("#2030!L3","0104")</f>
        <v>0104</v>
      </c>
      <c r="D129" s="22" t="str">
        <f>HYPERLINK("#2030!L3","とう(套)管式熱交換器(化学機械)")</f>
        <v>とう(套)管式熱交換器(化学機械)</v>
      </c>
    </row>
    <row r="130" spans="1:4" x14ac:dyDescent="0.4">
      <c r="A130" s="21">
        <f t="shared" si="14"/>
        <v>2030</v>
      </c>
      <c r="B130" s="22" t="str">
        <f t="shared" si="15"/>
        <v>機械器具月報（その３）化学機械及び貯蔵槽</v>
      </c>
      <c r="C130" s="21" t="str">
        <f>HYPERLINK("#2030!O3","0105")</f>
        <v>0105</v>
      </c>
      <c r="D130" s="22" t="str">
        <f>HYPERLINK("#2030!O3","その他の熱交換器(化学機械)")</f>
        <v>その他の熱交換器(化学機械)</v>
      </c>
    </row>
    <row r="131" spans="1:4" x14ac:dyDescent="0.4">
      <c r="A131" s="21">
        <f t="shared" si="14"/>
        <v>2030</v>
      </c>
      <c r="B131" s="22" t="str">
        <f t="shared" si="15"/>
        <v>機械器具月報（その３）化学機械及び貯蔵槽</v>
      </c>
      <c r="C131" s="21" t="str">
        <f>HYPERLINK("#2030!R3","0106")</f>
        <v>0106</v>
      </c>
      <c r="D131" s="22" t="str">
        <f>HYPERLINK("#2030!R3","混合機、かくはん機、粉砕機(化学機械)")</f>
        <v>混合機、かくはん機、粉砕機(化学機械)</v>
      </c>
    </row>
    <row r="132" spans="1:4" x14ac:dyDescent="0.4">
      <c r="A132" s="21">
        <f t="shared" si="14"/>
        <v>2030</v>
      </c>
      <c r="B132" s="22" t="str">
        <f t="shared" si="15"/>
        <v>機械器具月報（その３）化学機械及び貯蔵槽</v>
      </c>
      <c r="C132" s="21" t="str">
        <f>HYPERLINK("#2030!U3","0107")</f>
        <v>0107</v>
      </c>
      <c r="D132" s="22" t="str">
        <f>HYPERLINK("#2030!U3","反応用機器(化学機械)")</f>
        <v>反応用機器(化学機械)</v>
      </c>
    </row>
    <row r="133" spans="1:4" x14ac:dyDescent="0.4">
      <c r="A133" s="21">
        <f t="shared" si="14"/>
        <v>2030</v>
      </c>
      <c r="B133" s="22" t="str">
        <f t="shared" si="15"/>
        <v>機械器具月報（その３）化学機械及び貯蔵槽</v>
      </c>
      <c r="C133" s="21" t="str">
        <f>HYPERLINK("#2030!X3","0108")</f>
        <v>0108</v>
      </c>
      <c r="D133" s="22" t="str">
        <f>HYPERLINK("#2030!X3","塔槽機器(化学機械)")</f>
        <v>塔槽機器(化学機械)</v>
      </c>
    </row>
    <row r="134" spans="1:4" x14ac:dyDescent="0.4">
      <c r="A134" s="21">
        <f t="shared" si="14"/>
        <v>2030</v>
      </c>
      <c r="B134" s="22" t="str">
        <f t="shared" si="15"/>
        <v>機械器具月報（その３）化学機械及び貯蔵槽</v>
      </c>
      <c r="C134" s="21" t="str">
        <f>HYPERLINK("#2030!AA3","0109")</f>
        <v>0109</v>
      </c>
      <c r="D134" s="22" t="str">
        <f>HYPERLINK("#2030!AA3","乾燥機器(化学機械)")</f>
        <v>乾燥機器(化学機械)</v>
      </c>
    </row>
    <row r="135" spans="1:4" x14ac:dyDescent="0.4">
      <c r="A135" s="21">
        <f t="shared" si="14"/>
        <v>2030</v>
      </c>
      <c r="B135" s="22" t="str">
        <f t="shared" si="15"/>
        <v>機械器具月報（その３）化学機械及び貯蔵槽</v>
      </c>
      <c r="C135" s="21" t="str">
        <f>HYPERLINK("#2030!AD3","0110")</f>
        <v>0110</v>
      </c>
      <c r="D135" s="22" t="str">
        <f>HYPERLINK("#2030!AD3","貯蔵槽(固定式)")</f>
        <v>貯蔵槽(固定式)</v>
      </c>
    </row>
    <row r="136" spans="1:4" x14ac:dyDescent="0.4">
      <c r="A136" s="21">
        <f t="shared" si="14"/>
        <v>2030</v>
      </c>
      <c r="B136" s="22" t="str">
        <f t="shared" si="15"/>
        <v>機械器具月報（その３）化学機械及び貯蔵槽</v>
      </c>
      <c r="C136" s="21" t="str">
        <f>HYPERLINK("#2030!AG3","0111")</f>
        <v>0111</v>
      </c>
      <c r="D136" s="22" t="str">
        <f>HYPERLINK("#2030!AG3","その他の貯蔵槽")</f>
        <v>その他の貯蔵槽</v>
      </c>
    </row>
    <row r="137" spans="1:4" x14ac:dyDescent="0.4">
      <c r="A137" s="21">
        <f t="shared" ref="A137:A152" si="16">HYPERLINK("#2040!A1 ",2040)</f>
        <v>2040</v>
      </c>
      <c r="B137" s="22" t="str">
        <f t="shared" ref="B137:B152" si="17">HYPERLINK("#2040!A1 ","機械器具月報（その４）プラスチック加工機械、印刷・製版・製本及び紙工機械")</f>
        <v>機械器具月報（その４）プラスチック加工機械、印刷・製版・製本及び紙工機械</v>
      </c>
      <c r="C137" s="21" t="str">
        <f>HYPERLINK("#2040!C3","0101")</f>
        <v>0101</v>
      </c>
      <c r="D137" s="22" t="str">
        <f>HYPERLINK("#2040!C3","射出成形機(プラスチック加工用)(型締力１００ｔ未満)")</f>
        <v>射出成形機(プラスチック加工用)(型締力１００ｔ未満)</v>
      </c>
    </row>
    <row r="138" spans="1:4" x14ac:dyDescent="0.4">
      <c r="A138" s="21">
        <f t="shared" si="16"/>
        <v>2040</v>
      </c>
      <c r="B138" s="22" t="str">
        <f t="shared" si="17"/>
        <v>機械器具月報（その４）プラスチック加工機械、印刷・製版・製本及び紙工機械</v>
      </c>
      <c r="C138" s="21" t="str">
        <f>HYPERLINK("#2040!F3","0102")</f>
        <v>0102</v>
      </c>
      <c r="D138" s="22" t="str">
        <f>HYPERLINK("#2040!F3","射出成形機(プラスチック加工用)(型締力１００ｔ以上２００ｔ未満)")</f>
        <v>射出成形機(プラスチック加工用)(型締力１００ｔ以上２００ｔ未満)</v>
      </c>
    </row>
    <row r="139" spans="1:4" x14ac:dyDescent="0.4">
      <c r="A139" s="21">
        <f t="shared" si="16"/>
        <v>2040</v>
      </c>
      <c r="B139" s="22" t="str">
        <f t="shared" si="17"/>
        <v>機械器具月報（その４）プラスチック加工機械、印刷・製版・製本及び紙工機械</v>
      </c>
      <c r="C139" s="21" t="str">
        <f>HYPERLINK("#2040!I3","0103")</f>
        <v>0103</v>
      </c>
      <c r="D139" s="22" t="str">
        <f>HYPERLINK("#2040!I3","射出成形機(プラスチック加工用)(型締力２００ｔ以上５００ｔ未満)")</f>
        <v>射出成形機(プラスチック加工用)(型締力２００ｔ以上５００ｔ未満)</v>
      </c>
    </row>
    <row r="140" spans="1:4" x14ac:dyDescent="0.4">
      <c r="A140" s="21">
        <f t="shared" si="16"/>
        <v>2040</v>
      </c>
      <c r="B140" s="22" t="str">
        <f t="shared" si="17"/>
        <v>機械器具月報（その４）プラスチック加工機械、印刷・製版・製本及び紙工機械</v>
      </c>
      <c r="C140" s="21" t="str">
        <f>HYPERLINK("#2040!L3","0104")</f>
        <v>0104</v>
      </c>
      <c r="D140" s="22" t="str">
        <f>HYPERLINK("#2040!L3","射出成形機(プラスチック加工用)(型締力５００ｔ以上)")</f>
        <v>射出成形機(プラスチック加工用)(型締力５００ｔ以上)</v>
      </c>
    </row>
    <row r="141" spans="1:4" x14ac:dyDescent="0.4">
      <c r="A141" s="21">
        <f t="shared" si="16"/>
        <v>2040</v>
      </c>
      <c r="B141" s="22" t="str">
        <f t="shared" si="17"/>
        <v>機械器具月報（その４）プラスチック加工機械、印刷・製版・製本及び紙工機械</v>
      </c>
      <c r="C141" s="21" t="str">
        <f>HYPERLINK("#2040!O3","0105")</f>
        <v>0105</v>
      </c>
      <c r="D141" s="22" t="str">
        <f>HYPERLINK("#2040!O3","押出成形機(プラスチック加工用)")</f>
        <v>押出成形機(プラスチック加工用)</v>
      </c>
    </row>
    <row r="142" spans="1:4" x14ac:dyDescent="0.4">
      <c r="A142" s="21">
        <f t="shared" si="16"/>
        <v>2040</v>
      </c>
      <c r="B142" s="22" t="str">
        <f t="shared" si="17"/>
        <v>機械器具月報（その４）プラスチック加工機械、印刷・製版・製本及び紙工機械</v>
      </c>
      <c r="C142" s="21" t="str">
        <f>HYPERLINK("#2040!R3","0106")</f>
        <v>0106</v>
      </c>
      <c r="D142" s="22" t="str">
        <f>HYPERLINK("#2040!R3","押出成形付属装置(プラスチック加工用)")</f>
        <v>押出成形付属装置(プラスチック加工用)</v>
      </c>
    </row>
    <row r="143" spans="1:4" x14ac:dyDescent="0.4">
      <c r="A143" s="21">
        <f t="shared" si="16"/>
        <v>2040</v>
      </c>
      <c r="B143" s="22" t="str">
        <f t="shared" si="17"/>
        <v>機械器具月報（その４）プラスチック加工機械、印刷・製版・製本及び紙工機械</v>
      </c>
      <c r="C143" s="21" t="str">
        <f>HYPERLINK("#2040!U3","0107")</f>
        <v>0107</v>
      </c>
      <c r="D143" s="22" t="str">
        <f>HYPERLINK("#2040!U3","ブロウ成形機(中空成形機)(プラスチック加工用)")</f>
        <v>ブロウ成形機(中空成形機)(プラスチック加工用)</v>
      </c>
    </row>
    <row r="144" spans="1:4" x14ac:dyDescent="0.4">
      <c r="A144" s="21">
        <f t="shared" si="16"/>
        <v>2040</v>
      </c>
      <c r="B144" s="22" t="str">
        <f t="shared" si="17"/>
        <v>機械器具月報（その４）プラスチック加工機械、印刷・製版・製本及び紙工機械</v>
      </c>
      <c r="C144" s="21" t="str">
        <f>HYPERLINK("#2040!X3","0108")</f>
        <v>0108</v>
      </c>
      <c r="D144" s="22" t="str">
        <f>HYPERLINK("#2040!X3","平版印刷機(長巻式)")</f>
        <v>平版印刷機(長巻式)</v>
      </c>
    </row>
    <row r="145" spans="1:4" x14ac:dyDescent="0.4">
      <c r="A145" s="21">
        <f t="shared" si="16"/>
        <v>2040</v>
      </c>
      <c r="B145" s="22" t="str">
        <f t="shared" si="17"/>
        <v>機械器具月報（その４）プラスチック加工機械、印刷・製版・製本及び紙工機械</v>
      </c>
      <c r="C145" s="21" t="str">
        <f>HYPERLINK("#2040!AA3","0109")</f>
        <v>0109</v>
      </c>
      <c r="D145" s="22" t="str">
        <f>HYPERLINK("#2040!AA3","平版印刷機(枚葉式)")</f>
        <v>平版印刷機(枚葉式)</v>
      </c>
    </row>
    <row r="146" spans="1:4" x14ac:dyDescent="0.4">
      <c r="A146" s="21">
        <f t="shared" si="16"/>
        <v>2040</v>
      </c>
      <c r="B146" s="22" t="str">
        <f t="shared" si="17"/>
        <v>機械器具月報（その４）プラスチック加工機械、印刷・製版・製本及び紙工機械</v>
      </c>
      <c r="C146" s="21" t="str">
        <f>HYPERLINK("#2040!AD3","0110")</f>
        <v>0110</v>
      </c>
      <c r="D146" s="22" t="str">
        <f>HYPERLINK("#2040!AD3","おう版印刷機")</f>
        <v>おう版印刷機</v>
      </c>
    </row>
    <row r="147" spans="1:4" x14ac:dyDescent="0.4">
      <c r="A147" s="21">
        <f t="shared" si="16"/>
        <v>2040</v>
      </c>
      <c r="B147" s="22" t="str">
        <f t="shared" si="17"/>
        <v>機械器具月報（その４）プラスチック加工機械、印刷・製版・製本及び紙工機械</v>
      </c>
      <c r="C147" s="21" t="str">
        <f>HYPERLINK("#2040!AG3","0111")</f>
        <v>0111</v>
      </c>
      <c r="D147" s="22" t="str">
        <f>HYPERLINK("#2040!AG3","産業用デジタル印刷機(Ａ３寸伸び以上)")</f>
        <v>産業用デジタル印刷機(Ａ３寸伸び以上)</v>
      </c>
    </row>
    <row r="148" spans="1:4" x14ac:dyDescent="0.4">
      <c r="A148" s="21">
        <f t="shared" si="16"/>
        <v>2040</v>
      </c>
      <c r="B148" s="22" t="str">
        <f t="shared" si="17"/>
        <v>機械器具月報（その４）プラスチック加工機械、印刷・製版・製本及び紙工機械</v>
      </c>
      <c r="C148" s="21" t="str">
        <f>HYPERLINK("#2040!AJ3","0112")</f>
        <v>0112</v>
      </c>
      <c r="D148" s="22" t="str">
        <f>HYPERLINK("#2040!AJ3","その他の印刷機")</f>
        <v>その他の印刷機</v>
      </c>
    </row>
    <row r="149" spans="1:4" x14ac:dyDescent="0.4">
      <c r="A149" s="21">
        <f t="shared" si="16"/>
        <v>2040</v>
      </c>
      <c r="B149" s="22" t="str">
        <f t="shared" si="17"/>
        <v>機械器具月報（その４）プラスチック加工機械、印刷・製版・製本及び紙工機械</v>
      </c>
      <c r="C149" s="21" t="str">
        <f>HYPERLINK("#2040!AM3","0113")</f>
        <v>0113</v>
      </c>
      <c r="D149" s="22" t="str">
        <f>HYPERLINK("#2040!AM3","製版機械")</f>
        <v>製版機械</v>
      </c>
    </row>
    <row r="150" spans="1:4" x14ac:dyDescent="0.4">
      <c r="A150" s="21">
        <f t="shared" si="16"/>
        <v>2040</v>
      </c>
      <c r="B150" s="22" t="str">
        <f t="shared" si="17"/>
        <v>機械器具月報（その４）プラスチック加工機械、印刷・製版・製本及び紙工機械</v>
      </c>
      <c r="C150" s="21" t="str">
        <f>HYPERLINK("#2040!AO3","0114")</f>
        <v>0114</v>
      </c>
      <c r="D150" s="22" t="str">
        <f>HYPERLINK("#2040!AO3","製本機械")</f>
        <v>製本機械</v>
      </c>
    </row>
    <row r="151" spans="1:4" x14ac:dyDescent="0.4">
      <c r="A151" s="21">
        <f t="shared" si="16"/>
        <v>2040</v>
      </c>
      <c r="B151" s="22" t="str">
        <f t="shared" si="17"/>
        <v>機械器具月報（その４）プラスチック加工機械、印刷・製版・製本及び紙工機械</v>
      </c>
      <c r="C151" s="21" t="str">
        <f>HYPERLINK("#2040!AQ3","0115")</f>
        <v>0115</v>
      </c>
      <c r="D151" s="22" t="str">
        <f>HYPERLINK("#2040!AQ3","段ボール製造用機械")</f>
        <v>段ボール製造用機械</v>
      </c>
    </row>
    <row r="152" spans="1:4" x14ac:dyDescent="0.4">
      <c r="A152" s="21">
        <f t="shared" si="16"/>
        <v>2040</v>
      </c>
      <c r="B152" s="22" t="str">
        <f t="shared" si="17"/>
        <v>機械器具月報（その４）プラスチック加工機械、印刷・製版・製本及び紙工機械</v>
      </c>
      <c r="C152" s="21" t="str">
        <f>HYPERLINK("#2040!AS3","0116")</f>
        <v>0116</v>
      </c>
      <c r="D152" s="22" t="str">
        <f>HYPERLINK("#2040!AS3","その他の紙工機械(製ばこ機械を含む)")</f>
        <v>その他の紙工機械(製ばこ機械を含む)</v>
      </c>
    </row>
    <row r="153" spans="1:4" x14ac:dyDescent="0.4">
      <c r="A153" s="21">
        <f t="shared" ref="A153:A168" si="18">HYPERLINK("#2060!A1 ",2060)</f>
        <v>2060</v>
      </c>
      <c r="B153" s="22" t="str">
        <f t="shared" ref="B153:B168" si="19">HYPERLINK("#2060!A1 ","機械器具月報（その６）ポンプ、圧縮機及び送風機（自動車用、二輪自動車用及び航空機用のものを除く）")</f>
        <v>機械器具月報（その６）ポンプ、圧縮機及び送風機（自動車用、二輪自動車用及び航空機用のものを除く）</v>
      </c>
      <c r="C153" s="21" t="str">
        <f>HYPERLINK("#2060!C3","0101")</f>
        <v>0101</v>
      </c>
      <c r="D153" s="22" t="str">
        <f>HYPERLINK("#2060!C3","うず巻ポンプ(タービン形を含む)(単段式)")</f>
        <v>うず巻ポンプ(タービン形を含む)(単段式)</v>
      </c>
    </row>
    <row r="154" spans="1:4" x14ac:dyDescent="0.4">
      <c r="A154" s="21">
        <f t="shared" si="18"/>
        <v>2060</v>
      </c>
      <c r="B154" s="22" t="str">
        <f t="shared" si="19"/>
        <v>機械器具月報（その６）ポンプ、圧縮機及び送風機（自動車用、二輪自動車用及び航空機用のものを除く）</v>
      </c>
      <c r="C154" s="21" t="str">
        <f>HYPERLINK("#2060!K3","0102")</f>
        <v>0102</v>
      </c>
      <c r="D154" s="22" t="str">
        <f>HYPERLINK("#2060!K3","うず巻ポンプ(タービン形を含む)(多段式)")</f>
        <v>うず巻ポンプ(タービン形を含む)(多段式)</v>
      </c>
    </row>
    <row r="155" spans="1:4" x14ac:dyDescent="0.4">
      <c r="A155" s="21">
        <f t="shared" si="18"/>
        <v>2060</v>
      </c>
      <c r="B155" s="22" t="str">
        <f t="shared" si="19"/>
        <v>機械器具月報（その６）ポンプ、圧縮機及び送風機（自動車用、二輪自動車用及び航空機用のものを除く）</v>
      </c>
      <c r="C155" s="21" t="str">
        <f>HYPERLINK("#2060!S3","0103")</f>
        <v>0103</v>
      </c>
      <c r="D155" s="22" t="str">
        <f>HYPERLINK("#2060!S3","軸・斜流ポンプ")</f>
        <v>軸・斜流ポンプ</v>
      </c>
    </row>
    <row r="156" spans="1:4" x14ac:dyDescent="0.4">
      <c r="A156" s="21">
        <f t="shared" si="18"/>
        <v>2060</v>
      </c>
      <c r="B156" s="22" t="str">
        <f t="shared" si="19"/>
        <v>機械器具月報（その６）ポンプ、圧縮機及び送風機（自動車用、二輪自動車用及び航空機用のものを除く）</v>
      </c>
      <c r="C156" s="21" t="str">
        <f>HYPERLINK("#2060!AA3","0104")</f>
        <v>0104</v>
      </c>
      <c r="D156" s="22" t="str">
        <f>HYPERLINK("#2060!AA3","回転ポンプ")</f>
        <v>回転ポンプ</v>
      </c>
    </row>
    <row r="157" spans="1:4" x14ac:dyDescent="0.4">
      <c r="A157" s="21">
        <f t="shared" si="18"/>
        <v>2060</v>
      </c>
      <c r="B157" s="22" t="str">
        <f t="shared" si="19"/>
        <v>機械器具月報（その６）ポンプ、圧縮機及び送風機（自動車用、二輪自動車用及び航空機用のものを除く）</v>
      </c>
      <c r="C157" s="21" t="str">
        <f>HYPERLINK("#2060!AI3","0105")</f>
        <v>0105</v>
      </c>
      <c r="D157" s="22" t="str">
        <f>HYPERLINK("#2060!AI3","耐しょく性ポンプ")</f>
        <v>耐しょく性ポンプ</v>
      </c>
    </row>
    <row r="158" spans="1:4" x14ac:dyDescent="0.4">
      <c r="A158" s="21">
        <f t="shared" si="18"/>
        <v>2060</v>
      </c>
      <c r="B158" s="22" t="str">
        <f t="shared" si="19"/>
        <v>機械器具月報（その６）ポンプ、圧縮機及び送風機（自動車用、二輪自動車用及び航空機用のものを除く）</v>
      </c>
      <c r="C158" s="21" t="str">
        <f>HYPERLINK("#2060!AQ3","0106")</f>
        <v>0106</v>
      </c>
      <c r="D158" s="22" t="str">
        <f>HYPERLINK("#2060!AQ3","水中ポンプ(汚水・土木用)")</f>
        <v>水中ポンプ(汚水・土木用)</v>
      </c>
    </row>
    <row r="159" spans="1:4" x14ac:dyDescent="0.4">
      <c r="A159" s="21">
        <f t="shared" si="18"/>
        <v>2060</v>
      </c>
      <c r="B159" s="22" t="str">
        <f t="shared" si="19"/>
        <v>機械器具月報（その６）ポンプ、圧縮機及び送風機（自動車用、二輪自動車用及び航空機用のものを除く）</v>
      </c>
      <c r="C159" s="21" t="str">
        <f>HYPERLINK("#2060!AY3","0107")</f>
        <v>0107</v>
      </c>
      <c r="D159" s="22" t="str">
        <f>HYPERLINK("#2060!AY3","水中ポンプ(その他の水中ポンプ(清水用を含む))")</f>
        <v>水中ポンプ(その他の水中ポンプ(清水用を含む))</v>
      </c>
    </row>
    <row r="160" spans="1:4" x14ac:dyDescent="0.4">
      <c r="A160" s="21">
        <f t="shared" si="18"/>
        <v>2060</v>
      </c>
      <c r="B160" s="22" t="str">
        <f t="shared" si="19"/>
        <v>機械器具月報（その６）ポンプ、圧縮機及び送風機（自動車用、二輪自動車用及び航空機用のものを除く）</v>
      </c>
      <c r="C160" s="21" t="str">
        <f>HYPERLINK("#2060!BG3","0108")</f>
        <v>0108</v>
      </c>
      <c r="D160" s="22" t="str">
        <f>HYPERLINK("#2060!BG3","その他のポンプ")</f>
        <v>その他のポンプ</v>
      </c>
    </row>
    <row r="161" spans="1:4" x14ac:dyDescent="0.4">
      <c r="A161" s="21">
        <f t="shared" si="18"/>
        <v>2060</v>
      </c>
      <c r="B161" s="22" t="str">
        <f t="shared" si="19"/>
        <v>機械器具月報（その６）ポンプ、圧縮機及び送風機（自動車用、二輪自動車用及び航空機用のものを除く）</v>
      </c>
      <c r="C161" s="21" t="str">
        <f>HYPERLINK("#2060!BO3","0109")</f>
        <v>0109</v>
      </c>
      <c r="D161" s="22" t="str">
        <f>HYPERLINK("#2060!BO3","真空ポンプ")</f>
        <v>真空ポンプ</v>
      </c>
    </row>
    <row r="162" spans="1:4" x14ac:dyDescent="0.4">
      <c r="A162" s="21">
        <f t="shared" si="18"/>
        <v>2060</v>
      </c>
      <c r="B162" s="22" t="str">
        <f t="shared" si="19"/>
        <v>機械器具月報（その６）ポンプ、圧縮機及び送風機（自動車用、二輪自動車用及び航空機用のものを除く）</v>
      </c>
      <c r="C162" s="21" t="str">
        <f>HYPERLINK("#2060!BT3","0110")</f>
        <v>0110</v>
      </c>
      <c r="D162" s="22" t="str">
        <f>HYPERLINK("#2060!BT3","往復圧縮機(可搬形)")</f>
        <v>往復圧縮機(可搬形)</v>
      </c>
    </row>
    <row r="163" spans="1:4" x14ac:dyDescent="0.4">
      <c r="A163" s="21">
        <f t="shared" si="18"/>
        <v>2060</v>
      </c>
      <c r="B163" s="22" t="str">
        <f t="shared" si="19"/>
        <v>機械器具月報（その６）ポンプ、圧縮機及び送風機（自動車用、二輪自動車用及び航空機用のものを除く）</v>
      </c>
      <c r="C163" s="21" t="str">
        <f>HYPERLINK("#2060!CB3","0111")</f>
        <v>0111</v>
      </c>
      <c r="D163" s="22" t="str">
        <f>HYPERLINK("#2060!CB3","往復圧縮機(定置形)")</f>
        <v>往復圧縮機(定置形)</v>
      </c>
    </row>
    <row r="164" spans="1:4" x14ac:dyDescent="0.4">
      <c r="A164" s="21">
        <f t="shared" si="18"/>
        <v>2060</v>
      </c>
      <c r="B164" s="22" t="str">
        <f t="shared" si="19"/>
        <v>機械器具月報（その６）ポンプ、圧縮機及び送風機（自動車用、二輪自動車用及び航空機用のものを除く）</v>
      </c>
      <c r="C164" s="21" t="str">
        <f>HYPERLINK("#2060!CJ3","0112")</f>
        <v>0112</v>
      </c>
      <c r="D164" s="22" t="str">
        <f>HYPERLINK("#2060!CJ3","回転圧縮機(可搬形)")</f>
        <v>回転圧縮機(可搬形)</v>
      </c>
    </row>
    <row r="165" spans="1:4" x14ac:dyDescent="0.4">
      <c r="A165" s="21">
        <f t="shared" si="18"/>
        <v>2060</v>
      </c>
      <c r="B165" s="22" t="str">
        <f t="shared" si="19"/>
        <v>機械器具月報（その６）ポンプ、圧縮機及び送風機（自動車用、二輪自動車用及び航空機用のものを除く）</v>
      </c>
      <c r="C165" s="21" t="str">
        <f>HYPERLINK("#2060!CR3","0113")</f>
        <v>0113</v>
      </c>
      <c r="D165" s="22" t="str">
        <f>HYPERLINK("#2060!CR3","回転圧縮機(定置形)")</f>
        <v>回転圧縮機(定置形)</v>
      </c>
    </row>
    <row r="166" spans="1:4" x14ac:dyDescent="0.4">
      <c r="A166" s="21">
        <f t="shared" si="18"/>
        <v>2060</v>
      </c>
      <c r="B166" s="22" t="str">
        <f t="shared" si="19"/>
        <v>機械器具月報（その６）ポンプ、圧縮機及び送風機（自動車用、二輪自動車用及び航空機用のものを除く）</v>
      </c>
      <c r="C166" s="21" t="str">
        <f>HYPERLINK("#2060!CZ3","0114")</f>
        <v>0114</v>
      </c>
      <c r="D166" s="22" t="str">
        <f>HYPERLINK("#2060!CZ3","遠心・軸流圧縮機")</f>
        <v>遠心・軸流圧縮機</v>
      </c>
    </row>
    <row r="167" spans="1:4" x14ac:dyDescent="0.4">
      <c r="A167" s="21">
        <f t="shared" si="18"/>
        <v>2060</v>
      </c>
      <c r="B167" s="22" t="str">
        <f t="shared" si="19"/>
        <v>機械器具月報（その６）ポンプ、圧縮機及び送風機（自動車用、二輪自動車用及び航空機用のものを除く）</v>
      </c>
      <c r="C167" s="21" t="str">
        <f>HYPERLINK("#2060!DH3","0115")</f>
        <v>0115</v>
      </c>
      <c r="D167" s="22" t="str">
        <f>HYPERLINK("#2060!DH3","回転送風機")</f>
        <v>回転送風機</v>
      </c>
    </row>
    <row r="168" spans="1:4" x14ac:dyDescent="0.4">
      <c r="A168" s="21">
        <f t="shared" si="18"/>
        <v>2060</v>
      </c>
      <c r="B168" s="22" t="str">
        <f t="shared" si="19"/>
        <v>機械器具月報（その６）ポンプ、圧縮機及び送風機（自動車用、二輪自動車用及び航空機用のものを除く）</v>
      </c>
      <c r="C168" s="21" t="str">
        <f>HYPERLINK("#2060!DP3","0116")</f>
        <v>0116</v>
      </c>
      <c r="D168" s="22" t="str">
        <f>HYPERLINK("#2060!DP3","遠心送風機")</f>
        <v>遠心送風機</v>
      </c>
    </row>
    <row r="169" spans="1:4" x14ac:dyDescent="0.4">
      <c r="A169" s="21">
        <f t="shared" ref="A169:A180" si="20">HYPERLINK("#2070!A1 ",2070)</f>
        <v>2070</v>
      </c>
      <c r="B169" s="22" t="str">
        <f t="shared" ref="B169:B180" si="21">HYPERLINK("#2070!A1 ","機械器具月報（その７）油圧機器及び空気圧機器（航空機用のものを除く）")</f>
        <v>機械器具月報（その７）油圧機器及び空気圧機器（航空機用のものを除く）</v>
      </c>
      <c r="C169" s="21" t="str">
        <f>HYPERLINK("#2070!C3","0101")</f>
        <v>0101</v>
      </c>
      <c r="D169" s="22" t="str">
        <f>HYPERLINK("#2070!C3","油圧ポンプ(ギヤー形)(ユニット用を含む)")</f>
        <v>油圧ポンプ(ギヤー形)(ユニット用を含む)</v>
      </c>
    </row>
    <row r="170" spans="1:4" x14ac:dyDescent="0.4">
      <c r="A170" s="21">
        <f t="shared" si="20"/>
        <v>2070</v>
      </c>
      <c r="B170" s="22" t="str">
        <f t="shared" si="21"/>
        <v>機械器具月報（その７）油圧機器及び空気圧機器（航空機用のものを除く）</v>
      </c>
      <c r="C170" s="21" t="str">
        <f>HYPERLINK("#2070!D3","0102")</f>
        <v>0102</v>
      </c>
      <c r="D170" s="22" t="str">
        <f>HYPERLINK("#2070!D3","油圧ポンプ(ピストン形)(ユニット用を含む)")</f>
        <v>油圧ポンプ(ピストン形)(ユニット用を含む)</v>
      </c>
    </row>
    <row r="171" spans="1:4" x14ac:dyDescent="0.4">
      <c r="A171" s="21">
        <f t="shared" si="20"/>
        <v>2070</v>
      </c>
      <c r="B171" s="22" t="str">
        <f t="shared" si="21"/>
        <v>機械器具月報（その７）油圧機器及び空気圧機器（航空機用のものを除く）</v>
      </c>
      <c r="C171" s="21" t="str">
        <f>HYPERLINK("#2070!E3","0103")</f>
        <v>0103</v>
      </c>
      <c r="D171" s="22" t="str">
        <f>HYPERLINK("#2070!E3","その他の油圧ポンプ(ユニット用を含む)")</f>
        <v>その他の油圧ポンプ(ユニット用を含む)</v>
      </c>
    </row>
    <row r="172" spans="1:4" x14ac:dyDescent="0.4">
      <c r="A172" s="21">
        <f t="shared" si="20"/>
        <v>2070</v>
      </c>
      <c r="B172" s="22" t="str">
        <f t="shared" si="21"/>
        <v>機械器具月報（その７）油圧機器及び空気圧機器（航空機用のものを除く）</v>
      </c>
      <c r="C172" s="21" t="str">
        <f>HYPERLINK("#2070!F3","0104")</f>
        <v>0104</v>
      </c>
      <c r="D172" s="22" t="str">
        <f>HYPERLINK("#2070!F3","油圧モータ(ユニット用を含む)")</f>
        <v>油圧モータ(ユニット用を含む)</v>
      </c>
    </row>
    <row r="173" spans="1:4" x14ac:dyDescent="0.4">
      <c r="A173" s="21">
        <f t="shared" si="20"/>
        <v>2070</v>
      </c>
      <c r="B173" s="22" t="str">
        <f t="shared" si="21"/>
        <v>機械器具月報（その７）油圧機器及び空気圧機器（航空機用のものを除く）</v>
      </c>
      <c r="C173" s="21" t="str">
        <f>HYPERLINK("#2070!G3","0105")</f>
        <v>0105</v>
      </c>
      <c r="D173" s="22" t="str">
        <f>HYPERLINK("#2070!G3","油圧シリンダ(ユニット用を含む)")</f>
        <v>油圧シリンダ(ユニット用を含む)</v>
      </c>
    </row>
    <row r="174" spans="1:4" x14ac:dyDescent="0.4">
      <c r="A174" s="21">
        <f t="shared" si="20"/>
        <v>2070</v>
      </c>
      <c r="B174" s="22" t="str">
        <f t="shared" si="21"/>
        <v>機械器具月報（その７）油圧機器及び空気圧機器（航空機用のものを除く）</v>
      </c>
      <c r="C174" s="21" t="str">
        <f>HYPERLINK("#2070!H3","0106")</f>
        <v>0106</v>
      </c>
      <c r="D174" s="22" t="str">
        <f>HYPERLINK("#2070!H3","油圧バルブ(ユニット用を含む)")</f>
        <v>油圧バルブ(ユニット用を含む)</v>
      </c>
    </row>
    <row r="175" spans="1:4" x14ac:dyDescent="0.4">
      <c r="A175" s="21">
        <f t="shared" si="20"/>
        <v>2070</v>
      </c>
      <c r="B175" s="22" t="str">
        <f t="shared" si="21"/>
        <v>機械器具月報（その７）油圧機器及び空気圧機器（航空機用のものを除く）</v>
      </c>
      <c r="C175" s="21" t="str">
        <f>HYPERLINK("#2070!I3","0107")</f>
        <v>0107</v>
      </c>
      <c r="D175" s="22" t="str">
        <f>HYPERLINK("#2070!I3","その他の油圧機器(ユニット用を含む)")</f>
        <v>その他の油圧機器(ユニット用を含む)</v>
      </c>
    </row>
    <row r="176" spans="1:4" x14ac:dyDescent="0.4">
      <c r="A176" s="21">
        <f t="shared" si="20"/>
        <v>2070</v>
      </c>
      <c r="B176" s="22" t="str">
        <f t="shared" si="21"/>
        <v>機械器具月報（その７）油圧機器及び空気圧機器（航空機用のものを除く）</v>
      </c>
      <c r="C176" s="21" t="str">
        <f>HYPERLINK("#2070!J3","0108")</f>
        <v>0108</v>
      </c>
      <c r="D176" s="22" t="str">
        <f>HYPERLINK("#2070!J3","油圧ユニット")</f>
        <v>油圧ユニット</v>
      </c>
    </row>
    <row r="177" spans="1:4" x14ac:dyDescent="0.4">
      <c r="A177" s="21">
        <f t="shared" si="20"/>
        <v>2070</v>
      </c>
      <c r="B177" s="22" t="str">
        <f t="shared" si="21"/>
        <v>機械器具月報（その７）油圧機器及び空気圧機器（航空機用のものを除く）</v>
      </c>
      <c r="C177" s="21" t="str">
        <f>HYPERLINK("#2070!K3","0109")</f>
        <v>0109</v>
      </c>
      <c r="D177" s="22" t="str">
        <f>HYPERLINK("#2070!K3","空気圧シリンダ")</f>
        <v>空気圧シリンダ</v>
      </c>
    </row>
    <row r="178" spans="1:4" x14ac:dyDescent="0.4">
      <c r="A178" s="21">
        <f t="shared" si="20"/>
        <v>2070</v>
      </c>
      <c r="B178" s="22" t="str">
        <f t="shared" si="21"/>
        <v>機械器具月報（その７）油圧機器及び空気圧機器（航空機用のものを除く）</v>
      </c>
      <c r="C178" s="21" t="str">
        <f>HYPERLINK("#2070!L3","0110")</f>
        <v>0110</v>
      </c>
      <c r="D178" s="22" t="str">
        <f>HYPERLINK("#2070!L3","空気圧バルブ")</f>
        <v>空気圧バルブ</v>
      </c>
    </row>
    <row r="179" spans="1:4" x14ac:dyDescent="0.4">
      <c r="A179" s="21">
        <f t="shared" si="20"/>
        <v>2070</v>
      </c>
      <c r="B179" s="22" t="str">
        <f t="shared" si="21"/>
        <v>機械器具月報（その７）油圧機器及び空気圧機器（航空機用のものを除く）</v>
      </c>
      <c r="C179" s="21" t="str">
        <f>HYPERLINK("#2070!M3","0111")</f>
        <v>0111</v>
      </c>
      <c r="D179" s="22" t="str">
        <f>HYPERLINK("#2070!M3","空気清浄化機器(エアドライアを含む)")</f>
        <v>空気清浄化機器(エアドライアを含む)</v>
      </c>
    </row>
    <row r="180" spans="1:4" x14ac:dyDescent="0.4">
      <c r="A180" s="21">
        <f t="shared" si="20"/>
        <v>2070</v>
      </c>
      <c r="B180" s="22" t="str">
        <f t="shared" si="21"/>
        <v>機械器具月報（その７）油圧機器及び空気圧機器（航空機用のものを除く）</v>
      </c>
      <c r="C180" s="21" t="str">
        <f>HYPERLINK("#2070!N3","0112")</f>
        <v>0112</v>
      </c>
      <c r="D180" s="22" t="str">
        <f>HYPERLINK("#2070!N3","その他の空気圧機器")</f>
        <v>その他の空気圧機器</v>
      </c>
    </row>
    <row r="181" spans="1:4" x14ac:dyDescent="0.4">
      <c r="A181" s="21">
        <f t="shared" ref="A181:A200" si="22">HYPERLINK("#2080!A1 ",2080)</f>
        <v>2080</v>
      </c>
      <c r="B181" s="22" t="str">
        <f t="shared" ref="B181:B200" si="23">HYPERLINK("#2080!A1 ","機械器具月報（その８）運搬機械及び産業用ロボット")</f>
        <v>機械器具月報（その８）運搬機械及び産業用ロボット</v>
      </c>
      <c r="C181" s="21" t="str">
        <f>HYPERLINK("#2080!C3","0101")</f>
        <v>0101</v>
      </c>
      <c r="D181" s="22" t="str">
        <f>HYPERLINK("#2080!C3","天井走行クレーン")</f>
        <v>天井走行クレーン</v>
      </c>
    </row>
    <row r="182" spans="1:4" x14ac:dyDescent="0.4">
      <c r="A182" s="21">
        <f t="shared" si="22"/>
        <v>2080</v>
      </c>
      <c r="B182" s="22" t="str">
        <f t="shared" si="23"/>
        <v>機械器具月報（その８）運搬機械及び産業用ロボット</v>
      </c>
      <c r="C182" s="21" t="str">
        <f>HYPERLINK("#2080!F3","0102")</f>
        <v>0102</v>
      </c>
      <c r="D182" s="22" t="str">
        <f>HYPERLINK("#2080!F3","ジブクレーン(水平引込・塔形を含み、脚部の橋形を除く)")</f>
        <v>ジブクレーン(水平引込・塔形を含み、脚部の橋形を除く)</v>
      </c>
    </row>
    <row r="183" spans="1:4" x14ac:dyDescent="0.4">
      <c r="A183" s="21">
        <f t="shared" si="22"/>
        <v>2080</v>
      </c>
      <c r="B183" s="22" t="str">
        <f t="shared" si="23"/>
        <v>機械器具月報（その８）運搬機械及び産業用ロボット</v>
      </c>
      <c r="C183" s="21" t="str">
        <f>HYPERLINK("#2080!I3","0103")</f>
        <v>0103</v>
      </c>
      <c r="D183" s="22" t="str">
        <f>HYPERLINK("#2080!I3","橋形クレーン")</f>
        <v>橋形クレーン</v>
      </c>
    </row>
    <row r="184" spans="1:4" x14ac:dyDescent="0.4">
      <c r="A184" s="21">
        <f t="shared" si="22"/>
        <v>2080</v>
      </c>
      <c r="B184" s="22" t="str">
        <f t="shared" si="23"/>
        <v>機械器具月報（その８）運搬機械及び産業用ロボット</v>
      </c>
      <c r="C184" s="21" t="str">
        <f>HYPERLINK("#2080!L3","0104")</f>
        <v>0104</v>
      </c>
      <c r="D184" s="22" t="str">
        <f>HYPERLINK("#2080!L3","車両塔載形クレーン")</f>
        <v>車両塔載形クレーン</v>
      </c>
    </row>
    <row r="185" spans="1:4" x14ac:dyDescent="0.4">
      <c r="A185" s="21">
        <f t="shared" si="22"/>
        <v>2080</v>
      </c>
      <c r="B185" s="22" t="str">
        <f t="shared" si="23"/>
        <v>機械器具月報（その８）運搬機械及び産業用ロボット</v>
      </c>
      <c r="C185" s="21" t="str">
        <f>HYPERLINK("#2080!O3","0105")</f>
        <v>0105</v>
      </c>
      <c r="D185" s="22" t="str">
        <f>HYPERLINK("#2080!O3","ローダ・アンローダ")</f>
        <v>ローダ・アンローダ</v>
      </c>
    </row>
    <row r="186" spans="1:4" x14ac:dyDescent="0.4">
      <c r="A186" s="21">
        <f t="shared" si="22"/>
        <v>2080</v>
      </c>
      <c r="B186" s="22" t="str">
        <f t="shared" si="23"/>
        <v>機械器具月報（その８）運搬機械及び産業用ロボット</v>
      </c>
      <c r="C186" s="21" t="str">
        <f>HYPERLINK("#2080!R3","0106")</f>
        <v>0106</v>
      </c>
      <c r="D186" s="22" t="str">
        <f>HYPERLINK("#2080!R3","その他のクレーン")</f>
        <v>その他のクレーン</v>
      </c>
    </row>
    <row r="187" spans="1:4" x14ac:dyDescent="0.4">
      <c r="A187" s="21">
        <f t="shared" si="22"/>
        <v>2080</v>
      </c>
      <c r="B187" s="22" t="str">
        <f t="shared" si="23"/>
        <v>機械器具月報（その８）運搬機械及び産業用ロボット</v>
      </c>
      <c r="C187" s="21" t="str">
        <f>HYPERLINK("#2080!U3","0107")</f>
        <v>0107</v>
      </c>
      <c r="D187" s="22" t="str">
        <f>HYPERLINK("#2080!U3","舶用ウインチ")</f>
        <v>舶用ウインチ</v>
      </c>
    </row>
    <row r="188" spans="1:4" x14ac:dyDescent="0.4">
      <c r="A188" s="21">
        <f t="shared" si="22"/>
        <v>2080</v>
      </c>
      <c r="B188" s="22" t="str">
        <f t="shared" si="23"/>
        <v>機械器具月報（その８）運搬機械及び産業用ロボット</v>
      </c>
      <c r="C188" s="21" t="str">
        <f>HYPERLINK("#2080!W3","0108")</f>
        <v>0108</v>
      </c>
      <c r="D188" s="22" t="str">
        <f>HYPERLINK("#2080!W3","チェーンブロック")</f>
        <v>チェーンブロック</v>
      </c>
    </row>
    <row r="189" spans="1:4" x14ac:dyDescent="0.4">
      <c r="A189" s="21">
        <f t="shared" si="22"/>
        <v>2080</v>
      </c>
      <c r="B189" s="22" t="str">
        <f t="shared" si="23"/>
        <v>機械器具月報（その８）運搬機械及び産業用ロボット</v>
      </c>
      <c r="C189" s="21" t="str">
        <f>HYPERLINK("#2080!Y3","0109")</f>
        <v>0109</v>
      </c>
      <c r="D189" s="22" t="str">
        <f>HYPERLINK("#2080!Y3","ベルトコンベヤ")</f>
        <v>ベルトコンベヤ</v>
      </c>
    </row>
    <row r="190" spans="1:4" x14ac:dyDescent="0.4">
      <c r="A190" s="21">
        <f t="shared" si="22"/>
        <v>2080</v>
      </c>
      <c r="B190" s="22" t="str">
        <f t="shared" si="23"/>
        <v>機械器具月報（その８）運搬機械及び産業用ロボット</v>
      </c>
      <c r="C190" s="21" t="str">
        <f>HYPERLINK("#2080!AB3","0110")</f>
        <v>0110</v>
      </c>
      <c r="D190" s="22" t="str">
        <f>HYPERLINK("#2080!AB3","チェーンコンベヤ")</f>
        <v>チェーンコンベヤ</v>
      </c>
    </row>
    <row r="191" spans="1:4" x14ac:dyDescent="0.4">
      <c r="A191" s="21">
        <f t="shared" si="22"/>
        <v>2080</v>
      </c>
      <c r="B191" s="22" t="str">
        <f t="shared" si="23"/>
        <v>機械器具月報（その８）運搬機械及び産業用ロボット</v>
      </c>
      <c r="C191" s="21" t="str">
        <f>HYPERLINK("#2080!AE3","0111")</f>
        <v>0111</v>
      </c>
      <c r="D191" s="22" t="str">
        <f>HYPERLINK("#2080!AE3","ローラーコンベヤ")</f>
        <v>ローラーコンベヤ</v>
      </c>
    </row>
    <row r="192" spans="1:4" x14ac:dyDescent="0.4">
      <c r="A192" s="21">
        <f t="shared" si="22"/>
        <v>2080</v>
      </c>
      <c r="B192" s="22" t="str">
        <f t="shared" si="23"/>
        <v>機械器具月報（その８）運搬機械及び産業用ロボット</v>
      </c>
      <c r="C192" s="21" t="str">
        <f>HYPERLINK("#2080!AH3","0112")</f>
        <v>0112</v>
      </c>
      <c r="D192" s="22" t="str">
        <f>HYPERLINK("#2080!AH3","その他のコンベヤ")</f>
        <v>その他のコンベヤ</v>
      </c>
    </row>
    <row r="193" spans="1:4" x14ac:dyDescent="0.4">
      <c r="A193" s="21">
        <f t="shared" si="22"/>
        <v>2080</v>
      </c>
      <c r="B193" s="22" t="str">
        <f t="shared" si="23"/>
        <v>機械器具月報（その８）運搬機械及び産業用ロボット</v>
      </c>
      <c r="C193" s="21" t="str">
        <f>HYPERLINK("#2080!AK3","0113")</f>
        <v>0113</v>
      </c>
      <c r="D193" s="22" t="str">
        <f>HYPERLINK("#2080!AK3","エレベータ(自動車用エレベータを除く)")</f>
        <v>エレベータ(自動車用エレベータを除く)</v>
      </c>
    </row>
    <row r="194" spans="1:4" x14ac:dyDescent="0.4">
      <c r="A194" s="21">
        <f t="shared" si="22"/>
        <v>2080</v>
      </c>
      <c r="B194" s="22" t="str">
        <f t="shared" si="23"/>
        <v>機械器具月報（その８）運搬機械及び産業用ロボット</v>
      </c>
      <c r="C194" s="21" t="str">
        <f>HYPERLINK("#2080!AN3","0114")</f>
        <v>0114</v>
      </c>
      <c r="D194" s="22" t="str">
        <f>HYPERLINK("#2080!AN3","エスカレータ")</f>
        <v>エスカレータ</v>
      </c>
    </row>
    <row r="195" spans="1:4" x14ac:dyDescent="0.4">
      <c r="A195" s="21">
        <f t="shared" si="22"/>
        <v>2080</v>
      </c>
      <c r="B195" s="22" t="str">
        <f t="shared" si="23"/>
        <v>機械器具月報（その８）運搬機械及び産業用ロボット</v>
      </c>
      <c r="C195" s="21" t="str">
        <f>HYPERLINK("#2080!AP3","0115")</f>
        <v>0115</v>
      </c>
      <c r="D195" s="22" t="str">
        <f>HYPERLINK("#2080!AP3","機械式駐車装置")</f>
        <v>機械式駐車装置</v>
      </c>
    </row>
    <row r="196" spans="1:4" x14ac:dyDescent="0.4">
      <c r="A196" s="21">
        <f t="shared" si="22"/>
        <v>2080</v>
      </c>
      <c r="B196" s="22" t="str">
        <f t="shared" si="23"/>
        <v>機械器具月報（その８）運搬機械及び産業用ロボット</v>
      </c>
      <c r="C196" s="21" t="str">
        <f>HYPERLINK("#2080!AR3","0116")</f>
        <v>0116</v>
      </c>
      <c r="D196" s="22" t="str">
        <f>HYPERLINK("#2080!AR3","自動立体倉庫装置")</f>
        <v>自動立体倉庫装置</v>
      </c>
    </row>
    <row r="197" spans="1:4" x14ac:dyDescent="0.4">
      <c r="A197" s="21">
        <f t="shared" si="22"/>
        <v>2080</v>
      </c>
      <c r="B197" s="22" t="str">
        <f t="shared" si="23"/>
        <v>機械器具月報（その８）運搬機械及び産業用ロボット</v>
      </c>
      <c r="C197" s="21" t="str">
        <f>HYPERLINK("#2080!AT3","0117")</f>
        <v>0117</v>
      </c>
      <c r="D197" s="22" t="str">
        <f>HYPERLINK("#2080!AT3","シーケンスロボット・知能ロボット")</f>
        <v>シーケンスロボット・知能ロボット</v>
      </c>
    </row>
    <row r="198" spans="1:4" x14ac:dyDescent="0.4">
      <c r="A198" s="21">
        <f t="shared" si="22"/>
        <v>2080</v>
      </c>
      <c r="B198" s="22" t="str">
        <f t="shared" si="23"/>
        <v>機械器具月報（その８）運搬機械及び産業用ロボット</v>
      </c>
      <c r="C198" s="21" t="str">
        <f>HYPERLINK("#2080!AV3","0118")</f>
        <v>0118</v>
      </c>
      <c r="D198" s="22" t="str">
        <f>HYPERLINK("#2080!AV3","プレイバックロボット")</f>
        <v>プレイバックロボット</v>
      </c>
    </row>
    <row r="199" spans="1:4" x14ac:dyDescent="0.4">
      <c r="A199" s="21">
        <f t="shared" si="22"/>
        <v>2080</v>
      </c>
      <c r="B199" s="22" t="str">
        <f t="shared" si="23"/>
        <v>機械器具月報（その８）運搬機械及び産業用ロボット</v>
      </c>
      <c r="C199" s="21" t="str">
        <f>HYPERLINK("#2080!AX3","0119")</f>
        <v>0119</v>
      </c>
      <c r="D199" s="22" t="str">
        <f>HYPERLINK("#2080!AX3","数値制御ロボット")</f>
        <v>数値制御ロボット</v>
      </c>
    </row>
    <row r="200" spans="1:4" x14ac:dyDescent="0.4">
      <c r="A200" s="21">
        <f t="shared" si="22"/>
        <v>2080</v>
      </c>
      <c r="B200" s="22" t="str">
        <f t="shared" si="23"/>
        <v>機械器具月報（その８）運搬機械及び産業用ロボット</v>
      </c>
      <c r="C200" s="21" t="str">
        <f>HYPERLINK("#2080!AZ3","0120")</f>
        <v>0120</v>
      </c>
      <c r="D200" s="22" t="str">
        <f>HYPERLINK("#2080!AZ3","産業用ロボット部品・付帯装置")</f>
        <v>産業用ロボット部品・付帯装置</v>
      </c>
    </row>
    <row r="201" spans="1:4" x14ac:dyDescent="0.4">
      <c r="A201" s="21">
        <f t="shared" ref="A201:A207" si="24">HYPERLINK("#2090!A1 ",2090)</f>
        <v>2090</v>
      </c>
      <c r="B201" s="22" t="str">
        <f t="shared" ref="B201:B207" si="25">HYPERLINK("#2090!A1 ","機械器具月報（その９）動力伝導装置")</f>
        <v>機械器具月報（その９）動力伝導装置</v>
      </c>
      <c r="C201" s="21" t="str">
        <f>HYPERLINK("#2090!C3","0101")</f>
        <v>0101</v>
      </c>
      <c r="D201" s="22" t="str">
        <f>HYPERLINK("#2090!C3","固定比減速機・モータ付きのもの(自己消費を除く)")</f>
        <v>固定比減速機・モータ付きのもの(自己消費を除く)</v>
      </c>
    </row>
    <row r="202" spans="1:4" x14ac:dyDescent="0.4">
      <c r="A202" s="21">
        <f t="shared" si="24"/>
        <v>2090</v>
      </c>
      <c r="B202" s="22" t="str">
        <f t="shared" si="25"/>
        <v>機械器具月報（その９）動力伝導装置</v>
      </c>
      <c r="C202" s="21" t="str">
        <f>HYPERLINK("#2090!F3","0102")</f>
        <v>0102</v>
      </c>
      <c r="D202" s="22" t="str">
        <f>HYPERLINK("#2090!F3","固定比減速機・モーターなしのもの(自己消費を除く)")</f>
        <v>固定比減速機・モーターなしのもの(自己消費を除く)</v>
      </c>
    </row>
    <row r="203" spans="1:4" x14ac:dyDescent="0.4">
      <c r="A203" s="21">
        <f t="shared" si="24"/>
        <v>2090</v>
      </c>
      <c r="B203" s="22" t="str">
        <f t="shared" si="25"/>
        <v>機械器具月報（その９）動力伝導装置</v>
      </c>
      <c r="C203" s="21" t="str">
        <f>HYPERLINK("#2090!I3","0103")</f>
        <v>0103</v>
      </c>
      <c r="D203" s="22" t="str">
        <f>HYPERLINK("#2090!I3","平歯車(粉末や金製品を除く)(自己消費を除く)")</f>
        <v>平歯車(粉末や金製品を除く)(自己消費を除く)</v>
      </c>
    </row>
    <row r="204" spans="1:4" x14ac:dyDescent="0.4">
      <c r="A204" s="21">
        <f t="shared" si="24"/>
        <v>2090</v>
      </c>
      <c r="B204" s="22" t="str">
        <f t="shared" si="25"/>
        <v>機械器具月報（その９）動力伝導装置</v>
      </c>
      <c r="C204" s="21" t="str">
        <f>HYPERLINK("#2090!L3","0104")</f>
        <v>0104</v>
      </c>
      <c r="D204" s="22" t="str">
        <f>HYPERLINK("#2090!L3","はすば歯車(粉末や金製品を除く)(自己消費を除く)")</f>
        <v>はすば歯車(粉末や金製品を除く)(自己消費を除く)</v>
      </c>
    </row>
    <row r="205" spans="1:4" x14ac:dyDescent="0.4">
      <c r="A205" s="21">
        <f t="shared" si="24"/>
        <v>2090</v>
      </c>
      <c r="B205" s="22" t="str">
        <f t="shared" si="25"/>
        <v>機械器具月報（その９）動力伝導装置</v>
      </c>
      <c r="C205" s="21" t="str">
        <f>HYPERLINK("#2090!O3","0105")</f>
        <v>0105</v>
      </c>
      <c r="D205" s="22" t="str">
        <f>HYPERLINK("#2090!O3","かさ歯車(粉末や金製品を除く)(自己消費を除く)")</f>
        <v>かさ歯車(粉末や金製品を除く)(自己消費を除く)</v>
      </c>
    </row>
    <row r="206" spans="1:4" x14ac:dyDescent="0.4">
      <c r="A206" s="21">
        <f t="shared" si="24"/>
        <v>2090</v>
      </c>
      <c r="B206" s="22" t="str">
        <f t="shared" si="25"/>
        <v>機械器具月報（その９）動力伝導装置</v>
      </c>
      <c r="C206" s="21" t="str">
        <f>HYPERLINK("#2090!R3","0106")</f>
        <v>0106</v>
      </c>
      <c r="D206" s="22" t="str">
        <f>HYPERLINK("#2090!R3","その他の歯車(粉末や金製品を除く)(自己消費を除く)")</f>
        <v>その他の歯車(粉末や金製品を除く)(自己消費を除く)</v>
      </c>
    </row>
    <row r="207" spans="1:4" x14ac:dyDescent="0.4">
      <c r="A207" s="21">
        <f t="shared" si="24"/>
        <v>2090</v>
      </c>
      <c r="B207" s="22" t="str">
        <f t="shared" si="25"/>
        <v>機械器具月報（その９）動力伝導装置</v>
      </c>
      <c r="C207" s="21" t="str">
        <f>HYPERLINK("#2090!U3","0107")</f>
        <v>0107</v>
      </c>
      <c r="D207" s="22" t="str">
        <f>HYPERLINK("#2090!U3","スチールチェーン(自己消費を除く)")</f>
        <v>スチールチェーン(自己消費を除く)</v>
      </c>
    </row>
    <row r="208" spans="1:4" x14ac:dyDescent="0.4">
      <c r="A208" s="21">
        <f t="shared" ref="A208:A220" si="26">HYPERLINK("#2100!A1 ",2100)</f>
        <v>2100</v>
      </c>
      <c r="B208" s="22" t="str">
        <f t="shared" ref="B208:B220" si="27">HYPERLINK("#2100!A1 ","機械器具月報（その10）農業用機械器具及び木材加工機械")</f>
        <v>機械器具月報（その10）農業用機械器具及び木材加工機械</v>
      </c>
      <c r="C208" s="21" t="str">
        <f>HYPERLINK("#2100!C3","0101")</f>
        <v>0101</v>
      </c>
      <c r="D208" s="22" t="str">
        <f>HYPERLINK("#2100!C3","動力耕うん機(歩行用トラクタを含む)")</f>
        <v>動力耕うん機(歩行用トラクタを含む)</v>
      </c>
    </row>
    <row r="209" spans="1:4" x14ac:dyDescent="0.4">
      <c r="A209" s="21">
        <f t="shared" si="26"/>
        <v>2100</v>
      </c>
      <c r="B209" s="22" t="str">
        <f t="shared" si="27"/>
        <v>機械器具月報（その10）農業用機械器具及び木材加工機械</v>
      </c>
      <c r="C209" s="21" t="str">
        <f>HYPERLINK("#2100!H3","0102")</f>
        <v>0102</v>
      </c>
      <c r="D209" s="22" t="str">
        <f>HYPERLINK("#2100!H3","装輪式トラクタ(２０ＰＳ未満)")</f>
        <v>装輪式トラクタ(２０ＰＳ未満)</v>
      </c>
    </row>
    <row r="210" spans="1:4" x14ac:dyDescent="0.4">
      <c r="A210" s="21">
        <f t="shared" si="26"/>
        <v>2100</v>
      </c>
      <c r="B210" s="22" t="str">
        <f t="shared" si="27"/>
        <v>機械器具月報（その10）農業用機械器具及び木材加工機械</v>
      </c>
      <c r="C210" s="21" t="str">
        <f>HYPERLINK("#2100!M3","0103")</f>
        <v>0103</v>
      </c>
      <c r="D210" s="22" t="str">
        <f>HYPERLINK("#2100!M3","装輪式トラクタ(２０ＰＳ以上３０ＰＳ未満)")</f>
        <v>装輪式トラクタ(２０ＰＳ以上３０ＰＳ未満)</v>
      </c>
    </row>
    <row r="211" spans="1:4" x14ac:dyDescent="0.4">
      <c r="A211" s="21">
        <f t="shared" si="26"/>
        <v>2100</v>
      </c>
      <c r="B211" s="22" t="str">
        <f t="shared" si="27"/>
        <v>機械器具月報（その10）農業用機械器具及び木材加工機械</v>
      </c>
      <c r="C211" s="21" t="str">
        <f>HYPERLINK("#2100!R3","0104")</f>
        <v>0104</v>
      </c>
      <c r="D211" s="22" t="str">
        <f>HYPERLINK("#2100!R3","装輪式トラクタ(３０ＰＳ以上)")</f>
        <v>装輪式トラクタ(３０ＰＳ以上)</v>
      </c>
    </row>
    <row r="212" spans="1:4" x14ac:dyDescent="0.4">
      <c r="A212" s="21">
        <f t="shared" si="26"/>
        <v>2100</v>
      </c>
      <c r="B212" s="22" t="str">
        <f t="shared" si="27"/>
        <v>機械器具月報（その10）農業用機械器具及び木材加工機械</v>
      </c>
      <c r="C212" s="21" t="str">
        <f>HYPERLINK("#2100!W3","0105")</f>
        <v>0105</v>
      </c>
      <c r="D212" s="22" t="str">
        <f>HYPERLINK("#2100!W3","動力耕うん機及び装輪式トラクタ用ロータリ・プラウ・すき・ハロー")</f>
        <v>動力耕うん機及び装輪式トラクタ用ロータリ・プラウ・すき・ハロー</v>
      </c>
    </row>
    <row r="213" spans="1:4" x14ac:dyDescent="0.4">
      <c r="A213" s="21">
        <f t="shared" si="26"/>
        <v>2100</v>
      </c>
      <c r="B213" s="22" t="str">
        <f t="shared" si="27"/>
        <v>機械器具月報（その10）農業用機械器具及び木材加工機械</v>
      </c>
      <c r="C213" s="21" t="str">
        <f>HYPERLINK("#2100!X3","0106")</f>
        <v>0106</v>
      </c>
      <c r="D213" s="22" t="str">
        <f>HYPERLINK("#2100!X3","田植機")</f>
        <v>田植機</v>
      </c>
    </row>
    <row r="214" spans="1:4" x14ac:dyDescent="0.4">
      <c r="A214" s="21">
        <f t="shared" si="26"/>
        <v>2100</v>
      </c>
      <c r="B214" s="22" t="str">
        <f t="shared" si="27"/>
        <v>機械器具月報（その10）農業用機械器具及び木材加工機械</v>
      </c>
      <c r="C214" s="21" t="str">
        <f>HYPERLINK("#2100!AC3","0107")</f>
        <v>0107</v>
      </c>
      <c r="D214" s="22" t="str">
        <f>HYPERLINK("#2100!AC3","動力噴霧機及び動力散粉機(ミスト機・煙霧機を含む)")</f>
        <v>動力噴霧機及び動力散粉機(ミスト機・煙霧機を含む)</v>
      </c>
    </row>
    <row r="215" spans="1:4" x14ac:dyDescent="0.4">
      <c r="A215" s="21">
        <f t="shared" si="26"/>
        <v>2100</v>
      </c>
      <c r="B215" s="22" t="str">
        <f t="shared" si="27"/>
        <v>機械器具月報（その10）農業用機械器具及び木材加工機械</v>
      </c>
      <c r="C215" s="21" t="str">
        <f>HYPERLINK("#2100!AH3","0108")</f>
        <v>0108</v>
      </c>
      <c r="D215" s="22" t="str">
        <f>HYPERLINK("#2100!AH3","刈払機(芝刈機を除く)")</f>
        <v>刈払機(芝刈機を除く)</v>
      </c>
    </row>
    <row r="216" spans="1:4" x14ac:dyDescent="0.4">
      <c r="A216" s="21">
        <f t="shared" si="26"/>
        <v>2100</v>
      </c>
      <c r="B216" s="22" t="str">
        <f t="shared" si="27"/>
        <v>機械器具月報（その10）農業用機械器具及び木材加工機械</v>
      </c>
      <c r="C216" s="21" t="str">
        <f>HYPERLINK("#2100!AM3","0109")</f>
        <v>0109</v>
      </c>
      <c r="D216" s="22" t="str">
        <f>HYPERLINK("#2100!AM3","コンバイン(刈取脱穀結合機)")</f>
        <v>コンバイン(刈取脱穀結合機)</v>
      </c>
    </row>
    <row r="217" spans="1:4" x14ac:dyDescent="0.4">
      <c r="A217" s="21">
        <f t="shared" si="26"/>
        <v>2100</v>
      </c>
      <c r="B217" s="22" t="str">
        <f t="shared" si="27"/>
        <v>機械器具月報（その10）農業用機械器具及び木材加工機械</v>
      </c>
      <c r="C217" s="21" t="str">
        <f>HYPERLINK("#2100!AR3","0110")</f>
        <v>0110</v>
      </c>
      <c r="D217" s="22" t="str">
        <f>HYPERLINK("#2100!AR3","籾すり機")</f>
        <v>籾すり機</v>
      </c>
    </row>
    <row r="218" spans="1:4" x14ac:dyDescent="0.4">
      <c r="A218" s="21">
        <f t="shared" si="26"/>
        <v>2100</v>
      </c>
      <c r="B218" s="22" t="str">
        <f t="shared" si="27"/>
        <v>機械器具月報（その10）農業用機械器具及び木材加工機械</v>
      </c>
      <c r="C218" s="21" t="str">
        <f>HYPERLINK("#2100!AW3","0111")</f>
        <v>0111</v>
      </c>
      <c r="D218" s="22" t="str">
        <f>HYPERLINK("#2100!AW3","農業用乾燥機")</f>
        <v>農業用乾燥機</v>
      </c>
    </row>
    <row r="219" spans="1:4" x14ac:dyDescent="0.4">
      <c r="A219" s="21">
        <f t="shared" si="26"/>
        <v>2100</v>
      </c>
      <c r="B219" s="22" t="str">
        <f t="shared" si="27"/>
        <v>機械器具月報（その10）農業用機械器具及び木材加工機械</v>
      </c>
      <c r="C219" s="21" t="str">
        <f>HYPERLINK("#2100!BB3","0112")</f>
        <v>0112</v>
      </c>
      <c r="D219" s="22" t="str">
        <f>HYPERLINK("#2100!BB3","木工機械及び製材機械")</f>
        <v>木工機械及び製材機械</v>
      </c>
    </row>
    <row r="220" spans="1:4" x14ac:dyDescent="0.4">
      <c r="A220" s="21">
        <f t="shared" si="26"/>
        <v>2100</v>
      </c>
      <c r="B220" s="22" t="str">
        <f t="shared" si="27"/>
        <v>機械器具月報（その10）農業用機械器具及び木材加工機械</v>
      </c>
      <c r="C220" s="21" t="str">
        <f>HYPERLINK("#2100!BG3","0113")</f>
        <v>0113</v>
      </c>
      <c r="D220" s="22" t="str">
        <f>HYPERLINK("#2100!BG3","合板機械(繊維板機械を含む)")</f>
        <v>合板機械(繊維板機械を含む)</v>
      </c>
    </row>
    <row r="221" spans="1:4" x14ac:dyDescent="0.4">
      <c r="A221" s="21">
        <f t="shared" ref="A221:A242" si="28">HYPERLINK("#2110!A1 ",2110)</f>
        <v>2110</v>
      </c>
      <c r="B221" s="22" t="str">
        <f t="shared" ref="B221:B242" si="29">HYPERLINK("#2110!A1 ","機械器具月報（その11）金属工作機械")</f>
        <v>機械器具月報（その11）金属工作機械</v>
      </c>
      <c r="C221" s="21" t="str">
        <f>HYPERLINK("#2110!C3","0101")</f>
        <v>0101</v>
      </c>
      <c r="D221" s="22" t="str">
        <f>HYPERLINK("#2110!C3","数値制御旋盤(ターニングセンタを含む)(立て形)(金属工作用)")</f>
        <v>数値制御旋盤(ターニングセンタを含む)(立て形)(金属工作用)</v>
      </c>
    </row>
    <row r="222" spans="1:4" x14ac:dyDescent="0.4">
      <c r="A222" s="21">
        <f t="shared" si="28"/>
        <v>2110</v>
      </c>
      <c r="B222" s="22" t="str">
        <f t="shared" si="29"/>
        <v>機械器具月報（その11）金属工作機械</v>
      </c>
      <c r="C222" s="21" t="str">
        <f>HYPERLINK("#2110!K3","0102")</f>
        <v>0102</v>
      </c>
      <c r="D222" s="22" t="str">
        <f>HYPERLINK("#2110!K3","数値制御旋盤(ターニングセンタを含む)(横形)(金属工作用)")</f>
        <v>数値制御旋盤(ターニングセンタを含む)(横形)(金属工作用)</v>
      </c>
    </row>
    <row r="223" spans="1:4" x14ac:dyDescent="0.4">
      <c r="A223" s="21">
        <f t="shared" si="28"/>
        <v>2110</v>
      </c>
      <c r="B223" s="22" t="str">
        <f t="shared" si="29"/>
        <v>機械器具月報（その11）金属工作機械</v>
      </c>
      <c r="C223" s="21" t="str">
        <f>HYPERLINK("#2110!S3","0103")</f>
        <v>0103</v>
      </c>
      <c r="D223" s="22" t="str">
        <f>HYPERLINK("#2110!S3","その他の旋盤(金属工作用)")</f>
        <v>その他の旋盤(金属工作用)</v>
      </c>
    </row>
    <row r="224" spans="1:4" x14ac:dyDescent="0.4">
      <c r="A224" s="21">
        <f t="shared" si="28"/>
        <v>2110</v>
      </c>
      <c r="B224" s="22" t="str">
        <f t="shared" si="29"/>
        <v>機械器具月報（その11）金属工作機械</v>
      </c>
      <c r="C224" s="21" t="str">
        <f>HYPERLINK("#2110!AA3","0104")</f>
        <v>0104</v>
      </c>
      <c r="D224" s="22" t="str">
        <f>HYPERLINK("#2110!AA3","数値制御円筒研削盤(金属工作用)")</f>
        <v>数値制御円筒研削盤(金属工作用)</v>
      </c>
    </row>
    <row r="225" spans="1:4" x14ac:dyDescent="0.4">
      <c r="A225" s="21">
        <f t="shared" si="28"/>
        <v>2110</v>
      </c>
      <c r="B225" s="22" t="str">
        <f t="shared" si="29"/>
        <v>機械器具月報（その11）金属工作機械</v>
      </c>
      <c r="C225" s="21" t="str">
        <f>HYPERLINK("#2110!AI3","0105")</f>
        <v>0105</v>
      </c>
      <c r="D225" s="22" t="str">
        <f>HYPERLINK("#2110!AI3","数値制御平面研削盤(金属工作用)")</f>
        <v>数値制御平面研削盤(金属工作用)</v>
      </c>
    </row>
    <row r="226" spans="1:4" x14ac:dyDescent="0.4">
      <c r="A226" s="21">
        <f t="shared" si="28"/>
        <v>2110</v>
      </c>
      <c r="B226" s="22" t="str">
        <f t="shared" si="29"/>
        <v>機械器具月報（その11）金属工作機械</v>
      </c>
      <c r="C226" s="21" t="str">
        <f>HYPERLINK("#2110!AQ3","0106")</f>
        <v>0106</v>
      </c>
      <c r="D226" s="22" t="str">
        <f>HYPERLINK("#2110!AQ3","その他の数値制御研削盤(金属工作用)")</f>
        <v>その他の数値制御研削盤(金属工作用)</v>
      </c>
    </row>
    <row r="227" spans="1:4" x14ac:dyDescent="0.4">
      <c r="A227" s="21">
        <f t="shared" si="28"/>
        <v>2110</v>
      </c>
      <c r="B227" s="22" t="str">
        <f t="shared" si="29"/>
        <v>機械器具月報（その11）金属工作機械</v>
      </c>
      <c r="C227" s="21" t="str">
        <f>HYPERLINK("#2110!AY3","0107")</f>
        <v>0107</v>
      </c>
      <c r="D227" s="22" t="str">
        <f>HYPERLINK("#2110!AY3","その他の研削盤(金属工作用)")</f>
        <v>その他の研削盤(金属工作用)</v>
      </c>
    </row>
    <row r="228" spans="1:4" x14ac:dyDescent="0.4">
      <c r="A228" s="21">
        <f t="shared" si="28"/>
        <v>2110</v>
      </c>
      <c r="B228" s="22" t="str">
        <f t="shared" si="29"/>
        <v>機械器具月報（その11）金属工作機械</v>
      </c>
      <c r="C228" s="21" t="str">
        <f>HYPERLINK("#2110!BG3","0108")</f>
        <v>0108</v>
      </c>
      <c r="D228" s="22" t="str">
        <f>HYPERLINK("#2110!BG3","数値制御歯切り盤及び歯車仕上げ機械(金属工作用)")</f>
        <v>数値制御歯切り盤及び歯車仕上げ機械(金属工作用)</v>
      </c>
    </row>
    <row r="229" spans="1:4" x14ac:dyDescent="0.4">
      <c r="A229" s="21">
        <f t="shared" si="28"/>
        <v>2110</v>
      </c>
      <c r="B229" s="22" t="str">
        <f t="shared" si="29"/>
        <v>機械器具月報（その11）金属工作機械</v>
      </c>
      <c r="C229" s="21" t="str">
        <f>HYPERLINK("#2110!BO3","0109")</f>
        <v>0109</v>
      </c>
      <c r="D229" s="22" t="str">
        <f>HYPERLINK("#2110!BO3","その他の歯切り盤及び歯車仕上げ機械(金属工作用)")</f>
        <v>その他の歯切り盤及び歯車仕上げ機械(金属工作用)</v>
      </c>
    </row>
    <row r="230" spans="1:4" x14ac:dyDescent="0.4">
      <c r="A230" s="21">
        <f t="shared" si="28"/>
        <v>2110</v>
      </c>
      <c r="B230" s="22" t="str">
        <f t="shared" si="29"/>
        <v>機械器具月報（その11）金属工作機械</v>
      </c>
      <c r="C230" s="21" t="str">
        <f>HYPERLINK("#2110!BW3","0110")</f>
        <v>0110</v>
      </c>
      <c r="D230" s="22" t="str">
        <f>HYPERLINK("#2110!BW3","数値制御専用機(金属工作用)")</f>
        <v>数値制御専用機(金属工作用)</v>
      </c>
    </row>
    <row r="231" spans="1:4" x14ac:dyDescent="0.4">
      <c r="A231" s="21">
        <f t="shared" si="28"/>
        <v>2110</v>
      </c>
      <c r="B231" s="22" t="str">
        <f t="shared" si="29"/>
        <v>機械器具月報（その11）金属工作機械</v>
      </c>
      <c r="C231" s="21" t="str">
        <f>HYPERLINK("#2110!CE3","0111")</f>
        <v>0111</v>
      </c>
      <c r="D231" s="22" t="str">
        <f>HYPERLINK("#2110!CE3","その他の専用機(金属工作用)")</f>
        <v>その他の専用機(金属工作用)</v>
      </c>
    </row>
    <row r="232" spans="1:4" x14ac:dyDescent="0.4">
      <c r="A232" s="21">
        <f t="shared" si="28"/>
        <v>2110</v>
      </c>
      <c r="B232" s="22" t="str">
        <f t="shared" si="29"/>
        <v>機械器具月報（その11）金属工作機械</v>
      </c>
      <c r="C232" s="21" t="str">
        <f>HYPERLINK("#2110!CM3","0112")</f>
        <v>0112</v>
      </c>
      <c r="D232" s="22" t="str">
        <f>HYPERLINK("#2110!CM3","マシニングセンタ立形(前後ストローク５００ｍｍ未満)(金属工作用)")</f>
        <v>マシニングセンタ立形(前後ストローク５００ｍｍ未満)(金属工作用)</v>
      </c>
    </row>
    <row r="233" spans="1:4" x14ac:dyDescent="0.4">
      <c r="A233" s="21">
        <f t="shared" si="28"/>
        <v>2110</v>
      </c>
      <c r="B233" s="22" t="str">
        <f t="shared" si="29"/>
        <v>機械器具月報（その11）金属工作機械</v>
      </c>
      <c r="C233" s="21" t="str">
        <f>HYPERLINK("#2110!CU3","0113")</f>
        <v>0113</v>
      </c>
      <c r="D233" s="22" t="str">
        <f>HYPERLINK("#2110!CU3","マシニングセンタ立形(前後ストローク５００ｍｍ以上)(金属工作用)")</f>
        <v>マシニングセンタ立形(前後ストローク５００ｍｍ以上)(金属工作用)</v>
      </c>
    </row>
    <row r="234" spans="1:4" x14ac:dyDescent="0.4">
      <c r="A234" s="21">
        <f t="shared" si="28"/>
        <v>2110</v>
      </c>
      <c r="B234" s="22" t="str">
        <f t="shared" si="29"/>
        <v>機械器具月報（その11）金属工作機械</v>
      </c>
      <c r="C234" s="21" t="str">
        <f>HYPERLINK("#2110!DC3","0114")</f>
        <v>0114</v>
      </c>
      <c r="D234" s="22" t="str">
        <f>HYPERLINK("#2110!DC3","マシニングセンタ横形(テーブルサイズ５００ｍｍ未満)(金属工作用)")</f>
        <v>マシニングセンタ横形(テーブルサイズ５００ｍｍ未満)(金属工作用)</v>
      </c>
    </row>
    <row r="235" spans="1:4" x14ac:dyDescent="0.4">
      <c r="A235" s="21">
        <f t="shared" si="28"/>
        <v>2110</v>
      </c>
      <c r="B235" s="22" t="str">
        <f t="shared" si="29"/>
        <v>機械器具月報（その11）金属工作機械</v>
      </c>
      <c r="C235" s="21" t="str">
        <f>HYPERLINK("#2110!DK3","0115")</f>
        <v>0115</v>
      </c>
      <c r="D235" s="22" t="str">
        <f>HYPERLINK("#2110!DK3","マシニングセンタ横形(テーブルサイズ５００ｍｍ以上)(金属工作用)")</f>
        <v>マシニングセンタ横形(テーブルサイズ５００ｍｍ以上)(金属工作用)</v>
      </c>
    </row>
    <row r="236" spans="1:4" x14ac:dyDescent="0.4">
      <c r="A236" s="21">
        <f t="shared" si="28"/>
        <v>2110</v>
      </c>
      <c r="B236" s="22" t="str">
        <f t="shared" si="29"/>
        <v>機械器具月報（その11）金属工作機械</v>
      </c>
      <c r="C236" s="21" t="str">
        <f>HYPERLINK("#2110!DS3","0116")</f>
        <v>0116</v>
      </c>
      <c r="D236" s="22" t="str">
        <f>HYPERLINK("#2110!DS3","その他のマシニングセンタ(立て・横兼用形、門形)(金属工作用)")</f>
        <v>その他のマシニングセンタ(立て・横兼用形、門形)(金属工作用)</v>
      </c>
    </row>
    <row r="237" spans="1:4" x14ac:dyDescent="0.4">
      <c r="A237" s="21">
        <f t="shared" si="28"/>
        <v>2110</v>
      </c>
      <c r="B237" s="22" t="str">
        <f t="shared" si="29"/>
        <v>機械器具月報（その11）金属工作機械</v>
      </c>
      <c r="C237" s="21" t="str">
        <f>HYPERLINK("#2110!EA3","0117")</f>
        <v>0117</v>
      </c>
      <c r="D237" s="22" t="str">
        <f>HYPERLINK("#2110!EA3","数値制御ボール盤(金属工作用)")</f>
        <v>数値制御ボール盤(金属工作用)</v>
      </c>
    </row>
    <row r="238" spans="1:4" x14ac:dyDescent="0.4">
      <c r="A238" s="21">
        <f t="shared" si="28"/>
        <v>2110</v>
      </c>
      <c r="B238" s="22" t="str">
        <f t="shared" si="29"/>
        <v>機械器具月報（その11）金属工作機械</v>
      </c>
      <c r="C238" s="21" t="str">
        <f>HYPERLINK("#2110!EI3","0118")</f>
        <v>0118</v>
      </c>
      <c r="D238" s="22" t="str">
        <f>HYPERLINK("#2110!EI3","数値制御中ぐり盤(金属工作用)")</f>
        <v>数値制御中ぐり盤(金属工作用)</v>
      </c>
    </row>
    <row r="239" spans="1:4" x14ac:dyDescent="0.4">
      <c r="A239" s="21">
        <f t="shared" si="28"/>
        <v>2110</v>
      </c>
      <c r="B239" s="22" t="str">
        <f t="shared" si="29"/>
        <v>機械器具月報（その11）金属工作機械</v>
      </c>
      <c r="C239" s="21" t="str">
        <f>HYPERLINK("#2110!EQ3","0119")</f>
        <v>0119</v>
      </c>
      <c r="D239" s="22" t="str">
        <f>HYPERLINK("#2110!EQ3","数値制御フライス盤(金属工作用)")</f>
        <v>数値制御フライス盤(金属工作用)</v>
      </c>
    </row>
    <row r="240" spans="1:4" x14ac:dyDescent="0.4">
      <c r="A240" s="21">
        <f t="shared" si="28"/>
        <v>2110</v>
      </c>
      <c r="B240" s="22" t="str">
        <f t="shared" si="29"/>
        <v>機械器具月報（その11）金属工作機械</v>
      </c>
      <c r="C240" s="21" t="str">
        <f>HYPERLINK("#2110!EY3","0120")</f>
        <v>0120</v>
      </c>
      <c r="D240" s="22" t="str">
        <f>HYPERLINK("#2110!EY3","数値制御放電加工機（金属工作用）")</f>
        <v>数値制御放電加工機（金属工作用）</v>
      </c>
    </row>
    <row r="241" spans="1:4" x14ac:dyDescent="0.4">
      <c r="A241" s="21">
        <f t="shared" si="28"/>
        <v>2110</v>
      </c>
      <c r="B241" s="22" t="str">
        <f t="shared" si="29"/>
        <v>機械器具月報（その11）金属工作機械</v>
      </c>
      <c r="C241" s="21" t="str">
        <f>HYPERLINK("#2110!FG3","0121")</f>
        <v>0121</v>
      </c>
      <c r="D241" s="22" t="str">
        <f>HYPERLINK("#2110!FG3","その他の数値制御工作機械(金属工作用)")</f>
        <v>その他の数値制御工作機械(金属工作用)</v>
      </c>
    </row>
    <row r="242" spans="1:4" x14ac:dyDescent="0.4">
      <c r="A242" s="21">
        <f t="shared" si="28"/>
        <v>2110</v>
      </c>
      <c r="B242" s="22" t="str">
        <f t="shared" si="29"/>
        <v>機械器具月報（その11）金属工作機械</v>
      </c>
      <c r="C242" s="21" t="str">
        <f>HYPERLINK("#2110!FO3","0122")</f>
        <v>0122</v>
      </c>
      <c r="D242" s="22" t="str">
        <f>HYPERLINK("#2110!FO3","他に分類されない工作機械(金属工作用)")</f>
        <v>他に分類されない工作機械(金属工作用)</v>
      </c>
    </row>
    <row r="243" spans="1:4" x14ac:dyDescent="0.4">
      <c r="A243" s="21">
        <f t="shared" ref="A243:A259" si="30">HYPERLINK("#2120!A1 ",2120)</f>
        <v>2120</v>
      </c>
      <c r="B243" s="22" t="str">
        <f t="shared" ref="B243:B259" si="31">HYPERLINK("#2120!A1 ","機械器具月報（その12）金属加工機械及び鋳造装置")</f>
        <v>機械器具月報（その12）金属加工機械及び鋳造装置</v>
      </c>
      <c r="C243" s="21" t="str">
        <f>HYPERLINK("#2120!C3","0101")</f>
        <v>0101</v>
      </c>
      <c r="D243" s="22" t="str">
        <f>HYPERLINK("#2120!C3","圧延機械(本体又は一式のもの)及び同付属装置(シャーはせん断機に含む)(金属加工用)")</f>
        <v>圧延機械(本体又は一式のもの)及び同付属装置(シャーはせん断機に含む)(金属加工用)</v>
      </c>
    </row>
    <row r="244" spans="1:4" x14ac:dyDescent="0.4">
      <c r="A244" s="21">
        <f t="shared" si="30"/>
        <v>2120</v>
      </c>
      <c r="B244" s="22" t="str">
        <f t="shared" si="31"/>
        <v>機械器具月報（その12）金属加工機械及び鋳造装置</v>
      </c>
      <c r="C244" s="21" t="str">
        <f>HYPERLINK("#2120!F3","0102")</f>
        <v>0102</v>
      </c>
      <c r="D244" s="22" t="str">
        <f>HYPERLINK("#2120!F3","圧延機械の部品(ロールを除く)(金属加工用)")</f>
        <v>圧延機械の部品(ロールを除く)(金属加工用)</v>
      </c>
    </row>
    <row r="245" spans="1:4" x14ac:dyDescent="0.4">
      <c r="A245" s="21">
        <f t="shared" si="30"/>
        <v>2120</v>
      </c>
      <c r="B245" s="22" t="str">
        <f t="shared" si="31"/>
        <v>機械器具月報（その12）金属加工機械及び鋳造装置</v>
      </c>
      <c r="C245" s="21" t="str">
        <f>HYPERLINK("#2120!G3","0103")</f>
        <v>0103</v>
      </c>
      <c r="D245" s="22" t="str">
        <f>HYPERLINK("#2120!G3","鉄鋼用ロール(鋳鉄製及び鋳鋼製)(金属加工用)")</f>
        <v>鉄鋼用ロール(鋳鉄製及び鋳鋼製)(金属加工用)</v>
      </c>
    </row>
    <row r="246" spans="1:4" x14ac:dyDescent="0.4">
      <c r="A246" s="21">
        <f t="shared" si="30"/>
        <v>2120</v>
      </c>
      <c r="B246" s="22" t="str">
        <f t="shared" si="31"/>
        <v>機械器具月報（その12）金属加工機械及び鋳造装置</v>
      </c>
      <c r="C246" s="21" t="str">
        <f>HYPERLINK("#2120!N3","0104")</f>
        <v>0104</v>
      </c>
      <c r="D246" s="22" t="str">
        <f>HYPERLINK("#2120!N3","鉄鋼用ロール(鍛鋼製)(金属加工用)")</f>
        <v>鉄鋼用ロール(鍛鋼製)(金属加工用)</v>
      </c>
    </row>
    <row r="247" spans="1:4" x14ac:dyDescent="0.4">
      <c r="A247" s="21">
        <f t="shared" si="30"/>
        <v>2120</v>
      </c>
      <c r="B247" s="22" t="str">
        <f t="shared" si="31"/>
        <v>機械器具月報（その12）金属加工機械及び鋳造装置</v>
      </c>
      <c r="C247" s="21" t="str">
        <f>HYPERLINK("#2120!U3","0105")</f>
        <v>0105</v>
      </c>
      <c r="D247" s="22" t="str">
        <f>HYPERLINK("#2120!U3","ベンディングマシン(矯正機を含む)(金属加工用)")</f>
        <v>ベンディングマシン(矯正機を含む)(金属加工用)</v>
      </c>
    </row>
    <row r="248" spans="1:4" x14ac:dyDescent="0.4">
      <c r="A248" s="21">
        <f t="shared" si="30"/>
        <v>2120</v>
      </c>
      <c r="B248" s="22" t="str">
        <f t="shared" si="31"/>
        <v>機械器具月報（その12）金属加工機械及び鋳造装置</v>
      </c>
      <c r="C248" s="21" t="str">
        <f>HYPERLINK("#2120!AC3","0106")</f>
        <v>0106</v>
      </c>
      <c r="D248" s="22" t="str">
        <f>HYPERLINK("#2120!AC3","液圧プレス(リベッティングマシンを含み、プラスチック加工用のものを除く)(金属加工用)")</f>
        <v>液圧プレス(リベッティングマシンを含み、プラスチック加工用のものを除く)(金属加工用)</v>
      </c>
    </row>
    <row r="249" spans="1:4" x14ac:dyDescent="0.4">
      <c r="A249" s="21">
        <f t="shared" si="30"/>
        <v>2120</v>
      </c>
      <c r="B249" s="22" t="str">
        <f t="shared" si="31"/>
        <v>機械器具月報（その12）金属加工機械及び鋳造装置</v>
      </c>
      <c r="C249" s="21" t="str">
        <f>HYPERLINK("#2120!AK3","0107")</f>
        <v>0107</v>
      </c>
      <c r="D249" s="22" t="str">
        <f>HYPERLINK("#2120!AK3","数値制御式(液圧プレス内数)(金属加工用)")</f>
        <v>数値制御式(液圧プレス内数)(金属加工用)</v>
      </c>
    </row>
    <row r="250" spans="1:4" x14ac:dyDescent="0.4">
      <c r="A250" s="21">
        <f t="shared" si="30"/>
        <v>2120</v>
      </c>
      <c r="B250" s="22" t="str">
        <f t="shared" si="31"/>
        <v>機械器具月報（その12）金属加工機械及び鋳造装置</v>
      </c>
      <c r="C250" s="21" t="str">
        <f>HYPERLINK("#2120!AS3","0108")</f>
        <v>0108</v>
      </c>
      <c r="D250" s="22" t="str">
        <f>HYPERLINK("#2120!AS3","機械プレス(１００ｔ未満)(金属加工用)")</f>
        <v>機械プレス(１００ｔ未満)(金属加工用)</v>
      </c>
    </row>
    <row r="251" spans="1:4" x14ac:dyDescent="0.4">
      <c r="A251" s="21">
        <f t="shared" si="30"/>
        <v>2120</v>
      </c>
      <c r="B251" s="22" t="str">
        <f t="shared" si="31"/>
        <v>機械器具月報（その12）金属加工機械及び鋳造装置</v>
      </c>
      <c r="C251" s="21" t="str">
        <f>HYPERLINK("#2120!BA3","0109")</f>
        <v>0109</v>
      </c>
      <c r="D251" s="22" t="str">
        <f>HYPERLINK("#2120!BA3","機械プレス(１００ｔ以上５００ｔ未満)(金属加工用)")</f>
        <v>機械プレス(１００ｔ以上５００ｔ未満)(金属加工用)</v>
      </c>
    </row>
    <row r="252" spans="1:4" x14ac:dyDescent="0.4">
      <c r="A252" s="21">
        <f t="shared" si="30"/>
        <v>2120</v>
      </c>
      <c r="B252" s="22" t="str">
        <f t="shared" si="31"/>
        <v>機械器具月報（その12）金属加工機械及び鋳造装置</v>
      </c>
      <c r="C252" s="21" t="str">
        <f>HYPERLINK("#2120!BI3","0110")</f>
        <v>0110</v>
      </c>
      <c r="D252" s="22" t="str">
        <f>HYPERLINK("#2120!BI3","機械プレス(５００ｔ以上)(金属加工用)")</f>
        <v>機械プレス(５００ｔ以上)(金属加工用)</v>
      </c>
    </row>
    <row r="253" spans="1:4" x14ac:dyDescent="0.4">
      <c r="A253" s="21">
        <f t="shared" si="30"/>
        <v>2120</v>
      </c>
      <c r="B253" s="22" t="str">
        <f t="shared" si="31"/>
        <v>機械器具月報（その12）金属加工機械及び鋳造装置</v>
      </c>
      <c r="C253" s="21" t="str">
        <f>HYPERLINK("#2120!BQ3","0111")</f>
        <v>0111</v>
      </c>
      <c r="D253" s="22" t="str">
        <f>HYPERLINK("#2120!BQ3","数値制御式（機械プレス内数）(金属加工用)")</f>
        <v>数値制御式（機械プレス内数）(金属加工用)</v>
      </c>
    </row>
    <row r="254" spans="1:4" x14ac:dyDescent="0.4">
      <c r="A254" s="21">
        <f t="shared" si="30"/>
        <v>2120</v>
      </c>
      <c r="B254" s="22" t="str">
        <f t="shared" si="31"/>
        <v>機械器具月報（その12）金属加工機械及び鋳造装置</v>
      </c>
      <c r="C254" s="21" t="str">
        <f>HYPERLINK("#2120!BY3","0112")</f>
        <v>0112</v>
      </c>
      <c r="D254" s="22" t="str">
        <f>HYPERLINK("#2120!BY3","せん断機(金属加工用)")</f>
        <v>せん断機(金属加工用)</v>
      </c>
    </row>
    <row r="255" spans="1:4" x14ac:dyDescent="0.4">
      <c r="A255" s="21">
        <f t="shared" si="30"/>
        <v>2120</v>
      </c>
      <c r="B255" s="22" t="str">
        <f t="shared" si="31"/>
        <v>機械器具月報（その12）金属加工機械及び鋳造装置</v>
      </c>
      <c r="C255" s="21" t="str">
        <f>HYPERLINK("#2120!CE3","0113")</f>
        <v>0113</v>
      </c>
      <c r="D255" s="22" t="str">
        <f>HYPERLINK("#2120!CE3","鍛造機械(金属加工用)")</f>
        <v>鍛造機械(金属加工用)</v>
      </c>
    </row>
    <row r="256" spans="1:4" x14ac:dyDescent="0.4">
      <c r="A256" s="21">
        <f t="shared" si="30"/>
        <v>2120</v>
      </c>
      <c r="B256" s="22" t="str">
        <f t="shared" si="31"/>
        <v>機械器具月報（その12）金属加工機械及び鋳造装置</v>
      </c>
      <c r="C256" s="21" t="str">
        <f>HYPERLINK("#2120!CK3","0114")</f>
        <v>0114</v>
      </c>
      <c r="D256" s="22" t="str">
        <f>HYPERLINK("#2120!CK3","ワイヤーフォーミングマシン(金属加工用)")</f>
        <v>ワイヤーフォーミングマシン(金属加工用)</v>
      </c>
    </row>
    <row r="257" spans="1:4" x14ac:dyDescent="0.4">
      <c r="A257" s="21">
        <f t="shared" si="30"/>
        <v>2120</v>
      </c>
      <c r="B257" s="22" t="str">
        <f t="shared" si="31"/>
        <v>機械器具月報（その12）金属加工機械及び鋳造装置</v>
      </c>
      <c r="C257" s="21" t="str">
        <f>HYPERLINK("#2120!CQ3","0115")</f>
        <v>0115</v>
      </c>
      <c r="D257" s="22" t="str">
        <f>HYPERLINK("#2120!CQ3","ダイカストマシン(鋳造用)")</f>
        <v>ダイカストマシン(鋳造用)</v>
      </c>
    </row>
    <row r="258" spans="1:4" x14ac:dyDescent="0.4">
      <c r="A258" s="21">
        <f t="shared" si="30"/>
        <v>2120</v>
      </c>
      <c r="B258" s="22" t="str">
        <f t="shared" si="31"/>
        <v>機械器具月報（その12）金属加工機械及び鋳造装置</v>
      </c>
      <c r="C258" s="21" t="str">
        <f>HYPERLINK("#2120!CT3","0116")</f>
        <v>0116</v>
      </c>
      <c r="D258" s="22" t="str">
        <f>HYPERLINK("#2120!CT3","鋳型機械(鋳造用)")</f>
        <v>鋳型機械(鋳造用)</v>
      </c>
    </row>
    <row r="259" spans="1:4" x14ac:dyDescent="0.4">
      <c r="A259" s="21">
        <f t="shared" si="30"/>
        <v>2120</v>
      </c>
      <c r="B259" s="22" t="str">
        <f t="shared" si="31"/>
        <v>機械器具月報（その12）金属加工機械及び鋳造装置</v>
      </c>
      <c r="C259" s="21" t="str">
        <f>HYPERLINK("#2120!CW3","0117")</f>
        <v>0117</v>
      </c>
      <c r="D259" s="22" t="str">
        <f>HYPERLINK("#2120!CW3","砂処理・製品処理機械及び装置(鋳造用)")</f>
        <v>砂処理・製品処理機械及び装置(鋳造用)</v>
      </c>
    </row>
    <row r="260" spans="1:4" x14ac:dyDescent="0.4">
      <c r="A260" s="21">
        <f t="shared" ref="A260:A272" si="32">HYPERLINK("#2140!A1 ",2140)</f>
        <v>2140</v>
      </c>
      <c r="B260" s="22" t="str">
        <f t="shared" ref="B260:B272" si="33">HYPERLINK("#2140!A1 ","機械器具月報（その14）食料品加工機械、包装機械及び荷造機械")</f>
        <v>機械器具月報（その14）食料品加工機械、包装機械及び荷造機械</v>
      </c>
      <c r="C260" s="21" t="str">
        <f>HYPERLINK("#2140!C3","0101")</f>
        <v>0101</v>
      </c>
      <c r="D260" s="22" t="str">
        <f>HYPERLINK("#2140!C3","精米麦機械")</f>
        <v>精米麦機械</v>
      </c>
    </row>
    <row r="261" spans="1:4" x14ac:dyDescent="0.4">
      <c r="A261" s="21">
        <f t="shared" si="32"/>
        <v>2140</v>
      </c>
      <c r="B261" s="22" t="str">
        <f t="shared" si="33"/>
        <v>機械器具月報（その14）食料品加工機械、包装機械及び荷造機械</v>
      </c>
      <c r="C261" s="21" t="str">
        <f>HYPERLINK("#2140!H3","0102")</f>
        <v>0102</v>
      </c>
      <c r="D261" s="22" t="str">
        <f>HYPERLINK("#2140!H3","製パン・製菓機械")</f>
        <v>製パン・製菓機械</v>
      </c>
    </row>
    <row r="262" spans="1:4" x14ac:dyDescent="0.4">
      <c r="A262" s="21">
        <f t="shared" si="32"/>
        <v>2140</v>
      </c>
      <c r="B262" s="22" t="str">
        <f t="shared" si="33"/>
        <v>機械器具月報（その14）食料品加工機械、包装機械及び荷造機械</v>
      </c>
      <c r="C262" s="21" t="str">
        <f>HYPERLINK("#2140!M3","0103")</f>
        <v>0103</v>
      </c>
      <c r="D262" s="22" t="str">
        <f>HYPERLINK("#2140!M3","醸造用機械(酒類・しょう油・味噌用に限る)")</f>
        <v>醸造用機械(酒類・しょう油・味噌用に限る)</v>
      </c>
    </row>
    <row r="263" spans="1:4" x14ac:dyDescent="0.4">
      <c r="A263" s="21">
        <f t="shared" si="32"/>
        <v>2140</v>
      </c>
      <c r="B263" s="22" t="str">
        <f t="shared" si="33"/>
        <v>機械器具月報（その14）食料品加工機械、包装機械及び荷造機械</v>
      </c>
      <c r="C263" s="21" t="str">
        <f>HYPERLINK("#2140!R3","0104")</f>
        <v>0104</v>
      </c>
      <c r="D263" s="22" t="str">
        <f>HYPERLINK("#2140!R3","牛乳加工・乳製品製造用機械")</f>
        <v>牛乳加工・乳製品製造用機械</v>
      </c>
    </row>
    <row r="264" spans="1:4" x14ac:dyDescent="0.4">
      <c r="A264" s="21">
        <f t="shared" si="32"/>
        <v>2140</v>
      </c>
      <c r="B264" s="22" t="str">
        <f t="shared" si="33"/>
        <v>機械器具月報（その14）食料品加工機械、包装機械及び荷造機械</v>
      </c>
      <c r="C264" s="21" t="str">
        <f>HYPERLINK("#2140!W3","0105")</f>
        <v>0105</v>
      </c>
      <c r="D264" s="22" t="str">
        <f>HYPERLINK("#2140!W3","肉類・水産加工機械")</f>
        <v>肉類・水産加工機械</v>
      </c>
    </row>
    <row r="265" spans="1:4" x14ac:dyDescent="0.4">
      <c r="A265" s="21">
        <f t="shared" si="32"/>
        <v>2140</v>
      </c>
      <c r="B265" s="22" t="str">
        <f t="shared" si="33"/>
        <v>機械器具月報（その14）食料品加工機械、包装機械及び荷造機械</v>
      </c>
      <c r="C265" s="21" t="str">
        <f>HYPERLINK("#2140!AB3","0106")</f>
        <v>0106</v>
      </c>
      <c r="D265" s="22" t="str">
        <f>HYPERLINK("#2140!AB3","製袋充てん機")</f>
        <v>製袋充てん機</v>
      </c>
    </row>
    <row r="266" spans="1:4" x14ac:dyDescent="0.4">
      <c r="A266" s="21">
        <f t="shared" si="32"/>
        <v>2140</v>
      </c>
      <c r="B266" s="22" t="str">
        <f t="shared" si="33"/>
        <v>機械器具月報（その14）食料品加工機械、包装機械及び荷造機械</v>
      </c>
      <c r="C266" s="21" t="str">
        <f>HYPERLINK("#2140!AG3","0107")</f>
        <v>0107</v>
      </c>
      <c r="D266" s="22" t="str">
        <f>HYPERLINK("#2140!AG3","容器成形充てん機")</f>
        <v>容器成形充てん機</v>
      </c>
    </row>
    <row r="267" spans="1:4" x14ac:dyDescent="0.4">
      <c r="A267" s="21">
        <f t="shared" si="32"/>
        <v>2140</v>
      </c>
      <c r="B267" s="22" t="str">
        <f t="shared" si="33"/>
        <v>機械器具月報（その14）食料品加工機械、包装機械及び荷造機械</v>
      </c>
      <c r="C267" s="21" t="str">
        <f>HYPERLINK("#2140!AL3","0108")</f>
        <v>0108</v>
      </c>
      <c r="D267" s="22" t="str">
        <f>HYPERLINK("#2140!AL3","上包機(収縮包装機・ストレッチ包装機を含む)")</f>
        <v>上包機(収縮包装機・ストレッチ包装機を含む)</v>
      </c>
    </row>
    <row r="268" spans="1:4" x14ac:dyDescent="0.4">
      <c r="A268" s="21">
        <f t="shared" si="32"/>
        <v>2140</v>
      </c>
      <c r="B268" s="22" t="str">
        <f t="shared" si="33"/>
        <v>機械器具月報（その14）食料品加工機械、包装機械及び荷造機械</v>
      </c>
      <c r="C268" s="21" t="str">
        <f>HYPERLINK("#2140!AQ3","0109")</f>
        <v>0109</v>
      </c>
      <c r="D268" s="22" t="str">
        <f>HYPERLINK("#2140!AQ3","びん詰機械(洗びん機・殺菌機等を含む)")</f>
        <v>びん詰機械(洗びん機・殺菌機等を含む)</v>
      </c>
    </row>
    <row r="269" spans="1:4" x14ac:dyDescent="0.4">
      <c r="A269" s="21">
        <f t="shared" si="32"/>
        <v>2140</v>
      </c>
      <c r="B269" s="22" t="str">
        <f t="shared" si="33"/>
        <v>機械器具月報（その14）食料品加工機械、包装機械及び荷造機械</v>
      </c>
      <c r="C269" s="21" t="str">
        <f>HYPERLINK("#2140!AV3","0110")</f>
        <v>0110</v>
      </c>
      <c r="D269" s="22" t="str">
        <f>HYPERLINK("#2140!AV3","その他の個装・内装機械")</f>
        <v>その他の個装・内装機械</v>
      </c>
    </row>
    <row r="270" spans="1:4" x14ac:dyDescent="0.4">
      <c r="A270" s="21">
        <f t="shared" si="32"/>
        <v>2140</v>
      </c>
      <c r="B270" s="22" t="str">
        <f t="shared" si="33"/>
        <v>機械器具月報（その14）食料品加工機械、包装機械及び荷造機械</v>
      </c>
      <c r="C270" s="21" t="str">
        <f>HYPERLINK("#2140!BA3","0111")</f>
        <v>0111</v>
      </c>
      <c r="D270" s="22" t="str">
        <f>HYPERLINK("#2140!BA3","バンド掛け機")</f>
        <v>バンド掛け機</v>
      </c>
    </row>
    <row r="271" spans="1:4" x14ac:dyDescent="0.4">
      <c r="A271" s="21">
        <f t="shared" si="32"/>
        <v>2140</v>
      </c>
      <c r="B271" s="22" t="str">
        <f t="shared" si="33"/>
        <v>機械器具月報（その14）食料品加工機械、包装機械及び荷造機械</v>
      </c>
      <c r="C271" s="21" t="str">
        <f>HYPERLINK("#2140!BF3","0112")</f>
        <v>0112</v>
      </c>
      <c r="D271" s="22" t="str">
        <f>HYPERLINK("#2140!BF3","ケース詰機")</f>
        <v>ケース詰機</v>
      </c>
    </row>
    <row r="272" spans="1:4" x14ac:dyDescent="0.4">
      <c r="A272" s="21">
        <f t="shared" si="32"/>
        <v>2140</v>
      </c>
      <c r="B272" s="22" t="str">
        <f t="shared" si="33"/>
        <v>機械器具月報（その14）食料品加工機械、包装機械及び荷造機械</v>
      </c>
      <c r="C272" s="21" t="str">
        <f>HYPERLINK("#2140!BK3","0113")</f>
        <v>0113</v>
      </c>
      <c r="D272" s="22" t="str">
        <f>HYPERLINK("#2140!BK3","その他の外装・荷造機械")</f>
        <v>その他の外装・荷造機械</v>
      </c>
    </row>
    <row r="273" spans="1:4" x14ac:dyDescent="0.4">
      <c r="A273" s="21">
        <f>HYPERLINK("#2160!A1 ",2160)</f>
        <v>2160</v>
      </c>
      <c r="B273" s="22" t="str">
        <f>HYPERLINK("#2160!A1 ","機械器具月報（その16）事務用機械")</f>
        <v>機械器具月報（その16）事務用機械</v>
      </c>
      <c r="C273" s="21" t="str">
        <f>HYPERLINK("#2160!C3","0101")</f>
        <v>0101</v>
      </c>
      <c r="D273" s="22" t="str">
        <f>HYPERLINK("#2160!C3","複写機(ジアゾ式等を除く)(デジタル機)")</f>
        <v>複写機(ジアゾ式等を除く)(デジタル機)</v>
      </c>
    </row>
    <row r="274" spans="1:4" x14ac:dyDescent="0.4">
      <c r="A274" s="21">
        <f>HYPERLINK("#2160!A1 ",2160)</f>
        <v>2160</v>
      </c>
      <c r="B274" s="22" t="str">
        <f>HYPERLINK("#2160!A1 ","機械器具月報（その16）事務用機械")</f>
        <v>機械器具月報（その16）事務用機械</v>
      </c>
      <c r="C274" s="21" t="str">
        <f>HYPERLINK("#2160!H3","0102")</f>
        <v>0102</v>
      </c>
      <c r="D274" s="22" t="str">
        <f>HYPERLINK("#2160!H3","複写機(ジアゾ式等を除く)(フルカラー機)")</f>
        <v>複写機(ジアゾ式等を除く)(フルカラー機)</v>
      </c>
    </row>
    <row r="275" spans="1:4" x14ac:dyDescent="0.4">
      <c r="A275" s="21">
        <f>HYPERLINK("#2160!A1 ",2160)</f>
        <v>2160</v>
      </c>
      <c r="B275" s="22" t="str">
        <f>HYPERLINK("#2160!A1 ","機械器具月報（その16）事務用機械")</f>
        <v>機械器具月報（その16）事務用機械</v>
      </c>
      <c r="C275" s="21" t="str">
        <f>HYPERLINK("#2160!M3","0103")</f>
        <v>0103</v>
      </c>
      <c r="D275" s="22" t="str">
        <f>HYPERLINK("#2160!M3","金銭登録機(システム式)(端末機としての機能を有するもの)")</f>
        <v>金銭登録機(システム式)(端末機としての機能を有するもの)</v>
      </c>
    </row>
    <row r="276" spans="1:4" x14ac:dyDescent="0.4">
      <c r="A276" s="21">
        <f t="shared" ref="A276:A286" si="34">HYPERLINK("#2170!A1 ",2170)</f>
        <v>2170</v>
      </c>
      <c r="B276" s="22" t="str">
        <f t="shared" ref="B276:B286" si="35">HYPERLINK("#2170!A1 ","機械器具月報（その17）ミシン及び繊維機械")</f>
        <v>機械器具月報（その17）ミシン及び繊維機械</v>
      </c>
      <c r="C276" s="21" t="str">
        <f>HYPERLINK("#2170!C3","0101")</f>
        <v>0101</v>
      </c>
      <c r="D276" s="22" t="str">
        <f>HYPERLINK("#2170!C3","家庭用ミシン")</f>
        <v>家庭用ミシン</v>
      </c>
    </row>
    <row r="277" spans="1:4" x14ac:dyDescent="0.4">
      <c r="A277" s="21">
        <f t="shared" si="34"/>
        <v>2170</v>
      </c>
      <c r="B277" s="22" t="str">
        <f t="shared" si="35"/>
        <v>機械器具月報（その17）ミシン及び繊維機械</v>
      </c>
      <c r="C277" s="21" t="str">
        <f>HYPERLINK("#2170!H3","0102")</f>
        <v>0102</v>
      </c>
      <c r="D277" s="22" t="str">
        <f>HYPERLINK("#2170!H3","工業用ミシン(一本針直線本縫)(織物縫用・ニット縫用に限る)")</f>
        <v>工業用ミシン(一本針直線本縫)(織物縫用・ニット縫用に限る)</v>
      </c>
    </row>
    <row r="278" spans="1:4" x14ac:dyDescent="0.4">
      <c r="A278" s="21">
        <f t="shared" si="34"/>
        <v>2170</v>
      </c>
      <c r="B278" s="22" t="str">
        <f t="shared" si="35"/>
        <v>機械器具月報（その17）ミシン及び繊維機械</v>
      </c>
      <c r="C278" s="21" t="str">
        <f>HYPERLINK("#2170!M3","0103")</f>
        <v>0103</v>
      </c>
      <c r="D278" s="22" t="str">
        <f>HYPERLINK("#2170!M3","工業用ミシン(ヘリ縫)(織物縫用・ニット縫用に限る)")</f>
        <v>工業用ミシン(ヘリ縫)(織物縫用・ニット縫用に限る)</v>
      </c>
    </row>
    <row r="279" spans="1:4" x14ac:dyDescent="0.4">
      <c r="A279" s="21">
        <f t="shared" si="34"/>
        <v>2170</v>
      </c>
      <c r="B279" s="22" t="str">
        <f t="shared" si="35"/>
        <v>機械器具月報（その17）ミシン及び繊維機械</v>
      </c>
      <c r="C279" s="21" t="str">
        <f>HYPERLINK("#2170!R3","0104")</f>
        <v>0104</v>
      </c>
      <c r="D279" s="22" t="str">
        <f>HYPERLINK("#2170!R3","その他の工業用ミシン")</f>
        <v>その他の工業用ミシン</v>
      </c>
    </row>
    <row r="280" spans="1:4" x14ac:dyDescent="0.4">
      <c r="A280" s="21">
        <f t="shared" si="34"/>
        <v>2170</v>
      </c>
      <c r="B280" s="22" t="str">
        <f t="shared" si="35"/>
        <v>機械器具月報（その17）ミシン及び繊維機械</v>
      </c>
      <c r="C280" s="21" t="str">
        <f>HYPERLINK("#2170!W3","0105")</f>
        <v>0105</v>
      </c>
      <c r="D280" s="22" t="str">
        <f>HYPERLINK("#2170!W3","化学繊維機械")</f>
        <v>化学繊維機械</v>
      </c>
    </row>
    <row r="281" spans="1:4" x14ac:dyDescent="0.4">
      <c r="A281" s="21">
        <f t="shared" si="34"/>
        <v>2170</v>
      </c>
      <c r="B281" s="22" t="str">
        <f t="shared" si="35"/>
        <v>機械器具月報（その17）ミシン及び繊維機械</v>
      </c>
      <c r="C281" s="21" t="str">
        <f>HYPERLINK("#2170!Y3","0106")</f>
        <v>0106</v>
      </c>
      <c r="D281" s="22" t="str">
        <f>HYPERLINK("#2170!Y3","紡績機械")</f>
        <v>紡績機械</v>
      </c>
    </row>
    <row r="282" spans="1:4" x14ac:dyDescent="0.4">
      <c r="A282" s="21">
        <f t="shared" si="34"/>
        <v>2170</v>
      </c>
      <c r="B282" s="22" t="str">
        <f t="shared" si="35"/>
        <v>機械器具月報（その17）ミシン及び繊維機械</v>
      </c>
      <c r="C282" s="21" t="str">
        <f>HYPERLINK("#2170!AA3","0107")</f>
        <v>0107</v>
      </c>
      <c r="D282" s="22" t="str">
        <f>HYPERLINK("#2170!AA3","準備機械(糸巻機・その他の準備機械)")</f>
        <v>準備機械(糸巻機・その他の準備機械)</v>
      </c>
    </row>
    <row r="283" spans="1:4" x14ac:dyDescent="0.4">
      <c r="A283" s="21">
        <f t="shared" si="34"/>
        <v>2170</v>
      </c>
      <c r="B283" s="22" t="str">
        <f t="shared" si="35"/>
        <v>機械器具月報（その17）ミシン及び繊維機械</v>
      </c>
      <c r="C283" s="21" t="str">
        <f>HYPERLINK("#2170!AC3","0108")</f>
        <v>0108</v>
      </c>
      <c r="D283" s="22" t="str">
        <f>HYPERLINK("#2170!AC3","織機")</f>
        <v>織機</v>
      </c>
    </row>
    <row r="284" spans="1:4" x14ac:dyDescent="0.4">
      <c r="A284" s="21">
        <f t="shared" si="34"/>
        <v>2170</v>
      </c>
      <c r="B284" s="22" t="str">
        <f t="shared" si="35"/>
        <v>機械器具月報（その17）ミシン及び繊維機械</v>
      </c>
      <c r="C284" s="21" t="str">
        <f>HYPERLINK("#2170!AE3","0109")</f>
        <v>0109</v>
      </c>
      <c r="D284" s="22" t="str">
        <f>HYPERLINK("#2170!AE3","編組機械")</f>
        <v>編組機械</v>
      </c>
    </row>
    <row r="285" spans="1:4" x14ac:dyDescent="0.4">
      <c r="A285" s="21">
        <f t="shared" si="34"/>
        <v>2170</v>
      </c>
      <c r="B285" s="22" t="str">
        <f t="shared" si="35"/>
        <v>機械器具月報（その17）ミシン及び繊維機械</v>
      </c>
      <c r="C285" s="21" t="str">
        <f>HYPERLINK("#2170!AG3","0110")</f>
        <v>0110</v>
      </c>
      <c r="D285" s="22" t="str">
        <f>HYPERLINK("#2170!AG3","染色仕上機械")</f>
        <v>染色仕上機械</v>
      </c>
    </row>
    <row r="286" spans="1:4" x14ac:dyDescent="0.4">
      <c r="A286" s="21">
        <f t="shared" si="34"/>
        <v>2170</v>
      </c>
      <c r="B286" s="22" t="str">
        <f t="shared" si="35"/>
        <v>機械器具月報（その17）ミシン及び繊維機械</v>
      </c>
      <c r="C286" s="21" t="str">
        <f>HYPERLINK("#2170!AI3","0111")</f>
        <v>0111</v>
      </c>
      <c r="D286" s="22" t="str">
        <f>HYPERLINK("#2170!AI3","その他の繊維機械")</f>
        <v>その他の繊維機械</v>
      </c>
    </row>
    <row r="287" spans="1:4" x14ac:dyDescent="0.4">
      <c r="A287" s="21">
        <f t="shared" ref="A287:A317" si="36">HYPERLINK("#2180!A1 ",2180)</f>
        <v>2180</v>
      </c>
      <c r="B287" s="22" t="str">
        <f t="shared" ref="B287:B317" si="37">HYPERLINK("#2180!A1 ","機械器具月報（その18）冷凍機及び冷凍機応用製品")</f>
        <v>機械器具月報（その18）冷凍機及び冷凍機応用製品</v>
      </c>
      <c r="C287" s="21" t="str">
        <f>HYPERLINK("#2180!C3","0101")</f>
        <v>0101</v>
      </c>
      <c r="D287" s="22" t="str">
        <f>HYPERLINK("#2180!C3","圧縮機一般冷凍空調用(０．４ｋＷ未満)(電動機付きを含む)")</f>
        <v>圧縮機一般冷凍空調用(０．４ｋＷ未満)(電動機付きを含む)</v>
      </c>
    </row>
    <row r="288" spans="1:4" x14ac:dyDescent="0.4">
      <c r="A288" s="21">
        <f t="shared" si="36"/>
        <v>2180</v>
      </c>
      <c r="B288" s="22" t="str">
        <f t="shared" si="37"/>
        <v>機械器具月報（その18）冷凍機及び冷凍機応用製品</v>
      </c>
      <c r="C288" s="21" t="str">
        <f>HYPERLINK("#2180!H3","0102")</f>
        <v>0102</v>
      </c>
      <c r="D288" s="22" t="str">
        <f>HYPERLINK("#2180!H3","圧縮機一般冷凍空調用(０．４ｋＷ以上０．７５ｋＷ未満)(電動機付きを含む)")</f>
        <v>圧縮機一般冷凍空調用(０．４ｋＷ以上０．７５ｋＷ未満)(電動機付きを含む)</v>
      </c>
    </row>
    <row r="289" spans="1:4" x14ac:dyDescent="0.4">
      <c r="A289" s="21">
        <f t="shared" si="36"/>
        <v>2180</v>
      </c>
      <c r="B289" s="22" t="str">
        <f t="shared" si="37"/>
        <v>機械器具月報（その18）冷凍機及び冷凍機応用製品</v>
      </c>
      <c r="C289" s="21" t="str">
        <f>HYPERLINK("#2180!M3","0103")</f>
        <v>0103</v>
      </c>
      <c r="D289" s="22" t="str">
        <f>HYPERLINK("#2180!M3","圧縮機一般冷凍空調用(０．７５ｋＷ以上７．５ｋＷ未満)(電動機付きを含む)")</f>
        <v>圧縮機一般冷凍空調用(０．７５ｋＷ以上７．５ｋＷ未満)(電動機付きを含む)</v>
      </c>
    </row>
    <row r="290" spans="1:4" x14ac:dyDescent="0.4">
      <c r="A290" s="21">
        <f t="shared" si="36"/>
        <v>2180</v>
      </c>
      <c r="B290" s="22" t="str">
        <f t="shared" si="37"/>
        <v>機械器具月報（その18）冷凍機及び冷凍機応用製品</v>
      </c>
      <c r="C290" s="21" t="str">
        <f>HYPERLINK("#2180!R3","0104")</f>
        <v>0104</v>
      </c>
      <c r="D290" s="22" t="str">
        <f>HYPERLINK("#2180!R3","圧縮機一般冷凍空調用(７．５ｋＷ以上)(電動機付きを含む)")</f>
        <v>圧縮機一般冷凍空調用(７．５ｋＷ以上)(電動機付きを含む)</v>
      </c>
    </row>
    <row r="291" spans="1:4" x14ac:dyDescent="0.4">
      <c r="A291" s="21">
        <f t="shared" si="36"/>
        <v>2180</v>
      </c>
      <c r="B291" s="22" t="str">
        <f t="shared" si="37"/>
        <v>機械器具月報（その18）冷凍機及び冷凍機応用製品</v>
      </c>
      <c r="C291" s="21" t="str">
        <f>HYPERLINK("#2180!W3","0105")</f>
        <v>0105</v>
      </c>
      <c r="D291" s="22" t="str">
        <f>HYPERLINK("#2180!W3","圧縮機乗用車エアコン用(トラック用を含む)(電動機付きを含む)")</f>
        <v>圧縮機乗用車エアコン用(トラック用を含む)(電動機付きを含む)</v>
      </c>
    </row>
    <row r="292" spans="1:4" x14ac:dyDescent="0.4">
      <c r="A292" s="21">
        <f t="shared" si="36"/>
        <v>2180</v>
      </c>
      <c r="B292" s="22" t="str">
        <f t="shared" si="37"/>
        <v>機械器具月報（その18）冷凍機及び冷凍機応用製品</v>
      </c>
      <c r="C292" s="21" t="str">
        <f>HYPERLINK("#2180!AB3","0106")</f>
        <v>0106</v>
      </c>
      <c r="D292" s="22" t="str">
        <f>HYPERLINK("#2180!AB3","遠心式冷凍機")</f>
        <v>遠心式冷凍機</v>
      </c>
    </row>
    <row r="293" spans="1:4" x14ac:dyDescent="0.4">
      <c r="A293" s="21">
        <f t="shared" si="36"/>
        <v>2180</v>
      </c>
      <c r="B293" s="22" t="str">
        <f t="shared" si="37"/>
        <v>機械器具月報（その18）冷凍機及び冷凍機応用製品</v>
      </c>
      <c r="C293" s="21" t="str">
        <f>HYPERLINK("#2180!AG3","0107")</f>
        <v>0107</v>
      </c>
      <c r="D293" s="22" t="str">
        <f>HYPERLINK("#2180!AG3","吸収式冷凍機(冷温水機を含む)")</f>
        <v>吸収式冷凍機(冷温水機を含む)</v>
      </c>
    </row>
    <row r="294" spans="1:4" x14ac:dyDescent="0.4">
      <c r="A294" s="21">
        <f t="shared" si="36"/>
        <v>2180</v>
      </c>
      <c r="B294" s="22" t="str">
        <f t="shared" si="37"/>
        <v>機械器具月報（その18）冷凍機及び冷凍機応用製品</v>
      </c>
      <c r="C294" s="21" t="str">
        <f>HYPERLINK("#2180!AL3","0108")</f>
        <v>0108</v>
      </c>
      <c r="D294" s="22" t="str">
        <f>HYPERLINK("#2180!AL3","コンデンシングユニット(７．５ｋＷ未満)")</f>
        <v>コンデンシングユニット(７．５ｋＷ未満)</v>
      </c>
    </row>
    <row r="295" spans="1:4" x14ac:dyDescent="0.4">
      <c r="A295" s="21">
        <f t="shared" si="36"/>
        <v>2180</v>
      </c>
      <c r="B295" s="22" t="str">
        <f t="shared" si="37"/>
        <v>機械器具月報（その18）冷凍機及び冷凍機応用製品</v>
      </c>
      <c r="C295" s="21" t="str">
        <f>HYPERLINK("#2180!AQ3","0109")</f>
        <v>0109</v>
      </c>
      <c r="D295" s="22" t="str">
        <f>HYPERLINK("#2180!AQ3","コンデンシングユニット(７．５ｋＷ以上)")</f>
        <v>コンデンシングユニット(７．５ｋＷ以上)</v>
      </c>
    </row>
    <row r="296" spans="1:4" x14ac:dyDescent="0.4">
      <c r="A296" s="21">
        <f t="shared" si="36"/>
        <v>2180</v>
      </c>
      <c r="B296" s="22" t="str">
        <f t="shared" si="37"/>
        <v>機械器具月報（その18）冷凍機及び冷凍機応用製品</v>
      </c>
      <c r="C296" s="21" t="str">
        <f>HYPERLINK("#2180!AV3","0110")</f>
        <v>0110</v>
      </c>
      <c r="D296" s="22" t="str">
        <f>HYPERLINK("#2180!AV3","エアコンディショナ(セパレート形)(室外ユニット)４．０kW以下")</f>
        <v>エアコンディショナ(セパレート形)(室外ユニット)４．０kW以下</v>
      </c>
    </row>
    <row r="297" spans="1:4" x14ac:dyDescent="0.4">
      <c r="A297" s="21">
        <f t="shared" si="36"/>
        <v>2180</v>
      </c>
      <c r="B297" s="22" t="str">
        <f t="shared" si="37"/>
        <v>機械器具月報（その18）冷凍機及び冷凍機応用製品</v>
      </c>
      <c r="C297" s="21" t="str">
        <f>HYPERLINK("#2180!BA3","0111")</f>
        <v>0111</v>
      </c>
      <c r="D297" s="22" t="str">
        <f>HYPERLINK("#2180!BA3","エアコンディショナ(セパレート形)(室外ユニット)４．０kW超７．１kW以下")</f>
        <v>エアコンディショナ(セパレート形)(室外ユニット)４．０kW超７．１kW以下</v>
      </c>
    </row>
    <row r="298" spans="1:4" x14ac:dyDescent="0.4">
      <c r="A298" s="21">
        <f t="shared" si="36"/>
        <v>2180</v>
      </c>
      <c r="B298" s="22" t="str">
        <f t="shared" si="37"/>
        <v>機械器具月報（その18）冷凍機及び冷凍機応用製品</v>
      </c>
      <c r="C298" s="21" t="str">
        <f>HYPERLINK("#2180!BF3","0112")</f>
        <v>0112</v>
      </c>
      <c r="D298" s="22" t="str">
        <f>HYPERLINK("#2180!BF3","エアコンディショナ(セパレート形)(室外ユニット)７．１kW超")</f>
        <v>エアコンディショナ(セパレート形)(室外ユニット)７．１kW超</v>
      </c>
    </row>
    <row r="299" spans="1:4" x14ac:dyDescent="0.4">
      <c r="A299" s="21">
        <f t="shared" si="36"/>
        <v>2180</v>
      </c>
      <c r="B299" s="22" t="str">
        <f t="shared" si="37"/>
        <v>機械器具月報（その18）冷凍機及び冷凍機応用製品</v>
      </c>
      <c r="C299" s="21" t="str">
        <f>HYPERLINK("#2180!BK3","0113")</f>
        <v>0113</v>
      </c>
      <c r="D299" s="22" t="str">
        <f>HYPERLINK("#2180!BK3","エアコンディショナ(セパレート形)(室内ユニット)４．０kW以下")</f>
        <v>エアコンディショナ(セパレート形)(室内ユニット)４．０kW以下</v>
      </c>
    </row>
    <row r="300" spans="1:4" x14ac:dyDescent="0.4">
      <c r="A300" s="21">
        <f t="shared" si="36"/>
        <v>2180</v>
      </c>
      <c r="B300" s="22" t="str">
        <f t="shared" si="37"/>
        <v>機械器具月報（その18）冷凍機及び冷凍機応用製品</v>
      </c>
      <c r="C300" s="21" t="str">
        <f>HYPERLINK("#2180!BP3","0114")</f>
        <v>0114</v>
      </c>
      <c r="D300" s="22" t="str">
        <f>HYPERLINK("#2180!BP3","エアコンディショナ(セパレート形)(室内ユニット)４．０kW超７．１kW以下")</f>
        <v>エアコンディショナ(セパレート形)(室内ユニット)４．０kW超７．１kW以下</v>
      </c>
    </row>
    <row r="301" spans="1:4" x14ac:dyDescent="0.4">
      <c r="A301" s="21">
        <f t="shared" si="36"/>
        <v>2180</v>
      </c>
      <c r="B301" s="22" t="str">
        <f t="shared" si="37"/>
        <v>機械器具月報（その18）冷凍機及び冷凍機応用製品</v>
      </c>
      <c r="C301" s="21" t="str">
        <f>HYPERLINK("#2180!BU3","0115")</f>
        <v>0115</v>
      </c>
      <c r="D301" s="22" t="str">
        <f>HYPERLINK("#2180!BU3","エアコンディショナ(セパレート形)(室内ユニット)７．１kW超")</f>
        <v>エアコンディショナ(セパレート形)(室内ユニット)７．１kW超</v>
      </c>
    </row>
    <row r="302" spans="1:4" x14ac:dyDescent="0.4">
      <c r="A302" s="21">
        <f t="shared" si="36"/>
        <v>2180</v>
      </c>
      <c r="B302" s="22" t="str">
        <f t="shared" si="37"/>
        <v>機械器具月報（その18）冷凍機及び冷凍機応用製品</v>
      </c>
      <c r="C302" s="21" t="str">
        <f>HYPERLINK("#2180!BZ3","0116")</f>
        <v>0116</v>
      </c>
      <c r="D302" s="22" t="str">
        <f>HYPERLINK("#2180!BZ3","エアコンディショナ(シングルパッケージ形)(リモートコンデンサ形を含む)")</f>
        <v>エアコンディショナ(シングルパッケージ形)(リモートコンデンサ形を含む)</v>
      </c>
    </row>
    <row r="303" spans="1:4" x14ac:dyDescent="0.4">
      <c r="A303" s="21">
        <f t="shared" si="36"/>
        <v>2180</v>
      </c>
      <c r="B303" s="22" t="str">
        <f t="shared" si="37"/>
        <v>機械器具月報（その18）冷凍機及び冷凍機応用製品</v>
      </c>
      <c r="C303" s="21" t="str">
        <f>HYPERLINK("#2180!CE3","0117")</f>
        <v>0117</v>
      </c>
      <c r="D303" s="22" t="str">
        <f>HYPERLINK("#2180!CE3","エアコンディショナ(エンジンにより圧縮機を駆動)(室外ユニット)")</f>
        <v>エアコンディショナ(エンジンにより圧縮機を駆動)(室外ユニット)</v>
      </c>
    </row>
    <row r="304" spans="1:4" x14ac:dyDescent="0.4">
      <c r="A304" s="21">
        <f t="shared" si="36"/>
        <v>2180</v>
      </c>
      <c r="B304" s="22" t="str">
        <f t="shared" si="37"/>
        <v>機械器具月報（その18）冷凍機及び冷凍機応用製品</v>
      </c>
      <c r="C304" s="21" t="str">
        <f>HYPERLINK("#2180!CJ3","0118")</f>
        <v>0118</v>
      </c>
      <c r="D304" s="22" t="str">
        <f>HYPERLINK("#2180!CJ3","エアコンディショナ(エンジンにより圧縮機を駆動)(室内ユニット)")</f>
        <v>エアコンディショナ(エンジンにより圧縮機を駆動)(室内ユニット)</v>
      </c>
    </row>
    <row r="305" spans="1:4" x14ac:dyDescent="0.4">
      <c r="A305" s="21">
        <f t="shared" si="36"/>
        <v>2180</v>
      </c>
      <c r="B305" s="22" t="str">
        <f t="shared" si="37"/>
        <v>機械器具月報（その18）冷凍機及び冷凍機応用製品</v>
      </c>
      <c r="C305" s="21" t="str">
        <f>HYPERLINK("#2180!CO3","0119")</f>
        <v>0119</v>
      </c>
      <c r="D305" s="22" t="str">
        <f>HYPERLINK("#2180!CO3","エアコンディショナ(乗用車用)(トラック用を含む)")</f>
        <v>エアコンディショナ(乗用車用)(トラック用を含む)</v>
      </c>
    </row>
    <row r="306" spans="1:4" x14ac:dyDescent="0.4">
      <c r="A306" s="21">
        <f t="shared" si="36"/>
        <v>2180</v>
      </c>
      <c r="B306" s="22" t="str">
        <f t="shared" si="37"/>
        <v>機械器具月報（その18）冷凍機及び冷凍機応用製品</v>
      </c>
      <c r="C306" s="21" t="str">
        <f>HYPERLINK("#2180!CT3","0120")</f>
        <v>0120</v>
      </c>
      <c r="D306" s="22" t="str">
        <f>HYPERLINK("#2180!CT3","エアコンディショナ(その他の輸送機械用)")</f>
        <v>エアコンディショナ(その他の輸送機械用)</v>
      </c>
    </row>
    <row r="307" spans="1:4" x14ac:dyDescent="0.4">
      <c r="A307" s="21">
        <f t="shared" si="36"/>
        <v>2180</v>
      </c>
      <c r="B307" s="22" t="str">
        <f t="shared" si="37"/>
        <v>機械器具月報（その18）冷凍機及び冷凍機応用製品</v>
      </c>
      <c r="C307" s="21" t="str">
        <f>HYPERLINK("#2180!CY3","0121")</f>
        <v>0121</v>
      </c>
      <c r="D307" s="22" t="str">
        <f>HYPERLINK("#2180!CY3","冷凍・冷蔵ショーケース(冷凍機内蔵形)")</f>
        <v>冷凍・冷蔵ショーケース(冷凍機内蔵形)</v>
      </c>
    </row>
    <row r="308" spans="1:4" x14ac:dyDescent="0.4">
      <c r="A308" s="21">
        <f t="shared" si="36"/>
        <v>2180</v>
      </c>
      <c r="B308" s="22" t="str">
        <f t="shared" si="37"/>
        <v>機械器具月報（その18）冷凍機及び冷凍機応用製品</v>
      </c>
      <c r="C308" s="21" t="str">
        <f>HYPERLINK("#2180!DD3","0122")</f>
        <v>0122</v>
      </c>
      <c r="D308" s="22" t="str">
        <f>HYPERLINK("#2180!DD3","冷凍・冷蔵ショーケース(冷凍機別置形)")</f>
        <v>冷凍・冷蔵ショーケース(冷凍機別置形)</v>
      </c>
    </row>
    <row r="309" spans="1:4" x14ac:dyDescent="0.4">
      <c r="A309" s="21">
        <f t="shared" si="36"/>
        <v>2180</v>
      </c>
      <c r="B309" s="22" t="str">
        <f t="shared" si="37"/>
        <v>機械器具月報（その18）冷凍機及び冷凍機応用製品</v>
      </c>
      <c r="C309" s="21" t="str">
        <f>HYPERLINK("#2180!DI3","0123")</f>
        <v>0123</v>
      </c>
      <c r="D309" s="22" t="str">
        <f>HYPERLINK("#2180!DI3","フリーザ(業務用冷凍庫を含む)")</f>
        <v>フリーザ(業務用冷凍庫を含む)</v>
      </c>
    </row>
    <row r="310" spans="1:4" x14ac:dyDescent="0.4">
      <c r="A310" s="21">
        <f t="shared" si="36"/>
        <v>2180</v>
      </c>
      <c r="B310" s="22" t="str">
        <f t="shared" si="37"/>
        <v>機械器具月報（その18）冷凍機及び冷凍機応用製品</v>
      </c>
      <c r="C310" s="21" t="str">
        <f>HYPERLINK("#2180!DN3","0124")</f>
        <v>0124</v>
      </c>
      <c r="D310" s="22" t="str">
        <f>HYPERLINK("#2180!DN3","除湿機")</f>
        <v>除湿機</v>
      </c>
    </row>
    <row r="311" spans="1:4" x14ac:dyDescent="0.4">
      <c r="A311" s="21">
        <f t="shared" si="36"/>
        <v>2180</v>
      </c>
      <c r="B311" s="22" t="str">
        <f t="shared" si="37"/>
        <v>機械器具月報（その18）冷凍機及び冷凍機応用製品</v>
      </c>
      <c r="C311" s="21" t="str">
        <f>HYPERLINK("#2180!DS3","0125")</f>
        <v>0125</v>
      </c>
      <c r="D311" s="22" t="str">
        <f>HYPERLINK("#2180!DS3","製氷機")</f>
        <v>製氷機</v>
      </c>
    </row>
    <row r="312" spans="1:4" x14ac:dyDescent="0.4">
      <c r="A312" s="21">
        <f t="shared" si="36"/>
        <v>2180</v>
      </c>
      <c r="B312" s="22" t="str">
        <f t="shared" si="37"/>
        <v>機械器具月報（その18）冷凍機及び冷凍機応用製品</v>
      </c>
      <c r="C312" s="21" t="str">
        <f>HYPERLINK("#2180!DX3","0126")</f>
        <v>0126</v>
      </c>
      <c r="D312" s="22" t="str">
        <f>HYPERLINK("#2180!DX3","チリングユニット(ヒートポンプ式を含む)")</f>
        <v>チリングユニット(ヒートポンプ式を含む)</v>
      </c>
    </row>
    <row r="313" spans="1:4" x14ac:dyDescent="0.4">
      <c r="A313" s="21">
        <f t="shared" si="36"/>
        <v>2180</v>
      </c>
      <c r="B313" s="22" t="str">
        <f t="shared" si="37"/>
        <v>機械器具月報（その18）冷凍機及び冷凍機応用製品</v>
      </c>
      <c r="C313" s="21" t="str">
        <f>HYPERLINK("#2180!EC3","0127")</f>
        <v>0127</v>
      </c>
      <c r="D313" s="22" t="str">
        <f>HYPERLINK("#2180!EC3","冷凍・冷蔵ユニット(輸送機械用)")</f>
        <v>冷凍・冷蔵ユニット(輸送機械用)</v>
      </c>
    </row>
    <row r="314" spans="1:4" x14ac:dyDescent="0.4">
      <c r="A314" s="21">
        <f t="shared" si="36"/>
        <v>2180</v>
      </c>
      <c r="B314" s="22" t="str">
        <f t="shared" si="37"/>
        <v>機械器具月報（その18）冷凍機及び冷凍機応用製品</v>
      </c>
      <c r="C314" s="21" t="str">
        <f>HYPERLINK("#2180!EH3","0128")</f>
        <v>0128</v>
      </c>
      <c r="D314" s="22" t="str">
        <f>HYPERLINK("#2180!EH3","その他の冷凍・冷蔵ユニット")</f>
        <v>その他の冷凍・冷蔵ユニット</v>
      </c>
    </row>
    <row r="315" spans="1:4" x14ac:dyDescent="0.4">
      <c r="A315" s="21">
        <f t="shared" si="36"/>
        <v>2180</v>
      </c>
      <c r="B315" s="22" t="str">
        <f t="shared" si="37"/>
        <v>機械器具月報（その18）冷凍機及び冷凍機応用製品</v>
      </c>
      <c r="C315" s="21" t="str">
        <f>HYPERLINK("#2180!EM3","0129")</f>
        <v>0129</v>
      </c>
      <c r="D315" s="22" t="str">
        <f>HYPERLINK("#2180!EM3","ファンコイルユニット")</f>
        <v>ファンコイルユニット</v>
      </c>
    </row>
    <row r="316" spans="1:4" x14ac:dyDescent="0.4">
      <c r="A316" s="21">
        <f t="shared" si="36"/>
        <v>2180</v>
      </c>
      <c r="B316" s="22" t="str">
        <f t="shared" si="37"/>
        <v>機械器具月報（その18）冷凍機及び冷凍機応用製品</v>
      </c>
      <c r="C316" s="21" t="str">
        <f>HYPERLINK("#2180!ER3","0130")</f>
        <v>0130</v>
      </c>
      <c r="D316" s="22" t="str">
        <f>HYPERLINK("#2180!ER3","エアハンドリングユニット")</f>
        <v>エアハンドリングユニット</v>
      </c>
    </row>
    <row r="317" spans="1:4" x14ac:dyDescent="0.4">
      <c r="A317" s="21">
        <f t="shared" si="36"/>
        <v>2180</v>
      </c>
      <c r="B317" s="22" t="str">
        <f t="shared" si="37"/>
        <v>機械器具月報（その18）冷凍機及び冷凍機応用製品</v>
      </c>
      <c r="C317" s="21" t="str">
        <f>HYPERLINK("#2180!EW3","0131")</f>
        <v>0131</v>
      </c>
      <c r="D317" s="22" t="str">
        <f>HYPERLINK("#2180!EW3","冷凍・空調用冷却塔")</f>
        <v>冷凍・空調用冷却塔</v>
      </c>
    </row>
    <row r="318" spans="1:4" x14ac:dyDescent="0.4">
      <c r="A318" s="21">
        <f>HYPERLINK("#2190!A1 ",2190)</f>
        <v>2190</v>
      </c>
      <c r="B318" s="22" t="str">
        <f>HYPERLINK("#2190!A1 ","機械器具月報（その19）業務用サービス機器")</f>
        <v>機械器具月報（その19）業務用サービス機器</v>
      </c>
      <c r="C318" s="21" t="str">
        <f>HYPERLINK("#2190!C3","0101")</f>
        <v>0101</v>
      </c>
      <c r="D318" s="22" t="str">
        <f>HYPERLINK("#2190!C3","自動販売機")</f>
        <v>自動販売機</v>
      </c>
    </row>
    <row r="319" spans="1:4" x14ac:dyDescent="0.4">
      <c r="A319" s="21">
        <f>HYPERLINK("#2190!A1 ",2190)</f>
        <v>2190</v>
      </c>
      <c r="B319" s="22" t="str">
        <f>HYPERLINK("#2190!A1 ","機械器具月報（その19）業務用サービス機器")</f>
        <v>機械器具月報（その19）業務用サービス機器</v>
      </c>
      <c r="C319" s="21" t="str">
        <f>HYPERLINK("#2190!H3","0102")</f>
        <v>0102</v>
      </c>
      <c r="D319" s="22" t="str">
        <f>HYPERLINK("#2190!H3","自動改札機・自動入場機")</f>
        <v>自動改札機・自動入場機</v>
      </c>
    </row>
    <row r="320" spans="1:4" x14ac:dyDescent="0.4">
      <c r="A320" s="21">
        <f>HYPERLINK("#2190!A1 ",2190)</f>
        <v>2190</v>
      </c>
      <c r="B320" s="22" t="str">
        <f>HYPERLINK("#2190!A1 ","機械器具月報（その19）業務用サービス機器")</f>
        <v>機械器具月報（その19）業務用サービス機器</v>
      </c>
      <c r="C320" s="21" t="str">
        <f>HYPERLINK("#2190!M3","0103")</f>
        <v>0103</v>
      </c>
      <c r="D320" s="22" t="str">
        <f>HYPERLINK("#2190!M3","業務用洗濯機")</f>
        <v>業務用洗濯機</v>
      </c>
    </row>
    <row r="321" spans="1:4" x14ac:dyDescent="0.4">
      <c r="A321" s="21">
        <f>HYPERLINK("#2190!A1 ",2190)</f>
        <v>2190</v>
      </c>
      <c r="B321" s="22" t="str">
        <f>HYPERLINK("#2190!A1 ","機械器具月報（その19）業務用サービス機器")</f>
        <v>機械器具月報（その19）業務用サービス機器</v>
      </c>
      <c r="C321" s="21" t="str">
        <f>HYPERLINK("#2190!R3","0104")</f>
        <v>0104</v>
      </c>
      <c r="D321" s="22" t="str">
        <f>HYPERLINK("#2190!R3","自動車用洗浄機器")</f>
        <v>自動車用洗浄機器</v>
      </c>
    </row>
    <row r="322" spans="1:4" x14ac:dyDescent="0.4">
      <c r="A322" s="21">
        <f t="shared" ref="A322:A331" si="38">HYPERLINK("#2200!A1 ",2200)</f>
        <v>2200</v>
      </c>
      <c r="B322" s="22" t="str">
        <f t="shared" ref="B322:B331" si="39">HYPERLINK("#2200!A1 ","機械器具月報（その20）軸受、軸受メタル及びブッシュ")</f>
        <v>機械器具月報（その20）軸受、軸受メタル及びブッシュ</v>
      </c>
      <c r="C322" s="21" t="str">
        <f>HYPERLINK("#2200!C3","0101")</f>
        <v>0101</v>
      </c>
      <c r="D322" s="22" t="str">
        <f>HYPERLINK("#2200!C3","ラジアル玉軸受(軸受ユニット用を除く)")</f>
        <v>ラジアル玉軸受(軸受ユニット用を除く)</v>
      </c>
    </row>
    <row r="323" spans="1:4" x14ac:dyDescent="0.4">
      <c r="A323" s="21">
        <f t="shared" si="38"/>
        <v>2200</v>
      </c>
      <c r="B323" s="22" t="str">
        <f t="shared" si="39"/>
        <v>機械器具月報（その20）軸受、軸受メタル及びブッシュ</v>
      </c>
      <c r="C323" s="21" t="str">
        <f>HYPERLINK("#2200!I3","0102")</f>
        <v>0102</v>
      </c>
      <c r="D323" s="22" t="str">
        <f>HYPERLINK("#2200!I3","その他の玉軸受(軸受ユニット用を除く)")</f>
        <v>その他の玉軸受(軸受ユニット用を除く)</v>
      </c>
    </row>
    <row r="324" spans="1:4" x14ac:dyDescent="0.4">
      <c r="A324" s="21">
        <f t="shared" si="38"/>
        <v>2200</v>
      </c>
      <c r="B324" s="22" t="str">
        <f t="shared" si="39"/>
        <v>機械器具月報（その20）軸受、軸受メタル及びブッシュ</v>
      </c>
      <c r="C324" s="21" t="str">
        <f>HYPERLINK("#2200!O3","0103")</f>
        <v>0103</v>
      </c>
      <c r="D324" s="22" t="str">
        <f>HYPERLINK("#2200!O3","円筒ころ軸受(軸受ユニット用を除く)")</f>
        <v>円筒ころ軸受(軸受ユニット用を除く)</v>
      </c>
    </row>
    <row r="325" spans="1:4" x14ac:dyDescent="0.4">
      <c r="A325" s="21">
        <f t="shared" si="38"/>
        <v>2200</v>
      </c>
      <c r="B325" s="22" t="str">
        <f t="shared" si="39"/>
        <v>機械器具月報（その20）軸受、軸受メタル及びブッシュ</v>
      </c>
      <c r="C325" s="21" t="str">
        <f>HYPERLINK("#2200!U3","0104")</f>
        <v>0104</v>
      </c>
      <c r="D325" s="22" t="str">
        <f>HYPERLINK("#2200!U3","円錐ころ軸受(軸受ユニット用を除く)")</f>
        <v>円錐ころ軸受(軸受ユニット用を除く)</v>
      </c>
    </row>
    <row r="326" spans="1:4" x14ac:dyDescent="0.4">
      <c r="A326" s="21">
        <f t="shared" si="38"/>
        <v>2200</v>
      </c>
      <c r="B326" s="22" t="str">
        <f t="shared" si="39"/>
        <v>機械器具月報（その20）軸受、軸受メタル及びブッシュ</v>
      </c>
      <c r="C326" s="21" t="str">
        <f>HYPERLINK("#2200!AA3","0105")</f>
        <v>0105</v>
      </c>
      <c r="D326" s="22" t="str">
        <f>HYPERLINK("#2200!AA3","球面ころ軸受(軸受ユニット用を除く)")</f>
        <v>球面ころ軸受(軸受ユニット用を除く)</v>
      </c>
    </row>
    <row r="327" spans="1:4" x14ac:dyDescent="0.4">
      <c r="A327" s="21">
        <f t="shared" si="38"/>
        <v>2200</v>
      </c>
      <c r="B327" s="22" t="str">
        <f t="shared" si="39"/>
        <v>機械器具月報（その20）軸受、軸受メタル及びブッシュ</v>
      </c>
      <c r="C327" s="21" t="str">
        <f>HYPERLINK("#2200!AG3","0106")</f>
        <v>0106</v>
      </c>
      <c r="D327" s="22" t="str">
        <f>HYPERLINK("#2200!AG3","針状ころ軸受(軸受ユニット用を除く)")</f>
        <v>針状ころ軸受(軸受ユニット用を除く)</v>
      </c>
    </row>
    <row r="328" spans="1:4" x14ac:dyDescent="0.4">
      <c r="A328" s="21">
        <f t="shared" si="38"/>
        <v>2200</v>
      </c>
      <c r="B328" s="22" t="str">
        <f t="shared" si="39"/>
        <v>機械器具月報（その20）軸受、軸受メタル及びブッシュ</v>
      </c>
      <c r="C328" s="21" t="str">
        <f>HYPERLINK("#2200!AM3","0107")</f>
        <v>0107</v>
      </c>
      <c r="D328" s="22" t="str">
        <f>HYPERLINK("#2200!AM3","その他のころ軸受(軸受ユニット用を除く)")</f>
        <v>その他のころ軸受(軸受ユニット用を除く)</v>
      </c>
    </row>
    <row r="329" spans="1:4" x14ac:dyDescent="0.4">
      <c r="A329" s="21">
        <f t="shared" si="38"/>
        <v>2200</v>
      </c>
      <c r="B329" s="22" t="str">
        <f t="shared" si="39"/>
        <v>機械器具月報（その20）軸受、軸受メタル及びブッシュ</v>
      </c>
      <c r="C329" s="21" t="str">
        <f>HYPERLINK("#2200!AS3","0108")</f>
        <v>0108</v>
      </c>
      <c r="D329" s="22" t="str">
        <f>HYPERLINK("#2200!AS3","軸受ユニット")</f>
        <v>軸受ユニット</v>
      </c>
    </row>
    <row r="330" spans="1:4" x14ac:dyDescent="0.4">
      <c r="A330" s="21">
        <f t="shared" si="38"/>
        <v>2200</v>
      </c>
      <c r="B330" s="22" t="str">
        <f t="shared" si="39"/>
        <v>機械器具月報（その20）軸受、軸受メタル及びブッシュ</v>
      </c>
      <c r="C330" s="21" t="str">
        <f>HYPERLINK("#2200!AY3","0109")</f>
        <v>0109</v>
      </c>
      <c r="D330" s="22" t="str">
        <f>HYPERLINK("#2200!AY3","軸受メタル")</f>
        <v>軸受メタル</v>
      </c>
    </row>
    <row r="331" spans="1:4" x14ac:dyDescent="0.4">
      <c r="A331" s="21">
        <f t="shared" si="38"/>
        <v>2200</v>
      </c>
      <c r="B331" s="22" t="str">
        <f t="shared" si="39"/>
        <v>機械器具月報（その20）軸受、軸受メタル及びブッシュ</v>
      </c>
      <c r="C331" s="21" t="str">
        <f>HYPERLINK("#2200!BA3","0110")</f>
        <v>0110</v>
      </c>
      <c r="D331" s="22" t="str">
        <f>HYPERLINK("#2200!BA3","ブッシュ")</f>
        <v>ブッシュ</v>
      </c>
    </row>
    <row r="332" spans="1:4" x14ac:dyDescent="0.4">
      <c r="A332" s="21">
        <f t="shared" ref="A332:A340" si="40">HYPERLINK("#2210!A1 ",2210)</f>
        <v>2210</v>
      </c>
      <c r="B332" s="22" t="str">
        <f t="shared" ref="B332:B340" si="41">HYPERLINK("#2210!A1 ","鉄構物及び架線金物月報")</f>
        <v>鉄構物及び架線金物月報</v>
      </c>
      <c r="C332" s="21" t="str">
        <f>HYPERLINK("#2210!C3","0101")</f>
        <v>0101</v>
      </c>
      <c r="D332" s="22" t="str">
        <f>HYPERLINK("#2210!C3","鉄骨")</f>
        <v>鉄骨</v>
      </c>
    </row>
    <row r="333" spans="1:4" x14ac:dyDescent="0.4">
      <c r="A333" s="21">
        <f t="shared" si="40"/>
        <v>2210</v>
      </c>
      <c r="B333" s="22" t="str">
        <f t="shared" si="41"/>
        <v>鉄構物及び架線金物月報</v>
      </c>
      <c r="C333" s="21" t="str">
        <f>HYPERLINK("#2210!E3","0102")</f>
        <v>0102</v>
      </c>
      <c r="D333" s="22" t="str">
        <f>HYPERLINK("#2210!E3","軽量鉄骨")</f>
        <v>軽量鉄骨</v>
      </c>
    </row>
    <row r="334" spans="1:4" x14ac:dyDescent="0.4">
      <c r="A334" s="21">
        <f t="shared" si="40"/>
        <v>2210</v>
      </c>
      <c r="B334" s="22" t="str">
        <f t="shared" si="41"/>
        <v>鉄構物及び架線金物月報</v>
      </c>
      <c r="C334" s="21" t="str">
        <f>HYPERLINK("#2210!G3","0103")</f>
        <v>0103</v>
      </c>
      <c r="D334" s="22" t="str">
        <f>HYPERLINK("#2210!G3","橋りょう(陸橋・水路橋・海洋橋等)")</f>
        <v>橋りょう(陸橋・水路橋・海洋橋等)</v>
      </c>
    </row>
    <row r="335" spans="1:4" x14ac:dyDescent="0.4">
      <c r="A335" s="21">
        <f t="shared" si="40"/>
        <v>2210</v>
      </c>
      <c r="B335" s="22" t="str">
        <f t="shared" si="41"/>
        <v>鉄構物及び架線金物月報</v>
      </c>
      <c r="C335" s="21" t="str">
        <f>HYPERLINK("#2210!I3","0104")</f>
        <v>0104</v>
      </c>
      <c r="D335" s="22" t="str">
        <f>HYPERLINK("#2210!I3","鉄塔(送配電用・通信用・照明用・広告用等)")</f>
        <v>鉄塔(送配電用・通信用・照明用・広告用等)</v>
      </c>
    </row>
    <row r="336" spans="1:4" x14ac:dyDescent="0.4">
      <c r="A336" s="21">
        <f t="shared" si="40"/>
        <v>2210</v>
      </c>
      <c r="B336" s="22" t="str">
        <f t="shared" si="41"/>
        <v>鉄構物及び架線金物月報</v>
      </c>
      <c r="C336" s="21" t="str">
        <f>HYPERLINK("#2210!K3","0105")</f>
        <v>0105</v>
      </c>
      <c r="D336" s="22" t="str">
        <f>HYPERLINK("#2210!K3","水門(水門巻上機を含む)")</f>
        <v>水門(水門巻上機を含む)</v>
      </c>
    </row>
    <row r="337" spans="1:4" x14ac:dyDescent="0.4">
      <c r="A337" s="21">
        <f t="shared" si="40"/>
        <v>2210</v>
      </c>
      <c r="B337" s="22" t="str">
        <f t="shared" si="41"/>
        <v>鉄構物及び架線金物月報</v>
      </c>
      <c r="C337" s="21" t="str">
        <f>HYPERLINK("#2210!M3","0106")</f>
        <v>0106</v>
      </c>
      <c r="D337" s="22" t="str">
        <f>HYPERLINK("#2210!M3","鋼管(ベンディングロールで成型したものに限る)")</f>
        <v>鋼管(ベンディングロールで成型したものに限る)</v>
      </c>
    </row>
    <row r="338" spans="1:4" x14ac:dyDescent="0.4">
      <c r="A338" s="21">
        <f t="shared" si="40"/>
        <v>2210</v>
      </c>
      <c r="B338" s="22" t="str">
        <f t="shared" si="41"/>
        <v>鉄構物及び架線金物月報</v>
      </c>
      <c r="C338" s="21" t="str">
        <f>HYPERLINK("#2210!O3","0107")</f>
        <v>0107</v>
      </c>
      <c r="D338" s="22" t="str">
        <f>HYPERLINK("#2210!O3","架線金物(送変電用)")</f>
        <v>架線金物(送変電用)</v>
      </c>
    </row>
    <row r="339" spans="1:4" x14ac:dyDescent="0.4">
      <c r="A339" s="21">
        <f t="shared" si="40"/>
        <v>2210</v>
      </c>
      <c r="B339" s="22" t="str">
        <f t="shared" si="41"/>
        <v>鉄構物及び架線金物月報</v>
      </c>
      <c r="C339" s="21" t="str">
        <f>HYPERLINK("#2210!Q3","0108")</f>
        <v>0108</v>
      </c>
      <c r="D339" s="22" t="str">
        <f>HYPERLINK("#2210!Q3","架線金物(配電用)")</f>
        <v>架線金物(配電用)</v>
      </c>
    </row>
    <row r="340" spans="1:4" x14ac:dyDescent="0.4">
      <c r="A340" s="21">
        <f t="shared" si="40"/>
        <v>2210</v>
      </c>
      <c r="B340" s="22" t="str">
        <f t="shared" si="41"/>
        <v>鉄構物及び架線金物月報</v>
      </c>
      <c r="C340" s="21" t="str">
        <f>HYPERLINK("#2210!S3","0109")</f>
        <v>0109</v>
      </c>
      <c r="D340" s="22" t="str">
        <f>HYPERLINK("#2210!S3","架線金物(通信線路用・電車線用)")</f>
        <v>架線金物(通信線路用・電車線用)</v>
      </c>
    </row>
    <row r="341" spans="1:4" x14ac:dyDescent="0.4">
      <c r="A341" s="21">
        <f t="shared" ref="A341:A347" si="42">HYPERLINK("#2220!A1 ",2220)</f>
        <v>2220</v>
      </c>
      <c r="B341" s="22" t="str">
        <f t="shared" ref="B341:B347" si="43">HYPERLINK("#2220!A1 ","ばね月報")</f>
        <v>ばね月報</v>
      </c>
      <c r="C341" s="21" t="str">
        <f>HYPERLINK("#2220!C3","0101")</f>
        <v>0101</v>
      </c>
      <c r="D341" s="22" t="str">
        <f>HYPERLINK("#2220!C3","かさね板ばね")</f>
        <v>かさね板ばね</v>
      </c>
    </row>
    <row r="342" spans="1:4" x14ac:dyDescent="0.4">
      <c r="A342" s="21">
        <f t="shared" si="42"/>
        <v>2220</v>
      </c>
      <c r="B342" s="22" t="str">
        <f t="shared" si="43"/>
        <v>ばね月報</v>
      </c>
      <c r="C342" s="21" t="str">
        <f>HYPERLINK("#2220!H3","0102")</f>
        <v>0102</v>
      </c>
      <c r="D342" s="22" t="str">
        <f>HYPERLINK("#2220!H3","つるまきばね")</f>
        <v>つるまきばね</v>
      </c>
    </row>
    <row r="343" spans="1:4" x14ac:dyDescent="0.4">
      <c r="A343" s="21">
        <f t="shared" si="42"/>
        <v>2220</v>
      </c>
      <c r="B343" s="22" t="str">
        <f t="shared" si="43"/>
        <v>ばね月報</v>
      </c>
      <c r="C343" s="21" t="str">
        <f>HYPERLINK("#2220!M3","0103")</f>
        <v>0103</v>
      </c>
      <c r="D343" s="22" t="str">
        <f>HYPERLINK("#2220!M3","ねじり棒ばね")</f>
        <v>ねじり棒ばね</v>
      </c>
    </row>
    <row r="344" spans="1:4" x14ac:dyDescent="0.4">
      <c r="A344" s="21">
        <f t="shared" si="42"/>
        <v>2220</v>
      </c>
      <c r="B344" s="22" t="str">
        <f t="shared" si="43"/>
        <v>ばね月報</v>
      </c>
      <c r="C344" s="21" t="str">
        <f>HYPERLINK("#2220!R3","0104")</f>
        <v>0104</v>
      </c>
      <c r="D344" s="22" t="str">
        <f>HYPERLINK("#2220!R3","線ばね(自動車用)(シート用ばねを除く)")</f>
        <v>線ばね(自動車用)(シート用ばねを除く)</v>
      </c>
    </row>
    <row r="345" spans="1:4" x14ac:dyDescent="0.4">
      <c r="A345" s="21">
        <f t="shared" si="42"/>
        <v>2220</v>
      </c>
      <c r="B345" s="22" t="str">
        <f t="shared" si="43"/>
        <v>ばね月報</v>
      </c>
      <c r="C345" s="21" t="str">
        <f>HYPERLINK("#2220!W3","0105")</f>
        <v>0105</v>
      </c>
      <c r="D345" s="22" t="str">
        <f>HYPERLINK("#2220!W3","その他の線ばね(機械用・シート用ばねを含む)")</f>
        <v>その他の線ばね(機械用・シート用ばねを含む)</v>
      </c>
    </row>
    <row r="346" spans="1:4" x14ac:dyDescent="0.4">
      <c r="A346" s="21">
        <f t="shared" si="42"/>
        <v>2220</v>
      </c>
      <c r="B346" s="22" t="str">
        <f t="shared" si="43"/>
        <v>ばね月報</v>
      </c>
      <c r="C346" s="21" t="str">
        <f>HYPERLINK("#2220!AB3","0106")</f>
        <v>0106</v>
      </c>
      <c r="D346" s="22" t="str">
        <f>HYPERLINK("#2220!AB3","うす板ばね")</f>
        <v>うす板ばね</v>
      </c>
    </row>
    <row r="347" spans="1:4" x14ac:dyDescent="0.4">
      <c r="A347" s="21">
        <f t="shared" si="42"/>
        <v>2220</v>
      </c>
      <c r="B347" s="22" t="str">
        <f t="shared" si="43"/>
        <v>ばね月報</v>
      </c>
      <c r="C347" s="21" t="str">
        <f>HYPERLINK("#2220!AG3","0107")</f>
        <v>0107</v>
      </c>
      <c r="D347" s="22" t="str">
        <f>HYPERLINK("#2220!AG3","ばね座金")</f>
        <v>ばね座金</v>
      </c>
    </row>
    <row r="348" spans="1:4" x14ac:dyDescent="0.4">
      <c r="A348" s="21">
        <f t="shared" ref="A348:A355" si="44">HYPERLINK("#2230!A1 ",2230)</f>
        <v>2230</v>
      </c>
      <c r="B348" s="22" t="str">
        <f t="shared" ref="B348:B355" si="45">HYPERLINK("#2230!A1 ","機械器具月報（その23）金型")</f>
        <v>機械器具月報（その23）金型</v>
      </c>
      <c r="C348" s="21" t="str">
        <f>HYPERLINK("#2230!C3","0101")</f>
        <v>0101</v>
      </c>
      <c r="D348" s="22" t="str">
        <f>HYPERLINK("#2230!C3","プレス用金型")</f>
        <v>プレス用金型</v>
      </c>
    </row>
    <row r="349" spans="1:4" x14ac:dyDescent="0.4">
      <c r="A349" s="21">
        <f t="shared" si="44"/>
        <v>2230</v>
      </c>
      <c r="B349" s="22" t="str">
        <f t="shared" si="45"/>
        <v>機械器具月報（その23）金型</v>
      </c>
      <c r="C349" s="21" t="str">
        <f>HYPERLINK("#2230!F3","0102")</f>
        <v>0102</v>
      </c>
      <c r="D349" s="22" t="str">
        <f>HYPERLINK("#2230!F3","鍛造用金型")</f>
        <v>鍛造用金型</v>
      </c>
    </row>
    <row r="350" spans="1:4" x14ac:dyDescent="0.4">
      <c r="A350" s="21">
        <f t="shared" si="44"/>
        <v>2230</v>
      </c>
      <c r="B350" s="22" t="str">
        <f t="shared" si="45"/>
        <v>機械器具月報（その23）金型</v>
      </c>
      <c r="C350" s="21" t="str">
        <f>HYPERLINK("#2230!I3","0103")</f>
        <v>0103</v>
      </c>
      <c r="D350" s="22" t="str">
        <f>HYPERLINK("#2230!I3","鋳造用金型")</f>
        <v>鋳造用金型</v>
      </c>
    </row>
    <row r="351" spans="1:4" x14ac:dyDescent="0.4">
      <c r="A351" s="21">
        <f t="shared" si="44"/>
        <v>2230</v>
      </c>
      <c r="B351" s="22" t="str">
        <f t="shared" si="45"/>
        <v>機械器具月報（その23）金型</v>
      </c>
      <c r="C351" s="21" t="str">
        <f>HYPERLINK("#2230!L3","0104")</f>
        <v>0104</v>
      </c>
      <c r="D351" s="22" t="str">
        <f>HYPERLINK("#2230!L3","ダイカスト用金型")</f>
        <v>ダイカスト用金型</v>
      </c>
    </row>
    <row r="352" spans="1:4" x14ac:dyDescent="0.4">
      <c r="A352" s="21">
        <f t="shared" si="44"/>
        <v>2230</v>
      </c>
      <c r="B352" s="22" t="str">
        <f t="shared" si="45"/>
        <v>機械器具月報（その23）金型</v>
      </c>
      <c r="C352" s="21" t="str">
        <f>HYPERLINK("#2230!O3","0105")</f>
        <v>0105</v>
      </c>
      <c r="D352" s="22" t="str">
        <f>HYPERLINK("#2230!O3","プラスチック用金型")</f>
        <v>プラスチック用金型</v>
      </c>
    </row>
    <row r="353" spans="1:4" x14ac:dyDescent="0.4">
      <c r="A353" s="21">
        <f t="shared" si="44"/>
        <v>2230</v>
      </c>
      <c r="B353" s="22" t="str">
        <f t="shared" si="45"/>
        <v>機械器具月報（その23）金型</v>
      </c>
      <c r="C353" s="21" t="str">
        <f>HYPERLINK("#2230!R3","0106")</f>
        <v>0106</v>
      </c>
      <c r="D353" s="22" t="str">
        <f>HYPERLINK("#2230!R3","ガラス用金型")</f>
        <v>ガラス用金型</v>
      </c>
    </row>
    <row r="354" spans="1:4" x14ac:dyDescent="0.4">
      <c r="A354" s="21">
        <f t="shared" si="44"/>
        <v>2230</v>
      </c>
      <c r="B354" s="22" t="str">
        <f t="shared" si="45"/>
        <v>機械器具月報（その23）金型</v>
      </c>
      <c r="C354" s="21" t="str">
        <f>HYPERLINK("#2230!U3","0107")</f>
        <v>0107</v>
      </c>
      <c r="D354" s="22" t="str">
        <f>HYPERLINK("#2230!U3","ゴム用金型")</f>
        <v>ゴム用金型</v>
      </c>
    </row>
    <row r="355" spans="1:4" x14ac:dyDescent="0.4">
      <c r="A355" s="21">
        <f t="shared" si="44"/>
        <v>2230</v>
      </c>
      <c r="B355" s="22" t="str">
        <f t="shared" si="45"/>
        <v>機械器具月報（その23）金型</v>
      </c>
      <c r="C355" s="21" t="str">
        <f>HYPERLINK("#2230!X3","0108")</f>
        <v>0108</v>
      </c>
      <c r="D355" s="22" t="str">
        <f>HYPERLINK("#2230!X3","粉末や金用金型")</f>
        <v>粉末や金用金型</v>
      </c>
    </row>
    <row r="356" spans="1:4" x14ac:dyDescent="0.4">
      <c r="A356" s="21">
        <f t="shared" ref="A356:A375" si="46">HYPERLINK("#2240!A1 ",2240)</f>
        <v>2240</v>
      </c>
      <c r="B356" s="22" t="str">
        <f t="shared" ref="B356:B375" si="47">HYPERLINK("#2240!A1 ","機械器具月報（その24）機械工具")</f>
        <v>機械器具月報（その24）機械工具</v>
      </c>
      <c r="C356" s="21" t="str">
        <f>HYPERLINK("#2240!C3","0101")</f>
        <v>0101</v>
      </c>
      <c r="D356" s="22" t="str">
        <f>HYPERLINK("#2240!C3","ドリル(木工用を除く)(工具の材質は特殊鋼に限る)")</f>
        <v>ドリル(木工用を除く)(工具の材質は特殊鋼に限る)</v>
      </c>
    </row>
    <row r="357" spans="1:4" x14ac:dyDescent="0.4">
      <c r="A357" s="21">
        <f t="shared" si="46"/>
        <v>2240</v>
      </c>
      <c r="B357" s="22" t="str">
        <f t="shared" si="47"/>
        <v>機械器具月報（その24）機械工具</v>
      </c>
      <c r="C357" s="21" t="str">
        <f>HYPERLINK("#2240!H3","0102")</f>
        <v>0102</v>
      </c>
      <c r="D357" s="22" t="str">
        <f>HYPERLINK("#2240!H3","ミーリングカッタ(工具の材質は特殊鋼に限る)")</f>
        <v>ミーリングカッタ(工具の材質は特殊鋼に限る)</v>
      </c>
    </row>
    <row r="358" spans="1:4" x14ac:dyDescent="0.4">
      <c r="A358" s="21">
        <f t="shared" si="46"/>
        <v>2240</v>
      </c>
      <c r="B358" s="22" t="str">
        <f t="shared" si="47"/>
        <v>機械器具月報（その24）機械工具</v>
      </c>
      <c r="C358" s="21" t="str">
        <f>HYPERLINK("#2240!M3","0103")</f>
        <v>0103</v>
      </c>
      <c r="D358" s="22" t="str">
        <f>HYPERLINK("#2240!M3","ギヤーカッタ(ねじフライスを含む)(工具の材質は特殊鋼に限る)")</f>
        <v>ギヤーカッタ(ねじフライスを含む)(工具の材質は特殊鋼に限る)</v>
      </c>
    </row>
    <row r="359" spans="1:4" x14ac:dyDescent="0.4">
      <c r="A359" s="21">
        <f t="shared" si="46"/>
        <v>2240</v>
      </c>
      <c r="B359" s="22" t="str">
        <f t="shared" si="47"/>
        <v>機械器具月報（その24）機械工具</v>
      </c>
      <c r="C359" s="21" t="str">
        <f>HYPERLINK("#2240!R3","0104")</f>
        <v>0104</v>
      </c>
      <c r="D359" s="22" t="str">
        <f>HYPERLINK("#2240!R3","ブローチ(工具の材質は特殊鋼に限る)")</f>
        <v>ブローチ(工具の材質は特殊鋼に限る)</v>
      </c>
    </row>
    <row r="360" spans="1:4" x14ac:dyDescent="0.4">
      <c r="A360" s="21">
        <f t="shared" si="46"/>
        <v>2240</v>
      </c>
      <c r="B360" s="22" t="str">
        <f t="shared" si="47"/>
        <v>機械器具月報（その24）機械工具</v>
      </c>
      <c r="C360" s="21" t="str">
        <f>HYPERLINK("#2240!W3","0105")</f>
        <v>0105</v>
      </c>
      <c r="D360" s="22" t="str">
        <f>HYPERLINK("#2240!W3","タップ・ダイス(工具の材質は特殊鋼に限る)")</f>
        <v>タップ・ダイス(工具の材質は特殊鋼に限る)</v>
      </c>
    </row>
    <row r="361" spans="1:4" x14ac:dyDescent="0.4">
      <c r="A361" s="21">
        <f t="shared" si="46"/>
        <v>2240</v>
      </c>
      <c r="B361" s="22" t="str">
        <f t="shared" si="47"/>
        <v>機械器具月報（その24）機械工具</v>
      </c>
      <c r="C361" s="21" t="str">
        <f>HYPERLINK("#2240!AB3","0106")</f>
        <v>0106</v>
      </c>
      <c r="D361" s="22" t="str">
        <f>HYPERLINK("#2240!AB3","リーマ・バイト(工具の材質は特殊鋼に限る)")</f>
        <v>リーマ・バイト(工具の材質は特殊鋼に限る)</v>
      </c>
    </row>
    <row r="362" spans="1:4" x14ac:dyDescent="0.4">
      <c r="A362" s="21">
        <f t="shared" si="46"/>
        <v>2240</v>
      </c>
      <c r="B362" s="22" t="str">
        <f t="shared" si="47"/>
        <v>機械器具月報（その24）機械工具</v>
      </c>
      <c r="C362" s="21" t="str">
        <f>HYPERLINK("#2240!AG3","0107")</f>
        <v>0107</v>
      </c>
      <c r="D362" s="22" t="str">
        <f>HYPERLINK("#2240!AG3","ダイヤモンドドレッサ")</f>
        <v>ダイヤモンドドレッサ</v>
      </c>
    </row>
    <row r="363" spans="1:4" x14ac:dyDescent="0.4">
      <c r="A363" s="21">
        <f t="shared" si="46"/>
        <v>2240</v>
      </c>
      <c r="B363" s="22" t="str">
        <f t="shared" si="47"/>
        <v>機械器具月報（その24）機械工具</v>
      </c>
      <c r="C363" s="21" t="str">
        <f>HYPERLINK("#2240!AL3","0108")</f>
        <v>0108</v>
      </c>
      <c r="D363" s="22" t="str">
        <f>HYPERLINK("#2240!AL3","グライディングホイール(天然または人造ダイヤモンドを使用したもの)")</f>
        <v>グライディングホイール(天然または人造ダイヤモンドを使用したもの)</v>
      </c>
    </row>
    <row r="364" spans="1:4" x14ac:dyDescent="0.4">
      <c r="A364" s="21">
        <f t="shared" si="46"/>
        <v>2240</v>
      </c>
      <c r="B364" s="22" t="str">
        <f t="shared" si="47"/>
        <v>機械器具月報（その24）機械工具</v>
      </c>
      <c r="C364" s="21" t="str">
        <f>HYPERLINK("#2240!AQ3","0109")</f>
        <v>0109</v>
      </c>
      <c r="D364" s="22" t="str">
        <f>HYPERLINK("#2240!AQ3","カッティングソー(天然または人造ダイヤモンドを使用したもの)")</f>
        <v>カッティングソー(天然または人造ダイヤモンドを使用したもの)</v>
      </c>
    </row>
    <row r="365" spans="1:4" x14ac:dyDescent="0.4">
      <c r="A365" s="21">
        <f t="shared" si="46"/>
        <v>2240</v>
      </c>
      <c r="B365" s="22" t="str">
        <f t="shared" si="47"/>
        <v>機械器具月報（その24）機械工具</v>
      </c>
      <c r="C365" s="21" t="str">
        <f>HYPERLINK("#2240!AV3","0110")</f>
        <v>0110</v>
      </c>
      <c r="D365" s="22" t="str">
        <f>HYPERLINK("#2240!AV3","セグメント工具(天然または人造ダイヤモンドを使用したもの)")</f>
        <v>セグメント工具(天然または人造ダイヤモンドを使用したもの)</v>
      </c>
    </row>
    <row r="366" spans="1:4" x14ac:dyDescent="0.4">
      <c r="A366" s="21">
        <f t="shared" si="46"/>
        <v>2240</v>
      </c>
      <c r="B366" s="22" t="str">
        <f t="shared" si="47"/>
        <v>機械器具月報（その24）機械工具</v>
      </c>
      <c r="C366" s="21" t="str">
        <f>HYPERLINK("#2240!BA3","0111")</f>
        <v>0111</v>
      </c>
      <c r="D366" s="22" t="str">
        <f>HYPERLINK("#2240!BA3","ダイヤモンド切削工具")</f>
        <v>ダイヤモンド切削工具</v>
      </c>
    </row>
    <row r="367" spans="1:4" x14ac:dyDescent="0.4">
      <c r="A367" s="21">
        <f t="shared" si="46"/>
        <v>2240</v>
      </c>
      <c r="B367" s="22" t="str">
        <f t="shared" si="47"/>
        <v>機械器具月報（その24）機械工具</v>
      </c>
      <c r="C367" s="21" t="str">
        <f>HYPERLINK("#2240!BF3","0112")</f>
        <v>0112</v>
      </c>
      <c r="D367" s="22" t="str">
        <f>HYPERLINK("#2240!BF3","その他のダイヤモンド工具")</f>
        <v>その他のダイヤモンド工具</v>
      </c>
    </row>
    <row r="368" spans="1:4" x14ac:dyDescent="0.4">
      <c r="A368" s="21">
        <f t="shared" si="46"/>
        <v>2240</v>
      </c>
      <c r="B368" s="22" t="str">
        <f t="shared" si="47"/>
        <v>機械器具月報（その24）機械工具</v>
      </c>
      <c r="C368" s="21" t="str">
        <f>HYPERLINK("#2240!BK3","0113")</f>
        <v>0113</v>
      </c>
      <c r="D368" s="22" t="str">
        <f>HYPERLINK("#2240!BK3","Ｃ(Ｗ)ＢＮ工具")</f>
        <v>Ｃ(Ｗ)ＢＮ工具</v>
      </c>
    </row>
    <row r="369" spans="1:4" x14ac:dyDescent="0.4">
      <c r="A369" s="21">
        <f t="shared" si="46"/>
        <v>2240</v>
      </c>
      <c r="B369" s="22" t="str">
        <f t="shared" si="47"/>
        <v>機械器具月報（その24）機械工具</v>
      </c>
      <c r="C369" s="21" t="str">
        <f>HYPERLINK("#2240!BP3","0114")</f>
        <v>0114</v>
      </c>
      <c r="D369" s="22" t="str">
        <f>HYPERLINK("#2240!BP3","超硬バイト(自家使用を除く)")</f>
        <v>超硬バイト(自家使用を除く)</v>
      </c>
    </row>
    <row r="370" spans="1:4" x14ac:dyDescent="0.4">
      <c r="A370" s="21">
        <f t="shared" si="46"/>
        <v>2240</v>
      </c>
      <c r="B370" s="22" t="str">
        <f t="shared" si="47"/>
        <v>機械器具月報（その24）機械工具</v>
      </c>
      <c r="C370" s="21" t="str">
        <f>HYPERLINK("#2240!BU3","0115")</f>
        <v>0115</v>
      </c>
      <c r="D370" s="22" t="str">
        <f>HYPERLINK("#2240!BU3","超硬カッタ(自家使用を除く)")</f>
        <v>超硬カッタ(自家使用を除く)</v>
      </c>
    </row>
    <row r="371" spans="1:4" x14ac:dyDescent="0.4">
      <c r="A371" s="21">
        <f t="shared" si="46"/>
        <v>2240</v>
      </c>
      <c r="B371" s="22" t="str">
        <f t="shared" si="47"/>
        <v>機械器具月報（その24）機械工具</v>
      </c>
      <c r="C371" s="21" t="str">
        <f>HYPERLINK("#2240!BZ3","0116")</f>
        <v>0116</v>
      </c>
      <c r="D371" s="22" t="str">
        <f>HYPERLINK("#2240!BZ3","超硬ドリル(自家使用を除く)")</f>
        <v>超硬ドリル(自家使用を除く)</v>
      </c>
    </row>
    <row r="372" spans="1:4" x14ac:dyDescent="0.4">
      <c r="A372" s="21">
        <f t="shared" si="46"/>
        <v>2240</v>
      </c>
      <c r="B372" s="22" t="str">
        <f t="shared" si="47"/>
        <v>機械器具月報（その24）機械工具</v>
      </c>
      <c r="C372" s="21" t="str">
        <f>HYPERLINK("#2240!CE3","0117")</f>
        <v>0117</v>
      </c>
      <c r="D372" s="22" t="str">
        <f>HYPERLINK("#2240!CE3","超硬エンドミル(自家使用を除く)")</f>
        <v>超硬エンドミル(自家使用を除く)</v>
      </c>
    </row>
    <row r="373" spans="1:4" x14ac:dyDescent="0.4">
      <c r="A373" s="21">
        <f t="shared" si="46"/>
        <v>2240</v>
      </c>
      <c r="B373" s="22" t="str">
        <f t="shared" si="47"/>
        <v>機械器具月報（その24）機械工具</v>
      </c>
      <c r="C373" s="21" t="str">
        <f>HYPERLINK("#2240!CJ3","0118")</f>
        <v>0118</v>
      </c>
      <c r="D373" s="22" t="str">
        <f>HYPERLINK("#2240!CJ3","その他の超硬工具(自家使用を除く)")</f>
        <v>その他の超硬工具(自家使用を除く)</v>
      </c>
    </row>
    <row r="374" spans="1:4" x14ac:dyDescent="0.4">
      <c r="A374" s="21">
        <f t="shared" si="46"/>
        <v>2240</v>
      </c>
      <c r="B374" s="22" t="str">
        <f t="shared" si="47"/>
        <v>機械器具月報（その24）機械工具</v>
      </c>
      <c r="C374" s="21" t="str">
        <f>HYPERLINK("#2240!CO3","0121")</f>
        <v>0121</v>
      </c>
      <c r="D374" s="22" t="str">
        <f>HYPERLINK("#2240!CO3","超硬チップ(ボールペン用及びスパイク用を除く)")</f>
        <v>超硬チップ(ボールペン用及びスパイク用を除く)</v>
      </c>
    </row>
    <row r="375" spans="1:4" x14ac:dyDescent="0.4">
      <c r="A375" s="21">
        <f t="shared" si="46"/>
        <v>2240</v>
      </c>
      <c r="B375" s="22" t="str">
        <f t="shared" si="47"/>
        <v>機械器具月報（その24）機械工具</v>
      </c>
      <c r="C375" s="21" t="str">
        <f>HYPERLINK("#2240!CV3","0122")</f>
        <v>0122</v>
      </c>
      <c r="D375" s="22" t="str">
        <f>HYPERLINK("#2240!CV3","超硬サーメットチップ(ボールペン用及びスパイク用を除く)")</f>
        <v>超硬サーメットチップ(ボールペン用及びスパイク用を除く)</v>
      </c>
    </row>
    <row r="376" spans="1:4" x14ac:dyDescent="0.4">
      <c r="A376" s="21">
        <f t="shared" ref="A376:A389" si="48">HYPERLINK("#2250!A1 ",2250)</f>
        <v>2250</v>
      </c>
      <c r="B376" s="22" t="str">
        <f t="shared" ref="B376:B389" si="49">HYPERLINK("#2250!A1 ","弁及び管継手月報")</f>
        <v>弁及び管継手月報</v>
      </c>
      <c r="C376" s="21" t="str">
        <f>HYPERLINK("#2250!C3","0101")</f>
        <v>0101</v>
      </c>
      <c r="D376" s="22" t="str">
        <f>HYPERLINK("#2250!C3","バルブ及びコック(一般用)(ステンレス鋼製のもの)(自動調整弁・高温高圧弁を除く)")</f>
        <v>バルブ及びコック(一般用)(ステンレス鋼製のもの)(自動調整弁・高温高圧弁を除く)</v>
      </c>
    </row>
    <row r="377" spans="1:4" x14ac:dyDescent="0.4">
      <c r="A377" s="21">
        <f t="shared" si="48"/>
        <v>2250</v>
      </c>
      <c r="B377" s="22" t="str">
        <f t="shared" si="49"/>
        <v>弁及び管継手月報</v>
      </c>
      <c r="C377" s="21" t="str">
        <f>HYPERLINK("#2250!F3","0102")</f>
        <v>0102</v>
      </c>
      <c r="D377" s="22" t="str">
        <f>HYPERLINK("#2250!F3","バルブ及びコック(一般用)(鋳鋼・鍛鋼製のもの)(自動調整弁・高温高圧弁を除く)")</f>
        <v>バルブ及びコック(一般用)(鋳鋼・鍛鋼製のもの)(自動調整弁・高温高圧弁を除く)</v>
      </c>
    </row>
    <row r="378" spans="1:4" x14ac:dyDescent="0.4">
      <c r="A378" s="21">
        <f t="shared" si="48"/>
        <v>2250</v>
      </c>
      <c r="B378" s="22" t="str">
        <f t="shared" si="49"/>
        <v>弁及び管継手月報</v>
      </c>
      <c r="C378" s="21" t="str">
        <f>HYPERLINK("#2250!I3","0103")</f>
        <v>0103</v>
      </c>
      <c r="D378" s="22" t="str">
        <f>HYPERLINK("#2250!I3","バルブ及びコック(一般用)(鋳鉄製のもの)(自動調整弁を除く)")</f>
        <v>バルブ及びコック(一般用)(鋳鉄製のもの)(自動調整弁を除く)</v>
      </c>
    </row>
    <row r="379" spans="1:4" x14ac:dyDescent="0.4">
      <c r="A379" s="21">
        <f t="shared" si="48"/>
        <v>2250</v>
      </c>
      <c r="B379" s="22" t="str">
        <f t="shared" si="49"/>
        <v>弁及び管継手月報</v>
      </c>
      <c r="C379" s="21" t="str">
        <f>HYPERLINK("#2250!L3","0104")</f>
        <v>0104</v>
      </c>
      <c r="D379" s="22" t="str">
        <f>HYPERLINK("#2250!L3","バルブ及びコック(一般用)(青銅・黄銅製のもの)(自動調整弁を除く)")</f>
        <v>バルブ及びコック(一般用)(青銅・黄銅製のもの)(自動調整弁を除く)</v>
      </c>
    </row>
    <row r="380" spans="1:4" x14ac:dyDescent="0.4">
      <c r="A380" s="21">
        <f t="shared" si="48"/>
        <v>2250</v>
      </c>
      <c r="B380" s="22" t="str">
        <f t="shared" si="49"/>
        <v>弁及び管継手月報</v>
      </c>
      <c r="C380" s="21" t="str">
        <f>HYPERLINK("#2250!O3","0105")</f>
        <v>0105</v>
      </c>
      <c r="D380" s="22" t="str">
        <f>HYPERLINK("#2250!O3","高温高圧弁(自動調整弁を除き圧力6.5ＭＰａ以上で温度350℃以上のものに限る)")</f>
        <v>高温高圧弁(自動調整弁を除き圧力6.5ＭＰａ以上で温度350℃以上のものに限る)</v>
      </c>
    </row>
    <row r="381" spans="1:4" x14ac:dyDescent="0.4">
      <c r="A381" s="21">
        <f t="shared" si="48"/>
        <v>2250</v>
      </c>
      <c r="B381" s="22" t="str">
        <f t="shared" si="49"/>
        <v>弁及び管継手月報</v>
      </c>
      <c r="C381" s="21" t="str">
        <f>HYPERLINK("#2250!R3","0106")</f>
        <v>0106</v>
      </c>
      <c r="D381" s="22" t="str">
        <f>HYPERLINK("#2250!R3","自動調整弁(自力式)(安全弁・スチームトラップ)")</f>
        <v>自動調整弁(自力式)(安全弁・スチームトラップ)</v>
      </c>
    </row>
    <row r="382" spans="1:4" x14ac:dyDescent="0.4">
      <c r="A382" s="21">
        <f t="shared" si="48"/>
        <v>2250</v>
      </c>
      <c r="B382" s="22" t="str">
        <f t="shared" si="49"/>
        <v>弁及び管継手月報</v>
      </c>
      <c r="C382" s="21" t="str">
        <f>HYPERLINK("#2250!U3","0107")</f>
        <v>0107</v>
      </c>
      <c r="D382" s="22" t="str">
        <f>HYPERLINK("#2250!U3","自動調整弁(その他の自力式)")</f>
        <v>自動調整弁(その他の自力式)</v>
      </c>
    </row>
    <row r="383" spans="1:4" x14ac:dyDescent="0.4">
      <c r="A383" s="21">
        <f t="shared" si="48"/>
        <v>2250</v>
      </c>
      <c r="B383" s="22" t="str">
        <f t="shared" si="49"/>
        <v>弁及び管継手月報</v>
      </c>
      <c r="C383" s="21" t="str">
        <f>HYPERLINK("#2250!X3","0108")</f>
        <v>0108</v>
      </c>
      <c r="D383" s="22" t="str">
        <f>HYPERLINK("#2250!X3","自動調整弁(他力式)(電磁弁)")</f>
        <v>自動調整弁(他力式)(電磁弁)</v>
      </c>
    </row>
    <row r="384" spans="1:4" x14ac:dyDescent="0.4">
      <c r="A384" s="21">
        <f t="shared" si="48"/>
        <v>2250</v>
      </c>
      <c r="B384" s="22" t="str">
        <f t="shared" si="49"/>
        <v>弁及び管継手月報</v>
      </c>
      <c r="C384" s="21" t="str">
        <f>HYPERLINK("#2250!AA3","0109")</f>
        <v>0109</v>
      </c>
      <c r="D384" s="22" t="str">
        <f>HYPERLINK("#2250!AA3","自動調整弁(その他の他力式)")</f>
        <v>自動調整弁(その他の他力式)</v>
      </c>
    </row>
    <row r="385" spans="1:4" x14ac:dyDescent="0.4">
      <c r="A385" s="21">
        <f t="shared" si="48"/>
        <v>2250</v>
      </c>
      <c r="B385" s="22" t="str">
        <f t="shared" si="49"/>
        <v>弁及び管継手月報</v>
      </c>
      <c r="C385" s="21" t="str">
        <f>HYPERLINK("#2250!AD3","0110")</f>
        <v>0110</v>
      </c>
      <c r="D385" s="22" t="str">
        <f>HYPERLINK("#2250!AD3","給水栓(便器洗浄弁・ボールタップ・排水用トラップを含む)")</f>
        <v>給水栓(便器洗浄弁・ボールタップ・排水用トラップを含む)</v>
      </c>
    </row>
    <row r="386" spans="1:4" x14ac:dyDescent="0.4">
      <c r="A386" s="21">
        <f t="shared" si="48"/>
        <v>2250</v>
      </c>
      <c r="B386" s="22" t="str">
        <f t="shared" si="49"/>
        <v>弁及び管継手月報</v>
      </c>
      <c r="C386" s="21" t="str">
        <f>HYPERLINK("#2250!AG3","0111")</f>
        <v>0111</v>
      </c>
      <c r="D386" s="22" t="str">
        <f>HYPERLINK("#2250!AG3","止水栓・分水栓")</f>
        <v>止水栓・分水栓</v>
      </c>
    </row>
    <row r="387" spans="1:4" x14ac:dyDescent="0.4">
      <c r="A387" s="21">
        <f t="shared" si="48"/>
        <v>2250</v>
      </c>
      <c r="B387" s="22" t="str">
        <f t="shared" si="49"/>
        <v>弁及び管継手月報</v>
      </c>
      <c r="C387" s="21" t="str">
        <f>HYPERLINK("#2250!AJ3","0112")</f>
        <v>0112</v>
      </c>
      <c r="D387" s="22" t="str">
        <f>HYPERLINK("#2250!AJ3","管継手(可鍛鋳鉄製のもの)(フランジ形を含む)")</f>
        <v>管継手(可鍛鋳鉄製のもの)(フランジ形を含む)</v>
      </c>
    </row>
    <row r="388" spans="1:4" x14ac:dyDescent="0.4">
      <c r="A388" s="21">
        <f t="shared" si="48"/>
        <v>2250</v>
      </c>
      <c r="B388" s="22" t="str">
        <f t="shared" si="49"/>
        <v>弁及び管継手月報</v>
      </c>
      <c r="C388" s="21" t="str">
        <f>HYPERLINK("#2250!AM3","0113")</f>
        <v>0113</v>
      </c>
      <c r="D388" s="22" t="str">
        <f>HYPERLINK("#2250!AM3","管継手(鋼管製のもの)(フランジ形を含む)")</f>
        <v>管継手(鋼管製のもの)(フランジ形を含む)</v>
      </c>
    </row>
    <row r="389" spans="1:4" x14ac:dyDescent="0.4">
      <c r="A389" s="21">
        <f t="shared" si="48"/>
        <v>2250</v>
      </c>
      <c r="B389" s="22" t="str">
        <f t="shared" si="49"/>
        <v>弁及び管継手月報</v>
      </c>
      <c r="C389" s="21" t="str">
        <f>HYPERLINK("#2250!AP3","0114")</f>
        <v>0114</v>
      </c>
      <c r="D389" s="22" t="str">
        <f>HYPERLINK("#2250!AP3","管継手(非鉄金属製のもの)(フランジ形を含む)")</f>
        <v>管継手(非鉄金属製のもの)(フランジ形を含む)</v>
      </c>
    </row>
    <row r="390" spans="1:4" x14ac:dyDescent="0.4">
      <c r="A390" s="21">
        <f t="shared" ref="A390:A398" si="50">HYPERLINK("#2260!A1 ",2260)</f>
        <v>2260</v>
      </c>
      <c r="B390" s="22" t="str">
        <f t="shared" ref="B390:B398" si="51">HYPERLINK("#2260!A1 ","空気動工具､作業工具､のこ刃及び機械刃物月報")</f>
        <v>空気動工具､作業工具､のこ刃及び機械刃物月報</v>
      </c>
      <c r="C390" s="21" t="str">
        <f>HYPERLINK("#2260!C3","0101")</f>
        <v>0101</v>
      </c>
      <c r="D390" s="22" t="str">
        <f>HYPERLINK("#2260!C3","空気動工具")</f>
        <v>空気動工具</v>
      </c>
    </row>
    <row r="391" spans="1:4" x14ac:dyDescent="0.4">
      <c r="A391" s="21">
        <f t="shared" si="50"/>
        <v>2260</v>
      </c>
      <c r="B391" s="22" t="str">
        <f t="shared" si="51"/>
        <v>空気動工具､作業工具､のこ刃及び機械刃物月報</v>
      </c>
      <c r="C391" s="21" t="str">
        <f>HYPERLINK("#2260!H3","0102")</f>
        <v>0102</v>
      </c>
      <c r="D391" s="22" t="str">
        <f>HYPERLINK("#2260!H3","レンチ・スパナ")</f>
        <v>レンチ・スパナ</v>
      </c>
    </row>
    <row r="392" spans="1:4" x14ac:dyDescent="0.4">
      <c r="A392" s="21">
        <f t="shared" si="50"/>
        <v>2260</v>
      </c>
      <c r="B392" s="22" t="str">
        <f t="shared" si="51"/>
        <v>空気動工具､作業工具､のこ刃及び機械刃物月報</v>
      </c>
      <c r="C392" s="21" t="str">
        <f>HYPERLINK("#2260!M3","0103")</f>
        <v>0103</v>
      </c>
      <c r="D392" s="22" t="str">
        <f>HYPERLINK("#2260!M3","プライヤ・ペンチ(ニッパー等を含む)")</f>
        <v>プライヤ・ペンチ(ニッパー等を含む)</v>
      </c>
    </row>
    <row r="393" spans="1:4" x14ac:dyDescent="0.4">
      <c r="A393" s="21">
        <f t="shared" si="50"/>
        <v>2260</v>
      </c>
      <c r="B393" s="22" t="str">
        <f t="shared" si="51"/>
        <v>空気動工具､作業工具､のこ刃及び機械刃物月報</v>
      </c>
      <c r="C393" s="21" t="str">
        <f>HYPERLINK("#2260!R3","0104")</f>
        <v>0104</v>
      </c>
      <c r="D393" s="22" t="str">
        <f>HYPERLINK("#2260!R3","ドライバ(硬鋼線使用のものに限る)")</f>
        <v>ドライバ(硬鋼線使用のものに限る)</v>
      </c>
    </row>
    <row r="394" spans="1:4" x14ac:dyDescent="0.4">
      <c r="A394" s="21">
        <f t="shared" si="50"/>
        <v>2260</v>
      </c>
      <c r="B394" s="22" t="str">
        <f t="shared" si="51"/>
        <v>空気動工具､作業工具､のこ刃及び機械刃物月報</v>
      </c>
      <c r="C394" s="21" t="str">
        <f>HYPERLINK("#2260!W3","0105")</f>
        <v>0105</v>
      </c>
      <c r="D394" s="22" t="str">
        <f>HYPERLINK("#2260!W3","その他の作業工具")</f>
        <v>その他の作業工具</v>
      </c>
    </row>
    <row r="395" spans="1:4" x14ac:dyDescent="0.4">
      <c r="A395" s="21">
        <f t="shared" si="50"/>
        <v>2260</v>
      </c>
      <c r="B395" s="22" t="str">
        <f t="shared" si="51"/>
        <v>空気動工具､作業工具､のこ刃及び機械刃物月報</v>
      </c>
      <c r="C395" s="21" t="str">
        <f>HYPERLINK("#2260!AB3","0106")</f>
        <v>0106</v>
      </c>
      <c r="D395" s="22" t="str">
        <f>HYPERLINK("#2260!AB3","のこ刃")</f>
        <v>のこ刃</v>
      </c>
    </row>
    <row r="396" spans="1:4" x14ac:dyDescent="0.4">
      <c r="A396" s="21">
        <f t="shared" si="50"/>
        <v>2260</v>
      </c>
      <c r="B396" s="22" t="str">
        <f t="shared" si="51"/>
        <v>空気動工具､作業工具､のこ刃及び機械刃物月報</v>
      </c>
      <c r="C396" s="21" t="str">
        <f>HYPERLINK("#2260!AG3","0107")</f>
        <v>0107</v>
      </c>
      <c r="D396" s="22" t="str">
        <f>HYPERLINK("#2260!AG3","鋼板せん断用刃物(シャーブレード)")</f>
        <v>鋼板せん断用刃物(シャーブレード)</v>
      </c>
    </row>
    <row r="397" spans="1:4" x14ac:dyDescent="0.4">
      <c r="A397" s="21">
        <f t="shared" si="50"/>
        <v>2260</v>
      </c>
      <c r="B397" s="22" t="str">
        <f t="shared" si="51"/>
        <v>空気動工具､作業工具､のこ刃及び機械刃物月報</v>
      </c>
      <c r="C397" s="21" t="str">
        <f>HYPERLINK("#2260!AL3","0108")</f>
        <v>0108</v>
      </c>
      <c r="D397" s="22" t="str">
        <f>HYPERLINK("#2260!AL3","合板機械用・木工機械用刃物")</f>
        <v>合板機械用・木工機械用刃物</v>
      </c>
    </row>
    <row r="398" spans="1:4" x14ac:dyDescent="0.4">
      <c r="A398" s="21">
        <f t="shared" si="50"/>
        <v>2260</v>
      </c>
      <c r="B398" s="22" t="str">
        <f t="shared" si="51"/>
        <v>空気動工具､作業工具､のこ刃及び機械刃物月報</v>
      </c>
      <c r="C398" s="21" t="str">
        <f>HYPERLINK("#2260!AQ3","0109")</f>
        <v>0109</v>
      </c>
      <c r="D398" s="22" t="str">
        <f>HYPERLINK("#2260!AQ3","その他の機械刃物")</f>
        <v>その他の機械刃物</v>
      </c>
    </row>
    <row r="399" spans="1:4" x14ac:dyDescent="0.4">
      <c r="A399" s="21">
        <f t="shared" ref="A399:A410" si="52">HYPERLINK("#2270!A1 ",2270)</f>
        <v>2270</v>
      </c>
      <c r="B399" s="22" t="str">
        <f t="shared" ref="B399:B410" si="53">HYPERLINK("#2270!A1 ","ガス機器、石油機器及び太陽熱温水器月報")</f>
        <v>ガス機器、石油機器及び太陽熱温水器月報</v>
      </c>
      <c r="C399" s="21" t="str">
        <f>HYPERLINK("#2270!C3","0101")</f>
        <v>0101</v>
      </c>
      <c r="D399" s="22" t="str">
        <f>HYPERLINK("#2270!C3","ガスこんろ(液化石油ガスこんろ、普通鋳物製七輪を除く)")</f>
        <v>ガスこんろ(液化石油ガスこんろ、普通鋳物製七輪を除く)</v>
      </c>
    </row>
    <row r="400" spans="1:4" x14ac:dyDescent="0.4">
      <c r="A400" s="21">
        <f t="shared" si="52"/>
        <v>2270</v>
      </c>
      <c r="B400" s="22" t="str">
        <f t="shared" si="53"/>
        <v>ガス機器、石油機器及び太陽熱温水器月報</v>
      </c>
      <c r="C400" s="21" t="str">
        <f>HYPERLINK("#2270!H3","0102")</f>
        <v>0102</v>
      </c>
      <c r="D400" s="22" t="str">
        <f>HYPERLINK("#2270!H3","ガス湯沸器(瞬間形)(元止式(給湯配管の出来ないもの))")</f>
        <v>ガス湯沸器(瞬間形)(元止式(給湯配管の出来ないもの))</v>
      </c>
    </row>
    <row r="401" spans="1:4" x14ac:dyDescent="0.4">
      <c r="A401" s="21">
        <f t="shared" si="52"/>
        <v>2270</v>
      </c>
      <c r="B401" s="22" t="str">
        <f t="shared" si="53"/>
        <v>ガス機器、石油機器及び太陽熱温水器月報</v>
      </c>
      <c r="C401" s="21" t="str">
        <f>HYPERLINK("#2270!M3","0103")</f>
        <v>0103</v>
      </c>
      <c r="D401" s="22" t="str">
        <f>HYPERLINK("#2270!M3","ガス湯沸器(瞬間形)(先止式(給湯配管の出来るもの))・(貯湯形)")</f>
        <v>ガス湯沸器(瞬間形)(先止式(給湯配管の出来るもの))・(貯湯形)</v>
      </c>
    </row>
    <row r="402" spans="1:4" x14ac:dyDescent="0.4">
      <c r="A402" s="21">
        <f t="shared" si="52"/>
        <v>2270</v>
      </c>
      <c r="B402" s="22" t="str">
        <f t="shared" si="53"/>
        <v>ガス機器、石油機器及び太陽熱温水器月報</v>
      </c>
      <c r="C402" s="21" t="str">
        <f>HYPERLINK("#2270!R3","0104")</f>
        <v>0104</v>
      </c>
      <c r="D402" s="22" t="str">
        <f>HYPERLINK("#2270!R3","ガス温水給湯暖房機")</f>
        <v>ガス温水給湯暖房機</v>
      </c>
    </row>
    <row r="403" spans="1:4" x14ac:dyDescent="0.4">
      <c r="A403" s="21">
        <f t="shared" si="52"/>
        <v>2270</v>
      </c>
      <c r="B403" s="22" t="str">
        <f t="shared" si="53"/>
        <v>ガス機器、石油機器及び太陽熱温水器月報</v>
      </c>
      <c r="C403" s="21" t="str">
        <f>HYPERLINK("#2270!W3","0105")</f>
        <v>0105</v>
      </c>
      <c r="D403" s="22" t="str">
        <f>HYPERLINK("#2270!W3","ガス風呂がま(バーナー付の一体のものを含む)")</f>
        <v>ガス風呂がま(バーナー付の一体のものを含む)</v>
      </c>
    </row>
    <row r="404" spans="1:4" x14ac:dyDescent="0.4">
      <c r="A404" s="21">
        <f t="shared" si="52"/>
        <v>2270</v>
      </c>
      <c r="B404" s="22" t="str">
        <f t="shared" si="53"/>
        <v>ガス機器、石油機器及び太陽熱温水器月報</v>
      </c>
      <c r="C404" s="21" t="str">
        <f>HYPERLINK("#2270!AB3","0106")</f>
        <v>0106</v>
      </c>
      <c r="D404" s="22" t="str">
        <f>HYPERLINK("#2270!AB3","ガス温風暖房機(暖房方式が強制対流のもの)・ガスストーブ(排気筒のないもの)")</f>
        <v>ガス温風暖房機(暖房方式が強制対流のもの)・ガスストーブ(排気筒のないもの)</v>
      </c>
    </row>
    <row r="405" spans="1:4" x14ac:dyDescent="0.4">
      <c r="A405" s="21">
        <f t="shared" si="52"/>
        <v>2270</v>
      </c>
      <c r="B405" s="22" t="str">
        <f t="shared" si="53"/>
        <v>ガス機器、石油機器及び太陽熱温水器月報</v>
      </c>
      <c r="C405" s="21" t="str">
        <f>HYPERLINK("#2270!AG3","0107")</f>
        <v>0107</v>
      </c>
      <c r="D405" s="22" t="str">
        <f>HYPERLINK("#2270!AG3","石油ストーブ(しん式(排気筒のないもの))")</f>
        <v>石油ストーブ(しん式(排気筒のないもの))</v>
      </c>
    </row>
    <row r="406" spans="1:4" x14ac:dyDescent="0.4">
      <c r="A406" s="21">
        <f t="shared" si="52"/>
        <v>2270</v>
      </c>
      <c r="B406" s="22" t="str">
        <f t="shared" si="53"/>
        <v>ガス機器、石油機器及び太陽熱温水器月報</v>
      </c>
      <c r="C406" s="21" t="str">
        <f>HYPERLINK("#2270!AL3","0108")</f>
        <v>0108</v>
      </c>
      <c r="D406" s="22" t="str">
        <f>HYPERLINK("#2270!AL3","石油ストーブ(気化式(排気筒のないもの))")</f>
        <v>石油ストーブ(気化式(排気筒のないもの))</v>
      </c>
    </row>
    <row r="407" spans="1:4" x14ac:dyDescent="0.4">
      <c r="A407" s="21">
        <f t="shared" si="52"/>
        <v>2270</v>
      </c>
      <c r="B407" s="22" t="str">
        <f t="shared" si="53"/>
        <v>ガス機器、石油機器及び太陽熱温水器月報</v>
      </c>
      <c r="C407" s="21" t="str">
        <f>HYPERLINK("#2270!AQ3","0109")</f>
        <v>0109</v>
      </c>
      <c r="D407" s="22" t="str">
        <f>HYPERLINK("#2270!AQ3","石油温風暖房機(強制給排気・排気式)")</f>
        <v>石油温風暖房機(強制給排気・排気式)</v>
      </c>
    </row>
    <row r="408" spans="1:4" x14ac:dyDescent="0.4">
      <c r="A408" s="21">
        <f t="shared" si="52"/>
        <v>2270</v>
      </c>
      <c r="B408" s="22" t="str">
        <f t="shared" si="53"/>
        <v>ガス機器、石油機器及び太陽熱温水器月報</v>
      </c>
      <c r="C408" s="21" t="str">
        <f>HYPERLINK("#2270!AV3","0110")</f>
        <v>0110</v>
      </c>
      <c r="D408" s="22" t="str">
        <f>HYPERLINK("#2270!AV3","石油小形給湯機(急速加熱方式で熱交換機容量３０ｌ以下のもの)")</f>
        <v>石油小形給湯機(急速加熱方式で熱交換機容量３０ｌ以下のもの)</v>
      </c>
    </row>
    <row r="409" spans="1:4" x14ac:dyDescent="0.4">
      <c r="A409" s="21">
        <f t="shared" si="52"/>
        <v>2270</v>
      </c>
      <c r="B409" s="22" t="str">
        <f t="shared" si="53"/>
        <v>ガス機器、石油機器及び太陽熱温水器月報</v>
      </c>
      <c r="C409" s="21" t="str">
        <f>HYPERLINK("#2270!BA3","0111")</f>
        <v>0111</v>
      </c>
      <c r="D409" s="22" t="str">
        <f>HYPERLINK("#2270!BA3","石油温水給湯機(「石油小形給湯機」以外の暖房・給湯に用いる石油温水小形ボイラ)")</f>
        <v>石油温水給湯機(「石油小形給湯機」以外の暖房・給湯に用いる石油温水小形ボイラ)</v>
      </c>
    </row>
    <row r="410" spans="1:4" x14ac:dyDescent="0.4">
      <c r="A410" s="21">
        <f t="shared" si="52"/>
        <v>2270</v>
      </c>
      <c r="B410" s="22" t="str">
        <f t="shared" si="53"/>
        <v>ガス機器、石油機器及び太陽熱温水器月報</v>
      </c>
      <c r="C410" s="21" t="str">
        <f>HYPERLINK("#2270!BF3","0112")</f>
        <v>0112</v>
      </c>
      <c r="D410" s="22" t="str">
        <f>HYPERLINK("#2270!BF3","太陽熱温水器")</f>
        <v>太陽熱温水器</v>
      </c>
    </row>
    <row r="411" spans="1:4" x14ac:dyDescent="0.4">
      <c r="A411" s="21">
        <f t="shared" ref="A411:A441" si="54">HYPERLINK("#2280!A1 ",2280)</f>
        <v>2280</v>
      </c>
      <c r="B411" s="22" t="str">
        <f t="shared" ref="B411:B441" si="55">HYPERLINK("#2280!A1 ","機械器具月報（その28）回転電気機械（航空機用のものを除く）")</f>
        <v>機械器具月報（その28）回転電気機械（航空機用のものを除く）</v>
      </c>
      <c r="C411" s="21" t="str">
        <f>HYPERLINK("#2280!C3","0101")</f>
        <v>0101</v>
      </c>
      <c r="D411" s="22" t="str">
        <f>HYPERLINK("#2280!C3","直流機(一般用・車両用)")</f>
        <v>直流機(一般用・車両用)</v>
      </c>
    </row>
    <row r="412" spans="1:4" x14ac:dyDescent="0.4">
      <c r="A412" s="21">
        <f t="shared" si="54"/>
        <v>2280</v>
      </c>
      <c r="B412" s="22" t="str">
        <f t="shared" si="55"/>
        <v>機械器具月報（その28）回転電気機械（航空機用のものを除く）</v>
      </c>
      <c r="C412" s="21" t="str">
        <f>HYPERLINK("#2280!F3","0102")</f>
        <v>0102</v>
      </c>
      <c r="D412" s="22" t="str">
        <f>HYPERLINK("#2280!F3","蒸気タービン発電機(一般用)")</f>
        <v>蒸気タービン発電機(一般用)</v>
      </c>
    </row>
    <row r="413" spans="1:4" x14ac:dyDescent="0.4">
      <c r="A413" s="21">
        <f t="shared" si="54"/>
        <v>2280</v>
      </c>
      <c r="B413" s="22" t="str">
        <f t="shared" si="55"/>
        <v>機械器具月報（その28）回転電気機械（航空機用のものを除く）</v>
      </c>
      <c r="C413" s="21" t="str">
        <f>HYPERLINK("#2280!I3","0103")</f>
        <v>0103</v>
      </c>
      <c r="D413" s="22" t="str">
        <f>HYPERLINK("#2280!I3","ガスタービン発電機(一般用)")</f>
        <v>ガスタービン発電機(一般用)</v>
      </c>
    </row>
    <row r="414" spans="1:4" x14ac:dyDescent="0.4">
      <c r="A414" s="21">
        <f t="shared" si="54"/>
        <v>2280</v>
      </c>
      <c r="B414" s="22" t="str">
        <f t="shared" si="55"/>
        <v>機械器具月報（その28）回転電気機械（航空機用のものを除く）</v>
      </c>
      <c r="C414" s="21" t="str">
        <f>HYPERLINK("#2280!L3","0104")</f>
        <v>0104</v>
      </c>
      <c r="D414" s="22" t="str">
        <f>HYPERLINK("#2280!L3","エンジン発電機(一般用)(３ｋＶＡ以下)")</f>
        <v>エンジン発電機(一般用)(３ｋＶＡ以下)</v>
      </c>
    </row>
    <row r="415" spans="1:4" x14ac:dyDescent="0.4">
      <c r="A415" s="21">
        <f t="shared" si="54"/>
        <v>2280</v>
      </c>
      <c r="B415" s="22" t="str">
        <f t="shared" si="55"/>
        <v>機械器具月報（その28）回転電気機械（航空機用のものを除く）</v>
      </c>
      <c r="C415" s="21" t="str">
        <f>HYPERLINK("#2280!O3","0105")</f>
        <v>0105</v>
      </c>
      <c r="D415" s="22" t="str">
        <f>HYPERLINK("#2280!O3","エンジン発電機(一般用)(３ｋＶＡ超１０ｋＶＡ以下)")</f>
        <v>エンジン発電機(一般用)(３ｋＶＡ超１０ｋＶＡ以下)</v>
      </c>
    </row>
    <row r="416" spans="1:4" x14ac:dyDescent="0.4">
      <c r="A416" s="21">
        <f t="shared" si="54"/>
        <v>2280</v>
      </c>
      <c r="B416" s="22" t="str">
        <f t="shared" si="55"/>
        <v>機械器具月報（その28）回転電気機械（航空機用のものを除く）</v>
      </c>
      <c r="C416" s="21" t="str">
        <f>HYPERLINK("#2280!R3","0106")</f>
        <v>0106</v>
      </c>
      <c r="D416" s="22" t="str">
        <f>HYPERLINK("#2280!R3","エンジン発電機(一般用)(１０ｋＶＡ超２００ｋＶＡ以下)")</f>
        <v>エンジン発電機(一般用)(１０ｋＶＡ超２００ｋＶＡ以下)</v>
      </c>
    </row>
    <row r="417" spans="1:4" x14ac:dyDescent="0.4">
      <c r="A417" s="21">
        <f t="shared" si="54"/>
        <v>2280</v>
      </c>
      <c r="B417" s="22" t="str">
        <f t="shared" si="55"/>
        <v>機械器具月報（その28）回転電気機械（航空機用のものを除く）</v>
      </c>
      <c r="C417" s="21" t="str">
        <f>HYPERLINK("#2280!U3","0107")</f>
        <v>0107</v>
      </c>
      <c r="D417" s="22" t="str">
        <f>HYPERLINK("#2280!U3","エンジン発電機(一般用)(２００ｋＶＡ超)")</f>
        <v>エンジン発電機(一般用)(２００ｋＶＡ超)</v>
      </c>
    </row>
    <row r="418" spans="1:4" x14ac:dyDescent="0.4">
      <c r="A418" s="21">
        <f t="shared" si="54"/>
        <v>2280</v>
      </c>
      <c r="B418" s="22" t="str">
        <f t="shared" si="55"/>
        <v>機械器具月報（その28）回転電気機械（航空機用のものを除く）</v>
      </c>
      <c r="C418" s="21" t="str">
        <f>HYPERLINK("#2280!X3","0108")</f>
        <v>0108</v>
      </c>
      <c r="D418" s="22" t="str">
        <f>HYPERLINK("#2280!X3","水車及びその他の交流発電機")</f>
        <v>水車及びその他の交流発電機</v>
      </c>
    </row>
    <row r="419" spans="1:4" x14ac:dyDescent="0.4">
      <c r="A419" s="21">
        <f t="shared" si="54"/>
        <v>2280</v>
      </c>
      <c r="B419" s="22" t="str">
        <f t="shared" si="55"/>
        <v>機械器具月報（その28）回転電気機械（航空機用のものを除く）</v>
      </c>
      <c r="C419" s="21" t="str">
        <f>HYPERLINK("#2280!AA3","0109")</f>
        <v>0109</v>
      </c>
      <c r="D419" s="22" t="str">
        <f>HYPERLINK("#2280!AA3","単相誘導電動機(非標準は７０Ｗ以上のもの)")</f>
        <v>単相誘導電動機(非標準は７０Ｗ以上のもの)</v>
      </c>
    </row>
    <row r="420" spans="1:4" x14ac:dyDescent="0.4">
      <c r="A420" s="21">
        <f t="shared" si="54"/>
        <v>2280</v>
      </c>
      <c r="B420" s="22" t="str">
        <f t="shared" si="55"/>
        <v>機械器具月報（その28）回転電気機械（航空機用のものを除く）</v>
      </c>
      <c r="C420" s="21" t="str">
        <f>HYPERLINK("#2280!AH3","0110")</f>
        <v>0110</v>
      </c>
      <c r="D420" s="22" t="str">
        <f>HYPERLINK("#2280!AH3","標準三相誘導電動機")</f>
        <v>標準三相誘導電動機</v>
      </c>
    </row>
    <row r="421" spans="1:4" x14ac:dyDescent="0.4">
      <c r="A421" s="21">
        <f t="shared" si="54"/>
        <v>2280</v>
      </c>
      <c r="B421" s="22" t="str">
        <f t="shared" si="55"/>
        <v>機械器具月報（その28）回転電気機械（航空機用のものを除く）</v>
      </c>
      <c r="C421" s="21" t="str">
        <f>HYPERLINK("#2280!AO3","0111")</f>
        <v>0111</v>
      </c>
      <c r="D421" s="22" t="str">
        <f>HYPERLINK("#2280!AO3","非標準三相誘導電動機(70W以上１１ｋＷ以下のもの)")</f>
        <v>非標準三相誘導電動機(70W以上１１ｋＷ以下のもの)</v>
      </c>
    </row>
    <row r="422" spans="1:4" x14ac:dyDescent="0.4">
      <c r="A422" s="21">
        <f t="shared" si="54"/>
        <v>2280</v>
      </c>
      <c r="B422" s="22" t="str">
        <f t="shared" si="55"/>
        <v>機械器具月報（その28）回転電気機械（航空機用のものを除く）</v>
      </c>
      <c r="C422" s="21" t="str">
        <f>HYPERLINK("#2280!AR3","0112")</f>
        <v>0112</v>
      </c>
      <c r="D422" s="22" t="str">
        <f>HYPERLINK("#2280!AR3","非標準三相誘導電動機(１１ｋＷ超３７ｋＷ以下)")</f>
        <v>非標準三相誘導電動機(１１ｋＷ超３７ｋＷ以下)</v>
      </c>
    </row>
    <row r="423" spans="1:4" x14ac:dyDescent="0.4">
      <c r="A423" s="21">
        <f t="shared" si="54"/>
        <v>2280</v>
      </c>
      <c r="B423" s="22" t="str">
        <f t="shared" si="55"/>
        <v>機械器具月報（その28）回転電気機械（航空機用のものを除く）</v>
      </c>
      <c r="C423" s="21" t="str">
        <f>HYPERLINK("#2280!AU3","0113")</f>
        <v>0113</v>
      </c>
      <c r="D423" s="22" t="str">
        <f>HYPERLINK("#2280!AU3","非標準三相誘導電動機(３７ｋＷ超７５ｋＷ以下)")</f>
        <v>非標準三相誘導電動機(３７ｋＷ超７５ｋＷ以下)</v>
      </c>
    </row>
    <row r="424" spans="1:4" x14ac:dyDescent="0.4">
      <c r="A424" s="21">
        <f t="shared" si="54"/>
        <v>2280</v>
      </c>
      <c r="B424" s="22" t="str">
        <f t="shared" si="55"/>
        <v>機械器具月報（その28）回転電気機械（航空機用のものを除く）</v>
      </c>
      <c r="C424" s="21" t="str">
        <f>HYPERLINK("#2280!AX3","0114")</f>
        <v>0114</v>
      </c>
      <c r="D424" s="22" t="str">
        <f>HYPERLINK("#2280!AX3","非標準三相誘導電動機(７５ｋＷ超１０００ｋＷ以下)")</f>
        <v>非標準三相誘導電動機(７５ｋＷ超１０００ｋＷ以下)</v>
      </c>
    </row>
    <row r="425" spans="1:4" x14ac:dyDescent="0.4">
      <c r="A425" s="21">
        <f t="shared" si="54"/>
        <v>2280</v>
      </c>
      <c r="B425" s="22" t="str">
        <f t="shared" si="55"/>
        <v>機械器具月報（その28）回転電気機械（航空機用のものを除く）</v>
      </c>
      <c r="C425" s="21" t="str">
        <f>HYPERLINK("#2280!BA3","0115")</f>
        <v>0115</v>
      </c>
      <c r="D425" s="22" t="str">
        <f>HYPERLINK("#2280!BA3","非標準三相誘導電動機(１０００ｋＷをこえるもの)")</f>
        <v>非標準三相誘導電動機(１０００ｋＷをこえるもの)</v>
      </c>
    </row>
    <row r="426" spans="1:4" x14ac:dyDescent="0.4">
      <c r="A426" s="21">
        <f t="shared" si="54"/>
        <v>2280</v>
      </c>
      <c r="B426" s="22" t="str">
        <f t="shared" si="55"/>
        <v>機械器具月報（その28）回転電気機械（航空機用のものを除く）</v>
      </c>
      <c r="C426" s="21" t="str">
        <f>HYPERLINK("#2280!BD3","0116")</f>
        <v>0116</v>
      </c>
      <c r="D426" s="22" t="str">
        <f>HYPERLINK("#2280!BD3","ＰＭモータ(自動車用)(７０W以上)")</f>
        <v>ＰＭモータ(自動車用)(７０W以上)</v>
      </c>
    </row>
    <row r="427" spans="1:4" x14ac:dyDescent="0.4">
      <c r="A427" s="21">
        <f t="shared" si="54"/>
        <v>2280</v>
      </c>
      <c r="B427" s="22" t="str">
        <f t="shared" si="55"/>
        <v>機械器具月報（その28）回転電気機械（航空機用のものを除く）</v>
      </c>
      <c r="C427" s="21" t="str">
        <f>HYPERLINK("#2280!BG3","0117")</f>
        <v>0117</v>
      </c>
      <c r="D427" s="22" t="str">
        <f>HYPERLINK("#2280!BG3","その他のＰＭモータ(７０W以上 )")</f>
        <v>その他のＰＭモータ(７０W以上 )</v>
      </c>
    </row>
    <row r="428" spans="1:4" x14ac:dyDescent="0.4">
      <c r="A428" s="21">
        <f t="shared" si="54"/>
        <v>2280</v>
      </c>
      <c r="B428" s="22" t="str">
        <f t="shared" si="55"/>
        <v>機械器具月報（その28）回転電気機械（航空機用のものを除く）</v>
      </c>
      <c r="C428" s="21" t="str">
        <f>HYPERLINK("#2280!BJ3","0118")</f>
        <v>0118</v>
      </c>
      <c r="D428" s="22" t="str">
        <f>HYPERLINK("#2280!BJ3","その他の交流電動機(７０Ｗ以上)")</f>
        <v>その他の交流電動機(７０Ｗ以上)</v>
      </c>
    </row>
    <row r="429" spans="1:4" x14ac:dyDescent="0.4">
      <c r="A429" s="21">
        <f t="shared" si="54"/>
        <v>2280</v>
      </c>
      <c r="B429" s="22" t="str">
        <f t="shared" si="55"/>
        <v>機械器具月報（その28）回転電気機械（航空機用のものを除く）</v>
      </c>
      <c r="C429" s="21" t="str">
        <f>HYPERLINK("#2280!BM3","0119")</f>
        <v>0119</v>
      </c>
      <c r="D429" s="22" t="str">
        <f>HYPERLINK("#2280!BM3","サーボモータ")</f>
        <v>サーボモータ</v>
      </c>
    </row>
    <row r="430" spans="1:4" x14ac:dyDescent="0.4">
      <c r="A430" s="21">
        <f t="shared" si="54"/>
        <v>2280</v>
      </c>
      <c r="B430" s="22" t="str">
        <f t="shared" si="55"/>
        <v>機械器具月報（その28）回転電気機械（航空機用のものを除く）</v>
      </c>
      <c r="C430" s="21" t="str">
        <f>HYPERLINK("#2280!BO3","0120")</f>
        <v>0120</v>
      </c>
      <c r="D430" s="22" t="str">
        <f>HYPERLINK("#2280!BO3","小形直流電動機(７０Ｗ未満)")</f>
        <v>小形直流電動機(７０Ｗ未満)</v>
      </c>
    </row>
    <row r="431" spans="1:4" x14ac:dyDescent="0.4">
      <c r="A431" s="21">
        <f t="shared" si="54"/>
        <v>2280</v>
      </c>
      <c r="B431" s="22" t="str">
        <f t="shared" si="55"/>
        <v>機械器具月報（その28）回転電気機械（航空機用のものを除く）</v>
      </c>
      <c r="C431" s="21" t="str">
        <f>HYPERLINK("#2280!BQ3","0121")</f>
        <v>0121</v>
      </c>
      <c r="D431" s="22" t="str">
        <f>HYPERLINK("#2280!BQ3","小形交流電動機(７０Ｗ未満)")</f>
        <v>小形交流電動機(７０Ｗ未満)</v>
      </c>
    </row>
    <row r="432" spans="1:4" x14ac:dyDescent="0.4">
      <c r="A432" s="21">
        <f t="shared" si="54"/>
        <v>2280</v>
      </c>
      <c r="B432" s="22" t="str">
        <f t="shared" si="55"/>
        <v>機械器具月報（その28）回転電気機械（航空機用のものを除く）</v>
      </c>
      <c r="C432" s="21" t="str">
        <f>HYPERLINK("#2280!BS3","0122")</f>
        <v>0122</v>
      </c>
      <c r="D432" s="22" t="str">
        <f>HYPERLINK("#2280!BS3","ステッピングモータ(７０Ｗ未満)")</f>
        <v>ステッピングモータ(７０Ｗ未満)</v>
      </c>
    </row>
    <row r="433" spans="1:4" x14ac:dyDescent="0.4">
      <c r="A433" s="21">
        <f t="shared" si="54"/>
        <v>2280</v>
      </c>
      <c r="B433" s="22" t="str">
        <f t="shared" si="55"/>
        <v>機械器具月報（その28）回転電気機械（航空機用のものを除く）</v>
      </c>
      <c r="C433" s="21" t="str">
        <f>HYPERLINK("#2280!BU3","0123")</f>
        <v>0123</v>
      </c>
      <c r="D433" s="22" t="str">
        <f>HYPERLINK("#2280!BU3","その他の小形電動機(７０Ｗ未満)")</f>
        <v>その他の小形電動機(７０Ｗ未満)</v>
      </c>
    </row>
    <row r="434" spans="1:4" x14ac:dyDescent="0.4">
      <c r="A434" s="21">
        <f t="shared" si="54"/>
        <v>2280</v>
      </c>
      <c r="B434" s="22" t="str">
        <f t="shared" si="55"/>
        <v>機械器具月報（その28）回転電気機械（航空機用のものを除く）</v>
      </c>
      <c r="C434" s="21" t="str">
        <f>HYPERLINK("#2280!BW3","0124")</f>
        <v>0124</v>
      </c>
      <c r="D434" s="22" t="str">
        <f>HYPERLINK("#2280!BW3","超小形電動機(入力３Ｗ以下のもの)")</f>
        <v>超小形電動機(入力３Ｗ以下のもの)</v>
      </c>
    </row>
    <row r="435" spans="1:4" x14ac:dyDescent="0.4">
      <c r="A435" s="21">
        <f t="shared" si="54"/>
        <v>2280</v>
      </c>
      <c r="B435" s="22" t="str">
        <f t="shared" si="55"/>
        <v>機械器具月報（その28）回転電気機械（航空機用のものを除く）</v>
      </c>
      <c r="C435" s="21" t="str">
        <f>HYPERLINK("#2280!BY3","0125")</f>
        <v>0125</v>
      </c>
      <c r="D435" s="22" t="str">
        <f>HYPERLINK("#2280!BY3","電気ホイスト")</f>
        <v>電気ホイスト</v>
      </c>
    </row>
    <row r="436" spans="1:4" x14ac:dyDescent="0.4">
      <c r="A436" s="21">
        <f t="shared" si="54"/>
        <v>2280</v>
      </c>
      <c r="B436" s="22" t="str">
        <f t="shared" si="55"/>
        <v>機械器具月報（その28）回転電気機械（航空機用のものを除く）</v>
      </c>
      <c r="C436" s="21" t="str">
        <f>HYPERLINK("#2280!CD3","0126")</f>
        <v>0126</v>
      </c>
      <c r="D436" s="22" t="str">
        <f>HYPERLINK("#2280!CD3","電気ブロワ")</f>
        <v>電気ブロワ</v>
      </c>
    </row>
    <row r="437" spans="1:4" x14ac:dyDescent="0.4">
      <c r="A437" s="21">
        <f t="shared" si="54"/>
        <v>2280</v>
      </c>
      <c r="B437" s="22" t="str">
        <f t="shared" si="55"/>
        <v>機械器具月報（その28）回転電気機械（航空機用のものを除く）</v>
      </c>
      <c r="C437" s="21" t="str">
        <f>HYPERLINK("#2280!CI3","0127")</f>
        <v>0127</v>
      </c>
      <c r="D437" s="22" t="str">
        <f>HYPERLINK("#2280!CI3","電気グラインダ")</f>
        <v>電気グラインダ</v>
      </c>
    </row>
    <row r="438" spans="1:4" x14ac:dyDescent="0.4">
      <c r="A438" s="21">
        <f t="shared" si="54"/>
        <v>2280</v>
      </c>
      <c r="B438" s="22" t="str">
        <f t="shared" si="55"/>
        <v>機械器具月報（その28）回転電気機械（航空機用のものを除く）</v>
      </c>
      <c r="C438" s="21" t="str">
        <f>HYPERLINK("#2280!CN3","0128")</f>
        <v>0128</v>
      </c>
      <c r="D438" s="22" t="str">
        <f>HYPERLINK("#2280!CN3","電気ドリル")</f>
        <v>電気ドリル</v>
      </c>
    </row>
    <row r="439" spans="1:4" x14ac:dyDescent="0.4">
      <c r="A439" s="21">
        <f t="shared" si="54"/>
        <v>2280</v>
      </c>
      <c r="B439" s="22" t="str">
        <f t="shared" si="55"/>
        <v>機械器具月報（その28）回転電気機械（航空機用のものを除く）</v>
      </c>
      <c r="C439" s="21" t="str">
        <f>HYPERLINK("#2280!CS3","0129")</f>
        <v>0129</v>
      </c>
      <c r="D439" s="22" t="str">
        <f>HYPERLINK("#2280!CS3","電池式ドリル及びドライバ")</f>
        <v>電池式ドリル及びドライバ</v>
      </c>
    </row>
    <row r="440" spans="1:4" x14ac:dyDescent="0.4">
      <c r="A440" s="21">
        <f t="shared" si="54"/>
        <v>2280</v>
      </c>
      <c r="B440" s="22" t="str">
        <f t="shared" si="55"/>
        <v>機械器具月報（その28）回転電気機械（航空機用のものを除く）</v>
      </c>
      <c r="C440" s="21" t="str">
        <f>HYPERLINK("#2280!CX3","0130")</f>
        <v>0130</v>
      </c>
      <c r="D440" s="22" t="str">
        <f>HYPERLINK("#2280!CX3","電気のこぎり")</f>
        <v>電気のこぎり</v>
      </c>
    </row>
    <row r="441" spans="1:4" x14ac:dyDescent="0.4">
      <c r="A441" s="21">
        <f t="shared" si="54"/>
        <v>2280</v>
      </c>
      <c r="B441" s="22" t="str">
        <f t="shared" si="55"/>
        <v>機械器具月報（その28）回転電気機械（航空機用のものを除く）</v>
      </c>
      <c r="C441" s="21" t="str">
        <f>HYPERLINK("#2280!DC3","0131")</f>
        <v>0131</v>
      </c>
      <c r="D441" s="22" t="str">
        <f>HYPERLINK("#2280!DC3","その他の電動工具")</f>
        <v>その他の電動工具</v>
      </c>
    </row>
    <row r="442" spans="1:4" x14ac:dyDescent="0.4">
      <c r="A442" s="21">
        <f t="shared" ref="A442:A467" si="56">HYPERLINK("#2290!A1 ",2290)</f>
        <v>2290</v>
      </c>
      <c r="B442" s="22" t="str">
        <f t="shared" ref="B442:B467" si="57">HYPERLINK("#2290!A1 ","機械器具月報（その29）静止電気機械器具（航空機用のものを除く）")</f>
        <v>機械器具月報（その29）静止電気機械器具（航空機用のものを除く）</v>
      </c>
      <c r="C442" s="21" t="str">
        <f>HYPERLINK("#2290!C3","0101")</f>
        <v>0101</v>
      </c>
      <c r="D442" s="22" t="str">
        <f>HYPERLINK("#2290!C3","変圧器(標準)(油入り)(電力会社向)")</f>
        <v>変圧器(標準)(油入り)(電力会社向)</v>
      </c>
    </row>
    <row r="443" spans="1:4" x14ac:dyDescent="0.4">
      <c r="A443" s="21">
        <f t="shared" si="56"/>
        <v>2290</v>
      </c>
      <c r="B443" s="22" t="str">
        <f t="shared" si="57"/>
        <v>機械器具月報（その29）静止電気機械器具（航空機用のものを除く）</v>
      </c>
      <c r="C443" s="21" t="str">
        <f>HYPERLINK("#2290!J3","0102")</f>
        <v>0102</v>
      </c>
      <c r="D443" s="22" t="str">
        <f>HYPERLINK("#2290!J3","変圧器(標準)(油入り)(電力会社向以外)")</f>
        <v>変圧器(標準)(油入り)(電力会社向以外)</v>
      </c>
    </row>
    <row r="444" spans="1:4" x14ac:dyDescent="0.4">
      <c r="A444" s="21">
        <f t="shared" si="56"/>
        <v>2290</v>
      </c>
      <c r="B444" s="22" t="str">
        <f t="shared" si="57"/>
        <v>機械器具月報（その29）静止電気機械器具（航空機用のものを除く）</v>
      </c>
      <c r="C444" s="21" t="str">
        <f>HYPERLINK("#2290!Q3","0103")</f>
        <v>0103</v>
      </c>
      <c r="D444" s="22" t="str">
        <f>HYPERLINK("#2290!Q3","変圧器(標準)(モールド変圧器)")</f>
        <v>変圧器(標準)(モールド変圧器)</v>
      </c>
    </row>
    <row r="445" spans="1:4" x14ac:dyDescent="0.4">
      <c r="A445" s="21">
        <f t="shared" si="56"/>
        <v>2290</v>
      </c>
      <c r="B445" s="22" t="str">
        <f t="shared" si="57"/>
        <v>機械器具月報（その29）静止電気機械器具（航空機用のものを除く）</v>
      </c>
      <c r="C445" s="21" t="str">
        <f>HYPERLINK("#2290!X3","0104")</f>
        <v>0104</v>
      </c>
      <c r="D445" s="22" t="str">
        <f>HYPERLINK("#2290!X3","変圧器(非標準)(油入)(２０００ｋＶＡ以下)")</f>
        <v>変圧器(非標準)(油入)(２０００ｋＶＡ以下)</v>
      </c>
    </row>
    <row r="446" spans="1:4" x14ac:dyDescent="0.4">
      <c r="A446" s="21">
        <f t="shared" si="56"/>
        <v>2290</v>
      </c>
      <c r="B446" s="22" t="str">
        <f t="shared" si="57"/>
        <v>機械器具月報（その29）静止電気機械器具（航空機用のものを除く）</v>
      </c>
      <c r="C446" s="21" t="str">
        <f>HYPERLINK("#2290!AA3","0105")</f>
        <v>0105</v>
      </c>
      <c r="D446" s="22" t="str">
        <f>HYPERLINK("#2290!AA3","変圧器(非標準)(油入)(２００１ｋＶＡ以上１００００ｋＶＡ未満)")</f>
        <v>変圧器(非標準)(油入)(２００１ｋＶＡ以上１００００ｋＶＡ未満)</v>
      </c>
    </row>
    <row r="447" spans="1:4" x14ac:dyDescent="0.4">
      <c r="A447" s="21">
        <f t="shared" si="56"/>
        <v>2290</v>
      </c>
      <c r="B447" s="22" t="str">
        <f t="shared" si="57"/>
        <v>機械器具月報（その29）静止電気機械器具（航空機用のものを除く）</v>
      </c>
      <c r="C447" s="21" t="str">
        <f>HYPERLINK("#2290!AD3","0106")</f>
        <v>0106</v>
      </c>
      <c r="D447" s="22" t="str">
        <f>HYPERLINK("#2290!AD3","変圧器(非標準)(油入)(１００００ｋＶＡ以上１０００００ｋＶＡ未満)")</f>
        <v>変圧器(非標準)(油入)(１００００ｋＶＡ以上１０００００ｋＶＡ未満)</v>
      </c>
    </row>
    <row r="448" spans="1:4" x14ac:dyDescent="0.4">
      <c r="A448" s="21">
        <f t="shared" si="56"/>
        <v>2290</v>
      </c>
      <c r="B448" s="22" t="str">
        <f t="shared" si="57"/>
        <v>機械器具月報（その29）静止電気機械器具（航空機用のものを除く）</v>
      </c>
      <c r="C448" s="21" t="str">
        <f>HYPERLINK("#2290!AG3","0107")</f>
        <v>0107</v>
      </c>
      <c r="D448" s="22" t="str">
        <f>HYPERLINK("#2290!AG3","変圧器(非標準)(油入)(１０００００ｋＶＡ以上)")</f>
        <v>変圧器(非標準)(油入)(１０００００ｋＶＡ以上)</v>
      </c>
    </row>
    <row r="449" spans="1:4" x14ac:dyDescent="0.4">
      <c r="A449" s="21">
        <f t="shared" si="56"/>
        <v>2290</v>
      </c>
      <c r="B449" s="22" t="str">
        <f t="shared" si="57"/>
        <v>機械器具月報（その29）静止電気機械器具（航空機用のものを除く）</v>
      </c>
      <c r="C449" s="21" t="str">
        <f>HYPERLINK("#2290!AJ3","0108")</f>
        <v>0108</v>
      </c>
      <c r="D449" s="22" t="str">
        <f>HYPERLINK("#2290!AJ3","変圧器(非標準)(モールド変圧器)(２０００ｋＶＡ以下)")</f>
        <v>変圧器(非標準)(モールド変圧器)(２０００ｋＶＡ以下)</v>
      </c>
    </row>
    <row r="450" spans="1:4" x14ac:dyDescent="0.4">
      <c r="A450" s="21">
        <f t="shared" si="56"/>
        <v>2290</v>
      </c>
      <c r="B450" s="22" t="str">
        <f t="shared" si="57"/>
        <v>機械器具月報（その29）静止電気機械器具（航空機用のものを除く）</v>
      </c>
      <c r="C450" s="21" t="str">
        <f>HYPERLINK("#2290!AM3","0109")</f>
        <v>0109</v>
      </c>
      <c r="D450" s="22" t="str">
        <f>HYPERLINK("#2290!AM3","変圧器(非標準)(モールド変圧器)(２００１ｋＶＡ以上)")</f>
        <v>変圧器(非標準)(モールド変圧器)(２００１ｋＶＡ以上)</v>
      </c>
    </row>
    <row r="451" spans="1:4" x14ac:dyDescent="0.4">
      <c r="A451" s="21">
        <f t="shared" si="56"/>
        <v>2290</v>
      </c>
      <c r="B451" s="22" t="str">
        <f t="shared" si="57"/>
        <v>機械器具月報（その29）静止電気機械器具（航空機用のものを除く）</v>
      </c>
      <c r="C451" s="21" t="str">
        <f>HYPERLINK("#2290!AP3","0110")</f>
        <v>0110</v>
      </c>
      <c r="D451" s="22" t="str">
        <f>HYPERLINK("#2290!AP3","その他の乾式変圧器(非標準)")</f>
        <v>その他の乾式変圧器(非標準)</v>
      </c>
    </row>
    <row r="452" spans="1:4" x14ac:dyDescent="0.4">
      <c r="A452" s="21">
        <f t="shared" si="56"/>
        <v>2290</v>
      </c>
      <c r="B452" s="22" t="str">
        <f t="shared" si="57"/>
        <v>機械器具月報（その29）静止電気機械器具（航空機用のものを除く）</v>
      </c>
      <c r="C452" s="21" t="str">
        <f>HYPERLINK("#2290!AS3","0111")</f>
        <v>0111</v>
      </c>
      <c r="D452" s="22" t="str">
        <f>HYPERLINK("#2290!AS3","特殊用途変圧器")</f>
        <v>特殊用途変圧器</v>
      </c>
    </row>
    <row r="453" spans="1:4" x14ac:dyDescent="0.4">
      <c r="A453" s="21">
        <f t="shared" si="56"/>
        <v>2290</v>
      </c>
      <c r="B453" s="22" t="str">
        <f t="shared" si="57"/>
        <v>機械器具月報（その29）静止電気機械器具（航空機用のものを除く）</v>
      </c>
      <c r="C453" s="21" t="str">
        <f>HYPERLINK("#2290!AU3","0112")</f>
        <v>0112</v>
      </c>
      <c r="D453" s="22" t="str">
        <f>HYPERLINK("#2290!AU3","計器用変成器")</f>
        <v>計器用変成器</v>
      </c>
    </row>
    <row r="454" spans="1:4" x14ac:dyDescent="0.4">
      <c r="A454" s="21">
        <f t="shared" si="56"/>
        <v>2290</v>
      </c>
      <c r="B454" s="22" t="str">
        <f t="shared" si="57"/>
        <v>機械器具月報（その29）静止電気機械器具（航空機用のものを除く）</v>
      </c>
      <c r="C454" s="21" t="str">
        <f>HYPERLINK("#2290!AW3","0113")</f>
        <v>0113</v>
      </c>
      <c r="D454" s="22" t="str">
        <f>HYPERLINK("#2290!AW3","無停電電源装置")</f>
        <v>無停電電源装置</v>
      </c>
    </row>
    <row r="455" spans="1:4" x14ac:dyDescent="0.4">
      <c r="A455" s="21">
        <f t="shared" si="56"/>
        <v>2290</v>
      </c>
      <c r="B455" s="22" t="str">
        <f t="shared" si="57"/>
        <v>機械器具月報（その29）静止電気機械器具（航空機用のものを除く）</v>
      </c>
      <c r="C455" s="21" t="str">
        <f>HYPERLINK("#2290!AY3","0114")</f>
        <v>0114</v>
      </c>
      <c r="D455" s="22" t="str">
        <f>HYPERLINK("#2290!AY3","系統用・その他の一般負荷用電力変換装置")</f>
        <v>系統用・その他の一般負荷用電力変換装置</v>
      </c>
    </row>
    <row r="456" spans="1:4" x14ac:dyDescent="0.4">
      <c r="A456" s="21">
        <f t="shared" si="56"/>
        <v>2290</v>
      </c>
      <c r="B456" s="22" t="str">
        <f t="shared" si="57"/>
        <v>機械器具月報（その29）静止電気機械器具（航空機用のものを除く）</v>
      </c>
      <c r="C456" s="21" t="str">
        <f>HYPERLINK("#2290!BA3","0115")</f>
        <v>0115</v>
      </c>
      <c r="D456" s="22" t="str">
        <f>HYPERLINK("#2290!BA3","インバータ(はん用)")</f>
        <v>インバータ(はん用)</v>
      </c>
    </row>
    <row r="457" spans="1:4" x14ac:dyDescent="0.4">
      <c r="A457" s="21">
        <f t="shared" si="56"/>
        <v>2290</v>
      </c>
      <c r="B457" s="22" t="str">
        <f t="shared" si="57"/>
        <v>機械器具月報（その29）静止電気機械器具（航空機用のものを除く）</v>
      </c>
      <c r="C457" s="21" t="str">
        <f>HYPERLINK("#2290!BC3","0116")</f>
        <v>0116</v>
      </c>
      <c r="D457" s="22" t="str">
        <f>HYPERLINK("#2290!BC3","その他のインバータ")</f>
        <v>その他のインバータ</v>
      </c>
    </row>
    <row r="458" spans="1:4" x14ac:dyDescent="0.4">
      <c r="A458" s="21">
        <f t="shared" si="56"/>
        <v>2290</v>
      </c>
      <c r="B458" s="22" t="str">
        <f t="shared" si="57"/>
        <v>機械器具月報（その29）静止電気機械器具（航空機用のものを除く）</v>
      </c>
      <c r="C458" s="21" t="str">
        <f>HYPERLINK("#2290!BE3","0117")</f>
        <v>0117</v>
      </c>
      <c r="D458" s="22" t="str">
        <f>HYPERLINK("#2290!BE3","サーボアンプ")</f>
        <v>サーボアンプ</v>
      </c>
    </row>
    <row r="459" spans="1:4" x14ac:dyDescent="0.4">
      <c r="A459" s="21">
        <f t="shared" si="56"/>
        <v>2290</v>
      </c>
      <c r="B459" s="22" t="str">
        <f t="shared" si="57"/>
        <v>機械器具月報（その29）静止電気機械器具（航空機用のものを除く）</v>
      </c>
      <c r="C459" s="21" t="str">
        <f>HYPERLINK("#2290!BG3","0118")</f>
        <v>0118</v>
      </c>
      <c r="D459" s="22" t="str">
        <f>HYPERLINK("#2290!BG3","その他の電動機駆動用変換装置")</f>
        <v>その他の電動機駆動用変換装置</v>
      </c>
    </row>
    <row r="460" spans="1:4" x14ac:dyDescent="0.4">
      <c r="A460" s="21">
        <f t="shared" si="56"/>
        <v>2290</v>
      </c>
      <c r="B460" s="22" t="str">
        <f t="shared" si="57"/>
        <v>機械器具月報（その29）静止電気機械器具（航空機用のものを除く）</v>
      </c>
      <c r="C460" s="21" t="str">
        <f>HYPERLINK("#2290!BI3","0119")</f>
        <v>0119</v>
      </c>
      <c r="D460" s="22" t="str">
        <f>HYPERLINK("#2290!BI3","コンデンサ(特別高圧・高圧電力用)")</f>
        <v>コンデンサ(特別高圧・高圧電力用)</v>
      </c>
    </row>
    <row r="461" spans="1:4" x14ac:dyDescent="0.4">
      <c r="A461" s="21">
        <f t="shared" si="56"/>
        <v>2290</v>
      </c>
      <c r="B461" s="22" t="str">
        <f t="shared" si="57"/>
        <v>機械器具月報（その29）静止電気機械器具（航空機用のものを除く）</v>
      </c>
      <c r="C461" s="21" t="str">
        <f>HYPERLINK("#2290!BL3","0120")</f>
        <v>0120</v>
      </c>
      <c r="D461" s="22" t="str">
        <f>HYPERLINK("#2290!BL3","コンデンサ(低圧電力・機器用)")</f>
        <v>コンデンサ(低圧電力・機器用)</v>
      </c>
    </row>
    <row r="462" spans="1:4" x14ac:dyDescent="0.4">
      <c r="A462" s="21">
        <f t="shared" si="56"/>
        <v>2290</v>
      </c>
      <c r="B462" s="22" t="str">
        <f t="shared" si="57"/>
        <v>機械器具月報（その29）静止電気機械器具（航空機用のものを除く）</v>
      </c>
      <c r="C462" s="21" t="str">
        <f>HYPERLINK("#2290!BN3","0121")</f>
        <v>0121</v>
      </c>
      <c r="D462" s="22" t="str">
        <f>HYPERLINK("#2290!BN3","避雷装置")</f>
        <v>避雷装置</v>
      </c>
    </row>
    <row r="463" spans="1:4" x14ac:dyDescent="0.4">
      <c r="A463" s="21">
        <f t="shared" si="56"/>
        <v>2290</v>
      </c>
      <c r="B463" s="22" t="str">
        <f t="shared" si="57"/>
        <v>機械器具月報（その29）静止電気機械器具（航空機用のものを除く）</v>
      </c>
      <c r="C463" s="21" t="str">
        <f>HYPERLINK("#2290!BP3","0122")</f>
        <v>0122</v>
      </c>
      <c r="D463" s="22" t="str">
        <f>HYPERLINK("#2290!BP3","リアクトル")</f>
        <v>リアクトル</v>
      </c>
    </row>
    <row r="464" spans="1:4" x14ac:dyDescent="0.4">
      <c r="A464" s="21">
        <f t="shared" si="56"/>
        <v>2290</v>
      </c>
      <c r="B464" s="22" t="str">
        <f t="shared" si="57"/>
        <v>機械器具月報（その29）静止電気機械器具（航空機用のものを除く）</v>
      </c>
      <c r="C464" s="21" t="str">
        <f>HYPERLINK("#2290!BR3","0123")</f>
        <v>0123</v>
      </c>
      <c r="D464" s="22" t="str">
        <f>HYPERLINK("#2290!BR3","電気炉")</f>
        <v>電気炉</v>
      </c>
    </row>
    <row r="465" spans="1:4" x14ac:dyDescent="0.4">
      <c r="A465" s="21">
        <f t="shared" si="56"/>
        <v>2290</v>
      </c>
      <c r="B465" s="22" t="str">
        <f t="shared" si="57"/>
        <v>機械器具月報（その29）静止電気機械器具（航空機用のものを除く）</v>
      </c>
      <c r="C465" s="21" t="str">
        <f>HYPERLINK("#2290!BU3","0124")</f>
        <v>0124</v>
      </c>
      <c r="D465" s="22" t="str">
        <f>HYPERLINK("#2290!BU3","自動アーク溶接機(標準)")</f>
        <v>自動アーク溶接機(標準)</v>
      </c>
    </row>
    <row r="466" spans="1:4" x14ac:dyDescent="0.4">
      <c r="A466" s="21">
        <f t="shared" si="56"/>
        <v>2290</v>
      </c>
      <c r="B466" s="22" t="str">
        <f t="shared" si="57"/>
        <v>機械器具月報（その29）静止電気機械器具（航空機用のものを除く）</v>
      </c>
      <c r="C466" s="21" t="str">
        <f>HYPERLINK("#2290!BW3","0125")</f>
        <v>0125</v>
      </c>
      <c r="D466" s="22" t="str">
        <f>HYPERLINK("#2290!BW3","その他のアーク溶接機")</f>
        <v>その他のアーク溶接機</v>
      </c>
    </row>
    <row r="467" spans="1:4" x14ac:dyDescent="0.4">
      <c r="A467" s="21">
        <f t="shared" si="56"/>
        <v>2290</v>
      </c>
      <c r="B467" s="22" t="str">
        <f t="shared" si="57"/>
        <v>機械器具月報（その29）静止電気機械器具（航空機用のものを除く）</v>
      </c>
      <c r="C467" s="21" t="str">
        <f>HYPERLINK("#2290!BY3","0126")</f>
        <v>0126</v>
      </c>
      <c r="D467" s="22" t="str">
        <f>HYPERLINK("#2290!BY3","抵抗溶接機")</f>
        <v>抵抗溶接機</v>
      </c>
    </row>
    <row r="468" spans="1:4" x14ac:dyDescent="0.4">
      <c r="A468" s="21">
        <f t="shared" ref="A468:A493" si="58">HYPERLINK("#2300!A1 ",2300)</f>
        <v>2300</v>
      </c>
      <c r="B468" s="22" t="str">
        <f t="shared" ref="B468:B493" si="59">HYPERLINK("#2300!A1 ","機械器具月報（その30）開閉制御装置（航空機用のものを除く）")</f>
        <v>機械器具月報（その30）開閉制御装置（航空機用のものを除く）</v>
      </c>
      <c r="C468" s="21" t="str">
        <f>HYPERLINK("#2300!C3","0101")</f>
        <v>0101</v>
      </c>
      <c r="D468" s="22" t="str">
        <f>HYPERLINK("#2300!C3","密閉形ガス絶縁開閉装置")</f>
        <v>密閉形ガス絶縁開閉装置</v>
      </c>
    </row>
    <row r="469" spans="1:4" x14ac:dyDescent="0.4">
      <c r="A469" s="21">
        <f t="shared" si="58"/>
        <v>2300</v>
      </c>
      <c r="B469" s="22" t="str">
        <f t="shared" si="59"/>
        <v>機械器具月報（その30）開閉制御装置（航空機用のものを除く）</v>
      </c>
      <c r="C469" s="21" t="str">
        <f>HYPERLINK("#2300!E3","0102")</f>
        <v>0102</v>
      </c>
      <c r="D469" s="22" t="str">
        <f>HYPERLINK("#2300!E3","特別高圧・高圧配電盤")</f>
        <v>特別高圧・高圧配電盤</v>
      </c>
    </row>
    <row r="470" spans="1:4" x14ac:dyDescent="0.4">
      <c r="A470" s="21">
        <f t="shared" si="58"/>
        <v>2300</v>
      </c>
      <c r="B470" s="22" t="str">
        <f t="shared" si="59"/>
        <v>機械器具月報（その30）開閉制御装置（航空機用のものを除く）</v>
      </c>
      <c r="C470" s="21" t="str">
        <f>HYPERLINK("#2300!G3","0103")</f>
        <v>0103</v>
      </c>
      <c r="D470" s="22" t="str">
        <f>HYPERLINK("#2300!G3","低圧配電盤")</f>
        <v>低圧配電盤</v>
      </c>
    </row>
    <row r="471" spans="1:4" x14ac:dyDescent="0.4">
      <c r="A471" s="21">
        <f t="shared" si="58"/>
        <v>2300</v>
      </c>
      <c r="B471" s="22" t="str">
        <f t="shared" si="59"/>
        <v>機械器具月報（その30）開閉制御装置（航空機用のものを除く）</v>
      </c>
      <c r="C471" s="21" t="str">
        <f>HYPERLINK("#2300!I3","0104")</f>
        <v>0104</v>
      </c>
      <c r="D471" s="22" t="str">
        <f>HYPERLINK("#2300!I3","産業用分電盤")</f>
        <v>産業用分電盤</v>
      </c>
    </row>
    <row r="472" spans="1:4" x14ac:dyDescent="0.4">
      <c r="A472" s="21">
        <f t="shared" si="58"/>
        <v>2300</v>
      </c>
      <c r="B472" s="22" t="str">
        <f t="shared" si="59"/>
        <v>機械器具月報（その30）開閉制御装置（航空機用のものを除く）</v>
      </c>
      <c r="C472" s="21" t="str">
        <f>HYPERLINK("#2300!K3","0105")</f>
        <v>0105</v>
      </c>
      <c r="D472" s="22" t="str">
        <f>HYPERLINK("#2300!K3","住宅用分電盤")</f>
        <v>住宅用分電盤</v>
      </c>
    </row>
    <row r="473" spans="1:4" x14ac:dyDescent="0.4">
      <c r="A473" s="21">
        <f t="shared" si="58"/>
        <v>2300</v>
      </c>
      <c r="B473" s="22" t="str">
        <f t="shared" si="59"/>
        <v>機械器具月報（その30）開閉制御装置（航空機用のものを除く）</v>
      </c>
      <c r="C473" s="21" t="str">
        <f>HYPERLINK("#2300!M3","0106")</f>
        <v>0106</v>
      </c>
      <c r="D473" s="22" t="str">
        <f>HYPERLINK("#2300!M3","監視制御装置")</f>
        <v>監視制御装置</v>
      </c>
    </row>
    <row r="474" spans="1:4" x14ac:dyDescent="0.4">
      <c r="A474" s="21">
        <f t="shared" si="58"/>
        <v>2300</v>
      </c>
      <c r="B474" s="22" t="str">
        <f t="shared" si="59"/>
        <v>機械器具月報（その30）開閉制御装置（航空機用のものを除く）</v>
      </c>
      <c r="C474" s="21" t="str">
        <f>HYPERLINK("#2300!O3","0107")</f>
        <v>0107</v>
      </c>
      <c r="D474" s="22" t="str">
        <f>HYPERLINK("#2300!O3","その他の開閉制御装置")</f>
        <v>その他の開閉制御装置</v>
      </c>
    </row>
    <row r="475" spans="1:4" x14ac:dyDescent="0.4">
      <c r="A475" s="21">
        <f t="shared" si="58"/>
        <v>2300</v>
      </c>
      <c r="B475" s="22" t="str">
        <f t="shared" si="59"/>
        <v>機械器具月報（その30）開閉制御装置（航空機用のものを除く）</v>
      </c>
      <c r="C475" s="21" t="str">
        <f>HYPERLINK("#2300!Q3","0108")</f>
        <v>0108</v>
      </c>
      <c r="D475" s="22" t="str">
        <f>HYPERLINK("#2300!Q3","保護継電器")</f>
        <v>保護継電器</v>
      </c>
    </row>
    <row r="476" spans="1:4" x14ac:dyDescent="0.4">
      <c r="A476" s="21">
        <f t="shared" si="58"/>
        <v>2300</v>
      </c>
      <c r="B476" s="22" t="str">
        <f t="shared" si="59"/>
        <v>機械器具月報（その30）開閉制御装置（航空機用のものを除く）</v>
      </c>
      <c r="C476" s="21" t="str">
        <f>HYPERLINK("#2300!S3","0109")</f>
        <v>0109</v>
      </c>
      <c r="D476" s="22" t="str">
        <f>HYPERLINK("#2300!S3","電磁開閉器")</f>
        <v>電磁開閉器</v>
      </c>
    </row>
    <row r="477" spans="1:4" x14ac:dyDescent="0.4">
      <c r="A477" s="21">
        <f t="shared" si="58"/>
        <v>2300</v>
      </c>
      <c r="B477" s="22" t="str">
        <f t="shared" si="59"/>
        <v>機械器具月報（その30）開閉制御装置（航空機用のものを除く）</v>
      </c>
      <c r="C477" s="21" t="str">
        <f>HYPERLINK("#2300!U3","0110")</f>
        <v>0110</v>
      </c>
      <c r="D477" s="22" t="str">
        <f>HYPERLINK("#2300!U3","電磁リレー")</f>
        <v>電磁リレー</v>
      </c>
    </row>
    <row r="478" spans="1:4" x14ac:dyDescent="0.4">
      <c r="A478" s="21">
        <f t="shared" si="58"/>
        <v>2300</v>
      </c>
      <c r="B478" s="22" t="str">
        <f t="shared" si="59"/>
        <v>機械器具月報（その30）開閉制御装置（航空機用のものを除く）</v>
      </c>
      <c r="C478" s="21" t="str">
        <f>HYPERLINK("#2300!W3","0111")</f>
        <v>0111</v>
      </c>
      <c r="D478" s="22" t="str">
        <f>HYPERLINK("#2300!W3","その他の制御リレー")</f>
        <v>その他の制御リレー</v>
      </c>
    </row>
    <row r="479" spans="1:4" x14ac:dyDescent="0.4">
      <c r="A479" s="21">
        <f t="shared" si="58"/>
        <v>2300</v>
      </c>
      <c r="B479" s="22" t="str">
        <f t="shared" si="59"/>
        <v>機械器具月報（その30）開閉制御装置（航空機用のものを除く）</v>
      </c>
      <c r="C479" s="21" t="str">
        <f>HYPERLINK("#2300!Y3","0112")</f>
        <v>0112</v>
      </c>
      <c r="D479" s="22" t="str">
        <f>HYPERLINK("#2300!Y3","プログラマブルコントローラ(１２８点未満)")</f>
        <v>プログラマブルコントローラ(１２８点未満)</v>
      </c>
    </row>
    <row r="480" spans="1:4" x14ac:dyDescent="0.4">
      <c r="A480" s="21">
        <f t="shared" si="58"/>
        <v>2300</v>
      </c>
      <c r="B480" s="22" t="str">
        <f t="shared" si="59"/>
        <v>機械器具月報（その30）開閉制御装置（航空機用のものを除く）</v>
      </c>
      <c r="C480" s="21" t="str">
        <f>HYPERLINK("#2300!AA3","0113")</f>
        <v>0113</v>
      </c>
      <c r="D480" s="22" t="str">
        <f>HYPERLINK("#2300!AA3","プログラマブルコントローラ(１２８点以上)")</f>
        <v>プログラマブルコントローラ(１２８点以上)</v>
      </c>
    </row>
    <row r="481" spans="1:4" x14ac:dyDescent="0.4">
      <c r="A481" s="21">
        <f t="shared" si="58"/>
        <v>2300</v>
      </c>
      <c r="B481" s="22" t="str">
        <f t="shared" si="59"/>
        <v>機械器具月報（その30）開閉制御装置（航空機用のものを除く）</v>
      </c>
      <c r="C481" s="21" t="str">
        <f>HYPERLINK("#2300!AC3","0114")</f>
        <v>0114</v>
      </c>
      <c r="D481" s="22" t="str">
        <f>HYPERLINK("#2300!AC3","操作スイッチ")</f>
        <v>操作スイッチ</v>
      </c>
    </row>
    <row r="482" spans="1:4" x14ac:dyDescent="0.4">
      <c r="A482" s="21">
        <f t="shared" si="58"/>
        <v>2300</v>
      </c>
      <c r="B482" s="22" t="str">
        <f t="shared" si="59"/>
        <v>機械器具月報（その30）開閉制御装置（航空機用のものを除く）</v>
      </c>
      <c r="C482" s="21" t="str">
        <f>HYPERLINK("#2300!AE3","0115")</f>
        <v>0115</v>
      </c>
      <c r="D482" s="22" t="str">
        <f>HYPERLINK("#2300!AE3","検出スイッチ")</f>
        <v>検出スイッチ</v>
      </c>
    </row>
    <row r="483" spans="1:4" x14ac:dyDescent="0.4">
      <c r="A483" s="21">
        <f t="shared" si="58"/>
        <v>2300</v>
      </c>
      <c r="B483" s="22" t="str">
        <f t="shared" si="59"/>
        <v>機械器具月報（その30）開閉制御装置（航空機用のものを除く）</v>
      </c>
      <c r="C483" s="21" t="str">
        <f>HYPERLINK("#2300!AG3","0116")</f>
        <v>0116</v>
      </c>
      <c r="D483" s="22" t="str">
        <f>HYPERLINK("#2300!AG3","マイクロスイッチ")</f>
        <v>マイクロスイッチ</v>
      </c>
    </row>
    <row r="484" spans="1:4" x14ac:dyDescent="0.4">
      <c r="A484" s="21">
        <f t="shared" si="58"/>
        <v>2300</v>
      </c>
      <c r="B484" s="22" t="str">
        <f t="shared" si="59"/>
        <v>機械器具月報（その30）開閉制御装置（航空機用のものを除く）</v>
      </c>
      <c r="C484" s="21" t="str">
        <f>HYPERLINK("#2300!AI3","0117")</f>
        <v>0117</v>
      </c>
      <c r="D484" s="22" t="str">
        <f>HYPERLINK("#2300!AI3","その他の低圧器具")</f>
        <v>その他の低圧器具</v>
      </c>
    </row>
    <row r="485" spans="1:4" x14ac:dyDescent="0.4">
      <c r="A485" s="21">
        <f t="shared" si="58"/>
        <v>2300</v>
      </c>
      <c r="B485" s="22" t="str">
        <f t="shared" si="59"/>
        <v>機械器具月報（その30）開閉制御装置（航空機用のものを除く）</v>
      </c>
      <c r="C485" s="21" t="str">
        <f>HYPERLINK("#2300!AK3","0118")</f>
        <v>0118</v>
      </c>
      <c r="D485" s="22" t="str">
        <f>HYPERLINK("#2300!AK3","高圧開閉器")</f>
        <v>高圧開閉器</v>
      </c>
    </row>
    <row r="486" spans="1:4" x14ac:dyDescent="0.4">
      <c r="A486" s="21">
        <f t="shared" si="58"/>
        <v>2300</v>
      </c>
      <c r="B486" s="22" t="str">
        <f t="shared" si="59"/>
        <v>機械器具月報（その30）開閉制御装置（航空機用のものを除く）</v>
      </c>
      <c r="C486" s="21" t="str">
        <f>HYPERLINK("#2300!AM3","0119")</f>
        <v>0119</v>
      </c>
      <c r="D486" s="22" t="str">
        <f>HYPERLINK("#2300!AM3","配線用遮断器")</f>
        <v>配線用遮断器</v>
      </c>
    </row>
    <row r="487" spans="1:4" x14ac:dyDescent="0.4">
      <c r="A487" s="21">
        <f t="shared" si="58"/>
        <v>2300</v>
      </c>
      <c r="B487" s="22" t="str">
        <f t="shared" si="59"/>
        <v>機械器具月報（その30）開閉制御装置（航空機用のものを除く）</v>
      </c>
      <c r="C487" s="21" t="str">
        <f>HYPERLINK("#2300!AO3","0120")</f>
        <v>0120</v>
      </c>
      <c r="D487" s="22" t="str">
        <f>HYPERLINK("#2300!AO3","漏電遮断器")</f>
        <v>漏電遮断器</v>
      </c>
    </row>
    <row r="488" spans="1:4" x14ac:dyDescent="0.4">
      <c r="A488" s="21">
        <f t="shared" si="58"/>
        <v>2300</v>
      </c>
      <c r="B488" s="22" t="str">
        <f t="shared" si="59"/>
        <v>機械器具月報（その30）開閉制御装置（航空機用のものを除く）</v>
      </c>
      <c r="C488" s="21" t="str">
        <f>HYPERLINK("#2300!AQ3","0121")</f>
        <v>0121</v>
      </c>
      <c r="D488" s="22" t="str">
        <f>HYPERLINK("#2300!AQ3","安全ブレーカ")</f>
        <v>安全ブレーカ</v>
      </c>
    </row>
    <row r="489" spans="1:4" x14ac:dyDescent="0.4">
      <c r="A489" s="21">
        <f t="shared" si="58"/>
        <v>2300</v>
      </c>
      <c r="B489" s="22" t="str">
        <f t="shared" si="59"/>
        <v>機械器具月報（その30）開閉制御装置（航空機用のものを除く）</v>
      </c>
      <c r="C489" s="21" t="str">
        <f>HYPERLINK("#2300!AS3","0122")</f>
        <v>0122</v>
      </c>
      <c r="D489" s="22" t="str">
        <f>HYPERLINK("#2300!AS3","機器保護用及びその他の遮断器")</f>
        <v>機器保護用及びその他の遮断器</v>
      </c>
    </row>
    <row r="490" spans="1:4" x14ac:dyDescent="0.4">
      <c r="A490" s="21">
        <f t="shared" si="58"/>
        <v>2300</v>
      </c>
      <c r="B490" s="22" t="str">
        <f t="shared" si="59"/>
        <v>機械器具月報（その30）開閉制御装置（航空機用のものを除く）</v>
      </c>
      <c r="C490" s="21" t="str">
        <f>HYPERLINK("#2300!AU3","0123")</f>
        <v>0123</v>
      </c>
      <c r="D490" s="22" t="str">
        <f>HYPERLINK("#2300!AU3","真空遮断器")</f>
        <v>真空遮断器</v>
      </c>
    </row>
    <row r="491" spans="1:4" x14ac:dyDescent="0.4">
      <c r="A491" s="21">
        <f t="shared" si="58"/>
        <v>2300</v>
      </c>
      <c r="B491" s="22" t="str">
        <f t="shared" si="59"/>
        <v>機械器具月報（その30）開閉制御装置（航空機用のものを除く）</v>
      </c>
      <c r="C491" s="21" t="str">
        <f>HYPERLINK("#2300!AW3","0124")</f>
        <v>0124</v>
      </c>
      <c r="D491" s="22" t="str">
        <f>HYPERLINK("#2300!AW3","ガス遮断器")</f>
        <v>ガス遮断器</v>
      </c>
    </row>
    <row r="492" spans="1:4" x14ac:dyDescent="0.4">
      <c r="A492" s="21">
        <f t="shared" si="58"/>
        <v>2300</v>
      </c>
      <c r="B492" s="22" t="str">
        <f t="shared" si="59"/>
        <v>機械器具月報（その30）開閉制御装置（航空機用のものを除く）</v>
      </c>
      <c r="C492" s="21" t="str">
        <f>HYPERLINK("#2300!AY3","0125")</f>
        <v>0125</v>
      </c>
      <c r="D492" s="22" t="str">
        <f>HYPERLINK("#2300!AY3","その他の高圧遮断器")</f>
        <v>その他の高圧遮断器</v>
      </c>
    </row>
    <row r="493" spans="1:4" x14ac:dyDescent="0.4">
      <c r="A493" s="21">
        <f t="shared" si="58"/>
        <v>2300</v>
      </c>
      <c r="B493" s="22" t="str">
        <f t="shared" si="59"/>
        <v>機械器具月報（その30）開閉制御装置（航空機用のものを除く）</v>
      </c>
      <c r="C493" s="21" t="str">
        <f>HYPERLINK("#2300!BA3","0126")</f>
        <v>0126</v>
      </c>
      <c r="D493" s="22" t="str">
        <f>HYPERLINK("#2300!BA3","電磁クラッチ")</f>
        <v>電磁クラッチ</v>
      </c>
    </row>
    <row r="494" spans="1:4" x14ac:dyDescent="0.4">
      <c r="A494" s="21">
        <f t="shared" ref="A494:A506" si="60">HYPERLINK("#2310!A1 ",2310)</f>
        <v>2310</v>
      </c>
      <c r="B494" s="22" t="str">
        <f t="shared" ref="B494:B506" si="61">HYPERLINK("#2310!A1 ","機械器具月報（その31）民生用電気機械器具")</f>
        <v>機械器具月報（その31）民生用電気機械器具</v>
      </c>
      <c r="C494" s="21" t="str">
        <f>HYPERLINK("#2310!C3","0101")</f>
        <v>0101</v>
      </c>
      <c r="D494" s="22" t="str">
        <f>HYPERLINK("#2310!C3","電気がま")</f>
        <v>電気がま</v>
      </c>
    </row>
    <row r="495" spans="1:4" x14ac:dyDescent="0.4">
      <c r="A495" s="21">
        <f t="shared" si="60"/>
        <v>2310</v>
      </c>
      <c r="B495" s="22" t="str">
        <f t="shared" si="61"/>
        <v>機械器具月報（その31）民生用電気機械器具</v>
      </c>
      <c r="C495" s="21" t="str">
        <f>HYPERLINK("#2310!H3","0102")</f>
        <v>0102</v>
      </c>
      <c r="D495" s="22" t="str">
        <f>HYPERLINK("#2310!H3","食器洗い乾燥機")</f>
        <v>食器洗い乾燥機</v>
      </c>
    </row>
    <row r="496" spans="1:4" x14ac:dyDescent="0.4">
      <c r="A496" s="21">
        <f t="shared" si="60"/>
        <v>2310</v>
      </c>
      <c r="B496" s="22" t="str">
        <f t="shared" si="61"/>
        <v>機械器具月報（その31）民生用電気機械器具</v>
      </c>
      <c r="C496" s="21" t="str">
        <f>HYPERLINK("#2310!M3","0103")</f>
        <v>0103</v>
      </c>
      <c r="D496" s="22" t="str">
        <f>HYPERLINK("#2310!M3","電気冷蔵庫")</f>
        <v>電気冷蔵庫</v>
      </c>
    </row>
    <row r="497" spans="1:4" x14ac:dyDescent="0.4">
      <c r="A497" s="21">
        <f t="shared" si="60"/>
        <v>2310</v>
      </c>
      <c r="B497" s="22" t="str">
        <f t="shared" si="61"/>
        <v>機械器具月報（その31）民生用電気機械器具</v>
      </c>
      <c r="C497" s="21" t="str">
        <f>HYPERLINK("#2310!R3","0104")</f>
        <v>0104</v>
      </c>
      <c r="D497" s="22" t="str">
        <f>HYPERLINK("#2310!R3","クッキングヒーター")</f>
        <v>クッキングヒーター</v>
      </c>
    </row>
    <row r="498" spans="1:4" x14ac:dyDescent="0.4">
      <c r="A498" s="21">
        <f t="shared" si="60"/>
        <v>2310</v>
      </c>
      <c r="B498" s="22" t="str">
        <f t="shared" si="61"/>
        <v>機械器具月報（その31）民生用電気機械器具</v>
      </c>
      <c r="C498" s="21" t="str">
        <f>HYPERLINK("#2310!W3","0105")</f>
        <v>0105</v>
      </c>
      <c r="D498" s="22" t="str">
        <f>HYPERLINK("#2310!W3","換気扇")</f>
        <v>換気扇</v>
      </c>
    </row>
    <row r="499" spans="1:4" x14ac:dyDescent="0.4">
      <c r="A499" s="21">
        <f t="shared" si="60"/>
        <v>2310</v>
      </c>
      <c r="B499" s="22" t="str">
        <f t="shared" si="61"/>
        <v>機械器具月報（その31）民生用電気機械器具</v>
      </c>
      <c r="C499" s="21" t="str">
        <f>HYPERLINK("#2310!AB3","0106")</f>
        <v>0106</v>
      </c>
      <c r="D499" s="22" t="str">
        <f>HYPERLINK("#2310!AB3","電気温水器")</f>
        <v>電気温水器</v>
      </c>
    </row>
    <row r="500" spans="1:4" x14ac:dyDescent="0.4">
      <c r="A500" s="21">
        <f t="shared" si="60"/>
        <v>2310</v>
      </c>
      <c r="B500" s="22" t="str">
        <f t="shared" si="61"/>
        <v>機械器具月報（その31）民生用電気機械器具</v>
      </c>
      <c r="C500" s="21" t="str">
        <f>HYPERLINK("#2310!AG3","0107")</f>
        <v>0107</v>
      </c>
      <c r="D500" s="22" t="str">
        <f>HYPERLINK("#2310!AG3","自然冷媒ヒートポンプ式給湯機")</f>
        <v>自然冷媒ヒートポンプ式給湯機</v>
      </c>
    </row>
    <row r="501" spans="1:4" x14ac:dyDescent="0.4">
      <c r="A501" s="21">
        <f t="shared" si="60"/>
        <v>2310</v>
      </c>
      <c r="B501" s="22" t="str">
        <f t="shared" si="61"/>
        <v>機械器具月報（その31）民生用電気機械器具</v>
      </c>
      <c r="C501" s="21" t="str">
        <f>HYPERLINK("#2310!AL3","0108")</f>
        <v>0108</v>
      </c>
      <c r="D501" s="22" t="str">
        <f>HYPERLINK("#2310!AL3","家庭用電気井戸ポンプ")</f>
        <v>家庭用電気井戸ポンプ</v>
      </c>
    </row>
    <row r="502" spans="1:4" x14ac:dyDescent="0.4">
      <c r="A502" s="21">
        <f t="shared" si="60"/>
        <v>2310</v>
      </c>
      <c r="B502" s="22" t="str">
        <f t="shared" si="61"/>
        <v>機械器具月報（その31）民生用電気機械器具</v>
      </c>
      <c r="C502" s="21" t="str">
        <f>HYPERLINK("#2310!AQ3","0109")</f>
        <v>0109</v>
      </c>
      <c r="D502" s="22" t="str">
        <f>HYPERLINK("#2310!AQ3","電気洗濯機（洗濯乾燥機含む)")</f>
        <v>電気洗濯機（洗濯乾燥機含む)</v>
      </c>
    </row>
    <row r="503" spans="1:4" x14ac:dyDescent="0.4">
      <c r="A503" s="21">
        <f t="shared" si="60"/>
        <v>2310</v>
      </c>
      <c r="B503" s="22" t="str">
        <f t="shared" si="61"/>
        <v>機械器具月報（その31）民生用電気機械器具</v>
      </c>
      <c r="C503" s="21" t="str">
        <f>HYPERLINK("#2310!AV3","0110")</f>
        <v>0110</v>
      </c>
      <c r="D503" s="22" t="str">
        <f>HYPERLINK("#2310!AV3","電気掃除機")</f>
        <v>電気掃除機</v>
      </c>
    </row>
    <row r="504" spans="1:4" x14ac:dyDescent="0.4">
      <c r="A504" s="21">
        <f t="shared" si="60"/>
        <v>2310</v>
      </c>
      <c r="B504" s="22" t="str">
        <f t="shared" si="61"/>
        <v>機械器具月報（その31）民生用電気機械器具</v>
      </c>
      <c r="C504" s="21" t="str">
        <f>HYPERLINK("#2310!BA3","0111")</f>
        <v>0111</v>
      </c>
      <c r="D504" s="22" t="str">
        <f>HYPERLINK("#2310!BA3","温水洗浄便座")</f>
        <v>温水洗浄便座</v>
      </c>
    </row>
    <row r="505" spans="1:4" x14ac:dyDescent="0.4">
      <c r="A505" s="21">
        <f t="shared" si="60"/>
        <v>2310</v>
      </c>
      <c r="B505" s="22" t="str">
        <f t="shared" si="61"/>
        <v>機械器具月報（その31）民生用電気機械器具</v>
      </c>
      <c r="C505" s="21" t="str">
        <f>HYPERLINK("#2310!BF3","0112")</f>
        <v>0112</v>
      </c>
      <c r="D505" s="22" t="str">
        <f>HYPERLINK("#2310!BF3","電気かみそり")</f>
        <v>電気かみそり</v>
      </c>
    </row>
    <row r="506" spans="1:4" x14ac:dyDescent="0.4">
      <c r="A506" s="21">
        <f t="shared" si="60"/>
        <v>2310</v>
      </c>
      <c r="B506" s="22" t="str">
        <f t="shared" si="61"/>
        <v>機械器具月報（その31）民生用電気機械器具</v>
      </c>
      <c r="C506" s="21" t="str">
        <f>HYPERLINK("#2310!BK3","0113")</f>
        <v>0113</v>
      </c>
      <c r="D506" s="22" t="str">
        <f>HYPERLINK("#2310!BK3","電気マッサージ器具")</f>
        <v>電気マッサージ器具</v>
      </c>
    </row>
    <row r="507" spans="1:4" x14ac:dyDescent="0.4">
      <c r="A507" s="21">
        <f t="shared" ref="A507:A523" si="62">HYPERLINK("#2320!A1 ",2320)</f>
        <v>2320</v>
      </c>
      <c r="B507" s="22" t="str">
        <f t="shared" ref="B507:B523" si="63">HYPERLINK("#2320!A1 ","機械器具月報（その32）電球、配線及び電気照明器具")</f>
        <v>機械器具月報（その32）電球、配線及び電気照明器具</v>
      </c>
      <c r="C507" s="21" t="str">
        <f>HYPERLINK("#2320!C3","0101")</f>
        <v>0101</v>
      </c>
      <c r="D507" s="22" t="str">
        <f>HYPERLINK("#2320!C3","自動車用電球")</f>
        <v>自動車用電球</v>
      </c>
    </row>
    <row r="508" spans="1:4" x14ac:dyDescent="0.4">
      <c r="A508" s="21">
        <f t="shared" si="62"/>
        <v>2320</v>
      </c>
      <c r="B508" s="22" t="str">
        <f t="shared" si="63"/>
        <v>機械器具月報（その32）電球、配線及び電気照明器具</v>
      </c>
      <c r="C508" s="21" t="str">
        <f>HYPERLINK("#2320!H3","0102")</f>
        <v>0102</v>
      </c>
      <c r="D508" s="22" t="str">
        <f>HYPERLINK("#2320!H3","ハロゲン電球")</f>
        <v>ハロゲン電球</v>
      </c>
    </row>
    <row r="509" spans="1:4" x14ac:dyDescent="0.4">
      <c r="A509" s="21">
        <f t="shared" si="62"/>
        <v>2320</v>
      </c>
      <c r="B509" s="22" t="str">
        <f t="shared" si="63"/>
        <v>機械器具月報（その32）電球、配線及び電気照明器具</v>
      </c>
      <c r="C509" s="21" t="str">
        <f>HYPERLINK("#2320!M3","0103")</f>
        <v>0103</v>
      </c>
      <c r="D509" s="22" t="str">
        <f>HYPERLINK("#2320!M3","その他の白熱電球")</f>
        <v>その他の白熱電球</v>
      </c>
    </row>
    <row r="510" spans="1:4" x14ac:dyDescent="0.4">
      <c r="A510" s="21">
        <f t="shared" si="62"/>
        <v>2320</v>
      </c>
      <c r="B510" s="22" t="str">
        <f t="shared" si="63"/>
        <v>機械器具月報（その32）電球、配線及び電気照明器具</v>
      </c>
      <c r="C510" s="21" t="str">
        <f>HYPERLINK("#2320!R3","0104")</f>
        <v>0104</v>
      </c>
      <c r="D510" s="22" t="str">
        <f>HYPERLINK("#2320!R3","蛍光ランプ(直管形の２０Ｗ)")</f>
        <v>蛍光ランプ(直管形の２０Ｗ)</v>
      </c>
    </row>
    <row r="511" spans="1:4" x14ac:dyDescent="0.4">
      <c r="A511" s="21">
        <f t="shared" si="62"/>
        <v>2320</v>
      </c>
      <c r="B511" s="22" t="str">
        <f t="shared" si="63"/>
        <v>機械器具月報（その32）電球、配線及び電気照明器具</v>
      </c>
      <c r="C511" s="21" t="str">
        <f>HYPERLINK("#2320!W3","0105")</f>
        <v>0105</v>
      </c>
      <c r="D511" s="22" t="str">
        <f>HYPERLINK("#2320!W3","蛍光ランプ(直管形の４０Ｗ)")</f>
        <v>蛍光ランプ(直管形の４０Ｗ)</v>
      </c>
    </row>
    <row r="512" spans="1:4" x14ac:dyDescent="0.4">
      <c r="A512" s="21">
        <f t="shared" si="62"/>
        <v>2320</v>
      </c>
      <c r="B512" s="22" t="str">
        <f t="shared" si="63"/>
        <v>機械器具月報（その32）電球、配線及び電気照明器具</v>
      </c>
      <c r="C512" s="21" t="str">
        <f>HYPERLINK("#2320!AB3","0106")</f>
        <v>0106</v>
      </c>
      <c r="D512" s="22" t="str">
        <f>HYPERLINK("#2320!AB3","その他の蛍光ランプ")</f>
        <v>その他の蛍光ランプ</v>
      </c>
    </row>
    <row r="513" spans="1:4" x14ac:dyDescent="0.4">
      <c r="A513" s="21">
        <f t="shared" si="62"/>
        <v>2320</v>
      </c>
      <c r="B513" s="22" t="str">
        <f t="shared" si="63"/>
        <v>機械器具月報（その32）電球、配線及び電気照明器具</v>
      </c>
      <c r="C513" s="21" t="str">
        <f>HYPERLINK("#2320!AG3","0107")</f>
        <v>0107</v>
      </c>
      <c r="D513" s="22" t="str">
        <f>HYPERLINK("#2320!AG3","ＨＩＤランプ")</f>
        <v>ＨＩＤランプ</v>
      </c>
    </row>
    <row r="514" spans="1:4" x14ac:dyDescent="0.4">
      <c r="A514" s="21">
        <f t="shared" si="62"/>
        <v>2320</v>
      </c>
      <c r="B514" s="22" t="str">
        <f t="shared" si="63"/>
        <v>機械器具月報（その32）電球、配線及び電気照明器具</v>
      </c>
      <c r="C514" s="21" t="str">
        <f>HYPERLINK("#2320!AL3","0108")</f>
        <v>0108</v>
      </c>
      <c r="D514" s="22" t="str">
        <f>HYPERLINK("#2320!AL3","その他の放電ランプ")</f>
        <v>その他の放電ランプ</v>
      </c>
    </row>
    <row r="515" spans="1:4" x14ac:dyDescent="0.4">
      <c r="A515" s="21">
        <f t="shared" si="62"/>
        <v>2320</v>
      </c>
      <c r="B515" s="22" t="str">
        <f t="shared" si="63"/>
        <v>機械器具月報（その32）電球、配線及び電気照明器具</v>
      </c>
      <c r="C515" s="21" t="str">
        <f>HYPERLINK("#2320!AQ3","0109")</f>
        <v>0109</v>
      </c>
      <c r="D515" s="22" t="str">
        <f>HYPERLINK("#2320!AQ3","ＬＥＤランプ(電球形)(直管を除く)")</f>
        <v>ＬＥＤランプ(電球形)(直管を除く)</v>
      </c>
    </row>
    <row r="516" spans="1:4" x14ac:dyDescent="0.4">
      <c r="A516" s="21">
        <f t="shared" si="62"/>
        <v>2320</v>
      </c>
      <c r="B516" s="22" t="str">
        <f t="shared" si="63"/>
        <v>機械器具月報（その32）電球、配線及び電気照明器具</v>
      </c>
      <c r="C516" s="21" t="str">
        <f>HYPERLINK("#2320!AV3","0110")</f>
        <v>0110</v>
      </c>
      <c r="D516" s="22" t="str">
        <f>HYPERLINK("#2320!AV3","ＬＥＤランプ(直管)")</f>
        <v>ＬＥＤランプ(直管)</v>
      </c>
    </row>
    <row r="517" spans="1:4" x14ac:dyDescent="0.4">
      <c r="A517" s="21">
        <f t="shared" si="62"/>
        <v>2320</v>
      </c>
      <c r="B517" s="22" t="str">
        <f t="shared" si="63"/>
        <v>機械器具月報（その32）電球、配線及び電気照明器具</v>
      </c>
      <c r="C517" s="21" t="str">
        <f>HYPERLINK("#2320!BA3","0111")</f>
        <v>0111</v>
      </c>
      <c r="D517" s="22" t="str">
        <f>HYPERLINK("#2320!BA3","配線器具(接続器)(自己消費を除く)")</f>
        <v>配線器具(接続器)(自己消費を除く)</v>
      </c>
    </row>
    <row r="518" spans="1:4" x14ac:dyDescent="0.4">
      <c r="A518" s="21">
        <f t="shared" si="62"/>
        <v>2320</v>
      </c>
      <c r="B518" s="22" t="str">
        <f t="shared" si="63"/>
        <v>機械器具月報（その32）電球、配線及び電気照明器具</v>
      </c>
      <c r="C518" s="21" t="str">
        <f>HYPERLINK("#2320!BF3","0112")</f>
        <v>0112</v>
      </c>
      <c r="D518" s="22" t="str">
        <f>HYPERLINK("#2320!BF3","その他の配線器具(自己消費を除く)")</f>
        <v>その他の配線器具(自己消費を除く)</v>
      </c>
    </row>
    <row r="519" spans="1:4" x14ac:dyDescent="0.4">
      <c r="A519" s="21">
        <f t="shared" si="62"/>
        <v>2320</v>
      </c>
      <c r="B519" s="22" t="str">
        <f t="shared" si="63"/>
        <v>機械器具月報（その32）電球、配線及び電気照明器具</v>
      </c>
      <c r="C519" s="21" t="str">
        <f>HYPERLINK("#2320!BK3","0113")</f>
        <v>0113</v>
      </c>
      <c r="D519" s="22" t="str">
        <f>HYPERLINK("#2320!BK3","白熱灯器具")</f>
        <v>白熱灯器具</v>
      </c>
    </row>
    <row r="520" spans="1:4" x14ac:dyDescent="0.4">
      <c r="A520" s="21">
        <f t="shared" si="62"/>
        <v>2320</v>
      </c>
      <c r="B520" s="22" t="str">
        <f t="shared" si="63"/>
        <v>機械器具月報（その32）電球、配線及び電気照明器具</v>
      </c>
      <c r="C520" s="21" t="str">
        <f>HYPERLINK("#2320!BP3","0114")</f>
        <v>0114</v>
      </c>
      <c r="D520" s="22" t="str">
        <f>HYPERLINK("#2320!BP3","蛍光灯器具(直管又は環形管を使用するもの)")</f>
        <v>蛍光灯器具(直管又は環形管を使用するもの)</v>
      </c>
    </row>
    <row r="521" spans="1:4" x14ac:dyDescent="0.4">
      <c r="A521" s="21">
        <f t="shared" si="62"/>
        <v>2320</v>
      </c>
      <c r="B521" s="22" t="str">
        <f t="shared" si="63"/>
        <v>機械器具月報（その32）電球、配線及び電気照明器具</v>
      </c>
      <c r="C521" s="21" t="str">
        <f>HYPERLINK("#2320!BU3","0115")</f>
        <v>0115</v>
      </c>
      <c r="D521" s="22" t="str">
        <f>HYPERLINK("#2320!BU3","高圧放電灯器具")</f>
        <v>高圧放電灯器具</v>
      </c>
    </row>
    <row r="522" spans="1:4" x14ac:dyDescent="0.4">
      <c r="A522" s="21">
        <f t="shared" si="62"/>
        <v>2320</v>
      </c>
      <c r="B522" s="22" t="str">
        <f t="shared" si="63"/>
        <v>機械器具月報（その32）電球、配線及び電気照明器具</v>
      </c>
      <c r="C522" s="21" t="str">
        <f>HYPERLINK("#2320!BZ3","0116")</f>
        <v>0116</v>
      </c>
      <c r="D522" s="22" t="str">
        <f>HYPERLINK("#2320!BZ3","ＬＥＤ器具（自動車用を除く）")</f>
        <v>ＬＥＤ器具（自動車用を除く）</v>
      </c>
    </row>
    <row r="523" spans="1:4" x14ac:dyDescent="0.4">
      <c r="A523" s="21">
        <f t="shared" si="62"/>
        <v>2320</v>
      </c>
      <c r="B523" s="22" t="str">
        <f t="shared" si="63"/>
        <v>機械器具月報（その32）電球、配線及び電気照明器具</v>
      </c>
      <c r="C523" s="21" t="str">
        <f>HYPERLINK("#2320!CE3","0117")</f>
        <v>0117</v>
      </c>
      <c r="D523" s="22" t="str">
        <f>HYPERLINK("#2320!CE3","自動車用電気照明器具(二輪自動車用を含む)")</f>
        <v>自動車用電気照明器具(二輪自動車用を含む)</v>
      </c>
    </row>
    <row r="524" spans="1:4" x14ac:dyDescent="0.4">
      <c r="A524" s="21">
        <f t="shared" ref="A524:A542" si="64">HYPERLINK("#2330!A1 ",2330)</f>
        <v>2330</v>
      </c>
      <c r="B524" s="22" t="str">
        <f t="shared" ref="B524:B542" si="65">HYPERLINK("#2330!A1 ","機械器具月報（その33）通信機械器具及び無線応用装置")</f>
        <v>機械器具月報（その33）通信機械器具及び無線応用装置</v>
      </c>
      <c r="C524" s="21" t="str">
        <f>HYPERLINK("#2330!C3","0101")</f>
        <v>0101</v>
      </c>
      <c r="D524" s="22" t="str">
        <f>HYPERLINK("#2330!C3","電話機(固定式)")</f>
        <v>電話機(固定式)</v>
      </c>
    </row>
    <row r="525" spans="1:4" x14ac:dyDescent="0.4">
      <c r="A525" s="21">
        <f t="shared" si="64"/>
        <v>2330</v>
      </c>
      <c r="B525" s="22" t="str">
        <f t="shared" si="65"/>
        <v>機械器具月報（その33）通信機械器具及び無線応用装置</v>
      </c>
      <c r="C525" s="21" t="str">
        <f>HYPERLINK("#2330!H3","0102")</f>
        <v>0102</v>
      </c>
      <c r="D525" s="22" t="str">
        <f>HYPERLINK("#2330!H3","ボタン電話装置")</f>
        <v>ボタン電話装置</v>
      </c>
    </row>
    <row r="526" spans="1:4" x14ac:dyDescent="0.4">
      <c r="A526" s="21">
        <f t="shared" si="64"/>
        <v>2330</v>
      </c>
      <c r="B526" s="22" t="str">
        <f t="shared" si="65"/>
        <v>機械器具月報（その33）通信機械器具及び無線応用装置</v>
      </c>
      <c r="C526" s="21" t="str">
        <f>HYPERLINK("#2330!M3","0103")</f>
        <v>0103</v>
      </c>
      <c r="D526" s="22" t="str">
        <f>HYPERLINK("#2330!M3","インターホン")</f>
        <v>インターホン</v>
      </c>
    </row>
    <row r="527" spans="1:4" x14ac:dyDescent="0.4">
      <c r="A527" s="21">
        <f t="shared" si="64"/>
        <v>2330</v>
      </c>
      <c r="B527" s="22" t="str">
        <f t="shared" si="65"/>
        <v>機械器具月報（その33）通信機械器具及び無線応用装置</v>
      </c>
      <c r="C527" s="21" t="str">
        <f>HYPERLINK("#2330!R3","0104")</f>
        <v>0104</v>
      </c>
      <c r="D527" s="22" t="str">
        <f>HYPERLINK("#2330!R3","電子交換機")</f>
        <v>電子交換機</v>
      </c>
    </row>
    <row r="528" spans="1:4" x14ac:dyDescent="0.4">
      <c r="A528" s="21">
        <f t="shared" si="64"/>
        <v>2330</v>
      </c>
      <c r="B528" s="22" t="str">
        <f t="shared" si="65"/>
        <v>機械器具月報（その33）通信機械器具及び無線応用装置</v>
      </c>
      <c r="C528" s="21" t="str">
        <f>HYPERLINK("#2330!S3","0105")</f>
        <v>0105</v>
      </c>
      <c r="D528" s="22" t="str">
        <f>HYPERLINK("#2330!S3","その他の交換機・付属装置")</f>
        <v>その他の交換機・付属装置</v>
      </c>
    </row>
    <row r="529" spans="1:4" x14ac:dyDescent="0.4">
      <c r="A529" s="21">
        <f t="shared" si="64"/>
        <v>2330</v>
      </c>
      <c r="B529" s="22" t="str">
        <f t="shared" si="65"/>
        <v>機械器具月報（その33）通信機械器具及び無線応用装置</v>
      </c>
      <c r="C529" s="21" t="str">
        <f>HYPERLINK("#2330!T3","0106")</f>
        <v>0106</v>
      </c>
      <c r="D529" s="22" t="str">
        <f>HYPERLINK("#2330!T3","デジタル伝送装置")</f>
        <v>デジタル伝送装置</v>
      </c>
    </row>
    <row r="530" spans="1:4" x14ac:dyDescent="0.4">
      <c r="A530" s="21">
        <f t="shared" si="64"/>
        <v>2330</v>
      </c>
      <c r="B530" s="22" t="str">
        <f t="shared" si="65"/>
        <v>機械器具月報（その33）通信機械器具及び無線応用装置</v>
      </c>
      <c r="C530" s="21" t="str">
        <f>HYPERLINK("#2330!V3","0107")</f>
        <v>0107</v>
      </c>
      <c r="D530" s="22" t="str">
        <f>HYPERLINK("#2330!V3","その他の搬送装置・付属装置（変復調装置を含む）")</f>
        <v>その他の搬送装置・付属装置（変復調装置を含む）</v>
      </c>
    </row>
    <row r="531" spans="1:4" x14ac:dyDescent="0.4">
      <c r="A531" s="21">
        <f t="shared" si="64"/>
        <v>2330</v>
      </c>
      <c r="B531" s="22" t="str">
        <f t="shared" si="65"/>
        <v>機械器具月報（その33）通信機械器具及び無線応用装置</v>
      </c>
      <c r="C531" s="21" t="str">
        <f>HYPERLINK("#2330!W3","0108")</f>
        <v>0108</v>
      </c>
      <c r="D531" s="22" t="str">
        <f>HYPERLINK("#2330!W3","放送装置")</f>
        <v>放送装置</v>
      </c>
    </row>
    <row r="532" spans="1:4" x14ac:dyDescent="0.4">
      <c r="A532" s="21">
        <f t="shared" si="64"/>
        <v>2330</v>
      </c>
      <c r="B532" s="22" t="str">
        <f t="shared" si="65"/>
        <v>機械器具月報（その33）通信機械器具及び無線応用装置</v>
      </c>
      <c r="C532" s="21" t="str">
        <f>HYPERLINK("#2330!Y3","0109")</f>
        <v>0109</v>
      </c>
      <c r="D532" s="22" t="str">
        <f>HYPERLINK("#2330!Y3","固定通信装置（衛星・地上系）")</f>
        <v>固定通信装置（衛星・地上系）</v>
      </c>
    </row>
    <row r="533" spans="1:4" x14ac:dyDescent="0.4">
      <c r="A533" s="21">
        <f t="shared" si="64"/>
        <v>2330</v>
      </c>
      <c r="B533" s="22" t="str">
        <f t="shared" si="65"/>
        <v>機械器具月報（その33）通信機械器具及び無線応用装置</v>
      </c>
      <c r="C533" s="21" t="str">
        <f>HYPERLINK("#2330!AA3","0110")</f>
        <v>0110</v>
      </c>
      <c r="D533" s="22" t="str">
        <f>HYPERLINK("#2330!AA3","携帯電話")</f>
        <v>携帯電話</v>
      </c>
    </row>
    <row r="534" spans="1:4" x14ac:dyDescent="0.4">
      <c r="A534" s="21">
        <f t="shared" si="64"/>
        <v>2330</v>
      </c>
      <c r="B534" s="22" t="str">
        <f t="shared" si="65"/>
        <v>機械器具月報（その33）通信機械器具及び無線応用装置</v>
      </c>
      <c r="C534" s="21" t="str">
        <f>HYPERLINK("#2330!AF3","0111")</f>
        <v>0111</v>
      </c>
      <c r="D534" s="22" t="str">
        <f>HYPERLINK("#2330!AF3","その他の陸上移動通信装置")</f>
        <v>その他の陸上移動通信装置</v>
      </c>
    </row>
    <row r="535" spans="1:4" x14ac:dyDescent="0.4">
      <c r="A535" s="21">
        <f t="shared" si="64"/>
        <v>2330</v>
      </c>
      <c r="B535" s="22" t="str">
        <f t="shared" si="65"/>
        <v>機械器具月報（その33）通信機械器具及び無線応用装置</v>
      </c>
      <c r="C535" s="21" t="str">
        <f>HYPERLINK("#2330!AK3","0112")</f>
        <v>0112</v>
      </c>
      <c r="D535" s="22" t="str">
        <f>HYPERLINK("#2330!AK3","海上・航空移動通信装置")</f>
        <v>海上・航空移動通信装置</v>
      </c>
    </row>
    <row r="536" spans="1:4" x14ac:dyDescent="0.4">
      <c r="A536" s="21">
        <f t="shared" si="64"/>
        <v>2330</v>
      </c>
      <c r="B536" s="22" t="str">
        <f t="shared" si="65"/>
        <v>機械器具月報（その33）通信機械器具及び無線応用装置</v>
      </c>
      <c r="C536" s="21" t="str">
        <f>HYPERLINK("#2330!AM3","0113")</f>
        <v>0113</v>
      </c>
      <c r="D536" s="22" t="str">
        <f>HYPERLINK("#2330!AM3","基地局通信装置")</f>
        <v>基地局通信装置</v>
      </c>
    </row>
    <row r="537" spans="1:4" x14ac:dyDescent="0.4">
      <c r="A537" s="21">
        <f t="shared" si="64"/>
        <v>2330</v>
      </c>
      <c r="B537" s="22" t="str">
        <f t="shared" si="65"/>
        <v>機械器具月報（その33）通信機械器具及び無線応用装置</v>
      </c>
      <c r="C537" s="21" t="str">
        <f>HYPERLINK("#2330!AO3","0114")</f>
        <v>0114</v>
      </c>
      <c r="D537" s="22" t="str">
        <f>HYPERLINK("#2330!AO3","その他の無線通信装置")</f>
        <v>その他の無線通信装置</v>
      </c>
    </row>
    <row r="538" spans="1:4" x14ac:dyDescent="0.4">
      <c r="A538" s="21">
        <f t="shared" si="64"/>
        <v>2330</v>
      </c>
      <c r="B538" s="22" t="str">
        <f t="shared" si="65"/>
        <v>機械器具月報（その33）通信機械器具及び無線応用装置</v>
      </c>
      <c r="C538" s="21" t="str">
        <f>HYPERLINK("#2330!AQ3","0115")</f>
        <v>0115</v>
      </c>
      <c r="D538" s="22" t="str">
        <f>HYPERLINK("#2330!AQ3","レーダ装置")</f>
        <v>レーダ装置</v>
      </c>
    </row>
    <row r="539" spans="1:4" x14ac:dyDescent="0.4">
      <c r="A539" s="21">
        <f t="shared" si="64"/>
        <v>2330</v>
      </c>
      <c r="B539" s="22" t="str">
        <f t="shared" si="65"/>
        <v>機械器具月報（その33）通信機械器具及び無線応用装置</v>
      </c>
      <c r="C539" s="21" t="str">
        <f>HYPERLINK("#2330!AS3","0116")</f>
        <v>0116</v>
      </c>
      <c r="D539" s="22" t="str">
        <f>HYPERLINK("#2330!AS3","無線位置測定装置")</f>
        <v>無線位置測定装置</v>
      </c>
    </row>
    <row r="540" spans="1:4" x14ac:dyDescent="0.4">
      <c r="A540" s="21">
        <f t="shared" si="64"/>
        <v>2330</v>
      </c>
      <c r="B540" s="22" t="str">
        <f t="shared" si="65"/>
        <v>機械器具月報（その33）通信機械器具及び無線応用装置</v>
      </c>
      <c r="C540" s="21" t="str">
        <f>HYPERLINK("#2330!AU3","0117")</f>
        <v>0117</v>
      </c>
      <c r="D540" s="22" t="str">
        <f>HYPERLINK("#2330!AU3","テレメータ・テレコントロール")</f>
        <v>テレメータ・テレコントロール</v>
      </c>
    </row>
    <row r="541" spans="1:4" x14ac:dyDescent="0.4">
      <c r="A541" s="21">
        <f t="shared" si="64"/>
        <v>2330</v>
      </c>
      <c r="B541" s="22" t="str">
        <f t="shared" si="65"/>
        <v>機械器具月報（その33）通信機械器具及び無線応用装置</v>
      </c>
      <c r="C541" s="21" t="str">
        <f>HYPERLINK("#2330!AW3","0118")</f>
        <v>0118</v>
      </c>
      <c r="D541" s="22" t="str">
        <f>HYPERLINK("#2330!AW3","その他の無線応用装置")</f>
        <v>その他の無線応用装置</v>
      </c>
    </row>
    <row r="542" spans="1:4" x14ac:dyDescent="0.4">
      <c r="A542" s="21">
        <f t="shared" si="64"/>
        <v>2330</v>
      </c>
      <c r="B542" s="22" t="str">
        <f t="shared" si="65"/>
        <v>機械器具月報（その33）通信機械器具及び無線応用装置</v>
      </c>
      <c r="C542" s="21" t="str">
        <f>HYPERLINK("#2330!AX3","0119")</f>
        <v>0119</v>
      </c>
      <c r="D542" s="22" t="str">
        <f>HYPERLINK("#2330!AX3","ネットワーク接続機器")</f>
        <v>ネットワーク接続機器</v>
      </c>
    </row>
    <row r="543" spans="1:4" x14ac:dyDescent="0.4">
      <c r="A543" s="21">
        <f t="shared" ref="A543:A548" si="66">HYPERLINK("#2340!A1 ",2340)</f>
        <v>2340</v>
      </c>
      <c r="B543" s="22" t="str">
        <f t="shared" ref="B543:B548" si="67">HYPERLINK("#2340!A1 ","機械器具月報（その34）民生用電子機械器具")</f>
        <v>機械器具月報（その34）民生用電子機械器具</v>
      </c>
      <c r="C543" s="21" t="str">
        <f>HYPERLINK("#2340!C3","0101")</f>
        <v>0101</v>
      </c>
      <c r="D543" s="22" t="str">
        <f>HYPERLINK("#2340!C3","薄型テレビ")</f>
        <v>薄型テレビ</v>
      </c>
    </row>
    <row r="544" spans="1:4" x14ac:dyDescent="0.4">
      <c r="A544" s="21">
        <f t="shared" si="66"/>
        <v>2340</v>
      </c>
      <c r="B544" s="22" t="str">
        <f t="shared" si="67"/>
        <v>機械器具月報（その34）民生用電子機械器具</v>
      </c>
      <c r="C544" s="21" t="str">
        <f>HYPERLINK("#2340!H3","0102")</f>
        <v>0102</v>
      </c>
      <c r="D544" s="22" t="str">
        <f>HYPERLINK("#2340!H3","デジタルカメラ( 一眼レフタイプ)(レンズ交換式)")</f>
        <v>デジタルカメラ( 一眼レフタイプ)(レンズ交換式)</v>
      </c>
    </row>
    <row r="545" spans="1:4" x14ac:dyDescent="0.4">
      <c r="A545" s="21">
        <f t="shared" si="66"/>
        <v>2340</v>
      </c>
      <c r="B545" s="22" t="str">
        <f t="shared" si="67"/>
        <v>機械器具月報（その34）民生用電子機械器具</v>
      </c>
      <c r="C545" s="21" t="str">
        <f>HYPERLINK("#2340!M3","0103")</f>
        <v>0103</v>
      </c>
      <c r="D545" s="22" t="str">
        <f>HYPERLINK("#2340!M3","デジタルカメラ(コンパクトタイプ)")</f>
        <v>デジタルカメラ(コンパクトタイプ)</v>
      </c>
    </row>
    <row r="546" spans="1:4" x14ac:dyDescent="0.4">
      <c r="A546" s="21">
        <f t="shared" si="66"/>
        <v>2340</v>
      </c>
      <c r="B546" s="22" t="str">
        <f t="shared" si="67"/>
        <v>機械器具月報（その34）民生用電子機械器具</v>
      </c>
      <c r="C546" s="21" t="str">
        <f>HYPERLINK("#2340!R3","0104")</f>
        <v>0104</v>
      </c>
      <c r="D546" s="22" t="str">
        <f>HYPERLINK("#2340!R3","カーオーディオ")</f>
        <v>カーオーディオ</v>
      </c>
    </row>
    <row r="547" spans="1:4" x14ac:dyDescent="0.4">
      <c r="A547" s="21">
        <f t="shared" si="66"/>
        <v>2340</v>
      </c>
      <c r="B547" s="22" t="str">
        <f t="shared" si="67"/>
        <v>機械器具月報（その34）民生用電子機械器具</v>
      </c>
      <c r="C547" s="21" t="str">
        <f>HYPERLINK("#2340!W3","0105")</f>
        <v>0105</v>
      </c>
      <c r="D547" s="22" t="str">
        <f>HYPERLINK("#2340!W3","カーナビゲーションシステム")</f>
        <v>カーナビゲーションシステム</v>
      </c>
    </row>
    <row r="548" spans="1:4" x14ac:dyDescent="0.4">
      <c r="A548" s="21">
        <f t="shared" si="66"/>
        <v>2340</v>
      </c>
      <c r="B548" s="22" t="str">
        <f t="shared" si="67"/>
        <v>機械器具月報（その34）民生用電子機械器具</v>
      </c>
      <c r="C548" s="21" t="str">
        <f>HYPERLINK("#2340!AB3","0106")</f>
        <v>0106</v>
      </c>
      <c r="D548" s="22" t="str">
        <f>HYPERLINK("#2340!AB3","補聴器")</f>
        <v>補聴器</v>
      </c>
    </row>
    <row r="549" spans="1:4" x14ac:dyDescent="0.4">
      <c r="A549" s="21">
        <f t="shared" ref="A549:A585" si="68">HYPERLINK("#2350!A1 ",2350)</f>
        <v>2350</v>
      </c>
      <c r="B549" s="22" t="str">
        <f t="shared" ref="B549:B585" si="69">HYPERLINK("#2350!A1 ","機械器具月報（その35）電子部品")</f>
        <v>機械器具月報（その35）電子部品</v>
      </c>
      <c r="C549" s="21" t="str">
        <f>HYPERLINK("#2350!C3","0101")</f>
        <v>0101</v>
      </c>
      <c r="D549" s="22" t="str">
        <f>HYPERLINK("#2350!C3","炭素系可変抵抗器(半固定を除く)")</f>
        <v>炭素系可変抵抗器(半固定を除く)</v>
      </c>
    </row>
    <row r="550" spans="1:4" x14ac:dyDescent="0.4">
      <c r="A550" s="21">
        <f t="shared" si="68"/>
        <v>2350</v>
      </c>
      <c r="B550" s="22" t="str">
        <f t="shared" si="69"/>
        <v>機械器具月報（その35）電子部品</v>
      </c>
      <c r="C550" s="21" t="str">
        <f>HYPERLINK("#2350!E3","0102")</f>
        <v>0102</v>
      </c>
      <c r="D550" s="22" t="str">
        <f>HYPERLINK("#2350!E3","その他の可変抵抗器")</f>
        <v>その他の可変抵抗器</v>
      </c>
    </row>
    <row r="551" spans="1:4" x14ac:dyDescent="0.4">
      <c r="A551" s="21">
        <f t="shared" si="68"/>
        <v>2350</v>
      </c>
      <c r="B551" s="22" t="str">
        <f t="shared" si="69"/>
        <v>機械器具月報（その35）電子部品</v>
      </c>
      <c r="C551" s="21" t="str">
        <f>HYPERLINK("#2350!G3","0103")</f>
        <v>0103</v>
      </c>
      <c r="D551" s="22" t="str">
        <f>HYPERLINK("#2350!G3","ネットワーク抵抗器(固定)")</f>
        <v>ネットワーク抵抗器(固定)</v>
      </c>
    </row>
    <row r="552" spans="1:4" x14ac:dyDescent="0.4">
      <c r="A552" s="21">
        <f t="shared" si="68"/>
        <v>2350</v>
      </c>
      <c r="B552" s="22" t="str">
        <f t="shared" si="69"/>
        <v>機械器具月報（その35）電子部品</v>
      </c>
      <c r="C552" s="21" t="str">
        <f>HYPERLINK("#2350!I3","0104")</f>
        <v>0104</v>
      </c>
      <c r="D552" s="22" t="str">
        <f>HYPERLINK("#2350!I3","チップ抵抗器(固定)")</f>
        <v>チップ抵抗器(固定)</v>
      </c>
    </row>
    <row r="553" spans="1:4" x14ac:dyDescent="0.4">
      <c r="A553" s="21">
        <f t="shared" si="68"/>
        <v>2350</v>
      </c>
      <c r="B553" s="22" t="str">
        <f t="shared" si="69"/>
        <v>機械器具月報（その35）電子部品</v>
      </c>
      <c r="C553" s="21" t="str">
        <f>HYPERLINK("#2350!K3","0105")</f>
        <v>0105</v>
      </c>
      <c r="D553" s="22" t="str">
        <f>HYPERLINK("#2350!K3","その他の固定抵抗器")</f>
        <v>その他の固定抵抗器</v>
      </c>
    </row>
    <row r="554" spans="1:4" x14ac:dyDescent="0.4">
      <c r="A554" s="21">
        <f t="shared" si="68"/>
        <v>2350</v>
      </c>
      <c r="B554" s="22" t="str">
        <f t="shared" si="69"/>
        <v>機械器具月報（その35）電子部品</v>
      </c>
      <c r="C554" s="21" t="str">
        <f>HYPERLINK("#2350!M3","0106")</f>
        <v>0106</v>
      </c>
      <c r="D554" s="22" t="str">
        <f>HYPERLINK("#2350!M3","アルミ電解コンデンサ")</f>
        <v>アルミ電解コンデンサ</v>
      </c>
    </row>
    <row r="555" spans="1:4" x14ac:dyDescent="0.4">
      <c r="A555" s="21">
        <f t="shared" si="68"/>
        <v>2350</v>
      </c>
      <c r="B555" s="22" t="str">
        <f t="shared" si="69"/>
        <v>機械器具月報（その35）電子部品</v>
      </c>
      <c r="C555" s="21" t="str">
        <f>HYPERLINK("#2350!O3","0107")</f>
        <v>0107</v>
      </c>
      <c r="D555" s="22" t="str">
        <f>HYPERLINK("#2350!O3","タンタル電解コンデンサ")</f>
        <v>タンタル電解コンデンサ</v>
      </c>
    </row>
    <row r="556" spans="1:4" x14ac:dyDescent="0.4">
      <c r="A556" s="21">
        <f t="shared" si="68"/>
        <v>2350</v>
      </c>
      <c r="B556" s="22" t="str">
        <f t="shared" si="69"/>
        <v>機械器具月報（その35）電子部品</v>
      </c>
      <c r="C556" s="21" t="str">
        <f>HYPERLINK("#2350!Q3","0108")</f>
        <v>0108</v>
      </c>
      <c r="D556" s="22" t="str">
        <f>HYPERLINK("#2350!Q3","セラミックコンデンサ")</f>
        <v>セラミックコンデンサ</v>
      </c>
    </row>
    <row r="557" spans="1:4" x14ac:dyDescent="0.4">
      <c r="A557" s="21">
        <f t="shared" si="68"/>
        <v>2350</v>
      </c>
      <c r="B557" s="22" t="str">
        <f t="shared" si="69"/>
        <v>機械器具月報（その35）電子部品</v>
      </c>
      <c r="C557" s="21" t="str">
        <f>HYPERLINK("#2350!S3","0109")</f>
        <v>0109</v>
      </c>
      <c r="D557" s="22" t="str">
        <f>HYPERLINK("#2350!S3","金属化有機フィルムコンデンサ")</f>
        <v>金属化有機フィルムコンデンサ</v>
      </c>
    </row>
    <row r="558" spans="1:4" x14ac:dyDescent="0.4">
      <c r="A558" s="21">
        <f t="shared" si="68"/>
        <v>2350</v>
      </c>
      <c r="B558" s="22" t="str">
        <f t="shared" si="69"/>
        <v>機械器具月報（その35）電子部品</v>
      </c>
      <c r="C558" s="21" t="str">
        <f>HYPERLINK("#2350!U3","0110")</f>
        <v>0110</v>
      </c>
      <c r="D558" s="22" t="str">
        <f>HYPERLINK("#2350!U3","その他の固定コンデンサ")</f>
        <v>その他の固定コンデンサ</v>
      </c>
    </row>
    <row r="559" spans="1:4" x14ac:dyDescent="0.4">
      <c r="A559" s="21">
        <f t="shared" si="68"/>
        <v>2350</v>
      </c>
      <c r="B559" s="22" t="str">
        <f t="shared" si="69"/>
        <v>機械器具月報（その35）電子部品</v>
      </c>
      <c r="C559" s="21" t="str">
        <f>HYPERLINK("#2350!W3","0111")</f>
        <v>0111</v>
      </c>
      <c r="D559" s="22" t="str">
        <f>HYPERLINK("#2350!W3","トランス(電子部品)")</f>
        <v>トランス(電子部品)</v>
      </c>
    </row>
    <row r="560" spans="1:4" x14ac:dyDescent="0.4">
      <c r="A560" s="21">
        <f t="shared" si="68"/>
        <v>2350</v>
      </c>
      <c r="B560" s="22" t="str">
        <f t="shared" si="69"/>
        <v>機械器具月報（その35）電子部品</v>
      </c>
      <c r="C560" s="21" t="str">
        <f>HYPERLINK("#2350!Y3","0112")</f>
        <v>0112</v>
      </c>
      <c r="D560" s="22" t="str">
        <f>HYPERLINK("#2350!Y3","インダクタ(コイルを含む)(電子部品)")</f>
        <v>インダクタ(コイルを含む)(電子部品)</v>
      </c>
    </row>
    <row r="561" spans="1:4" x14ac:dyDescent="0.4">
      <c r="A561" s="21">
        <f t="shared" si="68"/>
        <v>2350</v>
      </c>
      <c r="B561" s="22" t="str">
        <f t="shared" si="69"/>
        <v>機械器具月報（その35）電子部品</v>
      </c>
      <c r="C561" s="21" t="str">
        <f>HYPERLINK("#2350!AA3","0113")</f>
        <v>0113</v>
      </c>
      <c r="D561" s="22" t="str">
        <f>HYPERLINK("#2350!AA3","水晶振動子(電子部品)")</f>
        <v>水晶振動子(電子部品)</v>
      </c>
    </row>
    <row r="562" spans="1:4" x14ac:dyDescent="0.4">
      <c r="A562" s="21">
        <f t="shared" si="68"/>
        <v>2350</v>
      </c>
      <c r="B562" s="22" t="str">
        <f t="shared" si="69"/>
        <v>機械器具月報（その35）電子部品</v>
      </c>
      <c r="C562" s="21" t="str">
        <f>HYPERLINK("#2350!AC3","0114")</f>
        <v>0114</v>
      </c>
      <c r="D562" s="22" t="str">
        <f>HYPERLINK("#2350!AC3","フィルタ(電子部品)")</f>
        <v>フィルタ(電子部品)</v>
      </c>
    </row>
    <row r="563" spans="1:4" x14ac:dyDescent="0.4">
      <c r="A563" s="21">
        <f t="shared" si="68"/>
        <v>2350</v>
      </c>
      <c r="B563" s="22" t="str">
        <f t="shared" si="69"/>
        <v>機械器具月報（その35）電子部品</v>
      </c>
      <c r="C563" s="21" t="str">
        <f>HYPERLINK("#2350!AE3","0115")</f>
        <v>0115</v>
      </c>
      <c r="D563" s="22" t="str">
        <f>HYPERLINK("#2350!AE3","複合部品(電子部品)")</f>
        <v>複合部品(電子部品)</v>
      </c>
    </row>
    <row r="564" spans="1:4" x14ac:dyDescent="0.4">
      <c r="A564" s="21">
        <f t="shared" si="68"/>
        <v>2350</v>
      </c>
      <c r="B564" s="22" t="str">
        <f t="shared" si="69"/>
        <v>機械器具月報（その35）電子部品</v>
      </c>
      <c r="C564" s="21" t="str">
        <f>HYPERLINK("#2350!AG3","0116")</f>
        <v>0116</v>
      </c>
      <c r="D564" s="22" t="str">
        <f>HYPERLINK("#2350!AG3","スイッチ(通信・電子装置用に限る)")</f>
        <v>スイッチ(通信・電子装置用に限る)</v>
      </c>
    </row>
    <row r="565" spans="1:4" x14ac:dyDescent="0.4">
      <c r="A565" s="21">
        <f t="shared" si="68"/>
        <v>2350</v>
      </c>
      <c r="B565" s="22" t="str">
        <f t="shared" si="69"/>
        <v>機械器具月報（その35）電子部品</v>
      </c>
      <c r="C565" s="21" t="str">
        <f>HYPERLINK("#2350!AI3","0117")</f>
        <v>0117</v>
      </c>
      <c r="D565" s="22" t="str">
        <f>HYPERLINK("#2350!AI3","同軸コネクタ")</f>
        <v>同軸コネクタ</v>
      </c>
    </row>
    <row r="566" spans="1:4" x14ac:dyDescent="0.4">
      <c r="A566" s="21">
        <f t="shared" si="68"/>
        <v>2350</v>
      </c>
      <c r="B566" s="22" t="str">
        <f t="shared" si="69"/>
        <v>機械器具月報（その35）電子部品</v>
      </c>
      <c r="C566" s="21" t="str">
        <f>HYPERLINK("#2350!AK3","0118")</f>
        <v>0118</v>
      </c>
      <c r="D566" s="22" t="str">
        <f>HYPERLINK("#2350!AK3","プリント基板用コネクタ")</f>
        <v>プリント基板用コネクタ</v>
      </c>
    </row>
    <row r="567" spans="1:4" x14ac:dyDescent="0.4">
      <c r="A567" s="21">
        <f t="shared" si="68"/>
        <v>2350</v>
      </c>
      <c r="B567" s="22" t="str">
        <f t="shared" si="69"/>
        <v>機械器具月報（その35）電子部品</v>
      </c>
      <c r="C567" s="21" t="str">
        <f>HYPERLINK("#2350!AM3","0119")</f>
        <v>0119</v>
      </c>
      <c r="D567" s="22" t="str">
        <f>HYPERLINK("#2350!AM3","丸形コネクタ")</f>
        <v>丸形コネクタ</v>
      </c>
    </row>
    <row r="568" spans="1:4" x14ac:dyDescent="0.4">
      <c r="A568" s="21">
        <f t="shared" si="68"/>
        <v>2350</v>
      </c>
      <c r="B568" s="22" t="str">
        <f t="shared" si="69"/>
        <v>機械器具月報（その35）電子部品</v>
      </c>
      <c r="C568" s="21" t="str">
        <f>HYPERLINK("#2350!AO3","0120")</f>
        <v>0120</v>
      </c>
      <c r="D568" s="22" t="str">
        <f>HYPERLINK("#2350!AO3","角形コネクタ")</f>
        <v>角形コネクタ</v>
      </c>
    </row>
    <row r="569" spans="1:4" x14ac:dyDescent="0.4">
      <c r="A569" s="21">
        <f t="shared" si="68"/>
        <v>2350</v>
      </c>
      <c r="B569" s="22" t="str">
        <f t="shared" si="69"/>
        <v>機械器具月報（その35）電子部品</v>
      </c>
      <c r="C569" s="21" t="str">
        <f>HYPERLINK("#2350!AQ3","0121")</f>
        <v>0121</v>
      </c>
      <c r="D569" s="22" t="str">
        <f>HYPERLINK("#2350!AQ3","その他のコネクタ")</f>
        <v>その他のコネクタ</v>
      </c>
    </row>
    <row r="570" spans="1:4" x14ac:dyDescent="0.4">
      <c r="A570" s="21">
        <f t="shared" si="68"/>
        <v>2350</v>
      </c>
      <c r="B570" s="22" t="str">
        <f t="shared" si="69"/>
        <v>機械器具月報（その35）電子部品</v>
      </c>
      <c r="C570" s="21" t="str">
        <f>HYPERLINK("#2350!AS3","0122")</f>
        <v>0122</v>
      </c>
      <c r="D570" s="22" t="str">
        <f>HYPERLINK("#2350!AS3","リレー(有線通信機器用に限る)")</f>
        <v>リレー(有線通信機器用に限る)</v>
      </c>
    </row>
    <row r="571" spans="1:4" x14ac:dyDescent="0.4">
      <c r="A571" s="21">
        <f t="shared" si="68"/>
        <v>2350</v>
      </c>
      <c r="B571" s="22" t="str">
        <f t="shared" si="69"/>
        <v>機械器具月報（その35）電子部品</v>
      </c>
      <c r="C571" s="21" t="str">
        <f>HYPERLINK("#2350!AU3","0123")</f>
        <v>0123</v>
      </c>
      <c r="D571" s="22" t="str">
        <f>HYPERLINK("#2350!AU3","リジッド片面プリント配線板")</f>
        <v>リジッド片面プリント配線板</v>
      </c>
    </row>
    <row r="572" spans="1:4" x14ac:dyDescent="0.4">
      <c r="A572" s="21">
        <f t="shared" si="68"/>
        <v>2350</v>
      </c>
      <c r="B572" s="22" t="str">
        <f t="shared" si="69"/>
        <v>機械器具月報（その35）電子部品</v>
      </c>
      <c r="C572" s="21" t="str">
        <f>HYPERLINK("#2350!AW3","0124")</f>
        <v>0124</v>
      </c>
      <c r="D572" s="22" t="str">
        <f>HYPERLINK("#2350!AW3","リジッド両面プリント配線板")</f>
        <v>リジッド両面プリント配線板</v>
      </c>
    </row>
    <row r="573" spans="1:4" x14ac:dyDescent="0.4">
      <c r="A573" s="21">
        <f t="shared" si="68"/>
        <v>2350</v>
      </c>
      <c r="B573" s="22" t="str">
        <f t="shared" si="69"/>
        <v>機械器具月報（その35）電子部品</v>
      </c>
      <c r="C573" s="21" t="str">
        <f>HYPERLINK("#2350!AY3","0125")</f>
        <v>0125</v>
      </c>
      <c r="D573" s="22" t="str">
        <f>HYPERLINK("#2350!AY3","リジッド多層プリント配線板(４層)")</f>
        <v>リジッド多層プリント配線板(４層)</v>
      </c>
    </row>
    <row r="574" spans="1:4" x14ac:dyDescent="0.4">
      <c r="A574" s="21">
        <f t="shared" si="68"/>
        <v>2350</v>
      </c>
      <c r="B574" s="22" t="str">
        <f t="shared" si="69"/>
        <v>機械器具月報（その35）電子部品</v>
      </c>
      <c r="C574" s="21" t="str">
        <f>HYPERLINK("#2350!BA3","0126")</f>
        <v>0126</v>
      </c>
      <c r="D574" s="22" t="str">
        <f>HYPERLINK("#2350!BA3","リジッド多層プリント配線板(６～８層)")</f>
        <v>リジッド多層プリント配線板(６～８層)</v>
      </c>
    </row>
    <row r="575" spans="1:4" x14ac:dyDescent="0.4">
      <c r="A575" s="21">
        <f t="shared" si="68"/>
        <v>2350</v>
      </c>
      <c r="B575" s="22" t="str">
        <f t="shared" si="69"/>
        <v>機械器具月報（その35）電子部品</v>
      </c>
      <c r="C575" s="21" t="str">
        <f>HYPERLINK("#2350!BC3","0127")</f>
        <v>0127</v>
      </c>
      <c r="D575" s="22" t="str">
        <f>HYPERLINK("#2350!BC3","リジッド多層プリント配線板(１０層以上)")</f>
        <v>リジッド多層プリント配線板(１０層以上)</v>
      </c>
    </row>
    <row r="576" spans="1:4" x14ac:dyDescent="0.4">
      <c r="A576" s="21">
        <f t="shared" si="68"/>
        <v>2350</v>
      </c>
      <c r="B576" s="22" t="str">
        <f t="shared" si="69"/>
        <v>機械器具月報（その35）電子部品</v>
      </c>
      <c r="C576" s="21" t="str">
        <f>HYPERLINK("#2350!BE3","0128")</f>
        <v>0128</v>
      </c>
      <c r="D576" s="22" t="str">
        <f>HYPERLINK("#2350!BE3","リジッドビルドアップ多層プリント配線板")</f>
        <v>リジッドビルドアップ多層プリント配線板</v>
      </c>
    </row>
    <row r="577" spans="1:4" x14ac:dyDescent="0.4">
      <c r="A577" s="21">
        <f t="shared" si="68"/>
        <v>2350</v>
      </c>
      <c r="B577" s="22" t="str">
        <f t="shared" si="69"/>
        <v>機械器具月報（その35）電子部品</v>
      </c>
      <c r="C577" s="21" t="str">
        <f>HYPERLINK("#2350!BG3","0129")</f>
        <v>0129</v>
      </c>
      <c r="D577" s="22" t="str">
        <f>HYPERLINK("#2350!BG3","フレキシブル片面プリント配線板")</f>
        <v>フレキシブル片面プリント配線板</v>
      </c>
    </row>
    <row r="578" spans="1:4" x14ac:dyDescent="0.4">
      <c r="A578" s="21">
        <f t="shared" si="68"/>
        <v>2350</v>
      </c>
      <c r="B578" s="22" t="str">
        <f t="shared" si="69"/>
        <v>機械器具月報（その35）電子部品</v>
      </c>
      <c r="C578" s="21" t="str">
        <f>HYPERLINK("#2350!BI3","0130")</f>
        <v>0130</v>
      </c>
      <c r="D578" s="22" t="str">
        <f>HYPERLINK("#2350!BI3","フレキシブル両面・多層プリント配線板")</f>
        <v>フレキシブル両面・多層プリント配線板</v>
      </c>
    </row>
    <row r="579" spans="1:4" x14ac:dyDescent="0.4">
      <c r="A579" s="21">
        <f t="shared" si="68"/>
        <v>2350</v>
      </c>
      <c r="B579" s="22" t="str">
        <f t="shared" si="69"/>
        <v>機械器具月報（その35）電子部品</v>
      </c>
      <c r="C579" s="21" t="str">
        <f>HYPERLINK("#2350!BK3","0131")</f>
        <v>0131</v>
      </c>
      <c r="D579" s="22" t="str">
        <f>HYPERLINK("#2350!BK3","リジッド系モジュール基板")</f>
        <v>リジッド系モジュール基板</v>
      </c>
    </row>
    <row r="580" spans="1:4" x14ac:dyDescent="0.4">
      <c r="A580" s="21">
        <f t="shared" si="68"/>
        <v>2350</v>
      </c>
      <c r="B580" s="22" t="str">
        <f t="shared" si="69"/>
        <v>機械器具月報（その35）電子部品</v>
      </c>
      <c r="C580" s="21" t="str">
        <f>HYPERLINK("#2350!BM3","0132")</f>
        <v>0132</v>
      </c>
      <c r="D580" s="22" t="str">
        <f>HYPERLINK("#2350!BM3","その他のモジュール基板")</f>
        <v>その他のモジュール基板</v>
      </c>
    </row>
    <row r="581" spans="1:4" x14ac:dyDescent="0.4">
      <c r="A581" s="21">
        <f t="shared" si="68"/>
        <v>2350</v>
      </c>
      <c r="B581" s="22" t="str">
        <f t="shared" si="69"/>
        <v>機械器具月報（その35）電子部品</v>
      </c>
      <c r="C581" s="21" t="str">
        <f>HYPERLINK("#2350!BO3","0133")</f>
        <v>0133</v>
      </c>
      <c r="D581" s="22" t="str">
        <f>HYPERLINK("#2350!BO3","プリント配線実装基板")</f>
        <v>プリント配線実装基板</v>
      </c>
    </row>
    <row r="582" spans="1:4" x14ac:dyDescent="0.4">
      <c r="A582" s="21">
        <f t="shared" si="68"/>
        <v>2350</v>
      </c>
      <c r="B582" s="22" t="str">
        <f t="shared" si="69"/>
        <v>機械器具月報（その35）電子部品</v>
      </c>
      <c r="C582" s="21" t="str">
        <f>HYPERLINK("#2350!BQ3","0134")</f>
        <v>0134</v>
      </c>
      <c r="D582" s="22" t="str">
        <f>HYPERLINK("#2350!BQ3","モジュール実装基板")</f>
        <v>モジュール実装基板</v>
      </c>
    </row>
    <row r="583" spans="1:4" x14ac:dyDescent="0.4">
      <c r="A583" s="21">
        <f t="shared" si="68"/>
        <v>2350</v>
      </c>
      <c r="B583" s="22" t="str">
        <f t="shared" si="69"/>
        <v>機械器具月報（その35）電子部品</v>
      </c>
      <c r="C583" s="21" t="str">
        <f>HYPERLINK("#2350!BS3","0135")</f>
        <v>0135</v>
      </c>
      <c r="D583" s="22" t="str">
        <f>HYPERLINK("#2350!BS3","音響部品(スピーカ・マイクロホン)")</f>
        <v>音響部品(スピーカ・マイクロホン)</v>
      </c>
    </row>
    <row r="584" spans="1:4" x14ac:dyDescent="0.4">
      <c r="A584" s="21">
        <f t="shared" si="68"/>
        <v>2350</v>
      </c>
      <c r="B584" s="22" t="str">
        <f t="shared" si="69"/>
        <v>機械器具月報（その35）電子部品</v>
      </c>
      <c r="C584" s="21" t="str">
        <f>HYPERLINK("#2350!BU3","0136")</f>
        <v>0136</v>
      </c>
      <c r="D584" s="22" t="str">
        <f>HYPERLINK("#2350!BU3","メモリ部品（磁気テープ・光ディスク）")</f>
        <v>メモリ部品（磁気テープ・光ディスク）</v>
      </c>
    </row>
    <row r="585" spans="1:4" x14ac:dyDescent="0.4">
      <c r="A585" s="21">
        <f t="shared" si="68"/>
        <v>2350</v>
      </c>
      <c r="B585" s="22" t="str">
        <f t="shared" si="69"/>
        <v>機械器具月報（その35）電子部品</v>
      </c>
      <c r="C585" s="21" t="str">
        <f>HYPERLINK("#2350!BV3","0137")</f>
        <v>0137</v>
      </c>
      <c r="D585" s="22" t="str">
        <f>HYPERLINK("#2350!BV3","スイッチング電源")</f>
        <v>スイッチング電源</v>
      </c>
    </row>
    <row r="586" spans="1:4" x14ac:dyDescent="0.4">
      <c r="A586" s="21">
        <f t="shared" ref="A586:A620" si="70">HYPERLINK("#2360!A1 ",2360)</f>
        <v>2360</v>
      </c>
      <c r="B586" s="22" t="str">
        <f t="shared" ref="B586:B620" si="71">HYPERLINK("#2360!A1 ","機械器具月報（その36）電子管、半導体素子及び集積回路")</f>
        <v>機械器具月報（その36）電子管、半導体素子及び集積回路</v>
      </c>
      <c r="C586" s="21" t="str">
        <f>HYPERLINK("#2360!C3","0101")</f>
        <v>0101</v>
      </c>
      <c r="D586" s="22" t="str">
        <f>HYPERLINK("#2360!C3","マイクロ波管")</f>
        <v>マイクロ波管</v>
      </c>
    </row>
    <row r="587" spans="1:4" x14ac:dyDescent="0.4">
      <c r="A587" s="21">
        <f t="shared" si="70"/>
        <v>2360</v>
      </c>
      <c r="B587" s="22" t="str">
        <f t="shared" si="71"/>
        <v>機械器具月報（その36）電子管、半導体素子及び集積回路</v>
      </c>
      <c r="C587" s="21" t="str">
        <f>HYPERLINK("#2360!E3","0102")</f>
        <v>0102</v>
      </c>
      <c r="D587" s="22" t="str">
        <f>HYPERLINK("#2360!E3","Ｘ線管")</f>
        <v>Ｘ線管</v>
      </c>
    </row>
    <row r="588" spans="1:4" x14ac:dyDescent="0.4">
      <c r="A588" s="21">
        <f t="shared" si="70"/>
        <v>2360</v>
      </c>
      <c r="B588" s="22" t="str">
        <f t="shared" si="71"/>
        <v>機械器具月報（その36）電子管、半導体素子及び集積回路</v>
      </c>
      <c r="C588" s="21" t="str">
        <f>HYPERLINK("#2360!G3","0103")</f>
        <v>0103</v>
      </c>
      <c r="D588" s="22" t="str">
        <f>HYPERLINK("#2360!G3","その他の電子管")</f>
        <v>その他の電子管</v>
      </c>
    </row>
    <row r="589" spans="1:4" x14ac:dyDescent="0.4">
      <c r="A589" s="21">
        <f t="shared" si="70"/>
        <v>2360</v>
      </c>
      <c r="B589" s="22" t="str">
        <f t="shared" si="71"/>
        <v>機械器具月報（その36）電子管、半導体素子及び集積回路</v>
      </c>
      <c r="C589" s="21" t="str">
        <f>HYPERLINK("#2360!I3","0104")</f>
        <v>0104</v>
      </c>
      <c r="D589" s="22" t="str">
        <f>HYPERLINK("#2360!I3","シリコンダイオード")</f>
        <v>シリコンダイオード</v>
      </c>
    </row>
    <row r="590" spans="1:4" x14ac:dyDescent="0.4">
      <c r="A590" s="21">
        <f t="shared" si="70"/>
        <v>2360</v>
      </c>
      <c r="B590" s="22" t="str">
        <f t="shared" si="71"/>
        <v>機械器具月報（その36）電子管、半導体素子及び集積回路</v>
      </c>
      <c r="C590" s="21" t="str">
        <f>HYPERLINK("#2360!N3","0105")</f>
        <v>0105</v>
      </c>
      <c r="D590" s="22" t="str">
        <f>HYPERLINK("#2360!N3","整流素子(１００ｍＡ以上)")</f>
        <v>整流素子(１００ｍＡ以上)</v>
      </c>
    </row>
    <row r="591" spans="1:4" x14ac:dyDescent="0.4">
      <c r="A591" s="21">
        <f t="shared" si="70"/>
        <v>2360</v>
      </c>
      <c r="B591" s="22" t="str">
        <f t="shared" si="71"/>
        <v>機械器具月報（その36）電子管、半導体素子及び集積回路</v>
      </c>
      <c r="C591" s="21" t="str">
        <f>HYPERLINK("#2360!S3","0106")</f>
        <v>0106</v>
      </c>
      <c r="D591" s="22" t="str">
        <f>HYPERLINK("#2360!S3","シリコントランジスタ(１Ｗ未満)")</f>
        <v>シリコントランジスタ(１Ｗ未満)</v>
      </c>
    </row>
    <row r="592" spans="1:4" x14ac:dyDescent="0.4">
      <c r="A592" s="21">
        <f t="shared" si="70"/>
        <v>2360</v>
      </c>
      <c r="B592" s="22" t="str">
        <f t="shared" si="71"/>
        <v>機械器具月報（その36）電子管、半導体素子及び集積回路</v>
      </c>
      <c r="C592" s="21" t="str">
        <f>HYPERLINK("#2360!X3","0107")</f>
        <v>0107</v>
      </c>
      <c r="D592" s="22" t="str">
        <f>HYPERLINK("#2360!X3","シリコントランジスタ(１Ｗ以上)")</f>
        <v>シリコントランジスタ(１Ｗ以上)</v>
      </c>
    </row>
    <row r="593" spans="1:4" x14ac:dyDescent="0.4">
      <c r="A593" s="21">
        <f t="shared" si="70"/>
        <v>2360</v>
      </c>
      <c r="B593" s="22" t="str">
        <f t="shared" si="71"/>
        <v>機械器具月報（その36）電子管、半導体素子及び集積回路</v>
      </c>
      <c r="C593" s="21" t="str">
        <f>HYPERLINK("#2360!AC3","0108")</f>
        <v>0108</v>
      </c>
      <c r="D593" s="22" t="str">
        <f>HYPERLINK("#2360!AC3","電界効果型トランジスタ")</f>
        <v>電界効果型トランジスタ</v>
      </c>
    </row>
    <row r="594" spans="1:4" x14ac:dyDescent="0.4">
      <c r="A594" s="21">
        <f t="shared" si="70"/>
        <v>2360</v>
      </c>
      <c r="B594" s="22" t="str">
        <f t="shared" si="71"/>
        <v>機械器具月報（その36）電子管、半導体素子及び集積回路</v>
      </c>
      <c r="C594" s="21" t="str">
        <f>HYPERLINK("#2360!AH3","0109")</f>
        <v>0109</v>
      </c>
      <c r="D594" s="22" t="str">
        <f>HYPERLINK("#2360!AH3","ＩＧＢＴ")</f>
        <v>ＩＧＢＴ</v>
      </c>
    </row>
    <row r="595" spans="1:4" x14ac:dyDescent="0.4">
      <c r="A595" s="21">
        <f t="shared" si="70"/>
        <v>2360</v>
      </c>
      <c r="B595" s="22" t="str">
        <f t="shared" si="71"/>
        <v>機械器具月報（その36）電子管、半導体素子及び集積回路</v>
      </c>
      <c r="C595" s="21" t="str">
        <f>HYPERLINK("#2360!AM3","0110")</f>
        <v>0110</v>
      </c>
      <c r="D595" s="22" t="str">
        <f>HYPERLINK("#2360!AM3","サーミスタ(半導体素子)")</f>
        <v>サーミスタ(半導体素子)</v>
      </c>
    </row>
    <row r="596" spans="1:4" x14ac:dyDescent="0.4">
      <c r="A596" s="21">
        <f t="shared" si="70"/>
        <v>2360</v>
      </c>
      <c r="B596" s="22" t="str">
        <f t="shared" si="71"/>
        <v>機械器具月報（その36）電子管、半導体素子及び集積回路</v>
      </c>
      <c r="C596" s="21" t="str">
        <f>HYPERLINK("#2360!AR3","0111")</f>
        <v>0111</v>
      </c>
      <c r="D596" s="22" t="str">
        <f>HYPERLINK("#2360!AR3","バリスタ(半導体素子)")</f>
        <v>バリスタ(半導体素子)</v>
      </c>
    </row>
    <row r="597" spans="1:4" x14ac:dyDescent="0.4">
      <c r="A597" s="21">
        <f t="shared" si="70"/>
        <v>2360</v>
      </c>
      <c r="B597" s="22" t="str">
        <f t="shared" si="71"/>
        <v>機械器具月報（その36）電子管、半導体素子及び集積回路</v>
      </c>
      <c r="C597" s="21" t="str">
        <f>HYPERLINK("#2360!AW3","0112")</f>
        <v>0112</v>
      </c>
      <c r="D597" s="22" t="str">
        <f>HYPERLINK("#2360!AW3","サイリスタ(半導体素子)")</f>
        <v>サイリスタ(半導体素子)</v>
      </c>
    </row>
    <row r="598" spans="1:4" x14ac:dyDescent="0.4">
      <c r="A598" s="21">
        <f t="shared" si="70"/>
        <v>2360</v>
      </c>
      <c r="B598" s="22" t="str">
        <f t="shared" si="71"/>
        <v>機械器具月報（その36）電子管、半導体素子及び集積回路</v>
      </c>
      <c r="C598" s="21" t="str">
        <f>HYPERLINK("#2360!BB3","0113")</f>
        <v>0113</v>
      </c>
      <c r="D598" s="22" t="str">
        <f>HYPERLINK("#2360!BB3","発光ダイオード")</f>
        <v>発光ダイオード</v>
      </c>
    </row>
    <row r="599" spans="1:4" x14ac:dyDescent="0.4">
      <c r="A599" s="21">
        <f t="shared" si="70"/>
        <v>2360</v>
      </c>
      <c r="B599" s="22" t="str">
        <f t="shared" si="71"/>
        <v>機械器具月報（その36）電子管、半導体素子及び集積回路</v>
      </c>
      <c r="C599" s="21" t="str">
        <f>HYPERLINK("#2360!BG3","0114")</f>
        <v>0114</v>
      </c>
      <c r="D599" s="22" t="str">
        <f>HYPERLINK("#2360!BG3","レーザダイオード")</f>
        <v>レーザダイオード</v>
      </c>
    </row>
    <row r="600" spans="1:4" x14ac:dyDescent="0.4">
      <c r="A600" s="21">
        <f t="shared" si="70"/>
        <v>2360</v>
      </c>
      <c r="B600" s="22" t="str">
        <f t="shared" si="71"/>
        <v>機械器具月報（その36）電子管、半導体素子及び集積回路</v>
      </c>
      <c r="C600" s="21" t="str">
        <f>HYPERLINK("#2360!BL3","0115")</f>
        <v>0115</v>
      </c>
      <c r="D600" s="22" t="str">
        <f>HYPERLINK("#2360!BL3","カプラ・インタラプタ")</f>
        <v>カプラ・インタラプタ</v>
      </c>
    </row>
    <row r="601" spans="1:4" x14ac:dyDescent="0.4">
      <c r="A601" s="21">
        <f t="shared" si="70"/>
        <v>2360</v>
      </c>
      <c r="B601" s="22" t="str">
        <f t="shared" si="71"/>
        <v>機械器具月報（その36）電子管、半導体素子及び集積回路</v>
      </c>
      <c r="C601" s="21" t="str">
        <f>HYPERLINK("#2360!BQ3","0116")</f>
        <v>0116</v>
      </c>
      <c r="D601" s="22" t="str">
        <f>HYPERLINK("#2360!BQ3","太陽電池セル")</f>
        <v>太陽電池セル</v>
      </c>
    </row>
    <row r="602" spans="1:4" x14ac:dyDescent="0.4">
      <c r="A602" s="21">
        <f t="shared" si="70"/>
        <v>2360</v>
      </c>
      <c r="B602" s="22" t="str">
        <f t="shared" si="71"/>
        <v>機械器具月報（その36）電子管、半導体素子及び集積回路</v>
      </c>
      <c r="C602" s="21" t="str">
        <f>HYPERLINK("#2360!BV3","0117")</f>
        <v>0117</v>
      </c>
      <c r="D602" s="22" t="str">
        <f>HYPERLINK("#2360!BV3","その他の光電変換素子")</f>
        <v>その他の光電変換素子</v>
      </c>
    </row>
    <row r="603" spans="1:4" x14ac:dyDescent="0.4">
      <c r="A603" s="21">
        <f t="shared" si="70"/>
        <v>2360</v>
      </c>
      <c r="B603" s="22" t="str">
        <f t="shared" si="71"/>
        <v>機械器具月報（その36）電子管、半導体素子及び集積回路</v>
      </c>
      <c r="C603" s="21" t="str">
        <f>HYPERLINK("#2360!CA3","0118")</f>
        <v>0118</v>
      </c>
      <c r="D603" s="22" t="str">
        <f>HYPERLINK("#2360!CA3","その他の半導体素子")</f>
        <v>その他の半導体素子</v>
      </c>
    </row>
    <row r="604" spans="1:4" x14ac:dyDescent="0.4">
      <c r="A604" s="21">
        <f t="shared" si="70"/>
        <v>2360</v>
      </c>
      <c r="B604" s="22" t="str">
        <f t="shared" si="71"/>
        <v>機械器具月報（その36）電子管、半導体素子及び集積回路</v>
      </c>
      <c r="C604" s="21" t="str">
        <f>HYPERLINK("#2360!CF3","0119")</f>
        <v>0119</v>
      </c>
      <c r="D604" s="22" t="str">
        <f>HYPERLINK("#2360!CF3","標準線形回路")</f>
        <v>標準線形回路</v>
      </c>
    </row>
    <row r="605" spans="1:4" x14ac:dyDescent="0.4">
      <c r="A605" s="21">
        <f t="shared" si="70"/>
        <v>2360</v>
      </c>
      <c r="B605" s="22" t="str">
        <f t="shared" si="71"/>
        <v>機械器具月報（その36）電子管、半導体素子及び集積回路</v>
      </c>
      <c r="C605" s="21" t="str">
        <f>HYPERLINK("#2360!CK3","0120")</f>
        <v>0120</v>
      </c>
      <c r="D605" s="22" t="str">
        <f>HYPERLINK("#2360!CK3","非標準線形回路(産業用機器向)")</f>
        <v>非標準線形回路(産業用機器向)</v>
      </c>
    </row>
    <row r="606" spans="1:4" x14ac:dyDescent="0.4">
      <c r="A606" s="21">
        <f t="shared" si="70"/>
        <v>2360</v>
      </c>
      <c r="B606" s="22" t="str">
        <f t="shared" si="71"/>
        <v>機械器具月報（その36）電子管、半導体素子及び集積回路</v>
      </c>
      <c r="C606" s="21" t="str">
        <f>HYPERLINK("#2360!CP3","0121")</f>
        <v>0121</v>
      </c>
      <c r="D606" s="22" t="str">
        <f>HYPERLINK("#2360!CP3","非標準線形回路(民生用機器向)")</f>
        <v>非標準線形回路(民生用機器向)</v>
      </c>
    </row>
    <row r="607" spans="1:4" x14ac:dyDescent="0.4">
      <c r="A607" s="21">
        <f t="shared" si="70"/>
        <v>2360</v>
      </c>
      <c r="B607" s="22" t="str">
        <f t="shared" si="71"/>
        <v>機械器具月報（その36）電子管、半導体素子及び集積回路</v>
      </c>
      <c r="C607" s="21" t="str">
        <f>HYPERLINK("#2360!CU3","0122")</f>
        <v>0122</v>
      </c>
      <c r="D607" s="22" t="str">
        <f>HYPERLINK("#2360!CU3","バイポーラ型半導体集積回路")</f>
        <v>バイポーラ型半導体集積回路</v>
      </c>
    </row>
    <row r="608" spans="1:4" x14ac:dyDescent="0.4">
      <c r="A608" s="21">
        <f t="shared" si="70"/>
        <v>2360</v>
      </c>
      <c r="B608" s="22" t="str">
        <f t="shared" si="71"/>
        <v>機械器具月報（その36）電子管、半導体素子及び集積回路</v>
      </c>
      <c r="C608" s="21" t="str">
        <f>HYPERLINK("#2360!CZ3","0123")</f>
        <v>0123</v>
      </c>
      <c r="D608" s="22" t="str">
        <f>HYPERLINK("#2360!CZ3","モス型マイクロコンピュータ(ＭＰＵ)")</f>
        <v>モス型マイクロコンピュータ(ＭＰＵ)</v>
      </c>
    </row>
    <row r="609" spans="1:4" x14ac:dyDescent="0.4">
      <c r="A609" s="21">
        <f t="shared" si="70"/>
        <v>2360</v>
      </c>
      <c r="B609" s="22" t="str">
        <f t="shared" si="71"/>
        <v>機械器具月報（その36）電子管、半導体素子及び集積回路</v>
      </c>
      <c r="C609" s="21" t="str">
        <f>HYPERLINK("#2360!DE3","0124")</f>
        <v>0124</v>
      </c>
      <c r="D609" s="22" t="str">
        <f>HYPERLINK("#2360!DE3","モス型マイクロコンピュータ(ＭＣＵ)")</f>
        <v>モス型マイクロコンピュータ(ＭＣＵ)</v>
      </c>
    </row>
    <row r="610" spans="1:4" x14ac:dyDescent="0.4">
      <c r="A610" s="21">
        <f t="shared" si="70"/>
        <v>2360</v>
      </c>
      <c r="B610" s="22" t="str">
        <f t="shared" si="71"/>
        <v>機械器具月報（その36）電子管、半導体素子及び集積回路</v>
      </c>
      <c r="C610" s="21" t="str">
        <f>HYPERLINK("#2360!DJ3","0125")</f>
        <v>0125</v>
      </c>
      <c r="D610" s="22" t="str">
        <f>HYPERLINK("#2360!DJ3","モス型標準ロジック")</f>
        <v>モス型標準ロジック</v>
      </c>
    </row>
    <row r="611" spans="1:4" x14ac:dyDescent="0.4">
      <c r="A611" s="21">
        <f t="shared" si="70"/>
        <v>2360</v>
      </c>
      <c r="B611" s="22" t="str">
        <f t="shared" si="71"/>
        <v>機械器具月報（その36）電子管、半導体素子及び集積回路</v>
      </c>
      <c r="C611" s="21" t="str">
        <f>HYPERLINK("#2360!DO3","0126")</f>
        <v>0126</v>
      </c>
      <c r="D611" s="22" t="str">
        <f>HYPERLINK("#2360!DO3","モス型セミカスタム")</f>
        <v>モス型セミカスタム</v>
      </c>
    </row>
    <row r="612" spans="1:4" x14ac:dyDescent="0.4">
      <c r="A612" s="21">
        <f t="shared" si="70"/>
        <v>2360</v>
      </c>
      <c r="B612" s="22" t="str">
        <f t="shared" si="71"/>
        <v>機械器具月報（その36）電子管、半導体素子及び集積回路</v>
      </c>
      <c r="C612" s="21" t="str">
        <f>HYPERLINK("#2360!DT3","0127")</f>
        <v>0127</v>
      </c>
      <c r="D612" s="22" t="str">
        <f>HYPERLINK("#2360!DT3","モス型ディスプレイドライバ")</f>
        <v>モス型ディスプレイドライバ</v>
      </c>
    </row>
    <row r="613" spans="1:4" x14ac:dyDescent="0.4">
      <c r="A613" s="21">
        <f t="shared" si="70"/>
        <v>2360</v>
      </c>
      <c r="B613" s="22" t="str">
        <f t="shared" si="71"/>
        <v>機械器具月報（その36）電子管、半導体素子及び集積回路</v>
      </c>
      <c r="C613" s="21" t="str">
        <f>HYPERLINK("#2360!DY3","0128")</f>
        <v>0128</v>
      </c>
      <c r="D613" s="22" t="str">
        <f>HYPERLINK("#2360!DY3","モス型その他ロジック")</f>
        <v>モス型その他ロジック</v>
      </c>
    </row>
    <row r="614" spans="1:4" x14ac:dyDescent="0.4">
      <c r="A614" s="21">
        <f t="shared" si="70"/>
        <v>2360</v>
      </c>
      <c r="B614" s="22" t="str">
        <f t="shared" si="71"/>
        <v>機械器具月報（その36）電子管、半導体素子及び集積回路</v>
      </c>
      <c r="C614" s="21" t="str">
        <f>HYPERLINK("#2360!ED3","0129")</f>
        <v>0129</v>
      </c>
      <c r="D614" s="22" t="str">
        <f>HYPERLINK("#2360!ED3","モス型メモリ")</f>
        <v>モス型メモリ</v>
      </c>
    </row>
    <row r="615" spans="1:4" x14ac:dyDescent="0.4">
      <c r="A615" s="21">
        <f t="shared" si="70"/>
        <v>2360</v>
      </c>
      <c r="B615" s="22" t="str">
        <f t="shared" si="71"/>
        <v>機械器具月報（その36）電子管、半導体素子及び集積回路</v>
      </c>
      <c r="C615" s="21" t="str">
        <f>HYPERLINK("#2360!EI3","0130")</f>
        <v>0130</v>
      </c>
      <c r="D615" s="22" t="str">
        <f>HYPERLINK("#2360!EI3","その他のモス型（ＣＣＤを含む）")</f>
        <v>その他のモス型（ＣＣＤを含む）</v>
      </c>
    </row>
    <row r="616" spans="1:4" x14ac:dyDescent="0.4">
      <c r="A616" s="21">
        <f t="shared" si="70"/>
        <v>2360</v>
      </c>
      <c r="B616" s="22" t="str">
        <f t="shared" si="71"/>
        <v>機械器具月報（その36）電子管、半導体素子及び集積回路</v>
      </c>
      <c r="C616" s="21" t="str">
        <f>HYPERLINK("#2360!EN3","0131")</f>
        <v>0131</v>
      </c>
      <c r="D616" s="22" t="str">
        <f>HYPERLINK("#2360!EN3","混成集積回路")</f>
        <v>混成集積回路</v>
      </c>
    </row>
    <row r="617" spans="1:4" x14ac:dyDescent="0.4">
      <c r="A617" s="21">
        <f t="shared" si="70"/>
        <v>2360</v>
      </c>
      <c r="B617" s="22" t="str">
        <f t="shared" si="71"/>
        <v>機械器具月報（その36）電子管、半導体素子及び集積回路</v>
      </c>
      <c r="C617" s="21" t="str">
        <f>HYPERLINK("#2360!ES3","0132")</f>
        <v>0132</v>
      </c>
      <c r="D617" s="22" t="str">
        <f>HYPERLINK("#2360!ES3","アクティブ型液晶素子（４．５型未満）")</f>
        <v>アクティブ型液晶素子（４．５型未満）</v>
      </c>
    </row>
    <row r="618" spans="1:4" x14ac:dyDescent="0.4">
      <c r="A618" s="21">
        <f t="shared" si="70"/>
        <v>2360</v>
      </c>
      <c r="B618" s="22" t="str">
        <f t="shared" si="71"/>
        <v>機械器具月報（その36）電子管、半導体素子及び集積回路</v>
      </c>
      <c r="C618" s="21" t="str">
        <f>HYPERLINK("#2360!EX3","0133")</f>
        <v>0133</v>
      </c>
      <c r="D618" s="22" t="str">
        <f>HYPERLINK("#2360!EX3","アクティブ型液晶素子（４．５型以上７．７型未満）")</f>
        <v>アクティブ型液晶素子（４．５型以上７．７型未満）</v>
      </c>
    </row>
    <row r="619" spans="1:4" x14ac:dyDescent="0.4">
      <c r="A619" s="21">
        <f t="shared" si="70"/>
        <v>2360</v>
      </c>
      <c r="B619" s="22" t="str">
        <f t="shared" si="71"/>
        <v>機械器具月報（その36）電子管、半導体素子及び集積回路</v>
      </c>
      <c r="C619" s="21" t="str">
        <f>HYPERLINK("#2360!FC3","0134")</f>
        <v>0134</v>
      </c>
      <c r="D619" s="22" t="str">
        <f>HYPERLINK("#2360!FC3","アクティブ型液晶素子(７．７型以上)")</f>
        <v>アクティブ型液晶素子(７．７型以上)</v>
      </c>
    </row>
    <row r="620" spans="1:4" x14ac:dyDescent="0.4">
      <c r="A620" s="21">
        <f t="shared" si="70"/>
        <v>2360</v>
      </c>
      <c r="B620" s="22" t="str">
        <f t="shared" si="71"/>
        <v>機械器具月報（その36）電子管、半導体素子及び集積回路</v>
      </c>
      <c r="C620" s="21" t="str">
        <f>HYPERLINK("#2360!FH3","0135")</f>
        <v>0135</v>
      </c>
      <c r="D620" s="22" t="str">
        <f>HYPERLINK("#2360!FH3","太陽電池モジュール")</f>
        <v>太陽電池モジュール</v>
      </c>
    </row>
    <row r="621" spans="1:4" x14ac:dyDescent="0.4">
      <c r="A621" s="21">
        <f t="shared" ref="A621:A637" si="72">HYPERLINK("#2370!A1 ",2370)</f>
        <v>2370</v>
      </c>
      <c r="B621" s="22" t="str">
        <f t="shared" ref="B621:B637" si="73">HYPERLINK("#2370!A1 ","機械器具月報（その37）電子計算機及び情報端末")</f>
        <v>機械器具月報（その37）電子計算機及び情報端末</v>
      </c>
      <c r="C621" s="21" t="str">
        <f>HYPERLINK("#2370!C3","0101")</f>
        <v>0101</v>
      </c>
      <c r="D621" s="22" t="str">
        <f>HYPERLINK("#2370!C3","はん(汎)用コンピュータ(メインフレーム)・ミッドレンジコンピュータ")</f>
        <v>はん(汎)用コンピュータ(メインフレーム)・ミッドレンジコンピュータ</v>
      </c>
    </row>
    <row r="622" spans="1:4" x14ac:dyDescent="0.4">
      <c r="A622" s="21">
        <f t="shared" si="72"/>
        <v>2370</v>
      </c>
      <c r="B622" s="22" t="str">
        <f t="shared" si="73"/>
        <v>機械器具月報（その37）電子計算機及び情報端末</v>
      </c>
      <c r="C622" s="21" t="str">
        <f>HYPERLINK("#2370!E3","0102")</f>
        <v>0102</v>
      </c>
      <c r="D622" s="22" t="str">
        <f>HYPERLINK("#2370!E3","パーソナルコンピュータ(サーバ用)")</f>
        <v>パーソナルコンピュータ(サーバ用)</v>
      </c>
    </row>
    <row r="623" spans="1:4" x14ac:dyDescent="0.4">
      <c r="A623" s="21">
        <f t="shared" si="72"/>
        <v>2370</v>
      </c>
      <c r="B623" s="22" t="str">
        <f t="shared" si="73"/>
        <v>機械器具月報（その37）電子計算機及び情報端末</v>
      </c>
      <c r="C623" s="21" t="str">
        <f>HYPERLINK("#2370!I3","0103")</f>
        <v>0103</v>
      </c>
      <c r="D623" s="22" t="str">
        <f>HYPERLINK("#2370!I3","パーソナルコンピュータ(デスクトップ型)(タワー型及び一体型を含む)")</f>
        <v>パーソナルコンピュータ(デスクトップ型)(タワー型及び一体型を含む)</v>
      </c>
    </row>
    <row r="624" spans="1:4" x14ac:dyDescent="0.4">
      <c r="A624" s="21">
        <f t="shared" si="72"/>
        <v>2370</v>
      </c>
      <c r="B624" s="22" t="str">
        <f t="shared" si="73"/>
        <v>機械器具月報（その37）電子計算機及び情報端末</v>
      </c>
      <c r="C624" s="21" t="str">
        <f>HYPERLINK("#2370!M3","0104")</f>
        <v>0104</v>
      </c>
      <c r="D624" s="22" t="str">
        <f>HYPERLINK("#2370!M3","パーソナルコンピュータ(ノートブック型)(タブレット型を含む)")</f>
        <v>パーソナルコンピュータ(ノートブック型)(タブレット型を含む)</v>
      </c>
    </row>
    <row r="625" spans="1:4" x14ac:dyDescent="0.4">
      <c r="A625" s="21">
        <f t="shared" si="72"/>
        <v>2370</v>
      </c>
      <c r="B625" s="22" t="str">
        <f t="shared" si="73"/>
        <v>機械器具月報（その37）電子計算機及び情報端末</v>
      </c>
      <c r="C625" s="21" t="str">
        <f>HYPERLINK("#2370!Q3","0105")</f>
        <v>0105</v>
      </c>
      <c r="D625" s="22" t="str">
        <f>HYPERLINK("#2370!Q3","ディスクアレイ装置")</f>
        <v>ディスクアレイ装置</v>
      </c>
    </row>
    <row r="626" spans="1:4" x14ac:dyDescent="0.4">
      <c r="A626" s="21">
        <f t="shared" si="72"/>
        <v>2370</v>
      </c>
      <c r="B626" s="22" t="str">
        <f t="shared" si="73"/>
        <v>機械器具月報（その37）電子計算機及び情報端末</v>
      </c>
      <c r="C626" s="21" t="str">
        <f>HYPERLINK("#2370!S3","0106")</f>
        <v>0106</v>
      </c>
      <c r="D626" s="22" t="str">
        <f>HYPERLINK("#2370!S3","その他の外部記憶装置")</f>
        <v>その他の外部記憶装置</v>
      </c>
    </row>
    <row r="627" spans="1:4" x14ac:dyDescent="0.4">
      <c r="A627" s="21">
        <f t="shared" si="72"/>
        <v>2370</v>
      </c>
      <c r="B627" s="22" t="str">
        <f t="shared" si="73"/>
        <v>機械器具月報（その37）電子計算機及び情報端末</v>
      </c>
      <c r="C627" s="21" t="str">
        <f>HYPERLINK("#2370!U3","0107")</f>
        <v>0107</v>
      </c>
      <c r="D627" s="22" t="str">
        <f>HYPERLINK("#2370!U3","インクジェットプリンタ")</f>
        <v>インクジェットプリンタ</v>
      </c>
    </row>
    <row r="628" spans="1:4" x14ac:dyDescent="0.4">
      <c r="A628" s="21">
        <f t="shared" si="72"/>
        <v>2370</v>
      </c>
      <c r="B628" s="22" t="str">
        <f t="shared" si="73"/>
        <v>機械器具月報（その37）電子計算機及び情報端末</v>
      </c>
      <c r="C628" s="21" t="str">
        <f>HYPERLINK("#2370!W3","0108")</f>
        <v>0108</v>
      </c>
      <c r="D628" s="22" t="str">
        <f>HYPERLINK("#2370!W3","レーザプリンタ")</f>
        <v>レーザプリンタ</v>
      </c>
    </row>
    <row r="629" spans="1:4" x14ac:dyDescent="0.4">
      <c r="A629" s="21">
        <f t="shared" si="72"/>
        <v>2370</v>
      </c>
      <c r="B629" s="22" t="str">
        <f t="shared" si="73"/>
        <v>機械器具月報（その37）電子計算機及び情報端末</v>
      </c>
      <c r="C629" s="21" t="str">
        <f>HYPERLINK("#2370!Y3","0109")</f>
        <v>0109</v>
      </c>
      <c r="D629" s="22" t="str">
        <f>HYPERLINK("#2370!Y3","その他のプリンタ")</f>
        <v>その他のプリンタ</v>
      </c>
    </row>
    <row r="630" spans="1:4" x14ac:dyDescent="0.4">
      <c r="A630" s="21">
        <f t="shared" si="72"/>
        <v>2370</v>
      </c>
      <c r="B630" s="22" t="str">
        <f t="shared" si="73"/>
        <v>機械器具月報（その37）電子計算機及び情報端末</v>
      </c>
      <c r="C630" s="21" t="str">
        <f>HYPERLINK("#2370!AA3","0110")</f>
        <v>0110</v>
      </c>
      <c r="D630" s="22" t="str">
        <f>HYPERLINK("#2370!AA3","モニター（３１型未満）")</f>
        <v>モニター（３１型未満）</v>
      </c>
    </row>
    <row r="631" spans="1:4" x14ac:dyDescent="0.4">
      <c r="A631" s="21">
        <f t="shared" si="72"/>
        <v>2370</v>
      </c>
      <c r="B631" s="22" t="str">
        <f t="shared" si="73"/>
        <v>機械器具月報（その37）電子計算機及び情報端末</v>
      </c>
      <c r="C631" s="21" t="str">
        <f>HYPERLINK("#2370!AC3","0111")</f>
        <v>0111</v>
      </c>
      <c r="D631" s="22" t="str">
        <f>HYPERLINK("#2370!AC3","モニター（３１型以上）")</f>
        <v>モニター（３１型以上）</v>
      </c>
    </row>
    <row r="632" spans="1:4" x14ac:dyDescent="0.4">
      <c r="A632" s="21">
        <f t="shared" si="72"/>
        <v>2370</v>
      </c>
      <c r="B632" s="22" t="str">
        <f t="shared" si="73"/>
        <v>機械器具月報（その37）電子計算機及び情報端末</v>
      </c>
      <c r="C632" s="21" t="str">
        <f>HYPERLINK("#2370!AE3","0112")</f>
        <v>0112</v>
      </c>
      <c r="D632" s="22" t="str">
        <f>HYPERLINK("#2370!AE3","プロジェクタ")</f>
        <v>プロジェクタ</v>
      </c>
    </row>
    <row r="633" spans="1:4" x14ac:dyDescent="0.4">
      <c r="A633" s="21">
        <f t="shared" si="72"/>
        <v>2370</v>
      </c>
      <c r="B633" s="22" t="str">
        <f t="shared" si="73"/>
        <v>機械器具月報（その37）電子計算機及び情報端末</v>
      </c>
      <c r="C633" s="21" t="str">
        <f>HYPERLINK("#2370!AG3","0113")</f>
        <v>0113</v>
      </c>
      <c r="D633" s="22" t="str">
        <f>HYPERLINK("#2370!AG3","現金自動預払機(支払機含む)")</f>
        <v>現金自動預払機(支払機含む)</v>
      </c>
    </row>
    <row r="634" spans="1:4" x14ac:dyDescent="0.4">
      <c r="A634" s="21">
        <f t="shared" si="72"/>
        <v>2370</v>
      </c>
      <c r="B634" s="22" t="str">
        <f t="shared" si="73"/>
        <v>機械器具月報（その37）電子計算機及び情報端末</v>
      </c>
      <c r="C634" s="21" t="str">
        <f>HYPERLINK("#2370!AI3","0114")</f>
        <v>0114</v>
      </c>
      <c r="D634" s="22" t="str">
        <f>HYPERLINK("#2370!AI3","その他の金融用端末装置")</f>
        <v>その他の金融用端末装置</v>
      </c>
    </row>
    <row r="635" spans="1:4" x14ac:dyDescent="0.4">
      <c r="A635" s="21">
        <f t="shared" si="72"/>
        <v>2370</v>
      </c>
      <c r="B635" s="22" t="str">
        <f t="shared" si="73"/>
        <v>機械器具月報（その37）電子計算機及び情報端末</v>
      </c>
      <c r="C635" s="21" t="str">
        <f>HYPERLINK("#2370!AK3","0115")</f>
        <v>0115</v>
      </c>
      <c r="D635" s="22" t="str">
        <f>HYPERLINK("#2370!AK3","情報キオスク端末装置")</f>
        <v>情報キオスク端末装置</v>
      </c>
    </row>
    <row r="636" spans="1:4" x14ac:dyDescent="0.4">
      <c r="A636" s="21">
        <f t="shared" si="72"/>
        <v>2370</v>
      </c>
      <c r="B636" s="22" t="str">
        <f t="shared" si="73"/>
        <v>機械器具月報（その37）電子計算機及び情報端末</v>
      </c>
      <c r="C636" s="21" t="str">
        <f>HYPERLINK("#2370!AM3","0116")</f>
        <v>0116</v>
      </c>
      <c r="D636" s="22" t="str">
        <f>HYPERLINK("#2370!AM3","携帯型専用端末装置")</f>
        <v>携帯型専用端末装置</v>
      </c>
    </row>
    <row r="637" spans="1:4" x14ac:dyDescent="0.4">
      <c r="A637" s="21">
        <f t="shared" si="72"/>
        <v>2370</v>
      </c>
      <c r="B637" s="22" t="str">
        <f t="shared" si="73"/>
        <v>機械器具月報（その37）電子計算機及び情報端末</v>
      </c>
      <c r="C637" s="21" t="str">
        <f>HYPERLINK("#2370!AO3","0117")</f>
        <v>0117</v>
      </c>
      <c r="D637" s="22" t="str">
        <f>HYPERLINK("#2370!AO3","その他の情報端末")</f>
        <v>その他の情報端末</v>
      </c>
    </row>
    <row r="638" spans="1:4" x14ac:dyDescent="0.4">
      <c r="A638" s="21">
        <f t="shared" ref="A638:A669" si="74">HYPERLINK("#2380!A1 ",2380)</f>
        <v>2380</v>
      </c>
      <c r="B638" s="22" t="str">
        <f t="shared" ref="B638:B669" si="75">HYPERLINK("#2380!A1 ","機械器具月報（その38）電気計測器及び電子応用装置")</f>
        <v>機械器具月報（その38）電気計測器及び電子応用装置</v>
      </c>
      <c r="C638" s="21" t="str">
        <f>HYPERLINK("#2380!C3","0101")</f>
        <v>0101</v>
      </c>
      <c r="D638" s="22" t="str">
        <f>HYPERLINK("#2380!C3","指示計器")</f>
        <v>指示計器</v>
      </c>
    </row>
    <row r="639" spans="1:4" x14ac:dyDescent="0.4">
      <c r="A639" s="21">
        <f t="shared" si="74"/>
        <v>2380</v>
      </c>
      <c r="B639" s="22" t="str">
        <f t="shared" si="75"/>
        <v>機械器具月報（その38）電気計測器及び電子応用装置</v>
      </c>
      <c r="C639" s="21" t="str">
        <f>HYPERLINK("#2380!H3","0102")</f>
        <v>0102</v>
      </c>
      <c r="D639" s="22" t="str">
        <f>HYPERLINK("#2380!H3","電力量計")</f>
        <v>電力量計</v>
      </c>
    </row>
    <row r="640" spans="1:4" x14ac:dyDescent="0.4">
      <c r="A640" s="21">
        <f t="shared" si="74"/>
        <v>2380</v>
      </c>
      <c r="B640" s="22" t="str">
        <f t="shared" si="75"/>
        <v>機械器具月報（その38）電気計測器及び電子応用装置</v>
      </c>
      <c r="C640" s="21" t="str">
        <f>HYPERLINK("#2380!M3","0103")</f>
        <v>0103</v>
      </c>
      <c r="D640" s="22" t="str">
        <f>HYPERLINK("#2380!M3","電圧・電流・電力測定器")</f>
        <v>電圧・電流・電力測定器</v>
      </c>
    </row>
    <row r="641" spans="1:4" x14ac:dyDescent="0.4">
      <c r="A641" s="21">
        <f t="shared" si="74"/>
        <v>2380</v>
      </c>
      <c r="B641" s="22" t="str">
        <f t="shared" si="75"/>
        <v>機械器具月報（その38）電気計測器及び電子応用装置</v>
      </c>
      <c r="C641" s="21" t="str">
        <f>HYPERLINK("#2380!R3","0104")</f>
        <v>0104</v>
      </c>
      <c r="D641" s="22" t="str">
        <f>HYPERLINK("#2380!R3","無線通信測定器")</f>
        <v>無線通信測定器</v>
      </c>
    </row>
    <row r="642" spans="1:4" x14ac:dyDescent="0.4">
      <c r="A642" s="21">
        <f t="shared" si="74"/>
        <v>2380</v>
      </c>
      <c r="B642" s="22" t="str">
        <f t="shared" si="75"/>
        <v>機械器具月報（その38）電気計測器及び電子応用装置</v>
      </c>
      <c r="C642" s="21" t="str">
        <f>HYPERLINK("#2380!W3","0105")</f>
        <v>0105</v>
      </c>
      <c r="D642" s="22" t="str">
        <f>HYPERLINK("#2380!W3","ロジックＩＣテスタ")</f>
        <v>ロジックＩＣテスタ</v>
      </c>
    </row>
    <row r="643" spans="1:4" x14ac:dyDescent="0.4">
      <c r="A643" s="21">
        <f t="shared" si="74"/>
        <v>2380</v>
      </c>
      <c r="B643" s="22" t="str">
        <f t="shared" si="75"/>
        <v>機械器具月報（その38）電気計測器及び電子応用装置</v>
      </c>
      <c r="C643" s="21" t="str">
        <f>HYPERLINK("#2380!Y3","0106")</f>
        <v>0106</v>
      </c>
      <c r="D643" s="22" t="str">
        <f>HYPERLINK("#2380!Y3","ＩＣ測定関連機器")</f>
        <v>ＩＣ測定関連機器</v>
      </c>
    </row>
    <row r="644" spans="1:4" x14ac:dyDescent="0.4">
      <c r="A644" s="21">
        <f t="shared" si="74"/>
        <v>2380</v>
      </c>
      <c r="B644" s="22" t="str">
        <f t="shared" si="75"/>
        <v>機械器具月報（その38）電気計測器及び電子応用装置</v>
      </c>
      <c r="C644" s="21" t="str">
        <f>HYPERLINK("#2380!AA3","0107")</f>
        <v>0107</v>
      </c>
      <c r="D644" s="22" t="str">
        <f>HYPERLINK("#2380!AA3","その他の半導体・ＩＣ測定器")</f>
        <v>その他の半導体・ＩＣ測定器</v>
      </c>
    </row>
    <row r="645" spans="1:4" x14ac:dyDescent="0.4">
      <c r="A645" s="21">
        <f t="shared" si="74"/>
        <v>2380</v>
      </c>
      <c r="B645" s="22" t="str">
        <f t="shared" si="75"/>
        <v>機械器具月報（その38）電気計測器及び電子応用装置</v>
      </c>
      <c r="C645" s="21" t="str">
        <f>HYPERLINK("#2380!AC3","0108")</f>
        <v>0108</v>
      </c>
      <c r="D645" s="22" t="str">
        <f>HYPERLINK("#2380!AC3","その他の電気測定器")</f>
        <v>その他の電気測定器</v>
      </c>
    </row>
    <row r="646" spans="1:4" x14ac:dyDescent="0.4">
      <c r="A646" s="21">
        <f t="shared" si="74"/>
        <v>2380</v>
      </c>
      <c r="B646" s="22" t="str">
        <f t="shared" si="75"/>
        <v>機械器具月報（その38）電気計測器及び電子応用装置</v>
      </c>
      <c r="C646" s="21" t="str">
        <f>HYPERLINK("#2380!AD3","0109")</f>
        <v>0109</v>
      </c>
      <c r="D646" s="22" t="str">
        <f>HYPERLINK("#2380!AD3","温度計(プロセスオートメーション用)(発信器)")</f>
        <v>温度計(プロセスオートメーション用)(発信器)</v>
      </c>
    </row>
    <row r="647" spans="1:4" x14ac:dyDescent="0.4">
      <c r="A647" s="21">
        <f t="shared" si="74"/>
        <v>2380</v>
      </c>
      <c r="B647" s="22" t="str">
        <f t="shared" si="75"/>
        <v>機械器具月報（その38）電気計測器及び電子応用装置</v>
      </c>
      <c r="C647" s="21" t="str">
        <f>HYPERLINK("#2380!AI3","0110")</f>
        <v>0110</v>
      </c>
      <c r="D647" s="22" t="str">
        <f>HYPERLINK("#2380!AI3","圧力計(プロセスオートメーション用)(発信器)")</f>
        <v>圧力計(プロセスオートメーション用)(発信器)</v>
      </c>
    </row>
    <row r="648" spans="1:4" x14ac:dyDescent="0.4">
      <c r="A648" s="21">
        <f t="shared" si="74"/>
        <v>2380</v>
      </c>
      <c r="B648" s="22" t="str">
        <f t="shared" si="75"/>
        <v>機械器具月報（その38）電気計測器及び電子応用装置</v>
      </c>
      <c r="C648" s="21" t="str">
        <f>HYPERLINK("#2380!AN3","0111")</f>
        <v>0111</v>
      </c>
      <c r="D648" s="22" t="str">
        <f>HYPERLINK("#2380!AN3","流量計(プロセスオートメーション用)(発信器)")</f>
        <v>流量計(プロセスオートメーション用)(発信器)</v>
      </c>
    </row>
    <row r="649" spans="1:4" x14ac:dyDescent="0.4">
      <c r="A649" s="21">
        <f t="shared" si="74"/>
        <v>2380</v>
      </c>
      <c r="B649" s="22" t="str">
        <f t="shared" si="75"/>
        <v>機械器具月報（その38）電気計測器及び電子応用装置</v>
      </c>
      <c r="C649" s="21" t="str">
        <f>HYPERLINK("#2380!AS3","0112")</f>
        <v>0112</v>
      </c>
      <c r="D649" s="22" t="str">
        <f>HYPERLINK("#2380!AS3","差圧計(プロセスオートメーション用)(発信器)")</f>
        <v>差圧計(プロセスオートメーション用)(発信器)</v>
      </c>
    </row>
    <row r="650" spans="1:4" x14ac:dyDescent="0.4">
      <c r="A650" s="21">
        <f t="shared" si="74"/>
        <v>2380</v>
      </c>
      <c r="B650" s="22" t="str">
        <f t="shared" si="75"/>
        <v>機械器具月報（その38）電気計測器及び電子応用装置</v>
      </c>
      <c r="C650" s="21" t="str">
        <f>HYPERLINK("#2380!AX3","0113")</f>
        <v>0113</v>
      </c>
      <c r="D650" s="22" t="str">
        <f>HYPERLINK("#2380!AX3","その他の発信器(プロセスオートメーション用)")</f>
        <v>その他の発信器(プロセスオートメーション用)</v>
      </c>
    </row>
    <row r="651" spans="1:4" x14ac:dyDescent="0.4">
      <c r="A651" s="21">
        <f t="shared" si="74"/>
        <v>2380</v>
      </c>
      <c r="B651" s="22" t="str">
        <f t="shared" si="75"/>
        <v>機械器具月報（その38）電気計測器及び電子応用装置</v>
      </c>
      <c r="C651" s="21" t="str">
        <f>HYPERLINK("#2380!BC3","0114")</f>
        <v>0114</v>
      </c>
      <c r="D651" s="22" t="str">
        <f>HYPERLINK("#2380!BC3","受信計(プロセスオートメーション用)")</f>
        <v>受信計(プロセスオートメーション用)</v>
      </c>
    </row>
    <row r="652" spans="1:4" x14ac:dyDescent="0.4">
      <c r="A652" s="21">
        <f t="shared" si="74"/>
        <v>2380</v>
      </c>
      <c r="B652" s="22" t="str">
        <f t="shared" si="75"/>
        <v>機械器具月報（その38）電気計測器及び電子応用装置</v>
      </c>
      <c r="C652" s="21" t="str">
        <f>HYPERLINK("#2380!BH3","0115")</f>
        <v>0115</v>
      </c>
      <c r="D652" s="22" t="str">
        <f>HYPERLINK("#2380!BH3","プロセス用分析計(プロセスオートメーション用)")</f>
        <v>プロセス用分析計(プロセスオートメーション用)</v>
      </c>
    </row>
    <row r="653" spans="1:4" x14ac:dyDescent="0.4">
      <c r="A653" s="21">
        <f t="shared" si="74"/>
        <v>2380</v>
      </c>
      <c r="B653" s="22" t="str">
        <f t="shared" si="75"/>
        <v>機械器具月報（その38）電気計測器及び電子応用装置</v>
      </c>
      <c r="C653" s="21" t="str">
        <f>HYPERLINK("#2380!BM3","0116")</f>
        <v>0116</v>
      </c>
      <c r="D653" s="22" t="str">
        <f>HYPERLINK("#2380!BM3","デジタル計装制御システム(プロセスオートメーション用)")</f>
        <v>デジタル計装制御システム(プロセスオートメーション用)</v>
      </c>
    </row>
    <row r="654" spans="1:4" x14ac:dyDescent="0.4">
      <c r="A654" s="21">
        <f t="shared" si="74"/>
        <v>2380</v>
      </c>
      <c r="B654" s="22" t="str">
        <f t="shared" si="75"/>
        <v>機械器具月報（その38）電気計測器及び電子応用装置</v>
      </c>
      <c r="C654" s="21" t="str">
        <f>HYPERLINK("#2380!BR3","0117")</f>
        <v>0117</v>
      </c>
      <c r="D654" s="22" t="str">
        <f>HYPERLINK("#2380!BR3","その他のプロセス監視制御システム(プロセスオートメーション用)")</f>
        <v>その他のプロセス監視制御システム(プロセスオートメーション用)</v>
      </c>
    </row>
    <row r="655" spans="1:4" x14ac:dyDescent="0.4">
      <c r="A655" s="21">
        <f t="shared" si="74"/>
        <v>2380</v>
      </c>
      <c r="B655" s="22" t="str">
        <f t="shared" si="75"/>
        <v>機械器具月報（その38）電気計測器及び電子応用装置</v>
      </c>
      <c r="C655" s="21" t="str">
        <f>HYPERLINK("#2380!BW3","0118")</f>
        <v>0118</v>
      </c>
      <c r="D655" s="22" t="str">
        <f>HYPERLINK("#2380!BW3","その他のプロセスオートメーション用計測制御機器")</f>
        <v>その他のプロセスオートメーション用計測制御機器</v>
      </c>
    </row>
    <row r="656" spans="1:4" x14ac:dyDescent="0.4">
      <c r="A656" s="21">
        <f t="shared" si="74"/>
        <v>2380</v>
      </c>
      <c r="B656" s="22" t="str">
        <f t="shared" si="75"/>
        <v>機械器具月報（その38）電気計測器及び電子応用装置</v>
      </c>
      <c r="C656" s="21" t="str">
        <f>HYPERLINK("#2380!BX3","0119")</f>
        <v>0119</v>
      </c>
      <c r="D656" s="22" t="str">
        <f>HYPERLINK("#2380!BX3","ガス警報器")</f>
        <v>ガス警報器</v>
      </c>
    </row>
    <row r="657" spans="1:4" x14ac:dyDescent="0.4">
      <c r="A657" s="21">
        <f t="shared" si="74"/>
        <v>2380</v>
      </c>
      <c r="B657" s="22" t="str">
        <f t="shared" si="75"/>
        <v>機械器具月報（その38）電気計測器及び電子応用装置</v>
      </c>
      <c r="C657" s="21" t="str">
        <f>HYPERLINK("#2380!CC3","0120")</f>
        <v>0120</v>
      </c>
      <c r="D657" s="22" t="str">
        <f>HYPERLINK("#2380!CC3","Ｘ線装置(医科・歯科用)")</f>
        <v>Ｘ線装置(医科・歯科用)</v>
      </c>
    </row>
    <row r="658" spans="1:4" x14ac:dyDescent="0.4">
      <c r="A658" s="21">
        <f t="shared" si="74"/>
        <v>2380</v>
      </c>
      <c r="B658" s="22" t="str">
        <f t="shared" si="75"/>
        <v>機械器具月報（その38）電気計測器及び電子応用装置</v>
      </c>
      <c r="C658" s="21" t="str">
        <f>HYPERLINK("#2380!CE3","0121")</f>
        <v>0121</v>
      </c>
      <c r="D658" s="22" t="str">
        <f>HYPERLINK("#2380!CE3","Ｘ線医用ＣＴ装置")</f>
        <v>Ｘ線医用ＣＴ装置</v>
      </c>
    </row>
    <row r="659" spans="1:4" x14ac:dyDescent="0.4">
      <c r="A659" s="21">
        <f t="shared" si="74"/>
        <v>2380</v>
      </c>
      <c r="B659" s="22" t="str">
        <f t="shared" si="75"/>
        <v>機械器具月報（その38）電気計測器及び電子応用装置</v>
      </c>
      <c r="C659" s="21" t="str">
        <f>HYPERLINK("#2380!CG3","0122")</f>
        <v>0122</v>
      </c>
      <c r="D659" s="22" t="str">
        <f>HYPERLINK("#2380!CG3","その他のＸ線装置")</f>
        <v>その他のＸ線装置</v>
      </c>
    </row>
    <row r="660" spans="1:4" x14ac:dyDescent="0.4">
      <c r="A660" s="21">
        <f t="shared" si="74"/>
        <v>2380</v>
      </c>
      <c r="B660" s="22" t="str">
        <f t="shared" si="75"/>
        <v>機械器具月報（その38）電気計測器及び電子応用装置</v>
      </c>
      <c r="C660" s="21" t="str">
        <f>HYPERLINK("#2380!CI3","0123")</f>
        <v>0123</v>
      </c>
      <c r="D660" s="22" t="str">
        <f>HYPERLINK("#2380!CI3","放射性物質応用機器")</f>
        <v>放射性物質応用機器</v>
      </c>
    </row>
    <row r="661" spans="1:4" x14ac:dyDescent="0.4">
      <c r="A661" s="21">
        <f t="shared" si="74"/>
        <v>2380</v>
      </c>
      <c r="B661" s="22" t="str">
        <f t="shared" si="75"/>
        <v>機械器具月報（その38）電気計測器及び電子応用装置</v>
      </c>
      <c r="C661" s="21" t="str">
        <f>HYPERLINK("#2380!CK3","0124")</f>
        <v>0124</v>
      </c>
      <c r="D661" s="22" t="str">
        <f>HYPERLINK("#2380!CK3","放射線測定器")</f>
        <v>放射線測定器</v>
      </c>
    </row>
    <row r="662" spans="1:4" x14ac:dyDescent="0.4">
      <c r="A662" s="21">
        <f t="shared" si="74"/>
        <v>2380</v>
      </c>
      <c r="B662" s="22" t="str">
        <f t="shared" si="75"/>
        <v>機械器具月報（その38）電気計測器及び電子応用装置</v>
      </c>
      <c r="C662" s="21" t="str">
        <f>HYPERLINK("#2380!CM3","0125")</f>
        <v>0125</v>
      </c>
      <c r="D662" s="22" t="str">
        <f>HYPERLINK("#2380!CM3","洗浄機 (超音波応用装置)")</f>
        <v>洗浄機 (超音波応用装置)</v>
      </c>
    </row>
    <row r="663" spans="1:4" x14ac:dyDescent="0.4">
      <c r="A663" s="21">
        <f t="shared" si="74"/>
        <v>2380</v>
      </c>
      <c r="B663" s="22" t="str">
        <f t="shared" si="75"/>
        <v>機械器具月報（その38）電気計測器及び電子応用装置</v>
      </c>
      <c r="C663" s="21" t="str">
        <f>HYPERLINK("#2380!CO3","0126")</f>
        <v>0126</v>
      </c>
      <c r="D663" s="22" t="str">
        <f>HYPERLINK("#2380!CO3","医療機器(超音波応用装置)")</f>
        <v>医療機器(超音波応用装置)</v>
      </c>
    </row>
    <row r="664" spans="1:4" x14ac:dyDescent="0.4">
      <c r="A664" s="21">
        <f t="shared" si="74"/>
        <v>2380</v>
      </c>
      <c r="B664" s="22" t="str">
        <f t="shared" si="75"/>
        <v>機械器具月報（その38）電気計測器及び電子応用装置</v>
      </c>
      <c r="C664" s="21" t="str">
        <f>HYPERLINK("#2380!CQ3","0127")</f>
        <v>0127</v>
      </c>
      <c r="D664" s="22" t="str">
        <f>HYPERLINK("#2380!CQ3","溶接機(超音波応用装置)")</f>
        <v>溶接機(超音波応用装置)</v>
      </c>
    </row>
    <row r="665" spans="1:4" x14ac:dyDescent="0.4">
      <c r="A665" s="21">
        <f t="shared" si="74"/>
        <v>2380</v>
      </c>
      <c r="B665" s="22" t="str">
        <f t="shared" si="75"/>
        <v>機械器具月報（その38）電気計測器及び電子応用装置</v>
      </c>
      <c r="C665" s="21" t="str">
        <f>HYPERLINK("#2380!CS3","0128")</f>
        <v>0128</v>
      </c>
      <c r="D665" s="22" t="str">
        <f>HYPERLINK("#2380!CS3","その他の超音波応用装置")</f>
        <v>その他の超音波応用装置</v>
      </c>
    </row>
    <row r="666" spans="1:4" x14ac:dyDescent="0.4">
      <c r="A666" s="21">
        <f t="shared" si="74"/>
        <v>2380</v>
      </c>
      <c r="B666" s="22" t="str">
        <f t="shared" si="75"/>
        <v>機械器具月報（その38）電気計測器及び電子応用装置</v>
      </c>
      <c r="C666" s="21" t="str">
        <f>HYPERLINK("#2380!CU3","0129")</f>
        <v>0129</v>
      </c>
      <c r="D666" s="22" t="str">
        <f>HYPERLINK("#2380!CU3","電子顕微鏡")</f>
        <v>電子顕微鏡</v>
      </c>
    </row>
    <row r="667" spans="1:4" x14ac:dyDescent="0.4">
      <c r="A667" s="21">
        <f t="shared" si="74"/>
        <v>2380</v>
      </c>
      <c r="B667" s="22" t="str">
        <f t="shared" si="75"/>
        <v>機械器具月報（その38）電気計測器及び電子応用装置</v>
      </c>
      <c r="C667" s="21" t="str">
        <f>HYPERLINK("#2380!CW3","0130")</f>
        <v>0130</v>
      </c>
      <c r="D667" s="22" t="str">
        <f>HYPERLINK("#2380!CW3","産業用テレビジョン装置")</f>
        <v>産業用テレビジョン装置</v>
      </c>
    </row>
    <row r="668" spans="1:4" x14ac:dyDescent="0.4">
      <c r="A668" s="21">
        <f t="shared" si="74"/>
        <v>2380</v>
      </c>
      <c r="B668" s="22" t="str">
        <f t="shared" si="75"/>
        <v>機械器具月報（その38）電気計測器及び電子応用装置</v>
      </c>
      <c r="C668" s="21" t="str">
        <f>HYPERLINK("#2380!CY3","0131")</f>
        <v>0131</v>
      </c>
      <c r="D668" s="22" t="str">
        <f>HYPERLINK("#2380!CY3","医用測定器")</f>
        <v>医用測定器</v>
      </c>
    </row>
    <row r="669" spans="1:4" x14ac:dyDescent="0.4">
      <c r="A669" s="21">
        <f t="shared" si="74"/>
        <v>2380</v>
      </c>
      <c r="B669" s="22" t="str">
        <f t="shared" si="75"/>
        <v>機械器具月報（その38）電気計測器及び電子応用装置</v>
      </c>
      <c r="C669" s="21" t="str">
        <f>HYPERLINK("#2380!DA3","0132")</f>
        <v>0132</v>
      </c>
      <c r="D669" s="22" t="str">
        <f>HYPERLINK("#2380!DA3","その他の電子応用装置(特掲以外)")</f>
        <v>その他の電子応用装置(特掲以外)</v>
      </c>
    </row>
    <row r="670" spans="1:4" x14ac:dyDescent="0.4">
      <c r="A670" s="21">
        <f t="shared" ref="A670:A678" si="76">HYPERLINK("#2390!A1 ",2390)</f>
        <v>2390</v>
      </c>
      <c r="B670" s="22" t="str">
        <f t="shared" ref="B670:B678" si="77">HYPERLINK("#2390!A1 ","機械器具月報（その39）電池")</f>
        <v>機械器具月報（その39）電池</v>
      </c>
      <c r="C670" s="21" t="str">
        <f>HYPERLINK("#2390!C3","0101")</f>
        <v>0101</v>
      </c>
      <c r="D670" s="22" t="str">
        <f>HYPERLINK("#2390!C3","酸化銀電池")</f>
        <v>酸化銀電池</v>
      </c>
    </row>
    <row r="671" spans="1:4" x14ac:dyDescent="0.4">
      <c r="A671" s="21">
        <f t="shared" si="76"/>
        <v>2390</v>
      </c>
      <c r="B671" s="22" t="str">
        <f t="shared" si="77"/>
        <v>機械器具月報（その39）電池</v>
      </c>
      <c r="C671" s="21" t="str">
        <f>HYPERLINK("#2390!H3","0102")</f>
        <v>0102</v>
      </c>
      <c r="D671" s="22" t="str">
        <f>HYPERLINK("#2390!H3","アルカリマンガン乾電池")</f>
        <v>アルカリマンガン乾電池</v>
      </c>
    </row>
    <row r="672" spans="1:4" x14ac:dyDescent="0.4">
      <c r="A672" s="21">
        <f t="shared" si="76"/>
        <v>2390</v>
      </c>
      <c r="B672" s="22" t="str">
        <f t="shared" si="77"/>
        <v>機械器具月報（その39）電池</v>
      </c>
      <c r="C672" s="21" t="str">
        <f>HYPERLINK("#2390!M3","0103")</f>
        <v>0103</v>
      </c>
      <c r="D672" s="22" t="str">
        <f>HYPERLINK("#2390!M3","リチウム電池(乾電池)")</f>
        <v>リチウム電池(乾電池)</v>
      </c>
    </row>
    <row r="673" spans="1:4" x14ac:dyDescent="0.4">
      <c r="A673" s="21">
        <f t="shared" si="76"/>
        <v>2390</v>
      </c>
      <c r="B673" s="22" t="str">
        <f t="shared" si="77"/>
        <v>機械器具月報（その39）電池</v>
      </c>
      <c r="C673" s="21" t="str">
        <f>HYPERLINK("#2390!R3","0104")</f>
        <v>0104</v>
      </c>
      <c r="D673" s="22" t="str">
        <f>HYPERLINK("#2390!R3","鉛蓄電池(自動車用(二輪自動車用を除く))")</f>
        <v>鉛蓄電池(自動車用(二輪自動車用を除く))</v>
      </c>
    </row>
    <row r="674" spans="1:4" x14ac:dyDescent="0.4">
      <c r="A674" s="21">
        <f t="shared" si="76"/>
        <v>2390</v>
      </c>
      <c r="B674" s="22" t="str">
        <f t="shared" si="77"/>
        <v>機械器具月報（その39）電池</v>
      </c>
      <c r="C674" s="21" t="str">
        <f>HYPERLINK("#2390!Z3","0105")</f>
        <v>0105</v>
      </c>
      <c r="D674" s="22" t="str">
        <f>HYPERLINK("#2390!Z3","その他の鉛蓄電池")</f>
        <v>その他の鉛蓄電池</v>
      </c>
    </row>
    <row r="675" spans="1:4" x14ac:dyDescent="0.4">
      <c r="A675" s="21">
        <f t="shared" si="76"/>
        <v>2390</v>
      </c>
      <c r="B675" s="22" t="str">
        <f t="shared" si="77"/>
        <v>機械器具月報（その39）電池</v>
      </c>
      <c r="C675" s="21" t="str">
        <f>HYPERLINK("#2390!AH3","0106")</f>
        <v>0106</v>
      </c>
      <c r="D675" s="22" t="str">
        <f>HYPERLINK("#2390!AH3","アルカリ蓄電池(ニッケル・水素電池)")</f>
        <v>アルカリ蓄電池(ニッケル・水素電池)</v>
      </c>
    </row>
    <row r="676" spans="1:4" x14ac:dyDescent="0.4">
      <c r="A676" s="21">
        <f t="shared" si="76"/>
        <v>2390</v>
      </c>
      <c r="B676" s="22" t="str">
        <f t="shared" si="77"/>
        <v>機械器具月報（その39）電池</v>
      </c>
      <c r="C676" s="21" t="str">
        <f>HYPERLINK("#2390!AP3","0107")</f>
        <v>0107</v>
      </c>
      <c r="D676" s="22" t="str">
        <f>HYPERLINK("#2390!AP3","その他のアルカリ蓄電池")</f>
        <v>その他のアルカリ蓄電池</v>
      </c>
    </row>
    <row r="677" spans="1:4" x14ac:dyDescent="0.4">
      <c r="A677" s="21">
        <f t="shared" si="76"/>
        <v>2390</v>
      </c>
      <c r="B677" s="22" t="str">
        <f t="shared" si="77"/>
        <v>機械器具月報（その39）電池</v>
      </c>
      <c r="C677" s="21" t="str">
        <f>HYPERLINK("#2390!AX3","0108")</f>
        <v>0108</v>
      </c>
      <c r="D677" s="22" t="str">
        <f>HYPERLINK("#2390!AX3","リチウムイオン蓄電池(車載用)")</f>
        <v>リチウムイオン蓄電池(車載用)</v>
      </c>
    </row>
    <row r="678" spans="1:4" x14ac:dyDescent="0.4">
      <c r="A678" s="21">
        <f t="shared" si="76"/>
        <v>2390</v>
      </c>
      <c r="B678" s="22" t="str">
        <f t="shared" si="77"/>
        <v>機械器具月報（その39）電池</v>
      </c>
      <c r="C678" s="21" t="str">
        <f>HYPERLINK("#2390!BF3","0109")</f>
        <v>0109</v>
      </c>
      <c r="D678" s="22" t="str">
        <f>HYPERLINK("#2390!BF3","その他のリチウムイオン蓄電池")</f>
        <v>その他のリチウムイオン蓄電池</v>
      </c>
    </row>
    <row r="679" spans="1:4" x14ac:dyDescent="0.4">
      <c r="A679" s="21">
        <f t="shared" ref="A679:A700" si="78">HYPERLINK("#2400!A1 ",2400)</f>
        <v>2400</v>
      </c>
      <c r="B679" s="22" t="str">
        <f t="shared" ref="B679:B700" si="79">HYPERLINK("#2400!A1 ","機械器具月報（その40）自動車（戦闘用自動車を除く）")</f>
        <v>機械器具月報（その40）自動車（戦闘用自動車を除く）</v>
      </c>
      <c r="C679" s="21" t="str">
        <f>HYPERLINK("#2400!C3","0101")</f>
        <v>0101</v>
      </c>
      <c r="D679" s="22" t="str">
        <f>HYPERLINK("#2400!C3","軽乗用車")</f>
        <v>軽乗用車</v>
      </c>
    </row>
    <row r="680" spans="1:4" x14ac:dyDescent="0.4">
      <c r="A680" s="21">
        <f t="shared" si="78"/>
        <v>2400</v>
      </c>
      <c r="B680" s="22" t="str">
        <f t="shared" si="79"/>
        <v>機械器具月報（その40）自動車（戦闘用自動車を除く）</v>
      </c>
      <c r="C680" s="21" t="str">
        <f>HYPERLINK("#2400!H3","0102")</f>
        <v>0102</v>
      </c>
      <c r="D680" s="22" t="str">
        <f>HYPERLINK("#2400!H3","小型乗用車")</f>
        <v>小型乗用車</v>
      </c>
    </row>
    <row r="681" spans="1:4" x14ac:dyDescent="0.4">
      <c r="A681" s="21">
        <f t="shared" si="78"/>
        <v>2400</v>
      </c>
      <c r="B681" s="22" t="str">
        <f t="shared" si="79"/>
        <v>機械器具月報（その40）自動車（戦闘用自動車を除く）</v>
      </c>
      <c r="C681" s="21" t="str">
        <f>HYPERLINK("#2400!M3","0103")</f>
        <v>0103</v>
      </c>
      <c r="D681" s="22" t="str">
        <f>HYPERLINK("#2400!M3","普通乗用車")</f>
        <v>普通乗用車</v>
      </c>
    </row>
    <row r="682" spans="1:4" x14ac:dyDescent="0.4">
      <c r="A682" s="21">
        <f t="shared" si="78"/>
        <v>2400</v>
      </c>
      <c r="B682" s="22" t="str">
        <f t="shared" si="79"/>
        <v>機械器具月報（その40）自動車（戦闘用自動車を除く）</v>
      </c>
      <c r="C682" s="21" t="str">
        <f>HYPERLINK("#2400!R3","0104")</f>
        <v>0104</v>
      </c>
      <c r="D682" s="22" t="str">
        <f>HYPERLINK("#2400!R3","小型バス")</f>
        <v>小型バス</v>
      </c>
    </row>
    <row r="683" spans="1:4" x14ac:dyDescent="0.4">
      <c r="A683" s="21">
        <f t="shared" si="78"/>
        <v>2400</v>
      </c>
      <c r="B683" s="22" t="str">
        <f t="shared" si="79"/>
        <v>機械器具月報（その40）自動車（戦闘用自動車を除く）</v>
      </c>
      <c r="C683" s="21" t="str">
        <f>HYPERLINK("#2400!W3","0105")</f>
        <v>0105</v>
      </c>
      <c r="D683" s="22" t="str">
        <f>HYPERLINK("#2400!W3","大型バス")</f>
        <v>大型バス</v>
      </c>
    </row>
    <row r="684" spans="1:4" x14ac:dyDescent="0.4">
      <c r="A684" s="21">
        <f t="shared" si="78"/>
        <v>2400</v>
      </c>
      <c r="B684" s="22" t="str">
        <f t="shared" si="79"/>
        <v>機械器具月報（その40）自動車（戦闘用自動車を除く）</v>
      </c>
      <c r="C684" s="21" t="str">
        <f>HYPERLINK("#2400!AB3","0106")</f>
        <v>0106</v>
      </c>
      <c r="D684" s="22" t="str">
        <f>HYPERLINK("#2400!AB3","軽トラック")</f>
        <v>軽トラック</v>
      </c>
    </row>
    <row r="685" spans="1:4" x14ac:dyDescent="0.4">
      <c r="A685" s="21">
        <f t="shared" si="78"/>
        <v>2400</v>
      </c>
      <c r="B685" s="22" t="str">
        <f t="shared" si="79"/>
        <v>機械器具月報（その40）自動車（戦闘用自動車を除く）</v>
      </c>
      <c r="C685" s="21" t="str">
        <f>HYPERLINK("#2400!AG3","0107")</f>
        <v>0107</v>
      </c>
      <c r="D685" s="22" t="str">
        <f>HYPERLINK("#2400!AG3","小型トラック")</f>
        <v>小型トラック</v>
      </c>
    </row>
    <row r="686" spans="1:4" x14ac:dyDescent="0.4">
      <c r="A686" s="21">
        <f t="shared" si="78"/>
        <v>2400</v>
      </c>
      <c r="B686" s="22" t="str">
        <f t="shared" si="79"/>
        <v>機械器具月報（その40）自動車（戦闘用自動車を除く）</v>
      </c>
      <c r="C686" s="21" t="str">
        <f>HYPERLINK("#2400!AL3","0108")</f>
        <v>0108</v>
      </c>
      <c r="D686" s="22" t="str">
        <f>HYPERLINK("#2400!AL3","普通トラック")</f>
        <v>普通トラック</v>
      </c>
    </row>
    <row r="687" spans="1:4" x14ac:dyDescent="0.4">
      <c r="A687" s="21">
        <f t="shared" si="78"/>
        <v>2400</v>
      </c>
      <c r="B687" s="22" t="str">
        <f t="shared" si="79"/>
        <v>機械器具月報（その40）自動車（戦闘用自動車を除く）</v>
      </c>
      <c r="C687" s="21" t="str">
        <f>HYPERLINK("#2400!AQ3","0109")</f>
        <v>0109</v>
      </c>
      <c r="D687" s="22" t="str">
        <f>HYPERLINK("#2400!AQ3","けん引車")</f>
        <v>けん引車</v>
      </c>
    </row>
    <row r="688" spans="1:4" x14ac:dyDescent="0.4">
      <c r="A688" s="21">
        <f t="shared" si="78"/>
        <v>2400</v>
      </c>
      <c r="B688" s="22" t="str">
        <f t="shared" si="79"/>
        <v>機械器具月報（その40）自動車（戦闘用自動車を除く）</v>
      </c>
      <c r="C688" s="21" t="str">
        <f>HYPERLINK("#2400!AV3","0110")</f>
        <v>0110</v>
      </c>
      <c r="D688" s="22" t="str">
        <f>HYPERLINK("#2400!AV3","特殊自動車")</f>
        <v>特殊自動車</v>
      </c>
    </row>
    <row r="689" spans="1:4" x14ac:dyDescent="0.4">
      <c r="A689" s="21">
        <f t="shared" si="78"/>
        <v>2400</v>
      </c>
      <c r="B689" s="22" t="str">
        <f t="shared" si="79"/>
        <v>機械器具月報（その40）自動車（戦闘用自動車を除く）</v>
      </c>
      <c r="C689" s="21" t="str">
        <f>HYPERLINK("#2400!BA3","0111")</f>
        <v>0111</v>
      </c>
      <c r="D689" s="22" t="str">
        <f>HYPERLINK("#2400!BA3","トレーラ")</f>
        <v>トレーラ</v>
      </c>
    </row>
    <row r="690" spans="1:4" x14ac:dyDescent="0.4">
      <c r="A690" s="21">
        <f t="shared" si="78"/>
        <v>2400</v>
      </c>
      <c r="B690" s="22" t="str">
        <f t="shared" si="79"/>
        <v>機械器具月報（その40）自動車（戦闘用自動車を除く）</v>
      </c>
      <c r="C690" s="21" t="str">
        <f>HYPERLINK("#2400!BF3","0112")</f>
        <v>0112</v>
      </c>
      <c r="D690" s="22" t="str">
        <f>HYPERLINK("#2400!BF3","二輪自動車（気筒容積１２５ｍｌ以下のうち 最高出力４ｋW以下）")</f>
        <v>二輪自動車（気筒容積１２５ｍｌ以下のうち 最高出力４ｋW以下）</v>
      </c>
    </row>
    <row r="691" spans="1:4" x14ac:dyDescent="0.4">
      <c r="A691" s="21">
        <f t="shared" si="78"/>
        <v>2400</v>
      </c>
      <c r="B691" s="22" t="str">
        <f t="shared" si="79"/>
        <v>機械器具月報（その40）自動車（戦闘用自動車を除く）</v>
      </c>
      <c r="C691" s="21" t="str">
        <f>HYPERLINK("#2400!BK3","0113")</f>
        <v>0113</v>
      </c>
      <c r="D691" s="22" t="str">
        <f>HYPERLINK("#2400!BK3","二輪自動車（気筒容積 ５０ｍｌを超え１２５ｍｌ以下のうち 最高出力 ４ｋWを超えるもの）")</f>
        <v>二輪自動車（気筒容積 ５０ｍｌを超え１２５ｍｌ以下のうち 最高出力 ４ｋWを超えるもの）</v>
      </c>
    </row>
    <row r="692" spans="1:4" x14ac:dyDescent="0.4">
      <c r="A692" s="21">
        <f t="shared" si="78"/>
        <v>2400</v>
      </c>
      <c r="B692" s="22" t="str">
        <f t="shared" si="79"/>
        <v>機械器具月報（その40）自動車（戦闘用自動車を除く）</v>
      </c>
      <c r="C692" s="21" t="str">
        <f>HYPERLINK("#2400!BP3","0114")</f>
        <v>0114</v>
      </c>
      <c r="D692" s="22" t="str">
        <f>HYPERLINK("#2400!BP3","二輪自動車（気筒容積１２５ｍｌを超え２５０ｍｌ以下）")</f>
        <v>二輪自動車（気筒容積１２５ｍｌを超え２５０ｍｌ以下）</v>
      </c>
    </row>
    <row r="693" spans="1:4" x14ac:dyDescent="0.4">
      <c r="A693" s="21">
        <f t="shared" si="78"/>
        <v>2400</v>
      </c>
      <c r="B693" s="22" t="str">
        <f t="shared" si="79"/>
        <v>機械器具月報（その40）自動車（戦闘用自動車を除く）</v>
      </c>
      <c r="C693" s="21" t="str">
        <f>HYPERLINK("#2400!BU3","0115")</f>
        <v>0115</v>
      </c>
      <c r="D693" s="22" t="str">
        <f>HYPERLINK("#2400!BU3","二輪自動車（気筒容積２５０ｍｌを超えるもの）")</f>
        <v>二輪自動車（気筒容積２５０ｍｌを超えるもの）</v>
      </c>
    </row>
    <row r="694" spans="1:4" x14ac:dyDescent="0.4">
      <c r="A694" s="21">
        <f t="shared" si="78"/>
        <v>2400</v>
      </c>
      <c r="B694" s="22" t="str">
        <f t="shared" si="79"/>
        <v>機械器具月報（その40）自動車（戦闘用自動車を除く）</v>
      </c>
      <c r="C694" s="21" t="str">
        <f>HYPERLINK("#2400!BZ3","0116")</f>
        <v>0116</v>
      </c>
      <c r="D694" s="22" t="str">
        <f>HYPERLINK("#2400!BZ3","トラックボデー（小型トラック荷台）")</f>
        <v>トラックボデー（小型トラック荷台）</v>
      </c>
    </row>
    <row r="695" spans="1:4" x14ac:dyDescent="0.4">
      <c r="A695" s="21">
        <f t="shared" si="78"/>
        <v>2400</v>
      </c>
      <c r="B695" s="22" t="str">
        <f t="shared" si="79"/>
        <v>機械器具月報（その40）自動車（戦闘用自動車を除く）</v>
      </c>
      <c r="C695" s="21" t="str">
        <f>HYPERLINK("#2400!CB3","0117")</f>
        <v>0117</v>
      </c>
      <c r="D695" s="22" t="str">
        <f>HYPERLINK("#2400!CB3","トラックボデー（普通トラック荷台）")</f>
        <v>トラックボデー（普通トラック荷台）</v>
      </c>
    </row>
    <row r="696" spans="1:4" x14ac:dyDescent="0.4">
      <c r="A696" s="21">
        <f t="shared" si="78"/>
        <v>2400</v>
      </c>
      <c r="B696" s="22" t="str">
        <f t="shared" si="79"/>
        <v>機械器具月報（その40）自動車（戦闘用自動車を除く）</v>
      </c>
      <c r="C696" s="21" t="str">
        <f>HYPERLINK("#2400!CD3","0118")</f>
        <v>0118</v>
      </c>
      <c r="D696" s="22" t="str">
        <f>HYPERLINK("#2400!CD3","小型特装ボデー")</f>
        <v>小型特装ボデー</v>
      </c>
    </row>
    <row r="697" spans="1:4" x14ac:dyDescent="0.4">
      <c r="A697" s="21">
        <f t="shared" si="78"/>
        <v>2400</v>
      </c>
      <c r="B697" s="22" t="str">
        <f t="shared" si="79"/>
        <v>機械器具月報（その40）自動車（戦闘用自動車を除く）</v>
      </c>
      <c r="C697" s="21" t="str">
        <f>HYPERLINK("#2400!CF3","0119")</f>
        <v>0119</v>
      </c>
      <c r="D697" s="22" t="str">
        <f>HYPERLINK("#2400!CF3","普通特装ボデー")</f>
        <v>普通特装ボデー</v>
      </c>
    </row>
    <row r="698" spans="1:4" x14ac:dyDescent="0.4">
      <c r="A698" s="21">
        <f t="shared" si="78"/>
        <v>2400</v>
      </c>
      <c r="B698" s="22" t="str">
        <f t="shared" si="79"/>
        <v>機械器具月報（その40）自動車（戦闘用自動車を除く）</v>
      </c>
      <c r="C698" s="21" t="str">
        <f>HYPERLINK("#2400!CH3","0131")</f>
        <v>0131</v>
      </c>
      <c r="D698" s="22" t="str">
        <f>HYPERLINK("#2400!CH3","HEV車及びPHEV車（乗用車生産内訳）")</f>
        <v>HEV車及びPHEV車（乗用車生産内訳）</v>
      </c>
    </row>
    <row r="699" spans="1:4" x14ac:dyDescent="0.4">
      <c r="A699" s="21">
        <f t="shared" si="78"/>
        <v>2400</v>
      </c>
      <c r="B699" s="22" t="str">
        <f t="shared" si="79"/>
        <v>機械器具月報（その40）自動車（戦闘用自動車を除く）</v>
      </c>
      <c r="C699" s="21" t="str">
        <f>HYPERLINK("#2400!CJ3","0132")</f>
        <v>0132</v>
      </c>
      <c r="D699" s="22" t="str">
        <f>HYPERLINK("#2400!CJ3","電気自動車及び燃料電池車（乗用車生産内訳）")</f>
        <v>電気自動車及び燃料電池車（乗用車生産内訳）</v>
      </c>
    </row>
    <row r="700" spans="1:4" x14ac:dyDescent="0.4">
      <c r="A700" s="21">
        <f t="shared" si="78"/>
        <v>2400</v>
      </c>
      <c r="B700" s="22" t="str">
        <f t="shared" si="79"/>
        <v>機械器具月報（その40）自動車（戦闘用自動車を除く）</v>
      </c>
      <c r="C700" s="21" t="str">
        <f>HYPERLINK("#2400!CL3","0133")</f>
        <v>0133</v>
      </c>
      <c r="D700" s="22" t="str">
        <f>HYPERLINK("#2400!CL3","HEV車、PHEV車、電気自動車及び燃料電池車（バス及びトラック生産内訳）")</f>
        <v>HEV車、PHEV車、電気自動車及び燃料電池車（バス及びトラック生産内訳）</v>
      </c>
    </row>
    <row r="701" spans="1:4" x14ac:dyDescent="0.4">
      <c r="A701" s="21">
        <f t="shared" ref="A701:A747" si="80">HYPERLINK("#2410!A1 ",2410)</f>
        <v>2410</v>
      </c>
      <c r="B701" s="22" t="str">
        <f t="shared" ref="B701:B747" si="81">HYPERLINK("#2410!A1 ","機械器具月報（その41）自動車部品及び内燃機関電装品")</f>
        <v>機械器具月報（その41）自動車部品及び内燃機関電装品</v>
      </c>
      <c r="C701" s="21" t="str">
        <f>HYPERLINK("#2410!C3","0101")</f>
        <v>0101</v>
      </c>
      <c r="D701" s="22" t="str">
        <f>HYPERLINK("#2410!C3","ガソリンエンジン(自動車部品)")</f>
        <v>ガソリンエンジン(自動車部品)</v>
      </c>
    </row>
    <row r="702" spans="1:4" x14ac:dyDescent="0.4">
      <c r="A702" s="21">
        <f t="shared" si="80"/>
        <v>2410</v>
      </c>
      <c r="B702" s="22" t="str">
        <f t="shared" si="81"/>
        <v>機械器具月報（その41）自動車部品及び内燃機関電装品</v>
      </c>
      <c r="C702" s="21" t="str">
        <f>HYPERLINK("#2410!E3","0102")</f>
        <v>0102</v>
      </c>
      <c r="D702" s="22" t="str">
        <f>HYPERLINK("#2410!E3","ディーゼルエンジン(自動車部品)")</f>
        <v>ディーゼルエンジン(自動車部品)</v>
      </c>
    </row>
    <row r="703" spans="1:4" x14ac:dyDescent="0.4">
      <c r="A703" s="21">
        <f t="shared" si="80"/>
        <v>2410</v>
      </c>
      <c r="B703" s="22" t="str">
        <f t="shared" si="81"/>
        <v>機械器具月報（その41）自動車部品及び内燃機関電装品</v>
      </c>
      <c r="C703" s="21" t="str">
        <f>HYPERLINK("#2410!G3","0103")</f>
        <v>0103</v>
      </c>
      <c r="D703" s="22" t="str">
        <f>HYPERLINK("#2410!G3","ピストン(自動車部品)")</f>
        <v>ピストン(自動車部品)</v>
      </c>
    </row>
    <row r="704" spans="1:4" x14ac:dyDescent="0.4">
      <c r="A704" s="21">
        <f t="shared" si="80"/>
        <v>2410</v>
      </c>
      <c r="B704" s="22" t="str">
        <f t="shared" si="81"/>
        <v>機械器具月報（その41）自動車部品及び内燃機関電装品</v>
      </c>
      <c r="C704" s="21" t="str">
        <f>HYPERLINK("#2410!I3","0104")</f>
        <v>0104</v>
      </c>
      <c r="D704" s="22" t="str">
        <f>HYPERLINK("#2410!I3","ピストンリング・シリンダーライナ(自動車部品)")</f>
        <v>ピストンリング・シリンダーライナ(自動車部品)</v>
      </c>
    </row>
    <row r="705" spans="1:4" x14ac:dyDescent="0.4">
      <c r="A705" s="21">
        <f t="shared" si="80"/>
        <v>2410</v>
      </c>
      <c r="B705" s="22" t="str">
        <f t="shared" si="81"/>
        <v>機械器具月報（その41）自動車部品及び内燃機関電装品</v>
      </c>
      <c r="C705" s="21" t="str">
        <f>HYPERLINK("#2410!K3","0105")</f>
        <v>0105</v>
      </c>
      <c r="D705" s="22" t="str">
        <f>HYPERLINK("#2410!K3","吸気弁・排気弁(自動車部品)")</f>
        <v>吸気弁・排気弁(自動車部品)</v>
      </c>
    </row>
    <row r="706" spans="1:4" x14ac:dyDescent="0.4">
      <c r="A706" s="21">
        <f t="shared" si="80"/>
        <v>2410</v>
      </c>
      <c r="B706" s="22" t="str">
        <f t="shared" si="81"/>
        <v>機械器具月報（その41）自動車部品及び内燃機関電装品</v>
      </c>
      <c r="C706" s="21" t="str">
        <f>HYPERLINK("#2410!M3","0106")</f>
        <v>0106</v>
      </c>
      <c r="D706" s="22" t="str">
        <f>HYPERLINK("#2410!M3","ガスケット(自動車部品)")</f>
        <v>ガスケット(自動車部品)</v>
      </c>
    </row>
    <row r="707" spans="1:4" x14ac:dyDescent="0.4">
      <c r="A707" s="21">
        <f t="shared" si="80"/>
        <v>2410</v>
      </c>
      <c r="B707" s="22" t="str">
        <f t="shared" si="81"/>
        <v>機械器具月報（その41）自動車部品及び内燃機関電装品</v>
      </c>
      <c r="C707" s="21" t="str">
        <f>HYPERLINK("#2410!O3","0107")</f>
        <v>0107</v>
      </c>
      <c r="D707" s="22" t="str">
        <f>HYPERLINK("#2410!O3","燃料ポンプ(自動車部品)")</f>
        <v>燃料ポンプ(自動車部品)</v>
      </c>
    </row>
    <row r="708" spans="1:4" x14ac:dyDescent="0.4">
      <c r="A708" s="21">
        <f t="shared" si="80"/>
        <v>2410</v>
      </c>
      <c r="B708" s="22" t="str">
        <f t="shared" si="81"/>
        <v>機械器具月報（その41）自動車部品及び内燃機関電装品</v>
      </c>
      <c r="C708" s="21" t="str">
        <f>HYPERLINK("#2410!Q3","0108")</f>
        <v>0108</v>
      </c>
      <c r="D708" s="22" t="str">
        <f>HYPERLINK("#2410!Q3","燃料噴射装置(自動車部品)")</f>
        <v>燃料噴射装置(自動車部品)</v>
      </c>
    </row>
    <row r="709" spans="1:4" x14ac:dyDescent="0.4">
      <c r="A709" s="21">
        <f t="shared" si="80"/>
        <v>2410</v>
      </c>
      <c r="B709" s="22" t="str">
        <f t="shared" si="81"/>
        <v>機械器具月報（その41）自動車部品及び内燃機関電装品</v>
      </c>
      <c r="C709" s="21" t="str">
        <f>HYPERLINK("#2410!S3","0109")</f>
        <v>0109</v>
      </c>
      <c r="D709" s="22" t="str">
        <f>HYPERLINK("#2410!S3","空気清浄器(自動車部品)")</f>
        <v>空気清浄器(自動車部品)</v>
      </c>
    </row>
    <row r="710" spans="1:4" x14ac:dyDescent="0.4">
      <c r="A710" s="21">
        <f t="shared" si="80"/>
        <v>2410</v>
      </c>
      <c r="B710" s="22" t="str">
        <f t="shared" si="81"/>
        <v>機械器具月報（その41）自動車部品及び内燃機関電装品</v>
      </c>
      <c r="C710" s="21" t="str">
        <f>HYPERLINK("#2410!U3","0110")</f>
        <v>0110</v>
      </c>
      <c r="D710" s="22" t="str">
        <f>HYPERLINK("#2410!U3","油清浄器(自動車部品)")</f>
        <v>油清浄器(自動車部品)</v>
      </c>
    </row>
    <row r="711" spans="1:4" x14ac:dyDescent="0.4">
      <c r="A711" s="21">
        <f t="shared" si="80"/>
        <v>2410</v>
      </c>
      <c r="B711" s="22" t="str">
        <f t="shared" si="81"/>
        <v>機械器具月報（その41）自動車部品及び内燃機関電装品</v>
      </c>
      <c r="C711" s="21" t="str">
        <f>HYPERLINK("#2410!W3","0111")</f>
        <v>0111</v>
      </c>
      <c r="D711" s="22" t="str">
        <f>HYPERLINK("#2410!W3","油ポンプ(自動車部品)")</f>
        <v>油ポンプ(自動車部品)</v>
      </c>
    </row>
    <row r="712" spans="1:4" x14ac:dyDescent="0.4">
      <c r="A712" s="21">
        <f t="shared" si="80"/>
        <v>2410</v>
      </c>
      <c r="B712" s="22" t="str">
        <f t="shared" si="81"/>
        <v>機械器具月報（その41）自動車部品及び内燃機関電装品</v>
      </c>
      <c r="C712" s="21" t="str">
        <f>HYPERLINK("#2410!Y3","0112")</f>
        <v>0112</v>
      </c>
      <c r="D712" s="22" t="str">
        <f>HYPERLINK("#2410!Y3","水ポンプ(自動車部品)")</f>
        <v>水ポンプ(自動車部品)</v>
      </c>
    </row>
    <row r="713" spans="1:4" x14ac:dyDescent="0.4">
      <c r="A713" s="21">
        <f t="shared" si="80"/>
        <v>2410</v>
      </c>
      <c r="B713" s="22" t="str">
        <f t="shared" si="81"/>
        <v>機械器具月報（その41）自動車部品及び内燃機関電装品</v>
      </c>
      <c r="C713" s="21" t="str">
        <f>HYPERLINK("#2410!AA3","0113")</f>
        <v>0113</v>
      </c>
      <c r="D713" s="22" t="str">
        <f>HYPERLINK("#2410!AA3","放熱器(ラジエータ)(自動車部品)")</f>
        <v>放熱器(ラジエータ)(自動車部品)</v>
      </c>
    </row>
    <row r="714" spans="1:4" x14ac:dyDescent="0.4">
      <c r="A714" s="21">
        <f t="shared" si="80"/>
        <v>2410</v>
      </c>
      <c r="B714" s="22" t="str">
        <f t="shared" si="81"/>
        <v>機械器具月報（その41）自動車部品及び内燃機関電装品</v>
      </c>
      <c r="C714" s="21" t="str">
        <f>HYPERLINK("#2410!AC3","0114")</f>
        <v>0114</v>
      </c>
      <c r="D714" s="22" t="str">
        <f>HYPERLINK("#2410!AC3","クラッチ装置(自動車部品)")</f>
        <v>クラッチ装置(自動車部品)</v>
      </c>
    </row>
    <row r="715" spans="1:4" x14ac:dyDescent="0.4">
      <c r="A715" s="21">
        <f t="shared" si="80"/>
        <v>2410</v>
      </c>
      <c r="B715" s="22" t="str">
        <f t="shared" si="81"/>
        <v>機械器具月報（その41）自動車部品及び内燃機関電装品</v>
      </c>
      <c r="C715" s="21" t="str">
        <f>HYPERLINK("#2410!AE3","0115")</f>
        <v>0115</v>
      </c>
      <c r="D715" s="22" t="str">
        <f>HYPERLINK("#2410!AE3","自動変速装置(自動車部品)")</f>
        <v>自動変速装置(自動車部品)</v>
      </c>
    </row>
    <row r="716" spans="1:4" x14ac:dyDescent="0.4">
      <c r="A716" s="21">
        <f t="shared" si="80"/>
        <v>2410</v>
      </c>
      <c r="B716" s="22" t="str">
        <f t="shared" si="81"/>
        <v>機械器具月報（その41）自動車部品及び内燃機関電装品</v>
      </c>
      <c r="C716" s="21" t="str">
        <f>HYPERLINK("#2410!AG3","0116")</f>
        <v>0116</v>
      </c>
      <c r="D716" s="22" t="str">
        <f>HYPERLINK("#2410!AG3","ユニバーサルジョイント(自動車部品)")</f>
        <v>ユニバーサルジョイント(自動車部品)</v>
      </c>
    </row>
    <row r="717" spans="1:4" x14ac:dyDescent="0.4">
      <c r="A717" s="21">
        <f t="shared" si="80"/>
        <v>2410</v>
      </c>
      <c r="B717" s="22" t="str">
        <f t="shared" si="81"/>
        <v>機械器具月報（その41）自動車部品及び内燃機関電装品</v>
      </c>
      <c r="C717" s="21" t="str">
        <f>HYPERLINK("#2410!AI3","0117")</f>
        <v>0117</v>
      </c>
      <c r="D717" s="22" t="str">
        <f>HYPERLINK("#2410!AI3","プロペラシャフト(自動車部品)")</f>
        <v>プロペラシャフト(自動車部品)</v>
      </c>
    </row>
    <row r="718" spans="1:4" x14ac:dyDescent="0.4">
      <c r="A718" s="21">
        <f t="shared" si="80"/>
        <v>2410</v>
      </c>
      <c r="B718" s="22" t="str">
        <f t="shared" si="81"/>
        <v>機械器具月報（その41）自動車部品及び内燃機関電装品</v>
      </c>
      <c r="C718" s="21" t="str">
        <f>HYPERLINK("#2410!AK3","0118")</f>
        <v>0118</v>
      </c>
      <c r="D718" s="22" t="str">
        <f>HYPERLINK("#2410!AK3","車輪(自動車部品)")</f>
        <v>車輪(自動車部品)</v>
      </c>
    </row>
    <row r="719" spans="1:4" x14ac:dyDescent="0.4">
      <c r="A719" s="21">
        <f t="shared" si="80"/>
        <v>2410</v>
      </c>
      <c r="B719" s="22" t="str">
        <f t="shared" si="81"/>
        <v>機械器具月報（その41）自動車部品及び内燃機関電装品</v>
      </c>
      <c r="C719" s="21" t="str">
        <f>HYPERLINK("#2410!AM3","0119")</f>
        <v>0119</v>
      </c>
      <c r="D719" s="22" t="str">
        <f>HYPERLINK("#2410!AM3","かじ取りハンドル(自動車部品)")</f>
        <v>かじ取りハンドル(自動車部品)</v>
      </c>
    </row>
    <row r="720" spans="1:4" x14ac:dyDescent="0.4">
      <c r="A720" s="21">
        <f t="shared" si="80"/>
        <v>2410</v>
      </c>
      <c r="B720" s="22" t="str">
        <f t="shared" si="81"/>
        <v>機械器具月報（その41）自動車部品及び内燃機関電装品</v>
      </c>
      <c r="C720" s="21" t="str">
        <f>HYPERLINK("#2410!AO3","0120")</f>
        <v>0120</v>
      </c>
      <c r="D720" s="22" t="str">
        <f>HYPERLINK("#2410!AO3","ステアリング装置・タイロッド・タイロッドエンド(自動車部品)")</f>
        <v>ステアリング装置・タイロッド・タイロッドエンド(自動車部品)</v>
      </c>
    </row>
    <row r="721" spans="1:4" x14ac:dyDescent="0.4">
      <c r="A721" s="21">
        <f t="shared" si="80"/>
        <v>2410</v>
      </c>
      <c r="B721" s="22" t="str">
        <f t="shared" si="81"/>
        <v>機械器具月報（その41）自動車部品及び内燃機関電装品</v>
      </c>
      <c r="C721" s="21" t="str">
        <f>HYPERLINK("#2410!AQ3","0121")</f>
        <v>0121</v>
      </c>
      <c r="D721" s="22" t="str">
        <f>HYPERLINK("#2410!AQ3","ショックアブソーバ(自動車部品)")</f>
        <v>ショックアブソーバ(自動車部品)</v>
      </c>
    </row>
    <row r="722" spans="1:4" x14ac:dyDescent="0.4">
      <c r="A722" s="21">
        <f t="shared" si="80"/>
        <v>2410</v>
      </c>
      <c r="B722" s="22" t="str">
        <f t="shared" si="81"/>
        <v>機械器具月報（その41）自動車部品及び内燃機関電装品</v>
      </c>
      <c r="C722" s="21" t="str">
        <f>HYPERLINK("#2410!AS3","0122")</f>
        <v>0122</v>
      </c>
      <c r="D722" s="22" t="str">
        <f>HYPERLINK("#2410!AS3","ブレーキ倍力装置(自動車部品)")</f>
        <v>ブレーキ倍力装置(自動車部品)</v>
      </c>
    </row>
    <row r="723" spans="1:4" x14ac:dyDescent="0.4">
      <c r="A723" s="21">
        <f t="shared" si="80"/>
        <v>2410</v>
      </c>
      <c r="B723" s="22" t="str">
        <f t="shared" si="81"/>
        <v>機械器具月報（その41）自動車部品及び内燃機関電装品</v>
      </c>
      <c r="C723" s="21" t="str">
        <f>HYPERLINK("#2410!AU3","0123")</f>
        <v>0123</v>
      </c>
      <c r="D723" s="22" t="str">
        <f>HYPERLINK("#2410!AU3","ブレーキシリンダ(自動車部品)")</f>
        <v>ブレーキシリンダ(自動車部品)</v>
      </c>
    </row>
    <row r="724" spans="1:4" x14ac:dyDescent="0.4">
      <c r="A724" s="21">
        <f t="shared" si="80"/>
        <v>2410</v>
      </c>
      <c r="B724" s="22" t="str">
        <f t="shared" si="81"/>
        <v>機械器具月報（その41）自動車部品及び内燃機関電装品</v>
      </c>
      <c r="C724" s="21" t="str">
        <f>HYPERLINK("#2410!AW3","0124")</f>
        <v>0124</v>
      </c>
      <c r="D724" s="22" t="str">
        <f>HYPERLINK("#2410!AW3","ブレーキパイプ(自動車部品)")</f>
        <v>ブレーキパイプ(自動車部品)</v>
      </c>
    </row>
    <row r="725" spans="1:4" x14ac:dyDescent="0.4">
      <c r="A725" s="21">
        <f t="shared" si="80"/>
        <v>2410</v>
      </c>
      <c r="B725" s="22" t="str">
        <f t="shared" si="81"/>
        <v>機械器具月報（その41）自動車部品及び内燃機関電装品</v>
      </c>
      <c r="C725" s="21" t="str">
        <f>HYPERLINK("#2410!AY3","0125")</f>
        <v>0125</v>
      </c>
      <c r="D725" s="22" t="str">
        <f>HYPERLINK("#2410!AY3","ブレーキシュー(自動車部品)")</f>
        <v>ブレーキシュー(自動車部品)</v>
      </c>
    </row>
    <row r="726" spans="1:4" x14ac:dyDescent="0.4">
      <c r="A726" s="21">
        <f t="shared" si="80"/>
        <v>2410</v>
      </c>
      <c r="B726" s="22" t="str">
        <f t="shared" si="81"/>
        <v>機械器具月報（その41）自動車部品及び内燃機関電装品</v>
      </c>
      <c r="C726" s="21" t="str">
        <f>HYPERLINK("#2410!BA3","0126")</f>
        <v>0126</v>
      </c>
      <c r="D726" s="22" t="str">
        <f>HYPERLINK("#2410!BA3","電子式ブレーキ制御装置(自動車部品)")</f>
        <v>電子式ブレーキ制御装置(自動車部品)</v>
      </c>
    </row>
    <row r="727" spans="1:4" x14ac:dyDescent="0.4">
      <c r="A727" s="21">
        <f t="shared" si="80"/>
        <v>2410</v>
      </c>
      <c r="B727" s="22" t="str">
        <f t="shared" si="81"/>
        <v>機械器具月報（その41）自動車部品及び内燃機関電装品</v>
      </c>
      <c r="C727" s="21" t="str">
        <f>HYPERLINK("#2410!BC3","0127")</f>
        <v>0127</v>
      </c>
      <c r="D727" s="22" t="str">
        <f>HYPERLINK("#2410!BC3","燃料タンク(ＬＰＧ用を除く)(自動車部品)")</f>
        <v>燃料タンク(ＬＰＧ用を除く)(自動車部品)</v>
      </c>
    </row>
    <row r="728" spans="1:4" x14ac:dyDescent="0.4">
      <c r="A728" s="21">
        <f t="shared" si="80"/>
        <v>2410</v>
      </c>
      <c r="B728" s="22" t="str">
        <f t="shared" si="81"/>
        <v>機械器具月報（その41）自動車部品及び内燃機関電装品</v>
      </c>
      <c r="C728" s="21" t="str">
        <f>HYPERLINK("#2410!BE3","0128")</f>
        <v>0128</v>
      </c>
      <c r="D728" s="22" t="str">
        <f>HYPERLINK("#2410!BE3","排気管・消音器(自動車部品)")</f>
        <v>排気管・消音器(自動車部品)</v>
      </c>
    </row>
    <row r="729" spans="1:4" x14ac:dyDescent="0.4">
      <c r="A729" s="21">
        <f t="shared" si="80"/>
        <v>2410</v>
      </c>
      <c r="B729" s="22" t="str">
        <f t="shared" si="81"/>
        <v>機械器具月報（その41）自動車部品及び内燃機関電装品</v>
      </c>
      <c r="C729" s="21" t="str">
        <f>HYPERLINK("#2410!BG3","0129")</f>
        <v>0129</v>
      </c>
      <c r="D729" s="22" t="str">
        <f>HYPERLINK("#2410!BG3","窓わく(自動車部品)")</f>
        <v>窓わく(自動車部品)</v>
      </c>
    </row>
    <row r="730" spans="1:4" x14ac:dyDescent="0.4">
      <c r="A730" s="21">
        <f t="shared" si="80"/>
        <v>2410</v>
      </c>
      <c r="B730" s="22" t="str">
        <f t="shared" si="81"/>
        <v>機械器具月報（その41）自動車部品及び内燃機関電装品</v>
      </c>
      <c r="C730" s="21" t="str">
        <f>HYPERLINK("#2410!BI3","0130")</f>
        <v>0130</v>
      </c>
      <c r="D730" s="22" t="str">
        <f>HYPERLINK("#2410!BI3","ドアヒンジ・ドアハンドル・ロック(自動車部品)")</f>
        <v>ドアヒンジ・ドアハンドル・ロック(自動車部品)</v>
      </c>
    </row>
    <row r="731" spans="1:4" x14ac:dyDescent="0.4">
      <c r="A731" s="21">
        <f t="shared" si="80"/>
        <v>2410</v>
      </c>
      <c r="B731" s="22" t="str">
        <f t="shared" si="81"/>
        <v>機械器具月報（その41）自動車部品及び内燃機関電装品</v>
      </c>
      <c r="C731" s="21" t="str">
        <f>HYPERLINK("#2410!BK3","0131")</f>
        <v>0131</v>
      </c>
      <c r="D731" s="22" t="str">
        <f>HYPERLINK("#2410!BK3","窓ガラス開閉装置(自動車部品)")</f>
        <v>窓ガラス開閉装置(自動車部品)</v>
      </c>
    </row>
    <row r="732" spans="1:4" x14ac:dyDescent="0.4">
      <c r="A732" s="21">
        <f t="shared" si="80"/>
        <v>2410</v>
      </c>
      <c r="B732" s="22" t="str">
        <f t="shared" si="81"/>
        <v>機械器具月報（その41）自動車部品及び内燃機関電装品</v>
      </c>
      <c r="C732" s="21" t="str">
        <f>HYPERLINK("#2410!BM3","0132")</f>
        <v>0132</v>
      </c>
      <c r="D732" s="22" t="str">
        <f>HYPERLINK("#2410!BM3","シート(自動車部品)")</f>
        <v>シート(自動車部品)</v>
      </c>
    </row>
    <row r="733" spans="1:4" x14ac:dyDescent="0.4">
      <c r="A733" s="21">
        <f t="shared" si="80"/>
        <v>2410</v>
      </c>
      <c r="B733" s="22" t="str">
        <f t="shared" si="81"/>
        <v>機械器具月報（その41）自動車部品及び内燃機関電装品</v>
      </c>
      <c r="C733" s="21" t="str">
        <f>HYPERLINK("#2410!BO3","0133")</f>
        <v>0133</v>
      </c>
      <c r="D733" s="22" t="str">
        <f>HYPERLINK("#2410!BO3","シートベルト(自動車部品)")</f>
        <v>シートベルト(自動車部品)</v>
      </c>
    </row>
    <row r="734" spans="1:4" x14ac:dyDescent="0.4">
      <c r="A734" s="21">
        <f t="shared" si="80"/>
        <v>2410</v>
      </c>
      <c r="B734" s="22" t="str">
        <f t="shared" si="81"/>
        <v>機械器具月報（その41）自動車部品及び内燃機関電装品</v>
      </c>
      <c r="C734" s="21" t="str">
        <f>HYPERLINK("#2410!BQ3","0134")</f>
        <v>0134</v>
      </c>
      <c r="D734" s="22" t="str">
        <f>HYPERLINK("#2410!BQ3","エアバッグモジュール(自動車部品)")</f>
        <v>エアバッグモジュール(自動車部品)</v>
      </c>
    </row>
    <row r="735" spans="1:4" x14ac:dyDescent="0.4">
      <c r="A735" s="21">
        <f t="shared" si="80"/>
        <v>2410</v>
      </c>
      <c r="B735" s="22" t="str">
        <f t="shared" si="81"/>
        <v>機械器具月報（その41）自動車部品及び内燃機関電装品</v>
      </c>
      <c r="C735" s="21" t="str">
        <f>HYPERLINK("#2410!BS3","0135")</f>
        <v>0135</v>
      </c>
      <c r="D735" s="22" t="str">
        <f>HYPERLINK("#2410!BS3","スイッチ類(自動車部品)")</f>
        <v>スイッチ類(自動車部品)</v>
      </c>
    </row>
    <row r="736" spans="1:4" x14ac:dyDescent="0.4">
      <c r="A736" s="21">
        <f t="shared" si="80"/>
        <v>2410</v>
      </c>
      <c r="B736" s="22" t="str">
        <f t="shared" si="81"/>
        <v>機械器具月報（その41）自動車部品及び内燃機関電装品</v>
      </c>
      <c r="C736" s="21" t="str">
        <f>HYPERLINK("#2410!BU3","0136")</f>
        <v>0136</v>
      </c>
      <c r="D736" s="22" t="str">
        <f>HYPERLINK("#2410!BU3","計器類(自動車部品)")</f>
        <v>計器類(自動車部品)</v>
      </c>
    </row>
    <row r="737" spans="1:4" x14ac:dyDescent="0.4">
      <c r="A737" s="21">
        <f t="shared" si="80"/>
        <v>2410</v>
      </c>
      <c r="B737" s="22" t="str">
        <f t="shared" si="81"/>
        <v>機械器具月報（その41）自動車部品及び内燃機関電装品</v>
      </c>
      <c r="C737" s="21" t="str">
        <f>HYPERLINK("#2410!BW3","0137")</f>
        <v>0137</v>
      </c>
      <c r="D737" s="22" t="str">
        <f>HYPERLINK("#2410!BW3","ワイパー(自動車部品)")</f>
        <v>ワイパー(自動車部品)</v>
      </c>
    </row>
    <row r="738" spans="1:4" x14ac:dyDescent="0.4">
      <c r="A738" s="21">
        <f t="shared" si="80"/>
        <v>2410</v>
      </c>
      <c r="B738" s="22" t="str">
        <f t="shared" si="81"/>
        <v>機械器具月報（その41）自動車部品及び内燃機関電装品</v>
      </c>
      <c r="C738" s="21" t="str">
        <f>HYPERLINK("#2410!BY3","0138")</f>
        <v>0138</v>
      </c>
      <c r="D738" s="22" t="str">
        <f>HYPERLINK("#2410!BY3","警音器(自動車部品)")</f>
        <v>警音器(自動車部品)</v>
      </c>
    </row>
    <row r="739" spans="1:4" x14ac:dyDescent="0.4">
      <c r="A739" s="21">
        <f t="shared" si="80"/>
        <v>2410</v>
      </c>
      <c r="B739" s="22" t="str">
        <f t="shared" si="81"/>
        <v>機械器具月報（その41）自動車部品及び内燃機関電装品</v>
      </c>
      <c r="C739" s="21" t="str">
        <f>HYPERLINK("#2410!CA3","0139")</f>
        <v>0139</v>
      </c>
      <c r="D739" s="22" t="str">
        <f>HYPERLINK("#2410!CA3","充電発電機(ダイナモ)(内燃機関電装品)")</f>
        <v>充電発電機(ダイナモ)(内燃機関電装品)</v>
      </c>
    </row>
    <row r="740" spans="1:4" x14ac:dyDescent="0.4">
      <c r="A740" s="21">
        <f t="shared" si="80"/>
        <v>2410</v>
      </c>
      <c r="B740" s="22" t="str">
        <f t="shared" si="81"/>
        <v>機械器具月報（その41）自動車部品及び内燃機関電装品</v>
      </c>
      <c r="C740" s="21" t="str">
        <f>HYPERLINK("#2410!CC3","0140")</f>
        <v>0140</v>
      </c>
      <c r="D740" s="22" t="str">
        <f>HYPERLINK("#2410!CC3","始動電動機(スタータ)(内燃機関電装品)")</f>
        <v>始動電動機(スタータ)(内燃機関電装品)</v>
      </c>
    </row>
    <row r="741" spans="1:4" x14ac:dyDescent="0.4">
      <c r="A741" s="21">
        <f t="shared" si="80"/>
        <v>2410</v>
      </c>
      <c r="B741" s="22" t="str">
        <f t="shared" si="81"/>
        <v>機械器具月報（その41）自動車部品及び内燃機関電装品</v>
      </c>
      <c r="C741" s="21" t="str">
        <f>HYPERLINK("#2410!CE3","0141")</f>
        <v>0141</v>
      </c>
      <c r="D741" s="22" t="str">
        <f>HYPERLINK("#2410!CE3","点火線輪(イグニションコイル)(内燃機関電装品)")</f>
        <v>点火線輪(イグニションコイル)(内燃機関電装品)</v>
      </c>
    </row>
    <row r="742" spans="1:4" x14ac:dyDescent="0.4">
      <c r="A742" s="21">
        <f t="shared" si="80"/>
        <v>2410</v>
      </c>
      <c r="B742" s="22" t="str">
        <f t="shared" si="81"/>
        <v>機械器具月報（その41）自動車部品及び内燃機関電装品</v>
      </c>
      <c r="C742" s="21" t="str">
        <f>HYPERLINK("#2410!CG3","0142")</f>
        <v>0142</v>
      </c>
      <c r="D742" s="22" t="str">
        <f>HYPERLINK("#2410!CG3","点火栓(プラグ)(内燃機関電装品)")</f>
        <v>点火栓(プラグ)(内燃機関電装品)</v>
      </c>
    </row>
    <row r="743" spans="1:4" x14ac:dyDescent="0.4">
      <c r="A743" s="21">
        <f t="shared" si="80"/>
        <v>2410</v>
      </c>
      <c r="B743" s="22" t="str">
        <f t="shared" si="81"/>
        <v>機械器具月報（その41）自動車部品及び内燃機関電装品</v>
      </c>
      <c r="C743" s="21" t="str">
        <f>HYPERLINK("#2410!CI3","0143")</f>
        <v>0143</v>
      </c>
      <c r="D743" s="22" t="str">
        <f>HYPERLINK("#2410!CI3","エンジン(二輪自動車部品)")</f>
        <v>エンジン(二輪自動車部品)</v>
      </c>
    </row>
    <row r="744" spans="1:4" x14ac:dyDescent="0.4">
      <c r="A744" s="21">
        <f t="shared" si="80"/>
        <v>2410</v>
      </c>
      <c r="B744" s="22" t="str">
        <f t="shared" si="81"/>
        <v>機械器具月報（その41）自動車部品及び内燃機関電装品</v>
      </c>
      <c r="C744" s="21" t="str">
        <f>HYPERLINK("#2410!CK3","0144")</f>
        <v>0144</v>
      </c>
      <c r="D744" s="22" t="str">
        <f>HYPERLINK("#2410!CK3","燃料噴射装置(二輪自動車部品)")</f>
        <v>燃料噴射装置(二輪自動車部品)</v>
      </c>
    </row>
    <row r="745" spans="1:4" x14ac:dyDescent="0.4">
      <c r="A745" s="21">
        <f t="shared" si="80"/>
        <v>2410</v>
      </c>
      <c r="B745" s="22" t="str">
        <f t="shared" si="81"/>
        <v>機械器具月報（その41）自動車部品及び内燃機関電装品</v>
      </c>
      <c r="C745" s="21" t="str">
        <f>HYPERLINK("#2410!CM3","0145")</f>
        <v>0145</v>
      </c>
      <c r="D745" s="22" t="str">
        <f>HYPERLINK("#2410!CM3","ショックアブソーバ(二輪自動車部品)")</f>
        <v>ショックアブソーバ(二輪自動車部品)</v>
      </c>
    </row>
    <row r="746" spans="1:4" x14ac:dyDescent="0.4">
      <c r="A746" s="21">
        <f t="shared" si="80"/>
        <v>2410</v>
      </c>
      <c r="B746" s="22" t="str">
        <f t="shared" si="81"/>
        <v>機械器具月報（その41）自動車部品及び内燃機関電装品</v>
      </c>
      <c r="C746" s="21" t="str">
        <f>HYPERLINK("#2410!CO3","0146")</f>
        <v>0146</v>
      </c>
      <c r="D746" s="22" t="str">
        <f>HYPERLINK("#2410!CO3","計器類(二輪自動車部品)")</f>
        <v>計器類(二輪自動車部品)</v>
      </c>
    </row>
    <row r="747" spans="1:4" x14ac:dyDescent="0.4">
      <c r="A747" s="21">
        <f t="shared" si="80"/>
        <v>2410</v>
      </c>
      <c r="B747" s="22" t="str">
        <f t="shared" si="81"/>
        <v>機械器具月報（その41）自動車部品及び内燃機関電装品</v>
      </c>
      <c r="C747" s="21" t="str">
        <f>HYPERLINK("#2410!CQ3","0147")</f>
        <v>0147</v>
      </c>
      <c r="D747" s="22" t="str">
        <f>HYPERLINK("#2410!CQ3","ブレーキ装置(二輪自動車部品)")</f>
        <v>ブレーキ装置(二輪自動車部品)</v>
      </c>
    </row>
    <row r="748" spans="1:4" x14ac:dyDescent="0.4">
      <c r="A748" s="21">
        <f>HYPERLINK("#2430!A1 ",2430)</f>
        <v>2430</v>
      </c>
      <c r="B748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8" s="21" t="str">
        <f>HYPERLINK("#2430!C3","0101")</f>
        <v>0101</v>
      </c>
      <c r="D748" s="22" t="str">
        <f>HYPERLINK("#2430!C3","自転車(軽快車)")</f>
        <v>自転車(軽快車)</v>
      </c>
    </row>
    <row r="749" spans="1:4" x14ac:dyDescent="0.4">
      <c r="A749" s="21">
        <f>HYPERLINK("#2430!A1 ",2430)</f>
        <v>2430</v>
      </c>
      <c r="B749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9" s="21" t="str">
        <f>HYPERLINK("#2430!H3","0102")</f>
        <v>0102</v>
      </c>
      <c r="D749" s="22" t="str">
        <f>HYPERLINK("#2430!H3","自転車(電動アシスト車)")</f>
        <v>自転車(電動アシスト車)</v>
      </c>
    </row>
    <row r="750" spans="1:4" x14ac:dyDescent="0.4">
      <c r="A750" s="21">
        <f>HYPERLINK("#2430!A1 ",2430)</f>
        <v>2430</v>
      </c>
      <c r="B750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0" s="21" t="str">
        <f>HYPERLINK("#2430!M3","0103")</f>
        <v>0103</v>
      </c>
      <c r="D750" s="22" t="str">
        <f>HYPERLINK("#2430!M3","その他の自転車")</f>
        <v>その他の自転車</v>
      </c>
    </row>
    <row r="751" spans="1:4" x14ac:dyDescent="0.4">
      <c r="A751" s="21">
        <f>HYPERLINK("#2430!A1 ",2430)</f>
        <v>2430</v>
      </c>
      <c r="B751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1" s="21" t="str">
        <f>HYPERLINK("#2430!R3","0104")</f>
        <v>0104</v>
      </c>
      <c r="D751" s="22" t="str">
        <f>HYPERLINK("#2430!R3","車いす(手動式)")</f>
        <v>車いす(手動式)</v>
      </c>
    </row>
    <row r="752" spans="1:4" x14ac:dyDescent="0.4">
      <c r="A752" s="21">
        <f>HYPERLINK("#2430!A1 ",2430)</f>
        <v>2430</v>
      </c>
      <c r="B752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2" s="21" t="str">
        <f>HYPERLINK("#2430!W3","0105")</f>
        <v>0105</v>
      </c>
      <c r="D752" s="22" t="str">
        <f>HYPERLINK("#2430!W3","車いす(電動式)")</f>
        <v>車いす(電動式)</v>
      </c>
    </row>
    <row r="753" spans="1:4" x14ac:dyDescent="0.4">
      <c r="A753" s="21">
        <f>HYPERLINK("#2440!A1 ",2440)</f>
        <v>2440</v>
      </c>
      <c r="B753" s="22" t="str">
        <f>HYPERLINK("#2440!A1 ","機械器具月報（その44）産業車両")</f>
        <v>機械器具月報（その44）産業車両</v>
      </c>
      <c r="C753" s="21" t="str">
        <f>HYPERLINK("#2440!C3","0101")</f>
        <v>0101</v>
      </c>
      <c r="D753" s="22" t="str">
        <f>HYPERLINK("#2440!C3","蓄電池式運搬車(パレットトラックを含む)・内燃機関運搬車・無人搬送車")</f>
        <v>蓄電池式運搬車(パレットトラックを含む)・内燃機関運搬車・無人搬送車</v>
      </c>
    </row>
    <row r="754" spans="1:4" x14ac:dyDescent="0.4">
      <c r="A754" s="21">
        <f>HYPERLINK("#2440!A1 ",2440)</f>
        <v>2440</v>
      </c>
      <c r="B754" s="22" t="str">
        <f>HYPERLINK("#2440!A1 ","機械器具月報（その44）産業車両")</f>
        <v>機械器具月報（その44）産業車両</v>
      </c>
      <c r="C754" s="21" t="str">
        <f>HYPERLINK("#2440!I3","0102")</f>
        <v>0102</v>
      </c>
      <c r="D754" s="22" t="str">
        <f>HYPERLINK("#2440!I3","フォークリフトトラック(蓄電池式)")</f>
        <v>フォークリフトトラック(蓄電池式)</v>
      </c>
    </row>
    <row r="755" spans="1:4" x14ac:dyDescent="0.4">
      <c r="A755" s="21">
        <f>HYPERLINK("#2440!A1 ",2440)</f>
        <v>2440</v>
      </c>
      <c r="B755" s="22" t="str">
        <f>HYPERLINK("#2440!A1 ","機械器具月報（その44）産業車両")</f>
        <v>機械器具月報（その44）産業車両</v>
      </c>
      <c r="C755" s="21" t="str">
        <f>HYPERLINK("#2440!O3","0103")</f>
        <v>0103</v>
      </c>
      <c r="D755" s="22" t="str">
        <f>HYPERLINK("#2440!O3","フォークリフトトラック(内燃機関式)")</f>
        <v>フォークリフトトラック(内燃機関式)</v>
      </c>
    </row>
    <row r="756" spans="1:4" x14ac:dyDescent="0.4">
      <c r="A756" s="21">
        <f>HYPERLINK("#2440!A1 ",2440)</f>
        <v>2440</v>
      </c>
      <c r="B756" s="22" t="str">
        <f>HYPERLINK("#2440!A1 ","機械器具月報（その44）産業車両")</f>
        <v>機械器具月報（その44）産業車両</v>
      </c>
      <c r="C756" s="21" t="str">
        <f>HYPERLINK("#2440!U3","0104")</f>
        <v>0104</v>
      </c>
      <c r="D756" s="22" t="str">
        <f>HYPERLINK("#2440!U3","ショベルトラック")</f>
        <v>ショベルトラック</v>
      </c>
    </row>
    <row r="757" spans="1:4" x14ac:dyDescent="0.4">
      <c r="A757" s="21">
        <f t="shared" ref="A757:A768" si="82">HYPERLINK("#2450!A1 ",2450)</f>
        <v>2450</v>
      </c>
      <c r="B757" s="22" t="str">
        <f t="shared" ref="B757:B768" si="83">HYPERLINK("#2450!A1 ","機械器具月報（その45）航空機")</f>
        <v>機械器具月報（その45）航空機</v>
      </c>
      <c r="C757" s="21" t="str">
        <f>HYPERLINK("#2450!C3","0101")</f>
        <v>0101</v>
      </c>
      <c r="D757" s="22" t="str">
        <f>HYPERLINK("#2450!C3","ターボジェット機(航空機)")</f>
        <v>ターボジェット機(航空機)</v>
      </c>
    </row>
    <row r="758" spans="1:4" x14ac:dyDescent="0.4">
      <c r="A758" s="21">
        <f t="shared" si="82"/>
        <v>2450</v>
      </c>
      <c r="B758" s="22" t="str">
        <f t="shared" si="83"/>
        <v>機械器具月報（その45）航空機</v>
      </c>
      <c r="C758" s="21" t="str">
        <f>HYPERLINK("#2450!D3","0102")</f>
        <v>0102</v>
      </c>
      <c r="D758" s="22" t="str">
        <f>HYPERLINK("#2450!D3","ターボプロップ機(航空機)")</f>
        <v>ターボプロップ機(航空機)</v>
      </c>
    </row>
    <row r="759" spans="1:4" x14ac:dyDescent="0.4">
      <c r="A759" s="21">
        <f t="shared" si="82"/>
        <v>2450</v>
      </c>
      <c r="B759" s="22" t="str">
        <f t="shared" si="83"/>
        <v>機械器具月報（その45）航空機</v>
      </c>
      <c r="C759" s="21" t="str">
        <f>HYPERLINK("#2450!E3","0103")</f>
        <v>0103</v>
      </c>
      <c r="D759" s="22" t="str">
        <f>HYPERLINK("#2450!E3","ヘリコプタ(航空機)")</f>
        <v>ヘリコプタ(航空機)</v>
      </c>
    </row>
    <row r="760" spans="1:4" x14ac:dyDescent="0.4">
      <c r="A760" s="21">
        <f t="shared" si="82"/>
        <v>2450</v>
      </c>
      <c r="B760" s="22" t="str">
        <f t="shared" si="83"/>
        <v>機械器具月報（その45）航空機</v>
      </c>
      <c r="C760" s="21" t="str">
        <f>HYPERLINK("#2450!F3","0104")</f>
        <v>0104</v>
      </c>
      <c r="D760" s="22" t="str">
        <f>HYPERLINK("#2450!F3","その他の航空機")</f>
        <v>その他の航空機</v>
      </c>
    </row>
    <row r="761" spans="1:4" x14ac:dyDescent="0.4">
      <c r="A761" s="21">
        <f t="shared" si="82"/>
        <v>2450</v>
      </c>
      <c r="B761" s="22" t="str">
        <f t="shared" si="83"/>
        <v>機械器具月報（その45）航空機</v>
      </c>
      <c r="C761" s="21" t="str">
        <f>HYPERLINK("#2450!G3","0105")</f>
        <v>0105</v>
      </c>
      <c r="D761" s="22" t="str">
        <f>HYPERLINK("#2450!G3","機体部品(プロペラ・回転翼を含む)(航空機用)")</f>
        <v>機体部品(プロペラ・回転翼を含む)(航空機用)</v>
      </c>
    </row>
    <row r="762" spans="1:4" x14ac:dyDescent="0.4">
      <c r="A762" s="21">
        <f t="shared" si="82"/>
        <v>2450</v>
      </c>
      <c r="B762" s="22" t="str">
        <f t="shared" si="83"/>
        <v>機械器具月報（その45）航空機</v>
      </c>
      <c r="C762" s="21" t="str">
        <f>HYPERLINK("#2450!H3","0106")</f>
        <v>0106</v>
      </c>
      <c r="D762" s="22" t="str">
        <f>HYPERLINK("#2450!H3","付属装置・室内装備(保命装置を含む)(航空機用)")</f>
        <v>付属装置・室内装備(保命装置を含む)(航空機用)</v>
      </c>
    </row>
    <row r="763" spans="1:4" x14ac:dyDescent="0.4">
      <c r="A763" s="21">
        <f t="shared" si="82"/>
        <v>2450</v>
      </c>
      <c r="B763" s="22" t="str">
        <f t="shared" si="83"/>
        <v>機械器具月報（その45）航空機</v>
      </c>
      <c r="C763" s="21" t="str">
        <f>HYPERLINK("#2450!I3","0107")</f>
        <v>0107</v>
      </c>
      <c r="D763" s="22" t="str">
        <f>HYPERLINK("#2450!I3","ターボジェット発動機(航空機用)")</f>
        <v>ターボジェット発動機(航空機用)</v>
      </c>
    </row>
    <row r="764" spans="1:4" x14ac:dyDescent="0.4">
      <c r="A764" s="21">
        <f t="shared" si="82"/>
        <v>2450</v>
      </c>
      <c r="B764" s="22" t="str">
        <f t="shared" si="83"/>
        <v>機械器具月報（その45）航空機</v>
      </c>
      <c r="C764" s="21" t="str">
        <f>HYPERLINK("#2450!J3","0108")</f>
        <v>0108</v>
      </c>
      <c r="D764" s="22" t="str">
        <f>HYPERLINK("#2450!J3","ターボシャフト発動機(航空機用)")</f>
        <v>ターボシャフト発動機(航空機用)</v>
      </c>
    </row>
    <row r="765" spans="1:4" x14ac:dyDescent="0.4">
      <c r="A765" s="21">
        <f t="shared" si="82"/>
        <v>2450</v>
      </c>
      <c r="B765" s="22" t="str">
        <f t="shared" si="83"/>
        <v>機械器具月報（その45）航空機</v>
      </c>
      <c r="C765" s="21" t="str">
        <f>HYPERLINK("#2450!K3","0109")</f>
        <v>0109</v>
      </c>
      <c r="D765" s="22" t="str">
        <f>HYPERLINK("#2450!K3","その他の発動機(航空機用)")</f>
        <v>その他の発動機(航空機用)</v>
      </c>
    </row>
    <row r="766" spans="1:4" x14ac:dyDescent="0.4">
      <c r="A766" s="21">
        <f t="shared" si="82"/>
        <v>2450</v>
      </c>
      <c r="B766" s="22" t="str">
        <f t="shared" si="83"/>
        <v>機械器具月報（その45）航空機</v>
      </c>
      <c r="C766" s="21" t="str">
        <f>HYPERLINK("#2450!L3","0110")</f>
        <v>0110</v>
      </c>
      <c r="D766" s="22" t="str">
        <f>HYPERLINK("#2450!L3","発動機部品(航空機用)")</f>
        <v>発動機部品(航空機用)</v>
      </c>
    </row>
    <row r="767" spans="1:4" x14ac:dyDescent="0.4">
      <c r="A767" s="21">
        <f t="shared" si="82"/>
        <v>2450</v>
      </c>
      <c r="B767" s="22" t="str">
        <f t="shared" si="83"/>
        <v>機械器具月報（その45）航空機</v>
      </c>
      <c r="C767" s="21" t="str">
        <f>HYPERLINK("#2450!M3","0111")</f>
        <v>0111</v>
      </c>
      <c r="D767" s="22" t="str">
        <f>HYPERLINK("#2450!M3","補機(発動機の付属品を含む)(航空機用)")</f>
        <v>補機(発動機の付属品を含む)(航空機用)</v>
      </c>
    </row>
    <row r="768" spans="1:4" x14ac:dyDescent="0.4">
      <c r="A768" s="21">
        <f t="shared" si="82"/>
        <v>2450</v>
      </c>
      <c r="B768" s="22" t="str">
        <f t="shared" si="83"/>
        <v>機械器具月報（その45）航空機</v>
      </c>
      <c r="C768" s="21" t="str">
        <f>HYPERLINK("#2450!N3","0112")</f>
        <v>0112</v>
      </c>
      <c r="D768" s="22" t="str">
        <f>HYPERLINK("#2450!N3","航空計器・操縦訓練用設備(航空機用)")</f>
        <v>航空計器・操縦訓練用設備(航空機用)</v>
      </c>
    </row>
    <row r="769" spans="1:4" x14ac:dyDescent="0.4">
      <c r="A769" s="21">
        <f t="shared" ref="A769:A783" si="84">HYPERLINK("#2460!A1 ",2460)</f>
        <v>2460</v>
      </c>
      <c r="B769" s="22" t="str">
        <f t="shared" ref="B769:B783" si="85">HYPERLINK("#2460!A1 ","機械器具月報（その46）計測機器")</f>
        <v>機械器具月報（その46）計測機器</v>
      </c>
      <c r="C769" s="21" t="str">
        <f>HYPERLINK("#2460!C3","0101")</f>
        <v>0101</v>
      </c>
      <c r="D769" s="22" t="str">
        <f>HYPERLINK("#2460!C3","工業用長さ計")</f>
        <v>工業用長さ計</v>
      </c>
    </row>
    <row r="770" spans="1:4" x14ac:dyDescent="0.4">
      <c r="A770" s="21">
        <f t="shared" si="84"/>
        <v>2460</v>
      </c>
      <c r="B770" s="22" t="str">
        <f t="shared" si="85"/>
        <v>機械器具月報（その46）計測機器</v>
      </c>
      <c r="C770" s="21" t="str">
        <f>HYPERLINK("#2460!H3","0102")</f>
        <v>0102</v>
      </c>
      <c r="D770" s="22" t="str">
        <f>HYPERLINK("#2460!H3","ガスメータ")</f>
        <v>ガスメータ</v>
      </c>
    </row>
    <row r="771" spans="1:4" x14ac:dyDescent="0.4">
      <c r="A771" s="21">
        <f t="shared" si="84"/>
        <v>2460</v>
      </c>
      <c r="B771" s="22" t="str">
        <f t="shared" si="85"/>
        <v>機械器具月報（その46）計測機器</v>
      </c>
      <c r="C771" s="21" t="str">
        <f>HYPERLINK("#2460!M3","0103")</f>
        <v>0103</v>
      </c>
      <c r="D771" s="22" t="str">
        <f>HYPERLINK("#2460!M3","水道メータ")</f>
        <v>水道メータ</v>
      </c>
    </row>
    <row r="772" spans="1:4" x14ac:dyDescent="0.4">
      <c r="A772" s="21">
        <f t="shared" si="84"/>
        <v>2460</v>
      </c>
      <c r="B772" s="22" t="str">
        <f t="shared" si="85"/>
        <v>機械器具月報（その46）計測機器</v>
      </c>
      <c r="C772" s="21" t="str">
        <f>HYPERLINK("#2460!R3","0104")</f>
        <v>0104</v>
      </c>
      <c r="D772" s="22" t="str">
        <f>HYPERLINK("#2460!R3","積算式ガソリン量器")</f>
        <v>積算式ガソリン量器</v>
      </c>
    </row>
    <row r="773" spans="1:4" x14ac:dyDescent="0.4">
      <c r="A773" s="21">
        <f t="shared" si="84"/>
        <v>2460</v>
      </c>
      <c r="B773" s="22" t="str">
        <f t="shared" si="85"/>
        <v>機械器具月報（その46）計測機器</v>
      </c>
      <c r="C773" s="21" t="str">
        <f>HYPERLINK("#2460!W3","0105")</f>
        <v>0105</v>
      </c>
      <c r="D773" s="22" t="str">
        <f>HYPERLINK("#2460!W3","工業用計重機")</f>
        <v>工業用計重機</v>
      </c>
    </row>
    <row r="774" spans="1:4" x14ac:dyDescent="0.4">
      <c r="A774" s="21">
        <f t="shared" si="84"/>
        <v>2460</v>
      </c>
      <c r="B774" s="22" t="str">
        <f t="shared" si="85"/>
        <v>機械器具月報（その46）計測機器</v>
      </c>
      <c r="C774" s="21" t="str">
        <f>HYPERLINK("#2460!AB3","0106")</f>
        <v>0106</v>
      </c>
      <c r="D774" s="22" t="str">
        <f>HYPERLINK("#2460!AB3","圧力計(アネロイド形)")</f>
        <v>圧力計(アネロイド形)</v>
      </c>
    </row>
    <row r="775" spans="1:4" x14ac:dyDescent="0.4">
      <c r="A775" s="21">
        <f t="shared" si="84"/>
        <v>2460</v>
      </c>
      <c r="B775" s="22" t="str">
        <f t="shared" si="85"/>
        <v>機械器具月報（その46）計測機器</v>
      </c>
      <c r="C775" s="21" t="str">
        <f>HYPERLINK("#2460!AG3","0107")</f>
        <v>0107</v>
      </c>
      <c r="D775" s="22" t="str">
        <f>HYPERLINK("#2460!AG3","精密測定機(光学測定機を含む)")</f>
        <v>精密測定機(光学測定機を含む)</v>
      </c>
    </row>
    <row r="776" spans="1:4" x14ac:dyDescent="0.4">
      <c r="A776" s="21">
        <f t="shared" si="84"/>
        <v>2460</v>
      </c>
      <c r="B776" s="22" t="str">
        <f t="shared" si="85"/>
        <v>機械器具月報（その46）計測機器</v>
      </c>
      <c r="C776" s="21" t="str">
        <f>HYPERLINK("#2460!AL3","0108")</f>
        <v>0108</v>
      </c>
      <c r="D776" s="22" t="str">
        <f>HYPERLINK("#2460!AL3","光分析機器")</f>
        <v>光分析機器</v>
      </c>
    </row>
    <row r="777" spans="1:4" x14ac:dyDescent="0.4">
      <c r="A777" s="21">
        <f t="shared" si="84"/>
        <v>2460</v>
      </c>
      <c r="B777" s="22" t="str">
        <f t="shared" si="85"/>
        <v>機械器具月報（その46）計測機器</v>
      </c>
      <c r="C777" s="21" t="str">
        <f>HYPERLINK("#2460!AQ3","0109")</f>
        <v>0109</v>
      </c>
      <c r="D777" s="22" t="str">
        <f>HYPERLINK("#2460!AQ3","電磁気分析機器(Ｘ線回折装置を除く)")</f>
        <v>電磁気分析機器(Ｘ線回折装置を除く)</v>
      </c>
    </row>
    <row r="778" spans="1:4" x14ac:dyDescent="0.4">
      <c r="A778" s="21">
        <f t="shared" si="84"/>
        <v>2460</v>
      </c>
      <c r="B778" s="22" t="str">
        <f t="shared" si="85"/>
        <v>機械器具月報（その46）計測機器</v>
      </c>
      <c r="C778" s="21" t="str">
        <f>HYPERLINK("#2460!AV3","0110")</f>
        <v>0110</v>
      </c>
      <c r="D778" s="22" t="str">
        <f>HYPERLINK("#2460!AV3","クロマト・分離・蒸留機器")</f>
        <v>クロマト・分離・蒸留機器</v>
      </c>
    </row>
    <row r="779" spans="1:4" x14ac:dyDescent="0.4">
      <c r="A779" s="21">
        <f t="shared" si="84"/>
        <v>2460</v>
      </c>
      <c r="B779" s="22" t="str">
        <f t="shared" si="85"/>
        <v>機械器具月報（その46）計測機器</v>
      </c>
      <c r="C779" s="21" t="str">
        <f>HYPERLINK("#2460!BA3","0111")</f>
        <v>0111</v>
      </c>
      <c r="D779" s="22" t="str">
        <f>HYPERLINK("#2460!BA3","その他の分析機器")</f>
        <v>その他の分析機器</v>
      </c>
    </row>
    <row r="780" spans="1:4" x14ac:dyDescent="0.4">
      <c r="A780" s="21">
        <f t="shared" si="84"/>
        <v>2460</v>
      </c>
      <c r="B780" s="22" t="str">
        <f t="shared" si="85"/>
        <v>機械器具月報（その46）計測機器</v>
      </c>
      <c r="C780" s="21" t="str">
        <f>HYPERLINK("#2460!BF3","0112")</f>
        <v>0112</v>
      </c>
      <c r="D780" s="22" t="str">
        <f>HYPERLINK("#2460!BF3","環境計測機器")</f>
        <v>環境計測機器</v>
      </c>
    </row>
    <row r="781" spans="1:4" x14ac:dyDescent="0.4">
      <c r="A781" s="21">
        <f t="shared" si="84"/>
        <v>2460</v>
      </c>
      <c r="B781" s="22" t="str">
        <f t="shared" si="85"/>
        <v>機械器具月報（その46）計測機器</v>
      </c>
      <c r="C781" s="21" t="str">
        <f>HYPERLINK("#2460!BK3","0113")</f>
        <v>0113</v>
      </c>
      <c r="D781" s="22" t="str">
        <f>HYPERLINK("#2460!BK3","材料試験機")</f>
        <v>材料試験機</v>
      </c>
    </row>
    <row r="782" spans="1:4" x14ac:dyDescent="0.4">
      <c r="A782" s="21">
        <f t="shared" si="84"/>
        <v>2460</v>
      </c>
      <c r="B782" s="22" t="str">
        <f t="shared" si="85"/>
        <v>機械器具月報（その46）計測機器</v>
      </c>
      <c r="C782" s="21" t="str">
        <f>HYPERLINK("#2460!BP3","0114")</f>
        <v>0114</v>
      </c>
      <c r="D782" s="22" t="str">
        <f>HYPERLINK("#2460!BP3","動的試験機・構造物試験機")</f>
        <v>動的試験機・構造物試験機</v>
      </c>
    </row>
    <row r="783" spans="1:4" x14ac:dyDescent="0.4">
      <c r="A783" s="21">
        <f t="shared" si="84"/>
        <v>2460</v>
      </c>
      <c r="B783" s="22" t="str">
        <f t="shared" si="85"/>
        <v>機械器具月報（その46）計測機器</v>
      </c>
      <c r="C783" s="21" t="str">
        <f>HYPERLINK("#2460!BU3","0115")</f>
        <v>0115</v>
      </c>
      <c r="D783" s="22" t="str">
        <f>HYPERLINK("#2460!BU3","測量機器(トランシット・レベル，光波測距儀)")</f>
        <v>測量機器(トランシット・レベル，光波測距儀)</v>
      </c>
    </row>
    <row r="784" spans="1:4" x14ac:dyDescent="0.4">
      <c r="A784" s="21">
        <f>HYPERLINK("#2470!A1 ",2470)</f>
        <v>2470</v>
      </c>
      <c r="B784" s="22" t="str">
        <f>HYPERLINK("#2470!A1 ","機械器具月報（その47）光学機械器具及び時計")</f>
        <v>機械器具月報（その47）光学機械器具及び時計</v>
      </c>
      <c r="C784" s="21" t="str">
        <f>HYPERLINK("#2470!C3","0101")</f>
        <v>0101</v>
      </c>
      <c r="D784" s="22" t="str">
        <f>HYPERLINK("#2470!C3","カメラ")</f>
        <v>カメラ</v>
      </c>
    </row>
    <row r="785" spans="1:4" x14ac:dyDescent="0.4">
      <c r="A785" s="21">
        <f>HYPERLINK("#2470!A1 ",2470)</f>
        <v>2470</v>
      </c>
      <c r="B785" s="22" t="str">
        <f>HYPERLINK("#2470!A1 ","機械器具月報（その47）光学機械器具及び時計")</f>
        <v>機械器具月報（その47）光学機械器具及び時計</v>
      </c>
      <c r="C785" s="21" t="str">
        <f>HYPERLINK("#2470!H3","0102")</f>
        <v>0102</v>
      </c>
      <c r="D785" s="22" t="str">
        <f>HYPERLINK("#2470!H3","カメラ用交換レンズ")</f>
        <v>カメラ用交換レンズ</v>
      </c>
    </row>
    <row r="786" spans="1:4" x14ac:dyDescent="0.4">
      <c r="A786" s="21">
        <f>HYPERLINK("#2470!A1 ",2470)</f>
        <v>2470</v>
      </c>
      <c r="B786" s="22" t="str">
        <f>HYPERLINK("#2470!A1 ","機械器具月報（その47）光学機械器具及び時計")</f>
        <v>機械器具月報（その47）光学機械器具及び時計</v>
      </c>
      <c r="C786" s="21" t="str">
        <f>HYPERLINK("#2470!M3","0103")</f>
        <v>0103</v>
      </c>
      <c r="D786" s="22" t="str">
        <f>HYPERLINK("#2470!M3","完成品（電池式ウオッチ（ストップウオッチを除く）・電池式クロック（機械時計を除く））")</f>
        <v>完成品（電池式ウオッチ（ストップウオッチを除く）・電池式クロック（機械時計を除く））</v>
      </c>
    </row>
    <row r="787" spans="1:4" x14ac:dyDescent="0.4">
      <c r="A787" s="21">
        <f>HYPERLINK("#2470!A1 ",2470)</f>
        <v>2470</v>
      </c>
      <c r="B787" s="22" t="str">
        <f>HYPERLINK("#2470!A1 ","機械器具月報（その47）光学機械器具及び時計")</f>
        <v>機械器具月報（その47）光学機械器具及び時計</v>
      </c>
      <c r="C787" s="21" t="str">
        <f>HYPERLINK("#2470!R3","0104")</f>
        <v>0104</v>
      </c>
      <c r="D787" s="22" t="str">
        <f>HYPERLINK("#2470!R3","ムーブメント(自己消費を除く)")</f>
        <v>ムーブメント(自己消費を除く)</v>
      </c>
    </row>
    <row r="788" spans="1:4" x14ac:dyDescent="0.4">
      <c r="A788" s="21">
        <f t="shared" ref="A788:A796" si="86">HYPERLINK("#2510!A1 ",2510)</f>
        <v>2510</v>
      </c>
      <c r="B788" s="22" t="str">
        <f t="shared" ref="B788:B796" si="87">HYPERLINK("#2510!A1 ","粉末や金製品月報（超硬チップを除く）")</f>
        <v>粉末や金製品月報（超硬チップを除く）</v>
      </c>
      <c r="C788" s="21" t="str">
        <f>HYPERLINK("#2510!C3","0101")</f>
        <v>0101</v>
      </c>
      <c r="D788" s="22" t="str">
        <f>HYPERLINK("#2510!C3","粉末や金製軸受合金(輸送機械用)")</f>
        <v>粉末や金製軸受合金(輸送機械用)</v>
      </c>
    </row>
    <row r="789" spans="1:4" x14ac:dyDescent="0.4">
      <c r="A789" s="21">
        <f t="shared" si="86"/>
        <v>2510</v>
      </c>
      <c r="B789" s="22" t="str">
        <f t="shared" si="87"/>
        <v>粉末や金製品月報（超硬チップを除く）</v>
      </c>
      <c r="C789" s="21" t="str">
        <f>HYPERLINK("#2510!E3","0102")</f>
        <v>0102</v>
      </c>
      <c r="D789" s="22" t="str">
        <f>HYPERLINK("#2510!E3","その他用の粉末や金製軸受合金")</f>
        <v>その他用の粉末や金製軸受合金</v>
      </c>
    </row>
    <row r="790" spans="1:4" x14ac:dyDescent="0.4">
      <c r="A790" s="21">
        <f t="shared" si="86"/>
        <v>2510</v>
      </c>
      <c r="B790" s="22" t="str">
        <f t="shared" si="87"/>
        <v>粉末や金製品月報（超硬チップを除く）</v>
      </c>
      <c r="C790" s="21" t="str">
        <f>HYPERLINK("#2510!G3","0103")</f>
        <v>0103</v>
      </c>
      <c r="D790" s="22" t="str">
        <f>HYPERLINK("#2510!G3","粉末や金製機械部品(輸送機械用)")</f>
        <v>粉末や金製機械部品(輸送機械用)</v>
      </c>
    </row>
    <row r="791" spans="1:4" x14ac:dyDescent="0.4">
      <c r="A791" s="21">
        <f t="shared" si="86"/>
        <v>2510</v>
      </c>
      <c r="B791" s="22" t="str">
        <f t="shared" si="87"/>
        <v>粉末や金製品月報（超硬チップを除く）</v>
      </c>
      <c r="C791" s="21" t="str">
        <f>HYPERLINK("#2510!I3","0104")</f>
        <v>0104</v>
      </c>
      <c r="D791" s="22" t="str">
        <f>HYPERLINK("#2510!I3","その他用の粉末や金製機械部品")</f>
        <v>その他用の粉末や金製機械部品</v>
      </c>
    </row>
    <row r="792" spans="1:4" x14ac:dyDescent="0.4">
      <c r="A792" s="21">
        <f t="shared" si="86"/>
        <v>2510</v>
      </c>
      <c r="B792" s="22" t="str">
        <f t="shared" si="87"/>
        <v>粉末や金製品月報（超硬チップを除く）</v>
      </c>
      <c r="C792" s="21" t="str">
        <f>HYPERLINK("#2510!K3","0105")</f>
        <v>0105</v>
      </c>
      <c r="D792" s="22" t="str">
        <f>HYPERLINK("#2510!K3","粉末や金製機械材料(摩擦材料)")</f>
        <v>粉末や金製機械材料(摩擦材料)</v>
      </c>
    </row>
    <row r="793" spans="1:4" x14ac:dyDescent="0.4">
      <c r="A793" s="21">
        <f t="shared" si="86"/>
        <v>2510</v>
      </c>
      <c r="B793" s="22" t="str">
        <f t="shared" si="87"/>
        <v>粉末や金製品月報（超硬チップを除く）</v>
      </c>
      <c r="C793" s="21" t="str">
        <f>HYPERLINK("#2510!M3","0106")</f>
        <v>0106</v>
      </c>
      <c r="D793" s="22" t="str">
        <f>HYPERLINK("#2510!M3","粉末や金製電気接点")</f>
        <v>粉末や金製電気接点</v>
      </c>
    </row>
    <row r="794" spans="1:4" x14ac:dyDescent="0.4">
      <c r="A794" s="21">
        <f t="shared" si="86"/>
        <v>2510</v>
      </c>
      <c r="B794" s="22" t="str">
        <f t="shared" si="87"/>
        <v>粉末や金製品月報（超硬チップを除く）</v>
      </c>
      <c r="C794" s="21" t="str">
        <f>HYPERLINK("#2510!O3","0107")</f>
        <v>0107</v>
      </c>
      <c r="D794" s="22" t="str">
        <f>HYPERLINK("#2510!O3","粉末や金製磁性材料(硬質)")</f>
        <v>粉末や金製磁性材料(硬質)</v>
      </c>
    </row>
    <row r="795" spans="1:4" x14ac:dyDescent="0.4">
      <c r="A795" s="21">
        <f t="shared" si="86"/>
        <v>2510</v>
      </c>
      <c r="B795" s="22" t="str">
        <f t="shared" si="87"/>
        <v>粉末や金製品月報（超硬チップを除く）</v>
      </c>
      <c r="C795" s="21" t="str">
        <f>HYPERLINK("#2510!Q3","0108")</f>
        <v>0108</v>
      </c>
      <c r="D795" s="22" t="str">
        <f>HYPERLINK("#2510!Q3","粉末や金製磁性材料(軟質)")</f>
        <v>粉末や金製磁性材料(軟質)</v>
      </c>
    </row>
    <row r="796" spans="1:4" x14ac:dyDescent="0.4">
      <c r="A796" s="21">
        <f t="shared" si="86"/>
        <v>2510</v>
      </c>
      <c r="B796" s="22" t="str">
        <f t="shared" si="87"/>
        <v>粉末や金製品月報（超硬チップを除く）</v>
      </c>
      <c r="C796" s="21" t="str">
        <f>HYPERLINK("#2510!S3","0109")</f>
        <v>0109</v>
      </c>
      <c r="D796" s="22" t="str">
        <f>HYPERLINK("#2510!S3","その他の粉末や金製品(超硬チップを除く)")</f>
        <v>その他の粉末や金製品(超硬チップを除く)</v>
      </c>
    </row>
    <row r="797" spans="1:4" x14ac:dyDescent="0.4">
      <c r="A797" s="21">
        <f t="shared" ref="A797:A811" si="88">HYPERLINK("#2520!A1 ",2520)</f>
        <v>2520</v>
      </c>
      <c r="B797" s="22" t="str">
        <f t="shared" ref="B797:B811" si="89">HYPERLINK("#2520!A1 ","鍛工品月報")</f>
        <v>鍛工品月報</v>
      </c>
      <c r="C797" s="21" t="str">
        <f>HYPERLINK("#2520!C3","0101")</f>
        <v>0101</v>
      </c>
      <c r="D797" s="22" t="str">
        <f>HYPERLINK("#2520!C3","鉄系熱間鍛造品(型鍛造品)(産業機械・土木建設機械用)")</f>
        <v>鉄系熱間鍛造品(型鍛造品)(産業機械・土木建設機械用)</v>
      </c>
    </row>
    <row r="798" spans="1:4" x14ac:dyDescent="0.4">
      <c r="A798" s="21">
        <f t="shared" si="88"/>
        <v>2520</v>
      </c>
      <c r="B798" s="22" t="str">
        <f t="shared" si="89"/>
        <v>鍛工品月報</v>
      </c>
      <c r="C798" s="21" t="str">
        <f>HYPERLINK("#2520!E3","0102")</f>
        <v>0102</v>
      </c>
      <c r="D798" s="22" t="str">
        <f>HYPERLINK("#2520!E3","鉄系熱間鍛造品(型鍛造品)(自動車用)")</f>
        <v>鉄系熱間鍛造品(型鍛造品)(自動車用)</v>
      </c>
    </row>
    <row r="799" spans="1:4" x14ac:dyDescent="0.4">
      <c r="A799" s="21">
        <f t="shared" si="88"/>
        <v>2520</v>
      </c>
      <c r="B799" s="22" t="str">
        <f t="shared" si="89"/>
        <v>鍛工品月報</v>
      </c>
      <c r="C799" s="21" t="str">
        <f>HYPERLINK("#2520!G3","0103")</f>
        <v>0103</v>
      </c>
      <c r="D799" s="22" t="str">
        <f>HYPERLINK("#2520!G3","その他用の鉄系熱間鍛造品(型鍛造品)")</f>
        <v>その他用の鉄系熱間鍛造品(型鍛造品)</v>
      </c>
    </row>
    <row r="800" spans="1:4" x14ac:dyDescent="0.4">
      <c r="A800" s="21">
        <f t="shared" si="88"/>
        <v>2520</v>
      </c>
      <c r="B800" s="22" t="str">
        <f t="shared" si="89"/>
        <v>鍛工品月報</v>
      </c>
      <c r="C800" s="21" t="str">
        <f>HYPERLINK("#2520!I3","0104")</f>
        <v>0104</v>
      </c>
      <c r="D800" s="22" t="str">
        <f>HYPERLINK("#2520!I3","鉄系熱間鍛造品(自由鍛造品)(産業機械・土木建設機械用)")</f>
        <v>鉄系熱間鍛造品(自由鍛造品)(産業機械・土木建設機械用)</v>
      </c>
    </row>
    <row r="801" spans="1:4" x14ac:dyDescent="0.4">
      <c r="A801" s="21">
        <f t="shared" si="88"/>
        <v>2520</v>
      </c>
      <c r="B801" s="22" t="str">
        <f t="shared" si="89"/>
        <v>鍛工品月報</v>
      </c>
      <c r="C801" s="21" t="str">
        <f>HYPERLINK("#2520!K3","0105")</f>
        <v>0105</v>
      </c>
      <c r="D801" s="22" t="str">
        <f>HYPERLINK("#2520!K3","鉄系熱間鍛造品(自由鍛造品)(輸送機械用)")</f>
        <v>鉄系熱間鍛造品(自由鍛造品)(輸送機械用)</v>
      </c>
    </row>
    <row r="802" spans="1:4" x14ac:dyDescent="0.4">
      <c r="A802" s="21">
        <f t="shared" si="88"/>
        <v>2520</v>
      </c>
      <c r="B802" s="22" t="str">
        <f t="shared" si="89"/>
        <v>鍛工品月報</v>
      </c>
      <c r="C802" s="21" t="str">
        <f>HYPERLINK("#2520!M3","0106")</f>
        <v>0106</v>
      </c>
      <c r="D802" s="22" t="str">
        <f>HYPERLINK("#2520!M3","その他用の鉄系熱間鍛造品(自由鍛造品)")</f>
        <v>その他用の鉄系熱間鍛造品(自由鍛造品)</v>
      </c>
    </row>
    <row r="803" spans="1:4" x14ac:dyDescent="0.4">
      <c r="A803" s="21">
        <f t="shared" si="88"/>
        <v>2520</v>
      </c>
      <c r="B803" s="22" t="str">
        <f t="shared" si="89"/>
        <v>鍛工品月報</v>
      </c>
      <c r="C803" s="21" t="str">
        <f>HYPERLINK("#2520!O3","0107")</f>
        <v>0107</v>
      </c>
      <c r="D803" s="22" t="str">
        <f>HYPERLINK("#2520!O3","鉄系熱間鍛造品(リングロール品)(産業機械・土木建設機械用)")</f>
        <v>鉄系熱間鍛造品(リングロール品)(産業機械・土木建設機械用)</v>
      </c>
    </row>
    <row r="804" spans="1:4" x14ac:dyDescent="0.4">
      <c r="A804" s="21">
        <f t="shared" si="88"/>
        <v>2520</v>
      </c>
      <c r="B804" s="22" t="str">
        <f t="shared" si="89"/>
        <v>鍛工品月報</v>
      </c>
      <c r="C804" s="21" t="str">
        <f>HYPERLINK("#2520!Q3","0108")</f>
        <v>0108</v>
      </c>
      <c r="D804" s="22" t="str">
        <f>HYPERLINK("#2520!Q3","鉄系熱間鍛造品(リングロール品)(自動車用)")</f>
        <v>鉄系熱間鍛造品(リングロール品)(自動車用)</v>
      </c>
    </row>
    <row r="805" spans="1:4" x14ac:dyDescent="0.4">
      <c r="A805" s="21">
        <f t="shared" si="88"/>
        <v>2520</v>
      </c>
      <c r="B805" s="22" t="str">
        <f t="shared" si="89"/>
        <v>鍛工品月報</v>
      </c>
      <c r="C805" s="21" t="str">
        <f>HYPERLINK("#2520!S3","0109")</f>
        <v>0109</v>
      </c>
      <c r="D805" s="22" t="str">
        <f>HYPERLINK("#2520!S3","その他用の鉄系熱間鍛造品(リングロール品)")</f>
        <v>その他用の鉄系熱間鍛造品(リングロール品)</v>
      </c>
    </row>
    <row r="806" spans="1:4" x14ac:dyDescent="0.4">
      <c r="A806" s="21">
        <f t="shared" si="88"/>
        <v>2520</v>
      </c>
      <c r="B806" s="22" t="str">
        <f t="shared" si="89"/>
        <v>鍛工品月報</v>
      </c>
      <c r="C806" s="21" t="str">
        <f>HYPERLINK("#2520!U3","0110")</f>
        <v>0110</v>
      </c>
      <c r="D806" s="22" t="str">
        <f>HYPERLINK("#2520!U3","鉄系冷間鍛造品(自動車用)")</f>
        <v>鉄系冷間鍛造品(自動車用)</v>
      </c>
    </row>
    <row r="807" spans="1:4" x14ac:dyDescent="0.4">
      <c r="A807" s="21">
        <f t="shared" si="88"/>
        <v>2520</v>
      </c>
      <c r="B807" s="22" t="str">
        <f t="shared" si="89"/>
        <v>鍛工品月報</v>
      </c>
      <c r="C807" s="21" t="str">
        <f>HYPERLINK("#2520!W3","0111")</f>
        <v>0111</v>
      </c>
      <c r="D807" s="22" t="str">
        <f>HYPERLINK("#2520!W3","その他用の鉄系冷間鍛造品")</f>
        <v>その他用の鉄系冷間鍛造品</v>
      </c>
    </row>
    <row r="808" spans="1:4" x14ac:dyDescent="0.4">
      <c r="A808" s="21">
        <f t="shared" si="88"/>
        <v>2520</v>
      </c>
      <c r="B808" s="22" t="str">
        <f t="shared" si="89"/>
        <v>鍛工品月報</v>
      </c>
      <c r="C808" s="21" t="str">
        <f>HYPERLINK("#2520!Y3","0113")</f>
        <v>0113</v>
      </c>
      <c r="D808" s="22" t="str">
        <f>HYPERLINK("#2520!Y3","アルミニウム系熱間鍛造品(自動車用)")</f>
        <v>アルミニウム系熱間鍛造品(自動車用)</v>
      </c>
    </row>
    <row r="809" spans="1:4" x14ac:dyDescent="0.4">
      <c r="A809" s="21">
        <f t="shared" si="88"/>
        <v>2520</v>
      </c>
      <c r="B809" s="22" t="str">
        <f t="shared" si="89"/>
        <v>鍛工品月報</v>
      </c>
      <c r="C809" s="21" t="str">
        <f>HYPERLINK("#2520!AA3","0114")</f>
        <v>0114</v>
      </c>
      <c r="D809" s="22" t="str">
        <f>HYPERLINK("#2520!AA3","その他用のアルミニウム系熱間鍛造品")</f>
        <v>その他用のアルミニウム系熱間鍛造品</v>
      </c>
    </row>
    <row r="810" spans="1:4" x14ac:dyDescent="0.4">
      <c r="A810" s="21">
        <f t="shared" si="88"/>
        <v>2520</v>
      </c>
      <c r="B810" s="22" t="str">
        <f t="shared" si="89"/>
        <v>鍛工品月報</v>
      </c>
      <c r="C810" s="21" t="str">
        <f>HYPERLINK("#2520!AC3","0115")</f>
        <v>0115</v>
      </c>
      <c r="D810" s="22" t="str">
        <f>HYPERLINK("#2520!AC3","アルミニウム系冷間鍛造品(自動車用)")</f>
        <v>アルミニウム系冷間鍛造品(自動車用)</v>
      </c>
    </row>
    <row r="811" spans="1:4" x14ac:dyDescent="0.4">
      <c r="A811" s="21">
        <f t="shared" si="88"/>
        <v>2520</v>
      </c>
      <c r="B811" s="22" t="str">
        <f t="shared" si="89"/>
        <v>鍛工品月報</v>
      </c>
      <c r="C811" s="21" t="str">
        <f>HYPERLINK("#2520!AE3","0116")</f>
        <v>0116</v>
      </c>
      <c r="D811" s="22" t="str">
        <f>HYPERLINK("#2520!AE3","その他用のアルミニウム系冷間鍛造品")</f>
        <v>その他用のアルミニウム系冷間鍛造品</v>
      </c>
    </row>
    <row r="812" spans="1:4" x14ac:dyDescent="0.4">
      <c r="A812" s="21">
        <f t="shared" ref="A812:A825" si="90">HYPERLINK("#2530!A1 ",2530)</f>
        <v>2530</v>
      </c>
      <c r="B812" s="22" t="str">
        <f t="shared" ref="B812:B825" si="91">HYPERLINK("#2530!A1 ","銑鉄鋳物月報")</f>
        <v>銑鉄鋳物月報</v>
      </c>
      <c r="C812" s="21" t="str">
        <f>HYPERLINK("#2530!C3","0101")</f>
        <v>0101</v>
      </c>
      <c r="D812" s="22" t="str">
        <f>HYPERLINK("#2530!C3","銑鉄鋳物(産業機械器具用)(球状黒鉛鋳鉄を除く)")</f>
        <v>銑鉄鋳物(産業機械器具用)(球状黒鉛鋳鉄を除く)</v>
      </c>
    </row>
    <row r="813" spans="1:4" x14ac:dyDescent="0.4">
      <c r="A813" s="21">
        <f t="shared" si="90"/>
        <v>2530</v>
      </c>
      <c r="B813" s="22" t="str">
        <f t="shared" si="91"/>
        <v>銑鉄鋳物月報</v>
      </c>
      <c r="C813" s="21" t="str">
        <f>HYPERLINK("#2530!E3","0102")</f>
        <v>0102</v>
      </c>
      <c r="D813" s="22" t="str">
        <f>HYPERLINK("#2530!E3","銑鉄鋳物(金属工作・加工機械用)(球状黒鉛鋳鉄を除く)")</f>
        <v>銑鉄鋳物(金属工作・加工機械用)(球状黒鉛鋳鉄を除く)</v>
      </c>
    </row>
    <row r="814" spans="1:4" x14ac:dyDescent="0.4">
      <c r="A814" s="21">
        <f t="shared" si="90"/>
        <v>2530</v>
      </c>
      <c r="B814" s="22" t="str">
        <f t="shared" si="91"/>
        <v>銑鉄鋳物月報</v>
      </c>
      <c r="C814" s="21" t="str">
        <f>HYPERLINK("#2530!G3","0103")</f>
        <v>0103</v>
      </c>
      <c r="D814" s="22" t="str">
        <f>HYPERLINK("#2530!G3","その他の一般・電気機械用銑鉄鋳物(球状黒鉛鋳鉄を除く)")</f>
        <v>その他の一般・電気機械用銑鉄鋳物(球状黒鉛鋳鉄を除く)</v>
      </c>
    </row>
    <row r="815" spans="1:4" x14ac:dyDescent="0.4">
      <c r="A815" s="21">
        <f t="shared" si="90"/>
        <v>2530</v>
      </c>
      <c r="B815" s="22" t="str">
        <f t="shared" si="91"/>
        <v>銑鉄鋳物月報</v>
      </c>
      <c r="C815" s="21" t="str">
        <f>HYPERLINK("#2530!I3","0104")</f>
        <v>0104</v>
      </c>
      <c r="D815" s="22" t="str">
        <f>HYPERLINK("#2530!I3","銑鉄鋳物(自動車用)(球状黒鉛鋳鉄を除く)")</f>
        <v>銑鉄鋳物(自動車用)(球状黒鉛鋳鉄を除く)</v>
      </c>
    </row>
    <row r="816" spans="1:4" x14ac:dyDescent="0.4">
      <c r="A816" s="21">
        <f t="shared" si="90"/>
        <v>2530</v>
      </c>
      <c r="B816" s="22" t="str">
        <f t="shared" si="91"/>
        <v>銑鉄鋳物月報</v>
      </c>
      <c r="C816" s="21" t="str">
        <f>HYPERLINK("#2530!K3","0105")</f>
        <v>0105</v>
      </c>
      <c r="D816" s="22" t="str">
        <f>HYPERLINK("#2530!K3","その他の輸送機械用銑鉄鋳物(球状黒鉛鋳鉄を除く)")</f>
        <v>その他の輸送機械用銑鉄鋳物(球状黒鉛鋳鉄を除く)</v>
      </c>
    </row>
    <row r="817" spans="1:4" x14ac:dyDescent="0.4">
      <c r="A817" s="21">
        <f t="shared" si="90"/>
        <v>2530</v>
      </c>
      <c r="B817" s="22" t="str">
        <f t="shared" si="91"/>
        <v>銑鉄鋳物月報</v>
      </c>
      <c r="C817" s="21" t="str">
        <f>HYPERLINK("#2530!M3","0106")</f>
        <v>0106</v>
      </c>
      <c r="D817" s="22" t="str">
        <f>HYPERLINK("#2530!M3","その他用の銑鉄鋳物(球状黒鉛鋳鉄を除く)")</f>
        <v>その他用の銑鉄鋳物(球状黒鉛鋳鉄を除く)</v>
      </c>
    </row>
    <row r="818" spans="1:4" x14ac:dyDescent="0.4">
      <c r="A818" s="21">
        <f t="shared" si="90"/>
        <v>2530</v>
      </c>
      <c r="B818" s="22" t="str">
        <f t="shared" si="91"/>
        <v>銑鉄鋳物月報</v>
      </c>
      <c r="C818" s="21" t="str">
        <f>HYPERLINK("#2530!O3","0107")</f>
        <v>0107</v>
      </c>
      <c r="D818" s="22" t="str">
        <f>HYPERLINK("#2530!O3","銑鉄鋳物(球状黒鉛鋳鉄を除く)計")</f>
        <v>銑鉄鋳物(球状黒鉛鋳鉄を除く)計</v>
      </c>
    </row>
    <row r="819" spans="1:4" x14ac:dyDescent="0.4">
      <c r="A819" s="21">
        <f t="shared" si="90"/>
        <v>2530</v>
      </c>
      <c r="B819" s="22" t="str">
        <f t="shared" si="91"/>
        <v>銑鉄鋳物月報</v>
      </c>
      <c r="C819" s="21" t="str">
        <f>HYPERLINK("#2530!Q3","0108")</f>
        <v>0108</v>
      </c>
      <c r="D819" s="22" t="str">
        <f>HYPERLINK("#2530!Q3","球状黒鉛鋳鉄(産業機械器具用)")</f>
        <v>球状黒鉛鋳鉄(産業機械器具用)</v>
      </c>
    </row>
    <row r="820" spans="1:4" x14ac:dyDescent="0.4">
      <c r="A820" s="21">
        <f t="shared" si="90"/>
        <v>2530</v>
      </c>
      <c r="B820" s="22" t="str">
        <f t="shared" si="91"/>
        <v>銑鉄鋳物月報</v>
      </c>
      <c r="C820" s="21" t="str">
        <f>HYPERLINK("#2530!S3","0109")</f>
        <v>0109</v>
      </c>
      <c r="D820" s="22" t="str">
        <f>HYPERLINK("#2530!S3","球状黒鉛鋳鉄(金属工作・加工機械用)")</f>
        <v>球状黒鉛鋳鉄(金属工作・加工機械用)</v>
      </c>
    </row>
    <row r="821" spans="1:4" x14ac:dyDescent="0.4">
      <c r="A821" s="21">
        <f t="shared" si="90"/>
        <v>2530</v>
      </c>
      <c r="B821" s="22" t="str">
        <f t="shared" si="91"/>
        <v>銑鉄鋳物月報</v>
      </c>
      <c r="C821" s="21" t="str">
        <f>HYPERLINK("#2530!U3","0110")</f>
        <v>0110</v>
      </c>
      <c r="D821" s="22" t="str">
        <f>HYPERLINK("#2530!U3","その他の一般・電気機械用球状黒鉛鋳鉄")</f>
        <v>その他の一般・電気機械用球状黒鉛鋳鉄</v>
      </c>
    </row>
    <row r="822" spans="1:4" x14ac:dyDescent="0.4">
      <c r="A822" s="21">
        <f t="shared" si="90"/>
        <v>2530</v>
      </c>
      <c r="B822" s="22" t="str">
        <f t="shared" si="91"/>
        <v>銑鉄鋳物月報</v>
      </c>
      <c r="C822" s="21" t="str">
        <f>HYPERLINK("#2530!W3","0111")</f>
        <v>0111</v>
      </c>
      <c r="D822" s="22" t="str">
        <f>HYPERLINK("#2530!W3","球状黒鉛鋳鉄(自動車用)")</f>
        <v>球状黒鉛鋳鉄(自動車用)</v>
      </c>
    </row>
    <row r="823" spans="1:4" x14ac:dyDescent="0.4">
      <c r="A823" s="21">
        <f t="shared" si="90"/>
        <v>2530</v>
      </c>
      <c r="B823" s="22" t="str">
        <f t="shared" si="91"/>
        <v>銑鉄鋳物月報</v>
      </c>
      <c r="C823" s="21" t="str">
        <f>HYPERLINK("#2530!Y3","0112")</f>
        <v>0112</v>
      </c>
      <c r="D823" s="22" t="str">
        <f>HYPERLINK("#2530!Y3","その他の輸送機械用球状黒鉛鋳鉄")</f>
        <v>その他の輸送機械用球状黒鉛鋳鉄</v>
      </c>
    </row>
    <row r="824" spans="1:4" x14ac:dyDescent="0.4">
      <c r="A824" s="21">
        <f t="shared" si="90"/>
        <v>2530</v>
      </c>
      <c r="B824" s="22" t="str">
        <f t="shared" si="91"/>
        <v>銑鉄鋳物月報</v>
      </c>
      <c r="C824" s="21" t="str">
        <f>HYPERLINK("#2530!AA3","0113")</f>
        <v>0113</v>
      </c>
      <c r="D824" s="22" t="str">
        <f>HYPERLINK("#2530!AA3","その他用の球状黒鉛鋳鉄")</f>
        <v>その他用の球状黒鉛鋳鉄</v>
      </c>
    </row>
    <row r="825" spans="1:4" x14ac:dyDescent="0.4">
      <c r="A825" s="21">
        <f t="shared" si="90"/>
        <v>2530</v>
      </c>
      <c r="B825" s="22" t="str">
        <f t="shared" si="91"/>
        <v>銑鉄鋳物月報</v>
      </c>
      <c r="C825" s="21" t="str">
        <f>HYPERLINK("#2530!AC3","0114")</f>
        <v>0114</v>
      </c>
      <c r="D825" s="22" t="str">
        <f>HYPERLINK("#2530!AC3","球状黒鉛鋳鉄計")</f>
        <v>球状黒鉛鋳鉄計</v>
      </c>
    </row>
    <row r="826" spans="1:4" x14ac:dyDescent="0.4">
      <c r="A826" s="21">
        <f t="shared" ref="A826:A831" si="92">HYPERLINK("#2540!A1 ",2540)</f>
        <v>2540</v>
      </c>
      <c r="B826" s="22" t="str">
        <f t="shared" ref="B826:B831" si="93">HYPERLINK("#2540!A1 ","可鍛鋳鉄及び精密鋳造品月報")</f>
        <v>可鍛鋳鉄及び精密鋳造品月報</v>
      </c>
      <c r="C826" s="21" t="str">
        <f>HYPERLINK("#2540!C3","0101")</f>
        <v>0101</v>
      </c>
      <c r="D826" s="22" t="str">
        <f>HYPERLINK("#2540!C3","可鍛鋳鉄")</f>
        <v>可鍛鋳鉄</v>
      </c>
    </row>
    <row r="827" spans="1:4" x14ac:dyDescent="0.4">
      <c r="A827" s="21">
        <f t="shared" si="92"/>
        <v>2540</v>
      </c>
      <c r="B827" s="22" t="str">
        <f t="shared" si="93"/>
        <v>可鍛鋳鉄及び精密鋳造品月報</v>
      </c>
      <c r="C827" s="21" t="str">
        <f>HYPERLINK("#2540!E3","0102")</f>
        <v>0102</v>
      </c>
      <c r="D827" s="22" t="str">
        <f>HYPERLINK("#2540!E3","精密鋳造品(ガスタービン用)")</f>
        <v>精密鋳造品(ガスタービン用)</v>
      </c>
    </row>
    <row r="828" spans="1:4" x14ac:dyDescent="0.4">
      <c r="A828" s="21">
        <f t="shared" si="92"/>
        <v>2540</v>
      </c>
      <c r="B828" s="22" t="str">
        <f t="shared" si="93"/>
        <v>可鍛鋳鉄及び精密鋳造品月報</v>
      </c>
      <c r="C828" s="21" t="str">
        <f>HYPERLINK("#2540!G3","0103")</f>
        <v>0103</v>
      </c>
      <c r="D828" s="22" t="str">
        <f>HYPERLINK("#2540!G3","精密鋳造品(一般機械用)")</f>
        <v>精密鋳造品(一般機械用)</v>
      </c>
    </row>
    <row r="829" spans="1:4" x14ac:dyDescent="0.4">
      <c r="A829" s="21">
        <f t="shared" si="92"/>
        <v>2540</v>
      </c>
      <c r="B829" s="22" t="str">
        <f t="shared" si="93"/>
        <v>可鍛鋳鉄及び精密鋳造品月報</v>
      </c>
      <c r="C829" s="21" t="str">
        <f>HYPERLINK("#2540!I3","0104")</f>
        <v>0104</v>
      </c>
      <c r="D829" s="22" t="str">
        <f>HYPERLINK("#2540!I3","精密鋳造品(自動車用)")</f>
        <v>精密鋳造品(自動車用)</v>
      </c>
    </row>
    <row r="830" spans="1:4" x14ac:dyDescent="0.4">
      <c r="A830" s="21">
        <f t="shared" si="92"/>
        <v>2540</v>
      </c>
      <c r="B830" s="22" t="str">
        <f t="shared" si="93"/>
        <v>可鍛鋳鉄及び精密鋳造品月報</v>
      </c>
      <c r="C830" s="21" t="str">
        <f>HYPERLINK("#2540!K3","0105")</f>
        <v>0105</v>
      </c>
      <c r="D830" s="22" t="str">
        <f>HYPERLINK("#2540!K3","精密鋳造品(航空機・武器用)")</f>
        <v>精密鋳造品(航空機・武器用)</v>
      </c>
    </row>
    <row r="831" spans="1:4" x14ac:dyDescent="0.4">
      <c r="A831" s="21">
        <f t="shared" si="92"/>
        <v>2540</v>
      </c>
      <c r="B831" s="22" t="str">
        <f t="shared" si="93"/>
        <v>可鍛鋳鉄及び精密鋳造品月報</v>
      </c>
      <c r="C831" s="21" t="str">
        <f>HYPERLINK("#2540!M3","0106")</f>
        <v>0106</v>
      </c>
      <c r="D831" s="22" t="str">
        <f>HYPERLINK("#2540!M3","その他用の精密鋳造品")</f>
        <v>その他用の精密鋳造品</v>
      </c>
    </row>
    <row r="832" spans="1:4" x14ac:dyDescent="0.4">
      <c r="A832" s="21">
        <f t="shared" ref="A832:A840" si="94">HYPERLINK("#2550!A1 ",2550)</f>
        <v>2550</v>
      </c>
      <c r="B832" s="22" t="str">
        <f t="shared" ref="B832:B840" si="95">HYPERLINK("#2550!A1 ","非鉄金属鋳物月報")</f>
        <v>非鉄金属鋳物月報</v>
      </c>
      <c r="C832" s="21" t="str">
        <f>HYPERLINK("#2550!C3","0101")</f>
        <v>0101</v>
      </c>
      <c r="D832" s="22" t="str">
        <f>HYPERLINK("#2550!C3","銅・銅合金鋳物(産業機械器具用)")</f>
        <v>銅・銅合金鋳物(産業機械器具用)</v>
      </c>
    </row>
    <row r="833" spans="1:4" x14ac:dyDescent="0.4">
      <c r="A833" s="21">
        <f t="shared" si="94"/>
        <v>2550</v>
      </c>
      <c r="B833" s="22" t="str">
        <f t="shared" si="95"/>
        <v>非鉄金属鋳物月報</v>
      </c>
      <c r="C833" s="21" t="str">
        <f>HYPERLINK("#2550!E3","0102")</f>
        <v>0102</v>
      </c>
      <c r="D833" s="22" t="str">
        <f>HYPERLINK("#2550!E3","銅・銅合金鋳物(軸受メタル用)")</f>
        <v>銅・銅合金鋳物(軸受メタル用)</v>
      </c>
    </row>
    <row r="834" spans="1:4" x14ac:dyDescent="0.4">
      <c r="A834" s="21">
        <f t="shared" si="94"/>
        <v>2550</v>
      </c>
      <c r="B834" s="22" t="str">
        <f t="shared" si="95"/>
        <v>非鉄金属鋳物月報</v>
      </c>
      <c r="C834" s="21" t="str">
        <f>HYPERLINK("#2550!G3","0103")</f>
        <v>0103</v>
      </c>
      <c r="D834" s="22" t="str">
        <f>HYPERLINK("#2550!G3","銅・銅合金鋳物(バルブコック用)(管継手用を含む)")</f>
        <v>銅・銅合金鋳物(バルブコック用)(管継手用を含む)</v>
      </c>
    </row>
    <row r="835" spans="1:4" x14ac:dyDescent="0.4">
      <c r="A835" s="21">
        <f t="shared" si="94"/>
        <v>2550</v>
      </c>
      <c r="B835" s="22" t="str">
        <f t="shared" si="95"/>
        <v>非鉄金属鋳物月報</v>
      </c>
      <c r="C835" s="21" t="str">
        <f>HYPERLINK("#2550!I3","0104")</f>
        <v>0104</v>
      </c>
      <c r="D835" s="22" t="str">
        <f>HYPERLINK("#2550!I3","銅・銅合金鋳物(輸送機械用)")</f>
        <v>銅・銅合金鋳物(輸送機械用)</v>
      </c>
    </row>
    <row r="836" spans="1:4" x14ac:dyDescent="0.4">
      <c r="A836" s="21">
        <f t="shared" si="94"/>
        <v>2550</v>
      </c>
      <c r="B836" s="22" t="str">
        <f t="shared" si="95"/>
        <v>非鉄金属鋳物月報</v>
      </c>
      <c r="C836" s="21" t="str">
        <f>HYPERLINK("#2550!K3","0105")</f>
        <v>0105</v>
      </c>
      <c r="D836" s="22" t="str">
        <f>HYPERLINK("#2550!K3","その他用の銅・銅合金鋳物")</f>
        <v>その他用の銅・銅合金鋳物</v>
      </c>
    </row>
    <row r="837" spans="1:4" x14ac:dyDescent="0.4">
      <c r="A837" s="21">
        <f t="shared" si="94"/>
        <v>2550</v>
      </c>
      <c r="B837" s="22" t="str">
        <f t="shared" si="95"/>
        <v>非鉄金属鋳物月報</v>
      </c>
      <c r="C837" s="21" t="str">
        <f>HYPERLINK("#2550!M3","0107")</f>
        <v>0107</v>
      </c>
      <c r="D837" s="22" t="str">
        <f>HYPERLINK("#2550!M3","アルミニウム鋳物(一般機械用)")</f>
        <v>アルミニウム鋳物(一般機械用)</v>
      </c>
    </row>
    <row r="838" spans="1:4" x14ac:dyDescent="0.4">
      <c r="A838" s="21">
        <f t="shared" si="94"/>
        <v>2550</v>
      </c>
      <c r="B838" s="22" t="str">
        <f t="shared" si="95"/>
        <v>非鉄金属鋳物月報</v>
      </c>
      <c r="C838" s="21" t="str">
        <f>HYPERLINK("#2550!O3","0108")</f>
        <v>0108</v>
      </c>
      <c r="D838" s="22" t="str">
        <f>HYPERLINK("#2550!O3","アルミニウム鋳物(自動車用)")</f>
        <v>アルミニウム鋳物(自動車用)</v>
      </c>
    </row>
    <row r="839" spans="1:4" x14ac:dyDescent="0.4">
      <c r="A839" s="21">
        <f t="shared" si="94"/>
        <v>2550</v>
      </c>
      <c r="B839" s="22" t="str">
        <f t="shared" si="95"/>
        <v>非鉄金属鋳物月報</v>
      </c>
      <c r="C839" s="21" t="str">
        <f>HYPERLINK("#2550!Q3","0109")</f>
        <v>0109</v>
      </c>
      <c r="D839" s="22" t="str">
        <f>HYPERLINK("#2550!Q3","アルミニウム鋳物(その他の輸送機械用)")</f>
        <v>アルミニウム鋳物(その他の輸送機械用)</v>
      </c>
    </row>
    <row r="840" spans="1:4" x14ac:dyDescent="0.4">
      <c r="A840" s="21">
        <f t="shared" si="94"/>
        <v>2550</v>
      </c>
      <c r="B840" s="22" t="str">
        <f t="shared" si="95"/>
        <v>非鉄金属鋳物月報</v>
      </c>
      <c r="C840" s="21" t="str">
        <f>HYPERLINK("#2550!S3","0110")</f>
        <v>0110</v>
      </c>
      <c r="D840" s="22" t="str">
        <f>HYPERLINK("#2550!S3","その他用のアルミニウム鋳物")</f>
        <v>その他用のアルミニウム鋳物</v>
      </c>
    </row>
    <row r="841" spans="1:4" x14ac:dyDescent="0.4">
      <c r="A841" s="21">
        <f t="shared" ref="A841:A848" si="96">HYPERLINK("#2560!A1 ",2560)</f>
        <v>2560</v>
      </c>
      <c r="B841" s="22" t="str">
        <f t="shared" ref="B841:B848" si="97">HYPERLINK("#2560!A1 ","ダイカスト月報")</f>
        <v>ダイカスト月報</v>
      </c>
      <c r="C841" s="21" t="str">
        <f>HYPERLINK("#2560!C3","0101")</f>
        <v>0101</v>
      </c>
      <c r="D841" s="22" t="str">
        <f>HYPERLINK("#2560!C3","アルミニウムダイカスト(一般機械用)")</f>
        <v>アルミニウムダイカスト(一般機械用)</v>
      </c>
    </row>
    <row r="842" spans="1:4" x14ac:dyDescent="0.4">
      <c r="A842" s="21">
        <f t="shared" si="96"/>
        <v>2560</v>
      </c>
      <c r="B842" s="22" t="str">
        <f t="shared" si="97"/>
        <v>ダイカスト月報</v>
      </c>
      <c r="C842" s="21" t="str">
        <f>HYPERLINK("#2560!E3","0102")</f>
        <v>0102</v>
      </c>
      <c r="D842" s="22" t="str">
        <f>HYPERLINK("#2560!E3","アルミニウムダイカスト(電気機械用)")</f>
        <v>アルミニウムダイカスト(電気機械用)</v>
      </c>
    </row>
    <row r="843" spans="1:4" x14ac:dyDescent="0.4">
      <c r="A843" s="21">
        <f t="shared" si="96"/>
        <v>2560</v>
      </c>
      <c r="B843" s="22" t="str">
        <f t="shared" si="97"/>
        <v>ダイカスト月報</v>
      </c>
      <c r="C843" s="21" t="str">
        <f>HYPERLINK("#2560!G3","0103")</f>
        <v>0103</v>
      </c>
      <c r="D843" s="22" t="str">
        <f>HYPERLINK("#2560!G3","アルミニウムダイカスト(自動車用)")</f>
        <v>アルミニウムダイカスト(自動車用)</v>
      </c>
    </row>
    <row r="844" spans="1:4" x14ac:dyDescent="0.4">
      <c r="A844" s="21">
        <f t="shared" si="96"/>
        <v>2560</v>
      </c>
      <c r="B844" s="22" t="str">
        <f t="shared" si="97"/>
        <v>ダイカスト月報</v>
      </c>
      <c r="C844" s="21" t="str">
        <f>HYPERLINK("#2560!I3","0104")</f>
        <v>0104</v>
      </c>
      <c r="D844" s="22" t="str">
        <f>HYPERLINK("#2560!I3","アルミニウムダイカスト(二輪自動車用)")</f>
        <v>アルミニウムダイカスト(二輪自動車用)</v>
      </c>
    </row>
    <row r="845" spans="1:4" x14ac:dyDescent="0.4">
      <c r="A845" s="21">
        <f t="shared" si="96"/>
        <v>2560</v>
      </c>
      <c r="B845" s="22" t="str">
        <f t="shared" si="97"/>
        <v>ダイカスト月報</v>
      </c>
      <c r="C845" s="21" t="str">
        <f>HYPERLINK("#2560!K3","0105")</f>
        <v>0105</v>
      </c>
      <c r="D845" s="22" t="str">
        <f>HYPERLINK("#2560!K3","その他用のアルミニウムダイカスト")</f>
        <v>その他用のアルミニウムダイカスト</v>
      </c>
    </row>
    <row r="846" spans="1:4" x14ac:dyDescent="0.4">
      <c r="A846" s="21">
        <f t="shared" si="96"/>
        <v>2560</v>
      </c>
      <c r="B846" s="22" t="str">
        <f t="shared" si="97"/>
        <v>ダイカスト月報</v>
      </c>
      <c r="C846" s="21" t="str">
        <f>HYPERLINK("#2560!M3","0107")</f>
        <v>0107</v>
      </c>
      <c r="D846" s="22" t="str">
        <f>HYPERLINK("#2560!M3","亜鉛ダイカスト(自動車用)")</f>
        <v>亜鉛ダイカスト(自動車用)</v>
      </c>
    </row>
    <row r="847" spans="1:4" x14ac:dyDescent="0.4">
      <c r="A847" s="21">
        <f t="shared" si="96"/>
        <v>2560</v>
      </c>
      <c r="B847" s="22" t="str">
        <f t="shared" si="97"/>
        <v>ダイカスト月報</v>
      </c>
      <c r="C847" s="21" t="str">
        <f>HYPERLINK("#2560!O3","0108")</f>
        <v>0108</v>
      </c>
      <c r="D847" s="22" t="str">
        <f>HYPERLINK("#2560!O3","その他用の亜鉛ダイカスト")</f>
        <v>その他用の亜鉛ダイカスト</v>
      </c>
    </row>
    <row r="848" spans="1:4" x14ac:dyDescent="0.4">
      <c r="A848" s="21">
        <f t="shared" si="96"/>
        <v>2560</v>
      </c>
      <c r="B848" s="22" t="str">
        <f t="shared" si="97"/>
        <v>ダイカスト月報</v>
      </c>
      <c r="C848" s="21" t="str">
        <f>HYPERLINK("#2560!Q3","0110")</f>
        <v>0110</v>
      </c>
      <c r="D848" s="22" t="str">
        <f>HYPERLINK("#2560!Q3","その他のダイカスト")</f>
        <v>その他のダイカスト</v>
      </c>
    </row>
    <row r="849" spans="1:4" x14ac:dyDescent="0.4">
      <c r="A849" s="21">
        <f>HYPERLINK("#2570!A1 ",2570)</f>
        <v>2570</v>
      </c>
      <c r="B849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49" s="21" t="str">
        <f>HYPERLINK("#2570!C3","0101")</f>
        <v>0101</v>
      </c>
      <c r="D849" s="22" t="str">
        <f>HYPERLINK("#2570!C3","ウエハ製造用装置(半導体製造装置)")</f>
        <v>ウエハ製造用装置(半導体製造装置)</v>
      </c>
    </row>
    <row r="850" spans="1:4" x14ac:dyDescent="0.4">
      <c r="A850" s="21">
        <f>HYPERLINK("#2570!A1 ",2570)</f>
        <v>2570</v>
      </c>
      <c r="B850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0" s="21" t="str">
        <f>HYPERLINK("#2570!F3","0102")</f>
        <v>0102</v>
      </c>
      <c r="D850" s="22" t="str">
        <f>HYPERLINK("#2570!F3","ウエハプロセス用処理装置")</f>
        <v>ウエハプロセス用処理装置</v>
      </c>
    </row>
    <row r="851" spans="1:4" x14ac:dyDescent="0.4">
      <c r="A851" s="21">
        <f>HYPERLINK("#2570!A1 ",2570)</f>
        <v>2570</v>
      </c>
      <c r="B851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1" s="21" t="str">
        <f>HYPERLINK("#2570!I3","0103")</f>
        <v>0103</v>
      </c>
      <c r="D851" s="22" t="str">
        <f>HYPERLINK("#2570!I3","組立用装置(半導体製造装置)")</f>
        <v>組立用装置(半導体製造装置)</v>
      </c>
    </row>
    <row r="852" spans="1:4" x14ac:dyDescent="0.4">
      <c r="A852" s="21">
        <f>HYPERLINK("#2570!A1 ",2570)</f>
        <v>2570</v>
      </c>
      <c r="B852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2" s="21" t="str">
        <f>HYPERLINK("#2570!L3","0104")</f>
        <v>0104</v>
      </c>
      <c r="D852" s="22" t="str">
        <f>HYPERLINK("#2570!L3","半導体製造装置用関連装置(マスク・レチクル製造用装置を含む)")</f>
        <v>半導体製造装置用関連装置(マスク・レチクル製造用装置を含む)</v>
      </c>
    </row>
    <row r="853" spans="1:4" x14ac:dyDescent="0.4">
      <c r="A853" s="21">
        <f>HYPERLINK("#2570!A1 ",2570)</f>
        <v>2570</v>
      </c>
      <c r="B853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3" s="21" t="str">
        <f>HYPERLINK("#2570!O3","0105")</f>
        <v>0105</v>
      </c>
      <c r="D853" s="22" t="str">
        <f>HYPERLINK("#2570!O3","フラットパネル・ディスプレイ製造装置")</f>
        <v>フラットパネル・ディスプレイ製造装置</v>
      </c>
    </row>
    <row r="854" spans="1:4" x14ac:dyDescent="0.4">
      <c r="A854" s="21">
        <f t="shared" ref="A854:A863" si="98">HYPERLINK("#3010!A1 ",3010)</f>
        <v>3010</v>
      </c>
      <c r="B854" s="22" t="str">
        <f t="shared" ref="B854:B863" si="99">HYPERLINK("#3010!A1 ","化学繊維月報")</f>
        <v>化学繊維月報</v>
      </c>
      <c r="C854" s="21" t="str">
        <f>HYPERLINK("#3010!C3","0101")</f>
        <v>0101</v>
      </c>
      <c r="D854" s="22" t="str">
        <f>HYPERLINK("#3010!C3","再生・半合成繊維")</f>
        <v>再生・半合成繊維</v>
      </c>
    </row>
    <row r="855" spans="1:4" x14ac:dyDescent="0.4">
      <c r="A855" s="21">
        <f t="shared" si="98"/>
        <v>3010</v>
      </c>
      <c r="B855" s="22" t="str">
        <f t="shared" si="99"/>
        <v>化学繊維月報</v>
      </c>
      <c r="C855" s="21" t="str">
        <f>HYPERLINK("#3010!F3","0102")</f>
        <v>0102</v>
      </c>
      <c r="D855" s="22" t="str">
        <f>HYPERLINK("#3010!F3","ナイロン長繊維")</f>
        <v>ナイロン長繊維</v>
      </c>
    </row>
    <row r="856" spans="1:4" x14ac:dyDescent="0.4">
      <c r="A856" s="21">
        <f t="shared" si="98"/>
        <v>3010</v>
      </c>
      <c r="B856" s="22" t="str">
        <f t="shared" si="99"/>
        <v>化学繊維月報</v>
      </c>
      <c r="C856" s="21" t="str">
        <f>HYPERLINK("#3010!I3","0103")</f>
        <v>0103</v>
      </c>
      <c r="D856" s="22" t="str">
        <f>HYPERLINK("#3010!I3","アクリル短繊維")</f>
        <v>アクリル短繊維</v>
      </c>
    </row>
    <row r="857" spans="1:4" x14ac:dyDescent="0.4">
      <c r="A857" s="21">
        <f t="shared" si="98"/>
        <v>3010</v>
      </c>
      <c r="B857" s="22" t="str">
        <f t="shared" si="99"/>
        <v>化学繊維月報</v>
      </c>
      <c r="C857" s="21" t="str">
        <f>HYPERLINK("#3010!L3","0104")</f>
        <v>0104</v>
      </c>
      <c r="D857" s="22" t="str">
        <f>HYPERLINK("#3010!L3","ポリエステル長繊維")</f>
        <v>ポリエステル長繊維</v>
      </c>
    </row>
    <row r="858" spans="1:4" x14ac:dyDescent="0.4">
      <c r="A858" s="21">
        <f t="shared" si="98"/>
        <v>3010</v>
      </c>
      <c r="B858" s="22" t="str">
        <f t="shared" si="99"/>
        <v>化学繊維月報</v>
      </c>
      <c r="C858" s="21" t="str">
        <f>HYPERLINK("#3010!O3","0105")</f>
        <v>0105</v>
      </c>
      <c r="D858" s="22" t="str">
        <f>HYPERLINK("#3010!O3","ポリエステル短繊維")</f>
        <v>ポリエステル短繊維</v>
      </c>
    </row>
    <row r="859" spans="1:4" x14ac:dyDescent="0.4">
      <c r="A859" s="21">
        <f t="shared" si="98"/>
        <v>3010</v>
      </c>
      <c r="B859" s="22" t="str">
        <f t="shared" si="99"/>
        <v>化学繊維月報</v>
      </c>
      <c r="C859" s="21" t="str">
        <f>HYPERLINK("#3010!R3","0106")</f>
        <v>0106</v>
      </c>
      <c r="D859" s="22" t="str">
        <f>HYPERLINK("#3010!R3","ポリエチレン長繊維")</f>
        <v>ポリエチレン長繊維</v>
      </c>
    </row>
    <row r="860" spans="1:4" x14ac:dyDescent="0.4">
      <c r="A860" s="21">
        <f t="shared" si="98"/>
        <v>3010</v>
      </c>
      <c r="B860" s="22" t="str">
        <f t="shared" si="99"/>
        <v>化学繊維月報</v>
      </c>
      <c r="C860" s="21" t="str">
        <f>HYPERLINK("#3010!U3","0107")</f>
        <v>0107</v>
      </c>
      <c r="D860" s="22" t="str">
        <f>HYPERLINK("#3010!U3","ポリプロピレン長繊維")</f>
        <v>ポリプロピレン長繊維</v>
      </c>
    </row>
    <row r="861" spans="1:4" x14ac:dyDescent="0.4">
      <c r="A861" s="21">
        <f t="shared" si="98"/>
        <v>3010</v>
      </c>
      <c r="B861" s="22" t="str">
        <f t="shared" si="99"/>
        <v>化学繊維月報</v>
      </c>
      <c r="C861" s="21" t="str">
        <f>HYPERLINK("#3010!X3","0108")</f>
        <v>0108</v>
      </c>
      <c r="D861" s="22" t="str">
        <f>HYPERLINK("#3010!X3","ポリプロピレン短繊維")</f>
        <v>ポリプロピレン短繊維</v>
      </c>
    </row>
    <row r="862" spans="1:4" x14ac:dyDescent="0.4">
      <c r="A862" s="21">
        <f t="shared" si="98"/>
        <v>3010</v>
      </c>
      <c r="B862" s="22" t="str">
        <f t="shared" si="99"/>
        <v>化学繊維月報</v>
      </c>
      <c r="C862" s="21" t="str">
        <f>HYPERLINK("#3010!AA3","0109")</f>
        <v>0109</v>
      </c>
      <c r="D862" s="22" t="str">
        <f>HYPERLINK("#3010!AA3","その他の合成繊維(長繊維)")</f>
        <v>その他の合成繊維(長繊維)</v>
      </c>
    </row>
    <row r="863" spans="1:4" x14ac:dyDescent="0.4">
      <c r="A863" s="21">
        <f t="shared" si="98"/>
        <v>3010</v>
      </c>
      <c r="B863" s="22" t="str">
        <f t="shared" si="99"/>
        <v>化学繊維月報</v>
      </c>
      <c r="C863" s="21" t="str">
        <f>HYPERLINK("#3010!AD3","0110")</f>
        <v>0110</v>
      </c>
      <c r="D863" s="22" t="str">
        <f>HYPERLINK("#3010!AD3","その他の合成繊維(短繊維)")</f>
        <v>その他の合成繊維(短繊維)</v>
      </c>
    </row>
    <row r="864" spans="1:4" x14ac:dyDescent="0.4">
      <c r="A864" s="21">
        <f t="shared" ref="A864:A871" si="100">HYPERLINK("#3040!A1 ",3040)</f>
        <v>3040</v>
      </c>
      <c r="B864" s="22" t="str">
        <f t="shared" ref="B864:B871" si="101">HYPERLINK("#3040!A1 ","紡績糸月報")</f>
        <v>紡績糸月報</v>
      </c>
      <c r="C864" s="21" t="str">
        <f>HYPERLINK("#3040!C3","0101")</f>
        <v>0101</v>
      </c>
      <c r="D864" s="22" t="str">
        <f>HYPERLINK("#3040!C3","綿糸(コンデンサー糸を含む)")</f>
        <v>綿糸(コンデンサー糸を含む)</v>
      </c>
    </row>
    <row r="865" spans="1:4" x14ac:dyDescent="0.4">
      <c r="A865" s="21">
        <f t="shared" si="100"/>
        <v>3040</v>
      </c>
      <c r="B865" s="22" t="str">
        <f t="shared" si="101"/>
        <v>紡績糸月報</v>
      </c>
      <c r="C865" s="21" t="str">
        <f>HYPERLINK("#3040!F3","0102")</f>
        <v>0102</v>
      </c>
      <c r="D865" s="22" t="str">
        <f>HYPERLINK("#3040!F3","そ毛糸")</f>
        <v>そ毛糸</v>
      </c>
    </row>
    <row r="866" spans="1:4" x14ac:dyDescent="0.4">
      <c r="A866" s="21">
        <f t="shared" si="100"/>
        <v>3040</v>
      </c>
      <c r="B866" s="22" t="str">
        <f t="shared" si="101"/>
        <v>紡績糸月報</v>
      </c>
      <c r="C866" s="21" t="str">
        <f>HYPERLINK("#3040!I3","0103")</f>
        <v>0103</v>
      </c>
      <c r="D866" s="22" t="str">
        <f>HYPERLINK("#3040!I3","紡毛糸")</f>
        <v>紡毛糸</v>
      </c>
    </row>
    <row r="867" spans="1:4" x14ac:dyDescent="0.4">
      <c r="A867" s="21">
        <f t="shared" si="100"/>
        <v>3040</v>
      </c>
      <c r="B867" s="22" t="str">
        <f t="shared" si="101"/>
        <v>紡績糸月報</v>
      </c>
      <c r="C867" s="21" t="str">
        <f>HYPERLINK("#3040!L3","0104")</f>
        <v>0104</v>
      </c>
      <c r="D867" s="22" t="str">
        <f>HYPERLINK("#3040!L3","麻糸")</f>
        <v>麻糸</v>
      </c>
    </row>
    <row r="868" spans="1:4" x14ac:dyDescent="0.4">
      <c r="A868" s="21">
        <f t="shared" si="100"/>
        <v>3040</v>
      </c>
      <c r="B868" s="22" t="str">
        <f t="shared" si="101"/>
        <v>紡績糸月報</v>
      </c>
      <c r="C868" s="21" t="str">
        <f>HYPERLINK("#3040!O3","0105")</f>
        <v>0105</v>
      </c>
      <c r="D868" s="22" t="str">
        <f>HYPERLINK("#3040!O3","再生・半合成繊維糸")</f>
        <v>再生・半合成繊維糸</v>
      </c>
    </row>
    <row r="869" spans="1:4" x14ac:dyDescent="0.4">
      <c r="A869" s="21">
        <f t="shared" si="100"/>
        <v>3040</v>
      </c>
      <c r="B869" s="22" t="str">
        <f t="shared" si="101"/>
        <v>紡績糸月報</v>
      </c>
      <c r="C869" s="21" t="str">
        <f>HYPERLINK("#3040!R3","0106")</f>
        <v>0106</v>
      </c>
      <c r="D869" s="22" t="str">
        <f>HYPERLINK("#3040!R3","アクリル糸")</f>
        <v>アクリル糸</v>
      </c>
    </row>
    <row r="870" spans="1:4" x14ac:dyDescent="0.4">
      <c r="A870" s="21">
        <f t="shared" si="100"/>
        <v>3040</v>
      </c>
      <c r="B870" s="22" t="str">
        <f t="shared" si="101"/>
        <v>紡績糸月報</v>
      </c>
      <c r="C870" s="21" t="str">
        <f>HYPERLINK("#3040!U3","0107")</f>
        <v>0107</v>
      </c>
      <c r="D870" s="22" t="str">
        <f>HYPERLINK("#3040!U3","ポリエステル糸")</f>
        <v>ポリエステル糸</v>
      </c>
    </row>
    <row r="871" spans="1:4" x14ac:dyDescent="0.4">
      <c r="A871" s="21">
        <f t="shared" si="100"/>
        <v>3040</v>
      </c>
      <c r="B871" s="22" t="str">
        <f t="shared" si="101"/>
        <v>紡績糸月報</v>
      </c>
      <c r="C871" s="21" t="str">
        <f>HYPERLINK("#3040!X3","0108")</f>
        <v>0108</v>
      </c>
      <c r="D871" s="22" t="str">
        <f>HYPERLINK("#3040!X3","その他の合成繊維糸")</f>
        <v>その他の合成繊維糸</v>
      </c>
    </row>
    <row r="872" spans="1:4" x14ac:dyDescent="0.4">
      <c r="A872" s="21">
        <f t="shared" ref="A872:A884" si="102">HYPERLINK("#3110!A1 ",3110)</f>
        <v>3110</v>
      </c>
      <c r="B872" s="22" t="str">
        <f t="shared" ref="B872:B884" si="103">HYPERLINK("#3110!A1 ","織物生産月報")</f>
        <v>織物生産月報</v>
      </c>
      <c r="C872" s="21" t="str">
        <f>HYPERLINK("#3110!C3","0101")</f>
        <v>0101</v>
      </c>
      <c r="D872" s="22" t="str">
        <f>HYPERLINK("#3110!C3","綿織物")</f>
        <v>綿織物</v>
      </c>
    </row>
    <row r="873" spans="1:4" x14ac:dyDescent="0.4">
      <c r="A873" s="21">
        <f t="shared" si="102"/>
        <v>3110</v>
      </c>
      <c r="B873" s="22" t="str">
        <f t="shared" si="103"/>
        <v>織物生産月報</v>
      </c>
      <c r="C873" s="21" t="str">
        <f>HYPERLINK("#3110!F3","0102")</f>
        <v>0102</v>
      </c>
      <c r="D873" s="22" t="str">
        <f>HYPERLINK("#3110!F3","そ毛織物")</f>
        <v>そ毛織物</v>
      </c>
    </row>
    <row r="874" spans="1:4" x14ac:dyDescent="0.4">
      <c r="A874" s="21">
        <f t="shared" si="102"/>
        <v>3110</v>
      </c>
      <c r="B874" s="22" t="str">
        <f t="shared" si="103"/>
        <v>織物生産月報</v>
      </c>
      <c r="C874" s="21" t="str">
        <f>HYPERLINK("#3110!I3","0103")</f>
        <v>0103</v>
      </c>
      <c r="D874" s="22" t="str">
        <f>HYPERLINK("#3110!I3","紡毛織物")</f>
        <v>紡毛織物</v>
      </c>
    </row>
    <row r="875" spans="1:4" x14ac:dyDescent="0.4">
      <c r="A875" s="21">
        <f t="shared" si="102"/>
        <v>3110</v>
      </c>
      <c r="B875" s="22" t="str">
        <f t="shared" si="103"/>
        <v>織物生産月報</v>
      </c>
      <c r="C875" s="21" t="str">
        <f>HYPERLINK("#3110!L3","0104")</f>
        <v>0104</v>
      </c>
      <c r="D875" s="22" t="str">
        <f>HYPERLINK("#3110!L3","絹・絹紡織物")</f>
        <v>絹・絹紡織物</v>
      </c>
    </row>
    <row r="876" spans="1:4" x14ac:dyDescent="0.4">
      <c r="A876" s="21">
        <f t="shared" si="102"/>
        <v>3110</v>
      </c>
      <c r="B876" s="22" t="str">
        <f t="shared" si="103"/>
        <v>織物生産月報</v>
      </c>
      <c r="C876" s="21" t="str">
        <f>HYPERLINK("#3110!O3","0105")</f>
        <v>0105</v>
      </c>
      <c r="D876" s="22" t="str">
        <f>HYPERLINK("#3110!O3","ビスコーススフ織物")</f>
        <v>ビスコーススフ織物</v>
      </c>
    </row>
    <row r="877" spans="1:4" x14ac:dyDescent="0.4">
      <c r="A877" s="21">
        <f t="shared" si="102"/>
        <v>3110</v>
      </c>
      <c r="B877" s="22" t="str">
        <f t="shared" si="103"/>
        <v>織物生産月報</v>
      </c>
      <c r="C877" s="21" t="str">
        <f>HYPERLINK("#3110!R3","0106")</f>
        <v>0106</v>
      </c>
      <c r="D877" s="22" t="str">
        <f>HYPERLINK("#3110!R3","人絹・アセテート織物")</f>
        <v>人絹・アセテート織物</v>
      </c>
    </row>
    <row r="878" spans="1:4" x14ac:dyDescent="0.4">
      <c r="A878" s="21">
        <f t="shared" si="102"/>
        <v>3110</v>
      </c>
      <c r="B878" s="22" t="str">
        <f t="shared" si="103"/>
        <v>織物生産月報</v>
      </c>
      <c r="C878" s="21" t="str">
        <f>HYPERLINK("#3110!U3","0107")</f>
        <v>0107</v>
      </c>
      <c r="D878" s="22" t="str">
        <f>HYPERLINK("#3110!U3","ナイロン長繊維織物")</f>
        <v>ナイロン長繊維織物</v>
      </c>
    </row>
    <row r="879" spans="1:4" x14ac:dyDescent="0.4">
      <c r="A879" s="21">
        <f t="shared" si="102"/>
        <v>3110</v>
      </c>
      <c r="B879" s="22" t="str">
        <f t="shared" si="103"/>
        <v>織物生産月報</v>
      </c>
      <c r="C879" s="21" t="str">
        <f>HYPERLINK("#3110!X3","0108")</f>
        <v>0108</v>
      </c>
      <c r="D879" s="22" t="str">
        <f>HYPERLINK("#3110!X3","ポリエステル長繊維織物")</f>
        <v>ポリエステル長繊維織物</v>
      </c>
    </row>
    <row r="880" spans="1:4" x14ac:dyDescent="0.4">
      <c r="A880" s="21">
        <f t="shared" si="102"/>
        <v>3110</v>
      </c>
      <c r="B880" s="22" t="str">
        <f t="shared" si="103"/>
        <v>織物生産月報</v>
      </c>
      <c r="C880" s="21" t="str">
        <f>HYPERLINK("#3110!AA3","0109")</f>
        <v>0109</v>
      </c>
      <c r="D880" s="22" t="str">
        <f>HYPERLINK("#3110!AA3","その他の長繊維織物")</f>
        <v>その他の長繊維織物</v>
      </c>
    </row>
    <row r="881" spans="1:4" x14ac:dyDescent="0.4">
      <c r="A881" s="21">
        <f t="shared" si="102"/>
        <v>3110</v>
      </c>
      <c r="B881" s="22" t="str">
        <f t="shared" si="103"/>
        <v>織物生産月報</v>
      </c>
      <c r="C881" s="21" t="str">
        <f>HYPERLINK("#3110!AD3","0110")</f>
        <v>0110</v>
      </c>
      <c r="D881" s="22" t="str">
        <f>HYPERLINK("#3110!AD3","ポリエステル短繊維織物")</f>
        <v>ポリエステル短繊維織物</v>
      </c>
    </row>
    <row r="882" spans="1:4" x14ac:dyDescent="0.4">
      <c r="A882" s="21">
        <f t="shared" si="102"/>
        <v>3110</v>
      </c>
      <c r="B882" s="22" t="str">
        <f t="shared" si="103"/>
        <v>織物生産月報</v>
      </c>
      <c r="C882" s="21" t="str">
        <f>HYPERLINK("#3110!AG3","0111")</f>
        <v>0111</v>
      </c>
      <c r="D882" s="22" t="str">
        <f>HYPERLINK("#3110!AG3","その他の短繊維織物")</f>
        <v>その他の短繊維織物</v>
      </c>
    </row>
    <row r="883" spans="1:4" x14ac:dyDescent="0.4">
      <c r="A883" s="21">
        <f t="shared" si="102"/>
        <v>3110</v>
      </c>
      <c r="B883" s="22" t="str">
        <f t="shared" si="103"/>
        <v>織物生産月報</v>
      </c>
      <c r="C883" s="21" t="str">
        <f>HYPERLINK("#3110!AJ3","0112")</f>
        <v>0112</v>
      </c>
      <c r="D883" s="22" t="str">
        <f>HYPERLINK("#3110!AJ3","タイヤコード")</f>
        <v>タイヤコード</v>
      </c>
    </row>
    <row r="884" spans="1:4" x14ac:dyDescent="0.4">
      <c r="A884" s="21">
        <f t="shared" si="102"/>
        <v>3110</v>
      </c>
      <c r="B884" s="22" t="str">
        <f t="shared" si="103"/>
        <v>織物生産月報</v>
      </c>
      <c r="C884" s="21" t="str">
        <f>HYPERLINK("#3110!AM3","0113")</f>
        <v>0113</v>
      </c>
      <c r="D884" s="22" t="str">
        <f>HYPERLINK("#3110!AM3","タオル")</f>
        <v>タオル</v>
      </c>
    </row>
    <row r="885" spans="1:4" x14ac:dyDescent="0.4">
      <c r="A885" s="21">
        <f>HYPERLINK("#3150!A1 ",3150)</f>
        <v>3150</v>
      </c>
      <c r="B885" s="22" t="str">
        <f>HYPERLINK("#3150!A1 ","タフテッドカーペット・フェルト・不織布月報")</f>
        <v>タフテッドカーペット・フェルト・不織布月報</v>
      </c>
      <c r="C885" s="21" t="str">
        <f>HYPERLINK("#3150!C3","0101")</f>
        <v>0101</v>
      </c>
      <c r="D885" s="22" t="str">
        <f>HYPERLINK("#3150!C3","タフテッドカーペット(不織布カーペットを除く)")</f>
        <v>タフテッドカーペット(不織布カーペットを除く)</v>
      </c>
    </row>
    <row r="886" spans="1:4" x14ac:dyDescent="0.4">
      <c r="A886" s="21">
        <f>HYPERLINK("#3150!A1 ",3150)</f>
        <v>3150</v>
      </c>
      <c r="B886" s="22" t="str">
        <f>HYPERLINK("#3150!A1 ","タフテッドカーペット・フェルト・不織布月報")</f>
        <v>タフテッドカーペット・フェルト・不織布月報</v>
      </c>
      <c r="C886" s="21" t="str">
        <f>HYPERLINK("#3150!G3","0102")</f>
        <v>0102</v>
      </c>
      <c r="D886" s="22" t="str">
        <f>HYPERLINK("#3150!G3","プレスフェルト(ニードルフェルトを除く)")</f>
        <v>プレスフェルト(ニードルフェルトを除く)</v>
      </c>
    </row>
    <row r="887" spans="1:4" x14ac:dyDescent="0.4">
      <c r="A887" s="21">
        <f>HYPERLINK("#3150!A1 ",3150)</f>
        <v>3150</v>
      </c>
      <c r="B887" s="22" t="str">
        <f>HYPERLINK("#3150!A1 ","タフテッドカーペット・フェルト・不織布月報")</f>
        <v>タフテッドカーペット・フェルト・不織布月報</v>
      </c>
      <c r="C887" s="21" t="str">
        <f>HYPERLINK("#3150!K3","0103")</f>
        <v>0103</v>
      </c>
      <c r="D887" s="22" t="str">
        <f>HYPERLINK("#3150!K3","不織布(乾式)")</f>
        <v>不織布(乾式)</v>
      </c>
    </row>
    <row r="888" spans="1:4" x14ac:dyDescent="0.4">
      <c r="A888" s="21">
        <f>HYPERLINK("#3150!A1 ",3150)</f>
        <v>3150</v>
      </c>
      <c r="B888" s="22" t="str">
        <f>HYPERLINK("#3150!A1 ","タフテッドカーペット・フェルト・不織布月報")</f>
        <v>タフテッドカーペット・フェルト・不織布月報</v>
      </c>
      <c r="C888" s="21" t="str">
        <f>HYPERLINK("#3150!O3","0104")</f>
        <v>0104</v>
      </c>
      <c r="D888" s="22" t="str">
        <f>HYPERLINK("#3150!O3","不織布(湿式)")</f>
        <v>不織布(湿式)</v>
      </c>
    </row>
    <row r="889" spans="1:4" x14ac:dyDescent="0.4">
      <c r="A889" s="21">
        <f t="shared" ref="A889:A902" si="104">HYPERLINK("#3160!A1 ",3160)</f>
        <v>3160</v>
      </c>
      <c r="B889" s="22" t="str">
        <f t="shared" ref="B889:B902" si="105">HYPERLINK("#3160!A1 ","染色整理月報")</f>
        <v>染色整理月報</v>
      </c>
      <c r="C889" s="21" t="str">
        <f>HYPERLINK("#3160!C3","0101")</f>
        <v>0101</v>
      </c>
      <c r="D889" s="22" t="str">
        <f>HYPERLINK("#3160!C3","綿織物染色整理")</f>
        <v>綿織物染色整理</v>
      </c>
    </row>
    <row r="890" spans="1:4" x14ac:dyDescent="0.4">
      <c r="A890" s="21">
        <f t="shared" si="104"/>
        <v>3160</v>
      </c>
      <c r="B890" s="22" t="str">
        <f t="shared" si="105"/>
        <v>染色整理月報</v>
      </c>
      <c r="C890" s="21" t="str">
        <f>HYPERLINK("#3160!E3","0102")</f>
        <v>0102</v>
      </c>
      <c r="D890" s="22" t="str">
        <f>HYPERLINK("#3160!E3","そ毛織物染色整理")</f>
        <v>そ毛織物染色整理</v>
      </c>
    </row>
    <row r="891" spans="1:4" x14ac:dyDescent="0.4">
      <c r="A891" s="21">
        <f t="shared" si="104"/>
        <v>3160</v>
      </c>
      <c r="B891" s="22" t="str">
        <f t="shared" si="105"/>
        <v>染色整理月報</v>
      </c>
      <c r="C891" s="21" t="str">
        <f>HYPERLINK("#3160!G3","0103")</f>
        <v>0103</v>
      </c>
      <c r="D891" s="22" t="str">
        <f>HYPERLINK("#3160!G3","紡毛織物染色整理")</f>
        <v>紡毛織物染色整理</v>
      </c>
    </row>
    <row r="892" spans="1:4" x14ac:dyDescent="0.4">
      <c r="A892" s="21">
        <f t="shared" si="104"/>
        <v>3160</v>
      </c>
      <c r="B892" s="22" t="str">
        <f t="shared" si="105"/>
        <v>染色整理月報</v>
      </c>
      <c r="C892" s="21" t="str">
        <f>HYPERLINK("#3160!I3","0104")</f>
        <v>0104</v>
      </c>
      <c r="D892" s="22" t="str">
        <f>HYPERLINK("#3160!I3","絹・絹紡織物染色整理")</f>
        <v>絹・絹紡織物染色整理</v>
      </c>
    </row>
    <row r="893" spans="1:4" x14ac:dyDescent="0.4">
      <c r="A893" s="21">
        <f t="shared" si="104"/>
        <v>3160</v>
      </c>
      <c r="B893" s="22" t="str">
        <f t="shared" si="105"/>
        <v>染色整理月報</v>
      </c>
      <c r="C893" s="21" t="str">
        <f>HYPERLINK("#3160!K3","0105")</f>
        <v>0105</v>
      </c>
      <c r="D893" s="22" t="str">
        <f>HYPERLINK("#3160!K3","人絹・キュプラ・アセテート織物染色整理")</f>
        <v>人絹・キュプラ・アセテート織物染色整理</v>
      </c>
    </row>
    <row r="894" spans="1:4" x14ac:dyDescent="0.4">
      <c r="A894" s="21">
        <f t="shared" si="104"/>
        <v>3160</v>
      </c>
      <c r="B894" s="22" t="str">
        <f t="shared" si="105"/>
        <v>染色整理月報</v>
      </c>
      <c r="C894" s="21" t="str">
        <f>HYPERLINK("#3160!M3","0106")</f>
        <v>0106</v>
      </c>
      <c r="D894" s="22" t="str">
        <f>HYPERLINK("#3160!M3","スフ織物染色整理")</f>
        <v>スフ織物染色整理</v>
      </c>
    </row>
    <row r="895" spans="1:4" x14ac:dyDescent="0.4">
      <c r="A895" s="21">
        <f t="shared" si="104"/>
        <v>3160</v>
      </c>
      <c r="B895" s="22" t="str">
        <f t="shared" si="105"/>
        <v>染色整理月報</v>
      </c>
      <c r="C895" s="21" t="str">
        <f>HYPERLINK("#3160!O3","0107")</f>
        <v>0107</v>
      </c>
      <c r="D895" s="22" t="str">
        <f>HYPERLINK("#3160!O3","ナイロン長繊維織物染色整理")</f>
        <v>ナイロン長繊維織物染色整理</v>
      </c>
    </row>
    <row r="896" spans="1:4" x14ac:dyDescent="0.4">
      <c r="A896" s="21">
        <f t="shared" si="104"/>
        <v>3160</v>
      </c>
      <c r="B896" s="22" t="str">
        <f t="shared" si="105"/>
        <v>染色整理月報</v>
      </c>
      <c r="C896" s="21" t="str">
        <f>HYPERLINK("#3160!Q3","0108")</f>
        <v>0108</v>
      </c>
      <c r="D896" s="22" t="str">
        <f>HYPERLINK("#3160!Q3","ポリエステル長繊維織物染色整理")</f>
        <v>ポリエステル長繊維織物染色整理</v>
      </c>
    </row>
    <row r="897" spans="1:4" x14ac:dyDescent="0.4">
      <c r="A897" s="21">
        <f t="shared" si="104"/>
        <v>3160</v>
      </c>
      <c r="B897" s="22" t="str">
        <f t="shared" si="105"/>
        <v>染色整理月報</v>
      </c>
      <c r="C897" s="21" t="str">
        <f>HYPERLINK("#3160!S3","0109")</f>
        <v>0109</v>
      </c>
      <c r="D897" s="22" t="str">
        <f>HYPERLINK("#3160!S3","ポリエステル短繊維織物染色整理")</f>
        <v>ポリエステル短繊維織物染色整理</v>
      </c>
    </row>
    <row r="898" spans="1:4" x14ac:dyDescent="0.4">
      <c r="A898" s="21">
        <f t="shared" si="104"/>
        <v>3160</v>
      </c>
      <c r="B898" s="22" t="str">
        <f t="shared" si="105"/>
        <v>染色整理月報</v>
      </c>
      <c r="C898" s="21" t="str">
        <f>HYPERLINK("#3160!U3","0110")</f>
        <v>0110</v>
      </c>
      <c r="D898" s="22" t="str">
        <f>HYPERLINK("#3160!U3","織物加工賃")</f>
        <v>織物加工賃</v>
      </c>
    </row>
    <row r="899" spans="1:4" x14ac:dyDescent="0.4">
      <c r="A899" s="21">
        <f t="shared" si="104"/>
        <v>3160</v>
      </c>
      <c r="B899" s="22" t="str">
        <f t="shared" si="105"/>
        <v>染色整理月報</v>
      </c>
      <c r="C899" s="21" t="str">
        <f>HYPERLINK("#3160!V3","0111")</f>
        <v>0111</v>
      </c>
      <c r="D899" s="22" t="str">
        <f>HYPERLINK("#3160!V3","たて編合成繊維ニット生地染色整理")</f>
        <v>たて編合成繊維ニット生地染色整理</v>
      </c>
    </row>
    <row r="900" spans="1:4" x14ac:dyDescent="0.4">
      <c r="A900" s="21">
        <f t="shared" si="104"/>
        <v>3160</v>
      </c>
      <c r="B900" s="22" t="str">
        <f t="shared" si="105"/>
        <v>染色整理月報</v>
      </c>
      <c r="C900" s="21" t="str">
        <f>HYPERLINK("#3160!X3","0112")</f>
        <v>0112</v>
      </c>
      <c r="D900" s="22" t="str">
        <f>HYPERLINK("#3160!X3","丸編合成繊維ニット生地染色整理")</f>
        <v>丸編合成繊維ニット生地染色整理</v>
      </c>
    </row>
    <row r="901" spans="1:4" x14ac:dyDescent="0.4">
      <c r="A901" s="21">
        <f t="shared" si="104"/>
        <v>3160</v>
      </c>
      <c r="B901" s="22" t="str">
        <f t="shared" si="105"/>
        <v>染色整理月報</v>
      </c>
      <c r="C901" s="21" t="str">
        <f>HYPERLINK("#3160!Z3","0113")</f>
        <v>0113</v>
      </c>
      <c r="D901" s="22" t="str">
        <f>HYPERLINK("#3160!Z3","その他の丸編ニット生地染色整理")</f>
        <v>その他の丸編ニット生地染色整理</v>
      </c>
    </row>
    <row r="902" spans="1:4" x14ac:dyDescent="0.4">
      <c r="A902" s="21">
        <f t="shared" si="104"/>
        <v>3160</v>
      </c>
      <c r="B902" s="22" t="str">
        <f t="shared" si="105"/>
        <v>染色整理月報</v>
      </c>
      <c r="C902" s="21" t="str">
        <f>HYPERLINK("#3160!AB3","0114")</f>
        <v>0114</v>
      </c>
      <c r="D902" s="22" t="str">
        <f>HYPERLINK("#3160!AB3","ニット生地加工賃")</f>
        <v>ニット生地加工賃</v>
      </c>
    </row>
    <row r="903" spans="1:4" x14ac:dyDescent="0.4">
      <c r="A903" s="21">
        <f t="shared" ref="A903:A915" si="106">HYPERLINK("#3180!A1 ",3180)</f>
        <v>3180</v>
      </c>
      <c r="B903" s="22" t="str">
        <f t="shared" ref="B903:B915" si="107">HYPERLINK("#3180!A1 ","ニット・衣服縫製品月報")</f>
        <v>ニット・衣服縫製品月報</v>
      </c>
      <c r="C903" s="21" t="str">
        <f>HYPERLINK("#3180!C3","0101")</f>
        <v>0101</v>
      </c>
      <c r="D903" s="22" t="str">
        <f>HYPERLINK("#3180!C3","ニット生地(綿)")</f>
        <v>ニット生地(綿)</v>
      </c>
    </row>
    <row r="904" spans="1:4" x14ac:dyDescent="0.4">
      <c r="A904" s="21">
        <f t="shared" si="106"/>
        <v>3180</v>
      </c>
      <c r="B904" s="22" t="str">
        <f t="shared" si="107"/>
        <v>ニット・衣服縫製品月報</v>
      </c>
      <c r="C904" s="21" t="str">
        <f>HYPERLINK("#3180!G3","0102")</f>
        <v>0102</v>
      </c>
      <c r="D904" s="22" t="str">
        <f>HYPERLINK("#3180!G3","ニット生地(毛)")</f>
        <v>ニット生地(毛)</v>
      </c>
    </row>
    <row r="905" spans="1:4" x14ac:dyDescent="0.4">
      <c r="A905" s="21">
        <f t="shared" si="106"/>
        <v>3180</v>
      </c>
      <c r="B905" s="22" t="str">
        <f t="shared" si="107"/>
        <v>ニット・衣服縫製品月報</v>
      </c>
      <c r="C905" s="21" t="str">
        <f>HYPERLINK("#3180!K3","0103")</f>
        <v>0103</v>
      </c>
      <c r="D905" s="22" t="str">
        <f>HYPERLINK("#3180!K3","ニット生地(ナイロン)")</f>
        <v>ニット生地(ナイロン)</v>
      </c>
    </row>
    <row r="906" spans="1:4" x14ac:dyDescent="0.4">
      <c r="A906" s="21">
        <f t="shared" si="106"/>
        <v>3180</v>
      </c>
      <c r="B906" s="22" t="str">
        <f t="shared" si="107"/>
        <v>ニット・衣服縫製品月報</v>
      </c>
      <c r="C906" s="21" t="str">
        <f>HYPERLINK("#3180!O3","0104")</f>
        <v>0104</v>
      </c>
      <c r="D906" s="22" t="str">
        <f>HYPERLINK("#3180!O3","ニット生地(アクリル)")</f>
        <v>ニット生地(アクリル)</v>
      </c>
    </row>
    <row r="907" spans="1:4" x14ac:dyDescent="0.4">
      <c r="A907" s="21">
        <f t="shared" si="106"/>
        <v>3180</v>
      </c>
      <c r="B907" s="22" t="str">
        <f t="shared" si="107"/>
        <v>ニット・衣服縫製品月報</v>
      </c>
      <c r="C907" s="21" t="str">
        <f>HYPERLINK("#3180!S3","0105")</f>
        <v>0105</v>
      </c>
      <c r="D907" s="22" t="str">
        <f>HYPERLINK("#3180!S3","ニット生地(ポリエステル)")</f>
        <v>ニット生地(ポリエステル)</v>
      </c>
    </row>
    <row r="908" spans="1:4" x14ac:dyDescent="0.4">
      <c r="A908" s="21">
        <f t="shared" si="106"/>
        <v>3180</v>
      </c>
      <c r="B908" s="22" t="str">
        <f t="shared" si="107"/>
        <v>ニット・衣服縫製品月報</v>
      </c>
      <c r="C908" s="21" t="str">
        <f>HYPERLINK("#3180!W3","0106")</f>
        <v>0106</v>
      </c>
      <c r="D908" s="22" t="str">
        <f>HYPERLINK("#3180!W3","その他の合成繊維製ニット生地")</f>
        <v>その他の合成繊維製ニット生地</v>
      </c>
    </row>
    <row r="909" spans="1:4" x14ac:dyDescent="0.4">
      <c r="A909" s="21">
        <f t="shared" si="106"/>
        <v>3180</v>
      </c>
      <c r="B909" s="22" t="str">
        <f t="shared" si="107"/>
        <v>ニット・衣服縫製品月報</v>
      </c>
      <c r="C909" s="21" t="str">
        <f>HYPERLINK("#3180!AA3","0107")</f>
        <v>0107</v>
      </c>
      <c r="D909" s="22" t="str">
        <f>HYPERLINK("#3180!AA3","その他の繊維製ニット生地")</f>
        <v>その他の繊維製ニット生地</v>
      </c>
    </row>
    <row r="910" spans="1:4" x14ac:dyDescent="0.4">
      <c r="A910" s="21">
        <f t="shared" si="106"/>
        <v>3180</v>
      </c>
      <c r="B910" s="22" t="str">
        <f t="shared" si="107"/>
        <v>ニット・衣服縫製品月報</v>
      </c>
      <c r="C910" s="21" t="str">
        <f>HYPERLINK("#3180!AE3","0121")</f>
        <v>0121</v>
      </c>
      <c r="D910" s="22" t="str">
        <f>HYPERLINK("#3180!AE3","ニット製外衣")</f>
        <v>ニット製外衣</v>
      </c>
    </row>
    <row r="911" spans="1:4" x14ac:dyDescent="0.4">
      <c r="A911" s="21">
        <f t="shared" si="106"/>
        <v>3180</v>
      </c>
      <c r="B911" s="22" t="str">
        <f t="shared" si="107"/>
        <v>ニット・衣服縫製品月報</v>
      </c>
      <c r="C911" s="21" t="str">
        <f>HYPERLINK("#3180!AI3","0126")</f>
        <v>0126</v>
      </c>
      <c r="D911" s="22" t="str">
        <f>HYPERLINK("#3180!AI3","ニット製下着・補整着・寝着類")</f>
        <v>ニット製下着・補整着・寝着類</v>
      </c>
    </row>
    <row r="912" spans="1:4" x14ac:dyDescent="0.4">
      <c r="A912" s="21">
        <f t="shared" si="106"/>
        <v>3180</v>
      </c>
      <c r="B912" s="22" t="str">
        <f t="shared" si="107"/>
        <v>ニット・衣服縫製品月報</v>
      </c>
      <c r="C912" s="21" t="str">
        <f>HYPERLINK("#3180!AM3","0130")</f>
        <v>0130</v>
      </c>
      <c r="D912" s="22" t="str">
        <f>HYPERLINK("#3180!AM3","ニット製靴下")</f>
        <v>ニット製靴下</v>
      </c>
    </row>
    <row r="913" spans="1:4" x14ac:dyDescent="0.4">
      <c r="A913" s="21">
        <f t="shared" si="106"/>
        <v>3180</v>
      </c>
      <c r="B913" s="22" t="str">
        <f t="shared" si="107"/>
        <v>ニット・衣服縫製品月報</v>
      </c>
      <c r="C913" s="21" t="str">
        <f>HYPERLINK("#3180!AQ3","0133")</f>
        <v>0133</v>
      </c>
      <c r="D913" s="22" t="str">
        <f>HYPERLINK("#3180!AQ3","ニット製手袋")</f>
        <v>ニット製手袋</v>
      </c>
    </row>
    <row r="914" spans="1:4" x14ac:dyDescent="0.4">
      <c r="A914" s="21">
        <f t="shared" si="106"/>
        <v>3180</v>
      </c>
      <c r="B914" s="22" t="str">
        <f t="shared" si="107"/>
        <v>ニット・衣服縫製品月報</v>
      </c>
      <c r="C914" s="21" t="str">
        <f>HYPERLINK("#3180!AU3","0134")</f>
        <v>0134</v>
      </c>
      <c r="D914" s="22" t="str">
        <f>HYPERLINK("#3180!AU3","織物製外衣")</f>
        <v>織物製外衣</v>
      </c>
    </row>
    <row r="915" spans="1:4" x14ac:dyDescent="0.4">
      <c r="A915" s="21">
        <f t="shared" si="106"/>
        <v>3180</v>
      </c>
      <c r="B915" s="22" t="str">
        <f t="shared" si="107"/>
        <v>ニット・衣服縫製品月報</v>
      </c>
      <c r="C915" s="21" t="str">
        <f>HYPERLINK("#3180!AY3","0141")</f>
        <v>0141</v>
      </c>
      <c r="D915" s="22" t="str">
        <f>HYPERLINK("#3180!AY3","織物製下着・補整着・寝着類")</f>
        <v>織物製下着・補整着・寝着類</v>
      </c>
    </row>
    <row r="916" spans="1:4" x14ac:dyDescent="0.4">
      <c r="A916" s="21">
        <f t="shared" ref="A916:A928" si="108">HYPERLINK("#3200!A1 ",3200)</f>
        <v>3200</v>
      </c>
      <c r="B916" s="22" t="str">
        <f t="shared" ref="B916:B928" si="109">HYPERLINK("#3200!A1 ","二次製品月報（製綿・ふとん、網・綱、細幅織物・組ひも・レース）")</f>
        <v>二次製品月報（製綿・ふとん、網・綱、細幅織物・組ひも・レース）</v>
      </c>
      <c r="C916" s="21" t="str">
        <f>HYPERLINK("#3200!C3","0101")</f>
        <v>0101</v>
      </c>
      <c r="D916" s="22" t="str">
        <f>HYPERLINK("#3200!C3","製綿(合成繊維)")</f>
        <v>製綿(合成繊維)</v>
      </c>
    </row>
    <row r="917" spans="1:4" x14ac:dyDescent="0.4">
      <c r="A917" s="21">
        <f t="shared" si="108"/>
        <v>3200</v>
      </c>
      <c r="B917" s="22" t="str">
        <f t="shared" si="109"/>
        <v>二次製品月報（製綿・ふとん、網・綱、細幅織物・組ひも・レース）</v>
      </c>
      <c r="C917" s="21" t="str">
        <f>HYPERLINK("#3200!G3","0102")</f>
        <v>0102</v>
      </c>
      <c r="D917" s="22" t="str">
        <f>HYPERLINK("#3200!G3","その他の製綿(羊毛を含む)")</f>
        <v>その他の製綿(羊毛を含む)</v>
      </c>
    </row>
    <row r="918" spans="1:4" x14ac:dyDescent="0.4">
      <c r="A918" s="21">
        <f t="shared" si="108"/>
        <v>3200</v>
      </c>
      <c r="B918" s="22" t="str">
        <f t="shared" si="109"/>
        <v>二次製品月報（製綿・ふとん、網・綱、細幅織物・組ひも・レース）</v>
      </c>
      <c r="C918" s="21" t="str">
        <f>HYPERLINK("#3200!K3","0103")</f>
        <v>0103</v>
      </c>
      <c r="D918" s="22" t="str">
        <f>HYPERLINK("#3200!K3","掛ふとん(羽毛・羽根ふとんを除く)")</f>
        <v>掛ふとん(羽毛・羽根ふとんを除く)</v>
      </c>
    </row>
    <row r="919" spans="1:4" x14ac:dyDescent="0.4">
      <c r="A919" s="21">
        <f t="shared" si="108"/>
        <v>3200</v>
      </c>
      <c r="B919" s="22" t="str">
        <f t="shared" si="109"/>
        <v>二次製品月報（製綿・ふとん、網・綱、細幅織物・組ひも・レース）</v>
      </c>
      <c r="C919" s="21" t="str">
        <f>HYPERLINK("#3200!O3","0104")</f>
        <v>0104</v>
      </c>
      <c r="D919" s="22" t="str">
        <f>HYPERLINK("#3200!O3","敷ふとん")</f>
        <v>敷ふとん</v>
      </c>
    </row>
    <row r="920" spans="1:4" x14ac:dyDescent="0.4">
      <c r="A920" s="21">
        <f t="shared" si="108"/>
        <v>3200</v>
      </c>
      <c r="B920" s="22" t="str">
        <f t="shared" si="109"/>
        <v>二次製品月報（製綿・ふとん、網・綱、細幅織物・組ひも・レース）</v>
      </c>
      <c r="C920" s="21" t="str">
        <f>HYPERLINK("#3200!S3","0105")</f>
        <v>0105</v>
      </c>
      <c r="D920" s="22" t="str">
        <f>HYPERLINK("#3200!S3","こたつふとん")</f>
        <v>こたつふとん</v>
      </c>
    </row>
    <row r="921" spans="1:4" x14ac:dyDescent="0.4">
      <c r="A921" s="21">
        <f t="shared" si="108"/>
        <v>3200</v>
      </c>
      <c r="B921" s="22" t="str">
        <f t="shared" si="109"/>
        <v>二次製品月報（製綿・ふとん、網・綱、細幅織物・組ひも・レース）</v>
      </c>
      <c r="C921" s="21" t="str">
        <f>HYPERLINK("#3200!W3","0106")</f>
        <v>0106</v>
      </c>
      <c r="D921" s="22" t="str">
        <f>HYPERLINK("#3200!W3","羽毛・羽根ふとん")</f>
        <v>羽毛・羽根ふとん</v>
      </c>
    </row>
    <row r="922" spans="1:4" x14ac:dyDescent="0.4">
      <c r="A922" s="21">
        <f t="shared" si="108"/>
        <v>3200</v>
      </c>
      <c r="B922" s="22" t="str">
        <f t="shared" si="109"/>
        <v>二次製品月報（製綿・ふとん、網・綱、細幅織物・組ひも・レース）</v>
      </c>
      <c r="C922" s="21" t="str">
        <f>HYPERLINK("#3200!AA3","0107")</f>
        <v>0107</v>
      </c>
      <c r="D922" s="22" t="str">
        <f>HYPERLINK("#3200!AA3","漁網")</f>
        <v>漁網</v>
      </c>
    </row>
    <row r="923" spans="1:4" x14ac:dyDescent="0.4">
      <c r="A923" s="21">
        <f t="shared" si="108"/>
        <v>3200</v>
      </c>
      <c r="B923" s="22" t="str">
        <f t="shared" si="109"/>
        <v>二次製品月報（製綿・ふとん、網・綱、細幅織物・組ひも・レース）</v>
      </c>
      <c r="C923" s="21" t="str">
        <f>HYPERLINK("#3200!AE3","0108")</f>
        <v>0108</v>
      </c>
      <c r="D923" s="22" t="str">
        <f>HYPERLINK("#3200!AE3","陸上網")</f>
        <v>陸上網</v>
      </c>
    </row>
    <row r="924" spans="1:4" x14ac:dyDescent="0.4">
      <c r="A924" s="21">
        <f t="shared" si="108"/>
        <v>3200</v>
      </c>
      <c r="B924" s="22" t="str">
        <f t="shared" si="109"/>
        <v>二次製品月報（製綿・ふとん、網・綱、細幅織物・組ひも・レース）</v>
      </c>
      <c r="C924" s="21" t="str">
        <f>HYPERLINK("#3200!AI3","0109")</f>
        <v>0109</v>
      </c>
      <c r="D924" s="22" t="str">
        <f>HYPERLINK("#3200!AI3","合成繊維綱")</f>
        <v>合成繊維綱</v>
      </c>
    </row>
    <row r="925" spans="1:4" x14ac:dyDescent="0.4">
      <c r="A925" s="21">
        <f t="shared" si="108"/>
        <v>3200</v>
      </c>
      <c r="B925" s="22" t="str">
        <f t="shared" si="109"/>
        <v>二次製品月報（製綿・ふとん、網・綱、細幅織物・組ひも・レース）</v>
      </c>
      <c r="C925" s="21" t="str">
        <f>HYPERLINK("#3200!AM3","0110")</f>
        <v>0110</v>
      </c>
      <c r="D925" s="22" t="str">
        <f>HYPERLINK("#3200!AM3","細幅織物")</f>
        <v>細幅織物</v>
      </c>
    </row>
    <row r="926" spans="1:4" x14ac:dyDescent="0.4">
      <c r="A926" s="21">
        <f t="shared" si="108"/>
        <v>3200</v>
      </c>
      <c r="B926" s="22" t="str">
        <f t="shared" si="109"/>
        <v>二次製品月報（製綿・ふとん、網・綱、細幅織物・組ひも・レース）</v>
      </c>
      <c r="C926" s="21" t="str">
        <f>HYPERLINK("#3200!AQ3","0111")</f>
        <v>0111</v>
      </c>
      <c r="D926" s="22" t="str">
        <f>HYPERLINK("#3200!AQ3","組ひも")</f>
        <v>組ひも</v>
      </c>
    </row>
    <row r="927" spans="1:4" x14ac:dyDescent="0.4">
      <c r="A927" s="21">
        <f t="shared" si="108"/>
        <v>3200</v>
      </c>
      <c r="B927" s="22" t="str">
        <f t="shared" si="109"/>
        <v>二次製品月報（製綿・ふとん、網・綱、細幅織物・組ひも・レース）</v>
      </c>
      <c r="C927" s="21" t="str">
        <f>HYPERLINK("#3200!AU3","0112")</f>
        <v>0112</v>
      </c>
      <c r="D927" s="22" t="str">
        <f>HYPERLINK("#3200!AU3","レース生地(編・ボビン)")</f>
        <v>レース生地(編・ボビン)</v>
      </c>
    </row>
    <row r="928" spans="1:4" x14ac:dyDescent="0.4">
      <c r="A928" s="21">
        <f t="shared" si="108"/>
        <v>3200</v>
      </c>
      <c r="B928" s="22" t="str">
        <f t="shared" si="109"/>
        <v>二次製品月報（製綿・ふとん、網・綱、細幅織物・組ひも・レース）</v>
      </c>
      <c r="C928" s="21" t="str">
        <f>HYPERLINK("#3200!AY3","0113")</f>
        <v>0113</v>
      </c>
      <c r="D928" s="22" t="str">
        <f>HYPERLINK("#3200!AY3","レース生地(刺しゅう)")</f>
        <v>レース生地(刺しゅう)</v>
      </c>
    </row>
    <row r="929" spans="1:4" x14ac:dyDescent="0.4">
      <c r="A929" s="21">
        <f t="shared" ref="A929:A935" si="110">HYPERLINK("#4230!A1 ",4230)</f>
        <v>4230</v>
      </c>
      <c r="B929" s="22" t="str">
        <f t="shared" ref="B929:B935" si="111">HYPERLINK("#4230!A1 ","パルプ月報")</f>
        <v>パルプ月報</v>
      </c>
      <c r="C929" s="21" t="str">
        <f>HYPERLINK("#4230!C3","0101")</f>
        <v>0101</v>
      </c>
      <c r="D929" s="22" t="str">
        <f>HYPERLINK("#4230!C3","クラフトパルプ(さらし)(針葉樹)")</f>
        <v>クラフトパルプ(さらし)(針葉樹)</v>
      </c>
    </row>
    <row r="930" spans="1:4" x14ac:dyDescent="0.4">
      <c r="A930" s="21">
        <f t="shared" si="110"/>
        <v>4230</v>
      </c>
      <c r="B930" s="22" t="str">
        <f t="shared" si="111"/>
        <v>パルプ月報</v>
      </c>
      <c r="C930" s="21" t="str">
        <f>HYPERLINK("#4230!G3","0102")</f>
        <v>0102</v>
      </c>
      <c r="D930" s="22" t="str">
        <f>HYPERLINK("#4230!G3","クラフトパルプ(さらし)(広葉樹)")</f>
        <v>クラフトパルプ(さらし)(広葉樹)</v>
      </c>
    </row>
    <row r="931" spans="1:4" x14ac:dyDescent="0.4">
      <c r="A931" s="21">
        <f t="shared" si="110"/>
        <v>4230</v>
      </c>
      <c r="B931" s="22" t="str">
        <f t="shared" si="111"/>
        <v>パルプ月報</v>
      </c>
      <c r="C931" s="21" t="str">
        <f>HYPERLINK("#4230!K3","0103")</f>
        <v>0103</v>
      </c>
      <c r="D931" s="22" t="str">
        <f>HYPERLINK("#4230!K3","クラフトパルプ(未ざらし)")</f>
        <v>クラフトパルプ(未ざらし)</v>
      </c>
    </row>
    <row r="932" spans="1:4" x14ac:dyDescent="0.4">
      <c r="A932" s="21">
        <f t="shared" si="110"/>
        <v>4230</v>
      </c>
      <c r="B932" s="22" t="str">
        <f t="shared" si="111"/>
        <v>パルプ月報</v>
      </c>
      <c r="C932" s="21" t="str">
        <f>HYPERLINK("#4230!O3","0104")</f>
        <v>0104</v>
      </c>
      <c r="D932" s="22" t="str">
        <f>HYPERLINK("#4230!O3","サーモメカニカルパルプ")</f>
        <v>サーモメカニカルパルプ</v>
      </c>
    </row>
    <row r="933" spans="1:4" x14ac:dyDescent="0.4">
      <c r="A933" s="21">
        <f t="shared" si="110"/>
        <v>4230</v>
      </c>
      <c r="B933" s="22" t="str">
        <f t="shared" si="111"/>
        <v>パルプ月報</v>
      </c>
      <c r="C933" s="21" t="str">
        <f>HYPERLINK("#4230!S3","0105")</f>
        <v>0105</v>
      </c>
      <c r="D933" s="22" t="str">
        <f>HYPERLINK("#4230!S3","リファイナーグラウンドパルプ")</f>
        <v>リファイナーグラウンドパルプ</v>
      </c>
    </row>
    <row r="934" spans="1:4" x14ac:dyDescent="0.4">
      <c r="A934" s="21">
        <f t="shared" si="110"/>
        <v>4230</v>
      </c>
      <c r="B934" s="22" t="str">
        <f t="shared" si="111"/>
        <v>パルプ月報</v>
      </c>
      <c r="C934" s="21" t="str">
        <f>HYPERLINK("#4230!W3","0106")</f>
        <v>0106</v>
      </c>
      <c r="D934" s="22" t="str">
        <f>HYPERLINK("#4230!W3","砕木パルプ")</f>
        <v>砕木パルプ</v>
      </c>
    </row>
    <row r="935" spans="1:4" x14ac:dyDescent="0.4">
      <c r="A935" s="21">
        <f t="shared" si="110"/>
        <v>4230</v>
      </c>
      <c r="B935" s="22" t="str">
        <f t="shared" si="111"/>
        <v>パルプ月報</v>
      </c>
      <c r="C935" s="21" t="str">
        <f>HYPERLINK("#4230!AA3","0107")</f>
        <v>0107</v>
      </c>
      <c r="D935" s="22" t="str">
        <f>HYPERLINK("#4230!AA3","その他製紙パルプ")</f>
        <v>その他製紙パルプ</v>
      </c>
    </row>
    <row r="936" spans="1:4" x14ac:dyDescent="0.4">
      <c r="A936" s="21">
        <f t="shared" ref="A936:A966" si="112">HYPERLINK("#4240!A1 ",4240)</f>
        <v>4240</v>
      </c>
      <c r="B936" s="22" t="str">
        <f t="shared" ref="B936:B966" si="113">HYPERLINK("#4240!A1 ","紙月報")</f>
        <v>紙月報</v>
      </c>
      <c r="C936" s="21" t="str">
        <f>HYPERLINK("#4240!C3","0101")</f>
        <v>0101</v>
      </c>
      <c r="D936" s="22" t="str">
        <f>HYPERLINK("#4240!C3","新聞巻取紙")</f>
        <v>新聞巻取紙</v>
      </c>
    </row>
    <row r="937" spans="1:4" x14ac:dyDescent="0.4">
      <c r="A937" s="21">
        <f t="shared" si="112"/>
        <v>4240</v>
      </c>
      <c r="B937" s="22" t="str">
        <f t="shared" si="113"/>
        <v>紙月報</v>
      </c>
      <c r="C937" s="21" t="str">
        <f>HYPERLINK("#4240!G3","0102")</f>
        <v>0102</v>
      </c>
      <c r="D937" s="22" t="str">
        <f>HYPERLINK("#4240!G3","非塗工印刷用紙(上級印刷紙)")</f>
        <v>非塗工印刷用紙(上級印刷紙)</v>
      </c>
    </row>
    <row r="938" spans="1:4" x14ac:dyDescent="0.4">
      <c r="A938" s="21">
        <f t="shared" si="112"/>
        <v>4240</v>
      </c>
      <c r="B938" s="22" t="str">
        <f t="shared" si="113"/>
        <v>紙月報</v>
      </c>
      <c r="C938" s="21" t="str">
        <f>HYPERLINK("#4240!K3","0103")</f>
        <v>0103</v>
      </c>
      <c r="D938" s="22" t="str">
        <f>HYPERLINK("#4240!K3","非塗工印刷用紙(中級印刷紙)")</f>
        <v>非塗工印刷用紙(中級印刷紙)</v>
      </c>
    </row>
    <row r="939" spans="1:4" x14ac:dyDescent="0.4">
      <c r="A939" s="21">
        <f t="shared" si="112"/>
        <v>4240</v>
      </c>
      <c r="B939" s="22" t="str">
        <f t="shared" si="113"/>
        <v>紙月報</v>
      </c>
      <c r="C939" s="21" t="str">
        <f>HYPERLINK("#4240!O3","0104")</f>
        <v>0104</v>
      </c>
      <c r="D939" s="22" t="str">
        <f>HYPERLINK("#4240!O3","非塗工印刷用紙(下級印刷紙)")</f>
        <v>非塗工印刷用紙(下級印刷紙)</v>
      </c>
    </row>
    <row r="940" spans="1:4" x14ac:dyDescent="0.4">
      <c r="A940" s="21">
        <f t="shared" si="112"/>
        <v>4240</v>
      </c>
      <c r="B940" s="22" t="str">
        <f t="shared" si="113"/>
        <v>紙月報</v>
      </c>
      <c r="C940" s="21" t="str">
        <f>HYPERLINK("#4240!S3","0105")</f>
        <v>0105</v>
      </c>
      <c r="D940" s="22" t="str">
        <f>HYPERLINK("#4240!S3","非塗工印刷用紙(薄葉印刷紙)")</f>
        <v>非塗工印刷用紙(薄葉印刷紙)</v>
      </c>
    </row>
    <row r="941" spans="1:4" x14ac:dyDescent="0.4">
      <c r="A941" s="21">
        <f t="shared" si="112"/>
        <v>4240</v>
      </c>
      <c r="B941" s="22" t="str">
        <f t="shared" si="113"/>
        <v>紙月報</v>
      </c>
      <c r="C941" s="21" t="str">
        <f>HYPERLINK("#4240!W3","0106")</f>
        <v>0106</v>
      </c>
      <c r="D941" s="22" t="str">
        <f>HYPERLINK("#4240!W3","微塗工印刷用紙")</f>
        <v>微塗工印刷用紙</v>
      </c>
    </row>
    <row r="942" spans="1:4" x14ac:dyDescent="0.4">
      <c r="A942" s="21">
        <f t="shared" si="112"/>
        <v>4240</v>
      </c>
      <c r="B942" s="22" t="str">
        <f t="shared" si="113"/>
        <v>紙月報</v>
      </c>
      <c r="C942" s="21" t="str">
        <f>HYPERLINK("#4240!AA3","0107")</f>
        <v>0107</v>
      </c>
      <c r="D942" s="22" t="str">
        <f>HYPERLINK("#4240!AA3","アート紙")</f>
        <v>アート紙</v>
      </c>
    </row>
    <row r="943" spans="1:4" x14ac:dyDescent="0.4">
      <c r="A943" s="21">
        <f t="shared" si="112"/>
        <v>4240</v>
      </c>
      <c r="B943" s="22" t="str">
        <f t="shared" si="113"/>
        <v>紙月報</v>
      </c>
      <c r="C943" s="21" t="str">
        <f>HYPERLINK("#4240!AE3","0108")</f>
        <v>0108</v>
      </c>
      <c r="D943" s="22" t="str">
        <f>HYPERLINK("#4240!AE3","コート紙")</f>
        <v>コート紙</v>
      </c>
    </row>
    <row r="944" spans="1:4" x14ac:dyDescent="0.4">
      <c r="A944" s="21">
        <f t="shared" si="112"/>
        <v>4240</v>
      </c>
      <c r="B944" s="22" t="str">
        <f t="shared" si="113"/>
        <v>紙月報</v>
      </c>
      <c r="C944" s="21" t="str">
        <f>HYPERLINK("#4240!AI3","0109")</f>
        <v>0109</v>
      </c>
      <c r="D944" s="22" t="str">
        <f>HYPERLINK("#4240!AI3","軽量コート紙")</f>
        <v>軽量コート紙</v>
      </c>
    </row>
    <row r="945" spans="1:4" x14ac:dyDescent="0.4">
      <c r="A945" s="21">
        <f t="shared" si="112"/>
        <v>4240</v>
      </c>
      <c r="B945" s="22" t="str">
        <f t="shared" si="113"/>
        <v>紙月報</v>
      </c>
      <c r="C945" s="21" t="str">
        <f>HYPERLINK("#4240!AM3","0110")</f>
        <v>0110</v>
      </c>
      <c r="D945" s="22" t="str">
        <f>HYPERLINK("#4240!AM3","その他塗工印刷紙")</f>
        <v>その他塗工印刷紙</v>
      </c>
    </row>
    <row r="946" spans="1:4" x14ac:dyDescent="0.4">
      <c r="A946" s="21">
        <f t="shared" si="112"/>
        <v>4240</v>
      </c>
      <c r="B946" s="22" t="str">
        <f t="shared" si="113"/>
        <v>紙月報</v>
      </c>
      <c r="C946" s="21" t="str">
        <f>HYPERLINK("#4240!AQ3","0111")</f>
        <v>0111</v>
      </c>
      <c r="D946" s="22" t="str">
        <f>HYPERLINK("#4240!AQ3","色上質紙")</f>
        <v>色上質紙</v>
      </c>
    </row>
    <row r="947" spans="1:4" x14ac:dyDescent="0.4">
      <c r="A947" s="21">
        <f t="shared" si="112"/>
        <v>4240</v>
      </c>
      <c r="B947" s="22" t="str">
        <f t="shared" si="113"/>
        <v>紙月報</v>
      </c>
      <c r="C947" s="21" t="str">
        <f>HYPERLINK("#4240!AU3","0112")</f>
        <v>0112</v>
      </c>
      <c r="D947" s="22" t="str">
        <f>HYPERLINK("#4240!AU3","その他特殊印刷用紙")</f>
        <v>その他特殊印刷用紙</v>
      </c>
    </row>
    <row r="948" spans="1:4" x14ac:dyDescent="0.4">
      <c r="A948" s="21">
        <f t="shared" si="112"/>
        <v>4240</v>
      </c>
      <c r="B948" s="22" t="str">
        <f t="shared" si="113"/>
        <v>紙月報</v>
      </c>
      <c r="C948" s="21" t="str">
        <f>HYPERLINK("#4240!AY3","0113")</f>
        <v>0113</v>
      </c>
      <c r="D948" s="22" t="str">
        <f>HYPERLINK("#4240!AY3","複写原紙")</f>
        <v>複写原紙</v>
      </c>
    </row>
    <row r="949" spans="1:4" x14ac:dyDescent="0.4">
      <c r="A949" s="21">
        <f t="shared" si="112"/>
        <v>4240</v>
      </c>
      <c r="B949" s="22" t="str">
        <f t="shared" si="113"/>
        <v>紙月報</v>
      </c>
      <c r="C949" s="21" t="str">
        <f>HYPERLINK("#4240!BC3","0114")</f>
        <v>0114</v>
      </c>
      <c r="D949" s="22" t="str">
        <f>HYPERLINK("#4240!BC3","フォーム用紙")</f>
        <v>フォーム用紙</v>
      </c>
    </row>
    <row r="950" spans="1:4" x14ac:dyDescent="0.4">
      <c r="A950" s="21">
        <f t="shared" si="112"/>
        <v>4240</v>
      </c>
      <c r="B950" s="22" t="str">
        <f t="shared" si="113"/>
        <v>紙月報</v>
      </c>
      <c r="C950" s="21" t="str">
        <f>HYPERLINK("#4240!BG3","0115")</f>
        <v>0115</v>
      </c>
      <c r="D950" s="22" t="str">
        <f>HYPERLINK("#4240!BG3","ＰＰＣ用紙")</f>
        <v>ＰＰＣ用紙</v>
      </c>
    </row>
    <row r="951" spans="1:4" x14ac:dyDescent="0.4">
      <c r="A951" s="21">
        <f t="shared" si="112"/>
        <v>4240</v>
      </c>
      <c r="B951" s="22" t="str">
        <f t="shared" si="113"/>
        <v>紙月報</v>
      </c>
      <c r="C951" s="21" t="str">
        <f>HYPERLINK("#4240!BK3","0116")</f>
        <v>0116</v>
      </c>
      <c r="D951" s="22" t="str">
        <f>HYPERLINK("#4240!BK3","情報記録紙")</f>
        <v>情報記録紙</v>
      </c>
    </row>
    <row r="952" spans="1:4" x14ac:dyDescent="0.4">
      <c r="A952" s="21">
        <f t="shared" si="112"/>
        <v>4240</v>
      </c>
      <c r="B952" s="22" t="str">
        <f t="shared" si="113"/>
        <v>紙月報</v>
      </c>
      <c r="C952" s="21" t="str">
        <f>HYPERLINK("#4240!BO3","0117")</f>
        <v>0117</v>
      </c>
      <c r="D952" s="22" t="str">
        <f>HYPERLINK("#4240!BO3","その他情報用紙")</f>
        <v>その他情報用紙</v>
      </c>
    </row>
    <row r="953" spans="1:4" x14ac:dyDescent="0.4">
      <c r="A953" s="21">
        <f t="shared" si="112"/>
        <v>4240</v>
      </c>
      <c r="B953" s="22" t="str">
        <f t="shared" si="113"/>
        <v>紙月報</v>
      </c>
      <c r="C953" s="21" t="str">
        <f>HYPERLINK("#4240!BS3","0118")</f>
        <v>0118</v>
      </c>
      <c r="D953" s="22" t="str">
        <f>HYPERLINK("#4240!BS3","重袋用両更クラフト紙")</f>
        <v>重袋用両更クラフト紙</v>
      </c>
    </row>
    <row r="954" spans="1:4" x14ac:dyDescent="0.4">
      <c r="A954" s="21">
        <f t="shared" si="112"/>
        <v>4240</v>
      </c>
      <c r="B954" s="22" t="str">
        <f t="shared" si="113"/>
        <v>紙月報</v>
      </c>
      <c r="C954" s="21" t="str">
        <f>HYPERLINK("#4240!BW3","0119")</f>
        <v>0119</v>
      </c>
      <c r="D954" s="22" t="str">
        <f>HYPERLINK("#4240!BW3","その他両更クラフト紙")</f>
        <v>その他両更クラフト紙</v>
      </c>
    </row>
    <row r="955" spans="1:4" x14ac:dyDescent="0.4">
      <c r="A955" s="21">
        <f t="shared" si="112"/>
        <v>4240</v>
      </c>
      <c r="B955" s="22" t="str">
        <f t="shared" si="113"/>
        <v>紙月報</v>
      </c>
      <c r="C955" s="21" t="str">
        <f>HYPERLINK("#4240!CA3","0120")</f>
        <v>0120</v>
      </c>
      <c r="D955" s="22" t="str">
        <f>HYPERLINK("#4240!CA3","その他未ざらし包装紙")</f>
        <v>その他未ざらし包装紙</v>
      </c>
    </row>
    <row r="956" spans="1:4" x14ac:dyDescent="0.4">
      <c r="A956" s="21">
        <f t="shared" si="112"/>
        <v>4240</v>
      </c>
      <c r="B956" s="22" t="str">
        <f t="shared" si="113"/>
        <v>紙月報</v>
      </c>
      <c r="C956" s="21" t="str">
        <f>HYPERLINK("#4240!CE3","0121")</f>
        <v>0121</v>
      </c>
      <c r="D956" s="22" t="str">
        <f>HYPERLINK("#4240!CE3","純白ロール紙")</f>
        <v>純白ロール紙</v>
      </c>
    </row>
    <row r="957" spans="1:4" x14ac:dyDescent="0.4">
      <c r="A957" s="21">
        <f t="shared" si="112"/>
        <v>4240</v>
      </c>
      <c r="B957" s="22" t="str">
        <f t="shared" si="113"/>
        <v>紙月報</v>
      </c>
      <c r="C957" s="21" t="str">
        <f>HYPERLINK("#4240!CI3","0122")</f>
        <v>0122</v>
      </c>
      <c r="D957" s="22" t="str">
        <f>HYPERLINK("#4240!CI3","さらしクラフト紙")</f>
        <v>さらしクラフト紙</v>
      </c>
    </row>
    <row r="958" spans="1:4" x14ac:dyDescent="0.4">
      <c r="A958" s="21">
        <f t="shared" si="112"/>
        <v>4240</v>
      </c>
      <c r="B958" s="22" t="str">
        <f t="shared" si="113"/>
        <v>紙月報</v>
      </c>
      <c r="C958" s="21" t="str">
        <f>HYPERLINK("#4240!CM3","0123")</f>
        <v>0123</v>
      </c>
      <c r="D958" s="22" t="str">
        <f>HYPERLINK("#4240!CM3","その他さらし包装紙")</f>
        <v>その他さらし包装紙</v>
      </c>
    </row>
    <row r="959" spans="1:4" x14ac:dyDescent="0.4">
      <c r="A959" s="21">
        <f t="shared" si="112"/>
        <v>4240</v>
      </c>
      <c r="B959" s="22" t="str">
        <f t="shared" si="113"/>
        <v>紙月報</v>
      </c>
      <c r="C959" s="21" t="str">
        <f>HYPERLINK("#4240!CQ3","0124")</f>
        <v>0124</v>
      </c>
      <c r="D959" s="22" t="str">
        <f>HYPERLINK("#4240!CQ3","ティシュペーパー")</f>
        <v>ティシュペーパー</v>
      </c>
    </row>
    <row r="960" spans="1:4" x14ac:dyDescent="0.4">
      <c r="A960" s="21">
        <f t="shared" si="112"/>
        <v>4240</v>
      </c>
      <c r="B960" s="22" t="str">
        <f t="shared" si="113"/>
        <v>紙月報</v>
      </c>
      <c r="C960" s="21" t="str">
        <f>HYPERLINK("#4240!CU3","0125")</f>
        <v>0125</v>
      </c>
      <c r="D960" s="22" t="str">
        <f>HYPERLINK("#4240!CU3","トイレットペーパー")</f>
        <v>トイレットペーパー</v>
      </c>
    </row>
    <row r="961" spans="1:4" x14ac:dyDescent="0.4">
      <c r="A961" s="21">
        <f t="shared" si="112"/>
        <v>4240</v>
      </c>
      <c r="B961" s="22" t="str">
        <f t="shared" si="113"/>
        <v>紙月報</v>
      </c>
      <c r="C961" s="21" t="str">
        <f>HYPERLINK("#4240!CY3","0126")</f>
        <v>0126</v>
      </c>
      <c r="D961" s="22" t="str">
        <f>HYPERLINK("#4240!CY3","タオル用紙")</f>
        <v>タオル用紙</v>
      </c>
    </row>
    <row r="962" spans="1:4" x14ac:dyDescent="0.4">
      <c r="A962" s="21">
        <f t="shared" si="112"/>
        <v>4240</v>
      </c>
      <c r="B962" s="22" t="str">
        <f t="shared" si="113"/>
        <v>紙月報</v>
      </c>
      <c r="C962" s="21" t="str">
        <f>HYPERLINK("#4240!DC3","0127")</f>
        <v>0127</v>
      </c>
      <c r="D962" s="22" t="str">
        <f>HYPERLINK("#4240!DC3","その他衛生用紙")</f>
        <v>その他衛生用紙</v>
      </c>
    </row>
    <row r="963" spans="1:4" x14ac:dyDescent="0.4">
      <c r="A963" s="21">
        <f t="shared" si="112"/>
        <v>4240</v>
      </c>
      <c r="B963" s="22" t="str">
        <f t="shared" si="113"/>
        <v>紙月報</v>
      </c>
      <c r="C963" s="21" t="str">
        <f>HYPERLINK("#4240!DG3","0128")</f>
        <v>0128</v>
      </c>
      <c r="D963" s="22" t="str">
        <f>HYPERLINK("#4240!DG3","加工原紙")</f>
        <v>加工原紙</v>
      </c>
    </row>
    <row r="964" spans="1:4" x14ac:dyDescent="0.4">
      <c r="A964" s="21">
        <f t="shared" si="112"/>
        <v>4240</v>
      </c>
      <c r="B964" s="22" t="str">
        <f t="shared" si="113"/>
        <v>紙月報</v>
      </c>
      <c r="C964" s="21" t="str">
        <f>HYPERLINK("#4240!DK3","0129")</f>
        <v>0129</v>
      </c>
      <c r="D964" s="22" t="str">
        <f>HYPERLINK("#4240!DK3","電気絶縁紙")</f>
        <v>電気絶縁紙</v>
      </c>
    </row>
    <row r="965" spans="1:4" x14ac:dyDescent="0.4">
      <c r="A965" s="21">
        <f t="shared" si="112"/>
        <v>4240</v>
      </c>
      <c r="B965" s="22" t="str">
        <f t="shared" si="113"/>
        <v>紙月報</v>
      </c>
      <c r="C965" s="21" t="str">
        <f>HYPERLINK("#4240!DO3","0130")</f>
        <v>0130</v>
      </c>
      <c r="D965" s="22" t="str">
        <f>HYPERLINK("#4240!DO3","その他工業用雑種紙")</f>
        <v>その他工業用雑種紙</v>
      </c>
    </row>
    <row r="966" spans="1:4" x14ac:dyDescent="0.4">
      <c r="A966" s="21">
        <f t="shared" si="112"/>
        <v>4240</v>
      </c>
      <c r="B966" s="22" t="str">
        <f t="shared" si="113"/>
        <v>紙月報</v>
      </c>
      <c r="C966" s="21" t="str">
        <f>HYPERLINK("#4240!DS3","0131")</f>
        <v>0131</v>
      </c>
      <c r="D966" s="22" t="str">
        <f>HYPERLINK("#4240!DS3","家庭用雑種紙")</f>
        <v>家庭用雑種紙</v>
      </c>
    </row>
    <row r="967" spans="1:4" x14ac:dyDescent="0.4">
      <c r="A967" s="21">
        <f t="shared" ref="A967:A976" si="114">HYPERLINK("#4260!A1 ",4260)</f>
        <v>4260</v>
      </c>
      <c r="B967" s="22" t="str">
        <f t="shared" ref="B967:B976" si="115">HYPERLINK("#4260!A1 ","板紙月報")</f>
        <v>板紙月報</v>
      </c>
      <c r="C967" s="21" t="str">
        <f>HYPERLINK("#4260!C3","0101")</f>
        <v>0101</v>
      </c>
      <c r="D967" s="22" t="str">
        <f>HYPERLINK("#4260!C3","段ボール原紙(外装用ライナー)(クラフト)")</f>
        <v>段ボール原紙(外装用ライナー)(クラフト)</v>
      </c>
    </row>
    <row r="968" spans="1:4" x14ac:dyDescent="0.4">
      <c r="A968" s="21">
        <f t="shared" si="114"/>
        <v>4260</v>
      </c>
      <c r="B968" s="22" t="str">
        <f t="shared" si="115"/>
        <v>板紙月報</v>
      </c>
      <c r="C968" s="21" t="str">
        <f>HYPERLINK("#4260!G3","0102")</f>
        <v>0102</v>
      </c>
      <c r="D968" s="22" t="str">
        <f>HYPERLINK("#4260!G3","段ボール原紙(外装用ライナー)(ジュート)")</f>
        <v>段ボール原紙(外装用ライナー)(ジュート)</v>
      </c>
    </row>
    <row r="969" spans="1:4" x14ac:dyDescent="0.4">
      <c r="A969" s="21">
        <f t="shared" si="114"/>
        <v>4260</v>
      </c>
      <c r="B969" s="22" t="str">
        <f t="shared" si="115"/>
        <v>板紙月報</v>
      </c>
      <c r="C969" s="21" t="str">
        <f>HYPERLINK("#4260!K3","0103")</f>
        <v>0103</v>
      </c>
      <c r="D969" s="22" t="str">
        <f>HYPERLINK("#4260!K3","段ボール原紙(内装用ライナー)")</f>
        <v>段ボール原紙(内装用ライナー)</v>
      </c>
    </row>
    <row r="970" spans="1:4" x14ac:dyDescent="0.4">
      <c r="A970" s="21">
        <f t="shared" si="114"/>
        <v>4260</v>
      </c>
      <c r="B970" s="22" t="str">
        <f t="shared" si="115"/>
        <v>板紙月報</v>
      </c>
      <c r="C970" s="21" t="str">
        <f>HYPERLINK("#4260!O3","0104")</f>
        <v>0104</v>
      </c>
      <c r="D970" s="22" t="str">
        <f>HYPERLINK("#4260!O3","段ボール原紙(中芯原紙)")</f>
        <v>段ボール原紙(中芯原紙)</v>
      </c>
    </row>
    <row r="971" spans="1:4" x14ac:dyDescent="0.4">
      <c r="A971" s="21">
        <f t="shared" si="114"/>
        <v>4260</v>
      </c>
      <c r="B971" s="22" t="str">
        <f t="shared" si="115"/>
        <v>板紙月報</v>
      </c>
      <c r="C971" s="21" t="str">
        <f>HYPERLINK("#4260!S3","0105")</f>
        <v>0105</v>
      </c>
      <c r="D971" s="22" t="str">
        <f>HYPERLINK("#4260!S3","紙器用板紙(白板紙)(マニラボール)")</f>
        <v>紙器用板紙(白板紙)(マニラボール)</v>
      </c>
    </row>
    <row r="972" spans="1:4" x14ac:dyDescent="0.4">
      <c r="A972" s="21">
        <f t="shared" si="114"/>
        <v>4260</v>
      </c>
      <c r="B972" s="22" t="str">
        <f t="shared" si="115"/>
        <v>板紙月報</v>
      </c>
      <c r="C972" s="21" t="str">
        <f>HYPERLINK("#4260!W3","0106")</f>
        <v>0106</v>
      </c>
      <c r="D972" s="22" t="str">
        <f>HYPERLINK("#4260!W3","紙器用板紙(白板紙)白ボール")</f>
        <v>紙器用板紙(白板紙)白ボール</v>
      </c>
    </row>
    <row r="973" spans="1:4" x14ac:dyDescent="0.4">
      <c r="A973" s="21">
        <f t="shared" si="114"/>
        <v>4260</v>
      </c>
      <c r="B973" s="22" t="str">
        <f t="shared" si="115"/>
        <v>板紙月報</v>
      </c>
      <c r="C973" s="21" t="str">
        <f>HYPERLINK("#4260!AA3","0107")</f>
        <v>0107</v>
      </c>
      <c r="D973" s="22" t="str">
        <f>HYPERLINK("#4260!AA3","紙器用板紙(黄・チップ・色板紙)")</f>
        <v>紙器用板紙(黄・チップ・色板紙)</v>
      </c>
    </row>
    <row r="974" spans="1:4" x14ac:dyDescent="0.4">
      <c r="A974" s="21">
        <f t="shared" si="114"/>
        <v>4260</v>
      </c>
      <c r="B974" s="22" t="str">
        <f t="shared" si="115"/>
        <v>板紙月報</v>
      </c>
      <c r="C974" s="21" t="str">
        <f>HYPERLINK("#4260!AE3","0108")</f>
        <v>0108</v>
      </c>
      <c r="D974" s="22" t="str">
        <f>HYPERLINK("#4260!AE3","建材原紙")</f>
        <v>建材原紙</v>
      </c>
    </row>
    <row r="975" spans="1:4" x14ac:dyDescent="0.4">
      <c r="A975" s="21">
        <f t="shared" si="114"/>
        <v>4260</v>
      </c>
      <c r="B975" s="22" t="str">
        <f t="shared" si="115"/>
        <v>板紙月報</v>
      </c>
      <c r="C975" s="21" t="str">
        <f>HYPERLINK("#4260!AI3","0109")</f>
        <v>0109</v>
      </c>
      <c r="D975" s="22" t="str">
        <f>HYPERLINK("#4260!AI3","紙管原紙")</f>
        <v>紙管原紙</v>
      </c>
    </row>
    <row r="976" spans="1:4" x14ac:dyDescent="0.4">
      <c r="A976" s="21">
        <f t="shared" si="114"/>
        <v>4260</v>
      </c>
      <c r="B976" s="22" t="str">
        <f t="shared" si="115"/>
        <v>板紙月報</v>
      </c>
      <c r="C976" s="21" t="str">
        <f>HYPERLINK("#4260!AM3","0110")</f>
        <v>0110</v>
      </c>
      <c r="D976" s="22" t="str">
        <f>HYPERLINK("#4260!AM3","その他板紙")</f>
        <v>その他板紙</v>
      </c>
    </row>
    <row r="977" spans="1:4" x14ac:dyDescent="0.4">
      <c r="A977" s="21">
        <f>HYPERLINK("#4290!A1 ",4290)</f>
        <v>4290</v>
      </c>
      <c r="B977" s="22" t="str">
        <f>HYPERLINK("#4290!A1 ","段ボール月報")</f>
        <v>段ボール月報</v>
      </c>
      <c r="C977" s="21" t="str">
        <f>HYPERLINK("#4290!C3","0101")</f>
        <v>0101</v>
      </c>
      <c r="D977" s="22" t="str">
        <f>HYPERLINK("#4290!C3","段ボールシート(両面)")</f>
        <v>段ボールシート(両面)</v>
      </c>
    </row>
    <row r="978" spans="1:4" x14ac:dyDescent="0.4">
      <c r="A978" s="21">
        <f>HYPERLINK("#4290!A1 ",4290)</f>
        <v>4290</v>
      </c>
      <c r="B978" s="22" t="str">
        <f>HYPERLINK("#4290!A1 ","段ボール月報")</f>
        <v>段ボール月報</v>
      </c>
      <c r="C978" s="21" t="str">
        <f>HYPERLINK("#4290!G3","0102")</f>
        <v>0102</v>
      </c>
      <c r="D978" s="22" t="str">
        <f>HYPERLINK("#4290!G3","段ボールシート(複両面)")</f>
        <v>段ボールシート(複両面)</v>
      </c>
    </row>
    <row r="979" spans="1:4" x14ac:dyDescent="0.4">
      <c r="A979" s="21">
        <f>HYPERLINK("#4290!A1 ",4290)</f>
        <v>4290</v>
      </c>
      <c r="B979" s="22" t="str">
        <f>HYPERLINK("#4290!A1 ","段ボール月報")</f>
        <v>段ボール月報</v>
      </c>
      <c r="C979" s="21" t="str">
        <f>HYPERLINK("#4290!K3","0103")</f>
        <v>0103</v>
      </c>
      <c r="D979" s="22" t="str">
        <f>HYPERLINK("#4290!K3","段ボールシート(片面)")</f>
        <v>段ボールシート(片面)</v>
      </c>
    </row>
    <row r="980" spans="1:4" x14ac:dyDescent="0.4">
      <c r="A980" s="21">
        <f>HYPERLINK("#4290!A1 ",4290)</f>
        <v>4290</v>
      </c>
      <c r="B980" s="22" t="str">
        <f>HYPERLINK("#4290!A1 ","段ボール月報")</f>
        <v>段ボール月報</v>
      </c>
      <c r="C980" s="21" t="str">
        <f>HYPERLINK("#4290!O3","0104")</f>
        <v>0104</v>
      </c>
      <c r="D980" s="22" t="str">
        <f>HYPERLINK("#4290!O3","段ボールシート合計")</f>
        <v>段ボールシート合計</v>
      </c>
    </row>
    <row r="981" spans="1:4" x14ac:dyDescent="0.4">
      <c r="A981" s="21">
        <f>HYPERLINK("#4290!A1 ",4290)</f>
        <v>4290</v>
      </c>
      <c r="B981" s="22" t="str">
        <f>HYPERLINK("#4290!A1 ","段ボール月報")</f>
        <v>段ボール月報</v>
      </c>
      <c r="C981" s="21" t="str">
        <f>HYPERLINK("#4290!S3","0131")</f>
        <v>0131</v>
      </c>
      <c r="D981" s="22" t="str">
        <f>HYPERLINK("#4290!S3","段ボール箱等")</f>
        <v>段ボール箱等</v>
      </c>
    </row>
    <row r="982" spans="1:4" x14ac:dyDescent="0.4">
      <c r="A982" s="21">
        <f t="shared" ref="A982:A988" si="116">HYPERLINK("#4295!A1 ",4295)</f>
        <v>4295</v>
      </c>
      <c r="B982" s="22" t="str">
        <f t="shared" ref="B982:B988" si="117">HYPERLINK("#4295!A1 ","紙おむつ月報")</f>
        <v>紙おむつ月報</v>
      </c>
      <c r="C982" s="21" t="str">
        <f>HYPERLINK("#4295!C3","0101")</f>
        <v>0101</v>
      </c>
      <c r="D982" s="22" t="str">
        <f>HYPERLINK("#4295!C3","大人用紙おむつ（パンツタイプ・テープ止め式）")</f>
        <v>大人用紙おむつ（パンツタイプ・テープ止め式）</v>
      </c>
    </row>
    <row r="983" spans="1:4" x14ac:dyDescent="0.4">
      <c r="A983" s="21">
        <f t="shared" si="116"/>
        <v>4295</v>
      </c>
      <c r="B983" s="22" t="str">
        <f t="shared" si="117"/>
        <v>紙おむつ月報</v>
      </c>
      <c r="C983" s="21" t="str">
        <f>HYPERLINK("#4295!H3","0102")</f>
        <v>0102</v>
      </c>
      <c r="D983" s="22" t="str">
        <f>HYPERLINK("#4295!H3","大人用紙おむつ（パンツタイプ・パンツ式）")</f>
        <v>大人用紙おむつ（パンツタイプ・パンツ式）</v>
      </c>
    </row>
    <row r="984" spans="1:4" x14ac:dyDescent="0.4">
      <c r="A984" s="21">
        <f t="shared" si="116"/>
        <v>4295</v>
      </c>
      <c r="B984" s="22" t="str">
        <f t="shared" si="117"/>
        <v>紙おむつ月報</v>
      </c>
      <c r="C984" s="21" t="str">
        <f>HYPERLINK("#4295!M3","0103")</f>
        <v>0103</v>
      </c>
      <c r="D984" s="22" t="str">
        <f>HYPERLINK("#4295!M3","大人用紙おむつ（フラット）")</f>
        <v>大人用紙おむつ（フラット）</v>
      </c>
    </row>
    <row r="985" spans="1:4" x14ac:dyDescent="0.4">
      <c r="A985" s="21">
        <f t="shared" si="116"/>
        <v>4295</v>
      </c>
      <c r="B985" s="22" t="str">
        <f t="shared" si="117"/>
        <v>紙おむつ月報</v>
      </c>
      <c r="C985" s="21" t="str">
        <f>HYPERLINK("#4295!R3","0104")</f>
        <v>0104</v>
      </c>
      <c r="D985" s="22" t="str">
        <f>HYPERLINK("#4295!R3","パッド・ライナー（尿とりパッド）")</f>
        <v>パッド・ライナー（尿とりパッド）</v>
      </c>
    </row>
    <row r="986" spans="1:4" x14ac:dyDescent="0.4">
      <c r="A986" s="21">
        <f t="shared" si="116"/>
        <v>4295</v>
      </c>
      <c r="B986" s="22" t="str">
        <f t="shared" si="117"/>
        <v>紙おむつ月報</v>
      </c>
      <c r="C986" s="21" t="str">
        <f>HYPERLINK("#4295!W3","0105")</f>
        <v>0105</v>
      </c>
      <c r="D986" s="22" t="str">
        <f>HYPERLINK("#4295!W3","パッド・ライナー（軽失禁ライナー、軽失禁パッド）")</f>
        <v>パッド・ライナー（軽失禁ライナー、軽失禁パッド）</v>
      </c>
    </row>
    <row r="987" spans="1:4" x14ac:dyDescent="0.4">
      <c r="A987" s="21">
        <f t="shared" si="116"/>
        <v>4295</v>
      </c>
      <c r="B987" s="22" t="str">
        <f t="shared" si="117"/>
        <v>紙おむつ月報</v>
      </c>
      <c r="C987" s="21" t="str">
        <f>HYPERLINK("#4295!AB3","0106")</f>
        <v>0106</v>
      </c>
      <c r="D987" s="22" t="str">
        <f>HYPERLINK("#4295!AB3","乳幼児用紙おむつ（パンツタイプ・テープ止め式）")</f>
        <v>乳幼児用紙おむつ（パンツタイプ・テープ止め式）</v>
      </c>
    </row>
    <row r="988" spans="1:4" x14ac:dyDescent="0.4">
      <c r="A988" s="21">
        <f t="shared" si="116"/>
        <v>4295</v>
      </c>
      <c r="B988" s="22" t="str">
        <f t="shared" si="117"/>
        <v>紙おむつ月報</v>
      </c>
      <c r="C988" s="21" t="str">
        <f>HYPERLINK("#4295!AG3","0107")</f>
        <v>0107</v>
      </c>
      <c r="D988" s="22" t="str">
        <f>HYPERLINK("#4295!AG3","乳幼児用紙おむつ（パンツタイプ・パンツ式）")</f>
        <v>乳幼児用紙おむつ（パンツタイプ・パンツ式）</v>
      </c>
    </row>
    <row r="989" spans="1:4" x14ac:dyDescent="0.4">
      <c r="A989" s="21">
        <f t="shared" ref="A989:A996" si="118">HYPERLINK("#4300!A1 ",4300)</f>
        <v>4300</v>
      </c>
      <c r="B989" s="22" t="str">
        <f t="shared" ref="B989:B996" si="119">HYPERLINK("#4300!A1 ","印刷月報")</f>
        <v>印刷月報</v>
      </c>
      <c r="C989" s="21" t="str">
        <f>HYPERLINK("#4300!C3","0101")</f>
        <v>0101</v>
      </c>
      <c r="D989" s="22" t="str">
        <f>HYPERLINK("#4300!C3","印刷合計")</f>
        <v>印刷合計</v>
      </c>
    </row>
    <row r="990" spans="1:4" x14ac:dyDescent="0.4">
      <c r="A990" s="21">
        <f t="shared" si="118"/>
        <v>4300</v>
      </c>
      <c r="B990" s="22" t="str">
        <f t="shared" si="119"/>
        <v>印刷月報</v>
      </c>
      <c r="C990" s="21" t="str">
        <f>HYPERLINK("#4300!D3","0102")</f>
        <v>0102</v>
      </c>
      <c r="D990" s="22" t="str">
        <f>HYPERLINK("#4300!D3","出版印刷")</f>
        <v>出版印刷</v>
      </c>
    </row>
    <row r="991" spans="1:4" x14ac:dyDescent="0.4">
      <c r="A991" s="21">
        <f t="shared" si="118"/>
        <v>4300</v>
      </c>
      <c r="B991" s="22" t="str">
        <f t="shared" si="119"/>
        <v>印刷月報</v>
      </c>
      <c r="C991" s="21" t="str">
        <f>HYPERLINK("#4300!E3","0103")</f>
        <v>0103</v>
      </c>
      <c r="D991" s="22" t="str">
        <f>HYPERLINK("#4300!E3","商業印刷")</f>
        <v>商業印刷</v>
      </c>
    </row>
    <row r="992" spans="1:4" x14ac:dyDescent="0.4">
      <c r="A992" s="21">
        <f t="shared" si="118"/>
        <v>4300</v>
      </c>
      <c r="B992" s="22" t="str">
        <f t="shared" si="119"/>
        <v>印刷月報</v>
      </c>
      <c r="C992" s="21" t="str">
        <f>HYPERLINK("#4300!F3","0104")</f>
        <v>0104</v>
      </c>
      <c r="D992" s="22" t="str">
        <f>HYPERLINK("#4300!F3","証券印刷")</f>
        <v>証券印刷</v>
      </c>
    </row>
    <row r="993" spans="1:4" x14ac:dyDescent="0.4">
      <c r="A993" s="21">
        <f t="shared" si="118"/>
        <v>4300</v>
      </c>
      <c r="B993" s="22" t="str">
        <f t="shared" si="119"/>
        <v>印刷月報</v>
      </c>
      <c r="C993" s="21" t="str">
        <f>HYPERLINK("#4300!G3","0105")</f>
        <v>0105</v>
      </c>
      <c r="D993" s="22" t="str">
        <f>HYPERLINK("#4300!G3","事務用印刷")</f>
        <v>事務用印刷</v>
      </c>
    </row>
    <row r="994" spans="1:4" x14ac:dyDescent="0.4">
      <c r="A994" s="21">
        <f t="shared" si="118"/>
        <v>4300</v>
      </c>
      <c r="B994" s="22" t="str">
        <f t="shared" si="119"/>
        <v>印刷月報</v>
      </c>
      <c r="C994" s="21" t="str">
        <f>HYPERLINK("#4300!H3","0106")</f>
        <v>0106</v>
      </c>
      <c r="D994" s="22" t="str">
        <f>HYPERLINK("#4300!H3","包装印刷")</f>
        <v>包装印刷</v>
      </c>
    </row>
    <row r="995" spans="1:4" x14ac:dyDescent="0.4">
      <c r="A995" s="21">
        <f t="shared" si="118"/>
        <v>4300</v>
      </c>
      <c r="B995" s="22" t="str">
        <f t="shared" si="119"/>
        <v>印刷月報</v>
      </c>
      <c r="C995" s="21" t="str">
        <f>HYPERLINK("#4300!I3","0107")</f>
        <v>0107</v>
      </c>
      <c r="D995" s="22" t="str">
        <f>HYPERLINK("#4300!I3","建装材印刷")</f>
        <v>建装材印刷</v>
      </c>
    </row>
    <row r="996" spans="1:4" x14ac:dyDescent="0.4">
      <c r="A996" s="21">
        <f t="shared" si="118"/>
        <v>4300</v>
      </c>
      <c r="B996" s="22" t="str">
        <f t="shared" si="119"/>
        <v>印刷月報</v>
      </c>
      <c r="C996" s="21" t="str">
        <f>HYPERLINK("#4300!J3","0108")</f>
        <v>0108</v>
      </c>
      <c r="D996" s="22" t="str">
        <f>HYPERLINK("#4300!J3","その他の印刷")</f>
        <v>その他の印刷</v>
      </c>
    </row>
    <row r="997" spans="1:4" x14ac:dyDescent="0.4">
      <c r="A997" s="21">
        <f>HYPERLINK("#5020!A1 ",5020)</f>
        <v>5020</v>
      </c>
      <c r="B997" s="22" t="str">
        <f>HYPERLINK("#5020!A1 ","楽器月報")</f>
        <v>楽器月報</v>
      </c>
      <c r="C997" s="21" t="str">
        <f>HYPERLINK("#5020!C3","0101")</f>
        <v>0101</v>
      </c>
      <c r="D997" s="22" t="str">
        <f>HYPERLINK("#5020!C3","ピアノ")</f>
        <v>ピアノ</v>
      </c>
    </row>
    <row r="998" spans="1:4" x14ac:dyDescent="0.4">
      <c r="A998" s="21">
        <f>HYPERLINK("#5020!A1 ",5020)</f>
        <v>5020</v>
      </c>
      <c r="B998" s="22" t="str">
        <f>HYPERLINK("#5020!A1 ","楽器月報")</f>
        <v>楽器月報</v>
      </c>
      <c r="C998" s="21" t="str">
        <f>HYPERLINK("#5020!G3","0102")</f>
        <v>0102</v>
      </c>
      <c r="D998" s="22" t="str">
        <f>HYPERLINK("#5020!G3","電子ピアノ・電子オルガン")</f>
        <v>電子ピアノ・電子オルガン</v>
      </c>
    </row>
    <row r="999" spans="1:4" x14ac:dyDescent="0.4">
      <c r="A999" s="21">
        <f>HYPERLINK("#5020!A1 ",5020)</f>
        <v>5020</v>
      </c>
      <c r="B999" s="22" t="str">
        <f>HYPERLINK("#5020!A1 ","楽器月報")</f>
        <v>楽器月報</v>
      </c>
      <c r="C999" s="21" t="str">
        <f>HYPERLINK("#5020!K3","0103")</f>
        <v>0103</v>
      </c>
      <c r="D999" s="22" t="str">
        <f>HYPERLINK("#5020!K3","電子キーボード類(ミニキーボードを除く)")</f>
        <v>電子キーボード類(ミニキーボードを除く)</v>
      </c>
    </row>
    <row r="1000" spans="1:4" x14ac:dyDescent="0.4">
      <c r="A1000" s="21">
        <f>HYPERLINK("#5020!A1 ",5020)</f>
        <v>5020</v>
      </c>
      <c r="B1000" s="22" t="str">
        <f>HYPERLINK("#5020!A1 ","楽器月報")</f>
        <v>楽器月報</v>
      </c>
      <c r="C1000" s="21" t="str">
        <f>HYPERLINK("#5020!O3","0104")</f>
        <v>0104</v>
      </c>
      <c r="D1000" s="22" t="str">
        <f>HYPERLINK("#5020!O3","管楽器")</f>
        <v>管楽器</v>
      </c>
    </row>
    <row r="1001" spans="1:4" x14ac:dyDescent="0.4">
      <c r="A1001" s="21">
        <f>HYPERLINK("#5020!A1 ",5020)</f>
        <v>5020</v>
      </c>
      <c r="B1001" s="22" t="str">
        <f>HYPERLINK("#5020!A1 ","楽器月報")</f>
        <v>楽器月報</v>
      </c>
      <c r="C1001" s="21" t="str">
        <f>HYPERLINK("#5020!S3","0105")</f>
        <v>0105</v>
      </c>
      <c r="D1001" s="22" t="str">
        <f>HYPERLINK("#5020!S3","ギター・電気ギター")</f>
        <v>ギター・電気ギター</v>
      </c>
    </row>
    <row r="1002" spans="1:4" x14ac:dyDescent="0.4">
      <c r="A1002" s="21">
        <f t="shared" ref="A1002:A1026" si="120">HYPERLINK("#5030!A1 ",5030)</f>
        <v>5030</v>
      </c>
      <c r="B1002" s="22" t="str">
        <f t="shared" ref="B1002:B1026" si="121">HYPERLINK("#5030!A1 ","家具月報")</f>
        <v>家具月報</v>
      </c>
      <c r="C1002" s="21" t="str">
        <f>HYPERLINK("#5030!C3","0101")</f>
        <v>0101</v>
      </c>
      <c r="D1002" s="22" t="str">
        <f>HYPERLINK("#5030!C3","金属製事務用机")</f>
        <v>金属製事務用机</v>
      </c>
    </row>
    <row r="1003" spans="1:4" x14ac:dyDescent="0.4">
      <c r="A1003" s="21">
        <f t="shared" si="120"/>
        <v>5030</v>
      </c>
      <c r="B1003" s="22" t="str">
        <f t="shared" si="121"/>
        <v>家具月報</v>
      </c>
      <c r="C1003" s="21" t="str">
        <f>HYPERLINK("#5030!G3","0102")</f>
        <v>0102</v>
      </c>
      <c r="D1003" s="22" t="str">
        <f>HYPERLINK("#5030!G3","金属製その他の机(卓子を含む)")</f>
        <v>金属製その他の机(卓子を含む)</v>
      </c>
    </row>
    <row r="1004" spans="1:4" x14ac:dyDescent="0.4">
      <c r="A1004" s="21">
        <f t="shared" si="120"/>
        <v>5030</v>
      </c>
      <c r="B1004" s="22" t="str">
        <f t="shared" si="121"/>
        <v>家具月報</v>
      </c>
      <c r="C1004" s="21" t="str">
        <f>HYPERLINK("#5030!K3","0103")</f>
        <v>0103</v>
      </c>
      <c r="D1004" s="22" t="str">
        <f>HYPERLINK("#5030!K3","金属製回転式いす")</f>
        <v>金属製回転式いす</v>
      </c>
    </row>
    <row r="1005" spans="1:4" x14ac:dyDescent="0.4">
      <c r="A1005" s="21">
        <f t="shared" si="120"/>
        <v>5030</v>
      </c>
      <c r="B1005" s="22" t="str">
        <f t="shared" si="121"/>
        <v>家具月報</v>
      </c>
      <c r="C1005" s="21" t="str">
        <f>HYPERLINK("#5030!O3","0104")</f>
        <v>0104</v>
      </c>
      <c r="D1005" s="22" t="str">
        <f>HYPERLINK("#5030!O3","その他の金属製いす")</f>
        <v>その他の金属製いす</v>
      </c>
    </row>
    <row r="1006" spans="1:4" x14ac:dyDescent="0.4">
      <c r="A1006" s="21">
        <f t="shared" si="120"/>
        <v>5030</v>
      </c>
      <c r="B1006" s="22" t="str">
        <f t="shared" si="121"/>
        <v>家具月報</v>
      </c>
      <c r="C1006" s="21" t="str">
        <f>HYPERLINK("#5030!S3","0105")</f>
        <v>0105</v>
      </c>
      <c r="D1006" s="22" t="str">
        <f>HYPERLINK("#5030!S3","金属製引出箱")</f>
        <v>金属製引出箱</v>
      </c>
    </row>
    <row r="1007" spans="1:4" x14ac:dyDescent="0.4">
      <c r="A1007" s="21">
        <f t="shared" si="120"/>
        <v>5030</v>
      </c>
      <c r="B1007" s="22" t="str">
        <f t="shared" si="121"/>
        <v>家具月報</v>
      </c>
      <c r="C1007" s="21" t="str">
        <f>HYPERLINK("#5030!W3","0106")</f>
        <v>0106</v>
      </c>
      <c r="D1007" s="22" t="str">
        <f>HYPERLINK("#5030!W3","金属製保管庫類")</f>
        <v>金属製保管庫類</v>
      </c>
    </row>
    <row r="1008" spans="1:4" x14ac:dyDescent="0.4">
      <c r="A1008" s="21">
        <f t="shared" si="120"/>
        <v>5030</v>
      </c>
      <c r="B1008" s="22" t="str">
        <f t="shared" si="121"/>
        <v>家具月報</v>
      </c>
      <c r="C1008" s="21" t="str">
        <f>HYPERLINK("#5030!AA3","0107")</f>
        <v>0107</v>
      </c>
      <c r="D1008" s="22" t="str">
        <f>HYPERLINK("#5030!AA3","金属製耐火金庫")</f>
        <v>金属製耐火金庫</v>
      </c>
    </row>
    <row r="1009" spans="1:4" x14ac:dyDescent="0.4">
      <c r="A1009" s="21">
        <f t="shared" si="120"/>
        <v>5030</v>
      </c>
      <c r="B1009" s="22" t="str">
        <f t="shared" si="121"/>
        <v>家具月報</v>
      </c>
      <c r="C1009" s="21" t="str">
        <f>HYPERLINK("#5030!AE3","0108")</f>
        <v>0108</v>
      </c>
      <c r="D1009" s="22" t="str">
        <f>HYPERLINK("#5030!AE3","金属製流し台")</f>
        <v>金属製流し台</v>
      </c>
    </row>
    <row r="1010" spans="1:4" x14ac:dyDescent="0.4">
      <c r="A1010" s="21">
        <f t="shared" si="120"/>
        <v>5030</v>
      </c>
      <c r="B1010" s="22" t="str">
        <f t="shared" si="121"/>
        <v>家具月報</v>
      </c>
      <c r="C1010" s="21" t="str">
        <f>HYPERLINK("#5030!AI3","0109")</f>
        <v>0109</v>
      </c>
      <c r="D1010" s="22" t="str">
        <f>HYPERLINK("#5030!AI3","金属製ガス台")</f>
        <v>金属製ガス台</v>
      </c>
    </row>
    <row r="1011" spans="1:4" x14ac:dyDescent="0.4">
      <c r="A1011" s="21">
        <f t="shared" si="120"/>
        <v>5030</v>
      </c>
      <c r="B1011" s="22" t="str">
        <f t="shared" si="121"/>
        <v>家具月報</v>
      </c>
      <c r="C1011" s="21" t="str">
        <f>HYPERLINK("#5030!AM3","0110")</f>
        <v>0110</v>
      </c>
      <c r="D1011" s="22" t="str">
        <f>HYPERLINK("#5030!AM3","金属製調理台")</f>
        <v>金属製調理台</v>
      </c>
    </row>
    <row r="1012" spans="1:4" x14ac:dyDescent="0.4">
      <c r="A1012" s="21">
        <f t="shared" si="120"/>
        <v>5030</v>
      </c>
      <c r="B1012" s="22" t="str">
        <f t="shared" si="121"/>
        <v>家具月報</v>
      </c>
      <c r="C1012" s="21" t="str">
        <f>HYPERLINK("#5030!AQ3","0111")</f>
        <v>0111</v>
      </c>
      <c r="D1012" s="22" t="str">
        <f>HYPERLINK("#5030!AQ3","金属製システムキッチン")</f>
        <v>金属製システムキッチン</v>
      </c>
    </row>
    <row r="1013" spans="1:4" x14ac:dyDescent="0.4">
      <c r="A1013" s="21">
        <f t="shared" si="120"/>
        <v>5030</v>
      </c>
      <c r="B1013" s="22" t="str">
        <f t="shared" si="121"/>
        <v>家具月報</v>
      </c>
      <c r="C1013" s="21" t="str">
        <f>HYPERLINK("#5030!AU3","0112")</f>
        <v>0112</v>
      </c>
      <c r="D1013" s="22" t="str">
        <f>HYPERLINK("#5030!AU3","金属製ベッド")</f>
        <v>金属製ベッド</v>
      </c>
    </row>
    <row r="1014" spans="1:4" x14ac:dyDescent="0.4">
      <c r="A1014" s="21">
        <f t="shared" si="120"/>
        <v>5030</v>
      </c>
      <c r="B1014" s="22" t="str">
        <f t="shared" si="121"/>
        <v>家具月報</v>
      </c>
      <c r="C1014" s="21" t="str">
        <f>HYPERLINK("#5030!AY3","0113")</f>
        <v>0113</v>
      </c>
      <c r="D1014" s="22" t="str">
        <f>HYPERLINK("#5030!AY3","金属製棚")</f>
        <v>金属製棚</v>
      </c>
    </row>
    <row r="1015" spans="1:4" x14ac:dyDescent="0.4">
      <c r="A1015" s="21">
        <f t="shared" si="120"/>
        <v>5030</v>
      </c>
      <c r="B1015" s="22" t="str">
        <f t="shared" si="121"/>
        <v>家具月報</v>
      </c>
      <c r="C1015" s="21" t="str">
        <f>HYPERLINK("#5030!BC3","0114")</f>
        <v>0114</v>
      </c>
      <c r="D1015" s="22" t="str">
        <f>HYPERLINK("#5030!BC3","金属製間仕切り")</f>
        <v>金属製間仕切り</v>
      </c>
    </row>
    <row r="1016" spans="1:4" x14ac:dyDescent="0.4">
      <c r="A1016" s="21">
        <f t="shared" si="120"/>
        <v>5030</v>
      </c>
      <c r="B1016" s="22" t="str">
        <f t="shared" si="121"/>
        <v>家具月報</v>
      </c>
      <c r="C1016" s="21" t="str">
        <f>HYPERLINK("#5030!BG3","0115")</f>
        <v>0115</v>
      </c>
      <c r="D1016" s="22" t="str">
        <f>HYPERLINK("#5030!BG3","その他の金属製家具")</f>
        <v>その他の金属製家具</v>
      </c>
    </row>
    <row r="1017" spans="1:4" x14ac:dyDescent="0.4">
      <c r="A1017" s="21">
        <f t="shared" si="120"/>
        <v>5030</v>
      </c>
      <c r="B1017" s="22" t="str">
        <f t="shared" si="121"/>
        <v>家具月報</v>
      </c>
      <c r="C1017" s="21" t="str">
        <f>HYPERLINK("#5030!BK3","0116")</f>
        <v>0116</v>
      </c>
      <c r="D1017" s="22" t="str">
        <f>HYPERLINK("#5030!BK3","木製たんす")</f>
        <v>木製たんす</v>
      </c>
    </row>
    <row r="1018" spans="1:4" x14ac:dyDescent="0.4">
      <c r="A1018" s="21">
        <f t="shared" si="120"/>
        <v>5030</v>
      </c>
      <c r="B1018" s="22" t="str">
        <f t="shared" si="121"/>
        <v>家具月報</v>
      </c>
      <c r="C1018" s="21" t="str">
        <f>HYPERLINK("#5030!BO3","0117")</f>
        <v>0117</v>
      </c>
      <c r="D1018" s="22" t="str">
        <f>HYPERLINK("#5030!BO3","木製食器棚")</f>
        <v>木製食器棚</v>
      </c>
    </row>
    <row r="1019" spans="1:4" x14ac:dyDescent="0.4">
      <c r="A1019" s="21">
        <f t="shared" si="120"/>
        <v>5030</v>
      </c>
      <c r="B1019" s="22" t="str">
        <f t="shared" si="121"/>
        <v>家具月報</v>
      </c>
      <c r="C1019" s="21" t="str">
        <f>HYPERLINK("#5030!BS3","0118")</f>
        <v>0118</v>
      </c>
      <c r="D1019" s="22" t="str">
        <f>HYPERLINK("#5030!BS3","その他の木製棚")</f>
        <v>その他の木製棚</v>
      </c>
    </row>
    <row r="1020" spans="1:4" x14ac:dyDescent="0.4">
      <c r="A1020" s="21">
        <f t="shared" si="120"/>
        <v>5030</v>
      </c>
      <c r="B1020" s="22" t="str">
        <f t="shared" si="121"/>
        <v>家具月報</v>
      </c>
      <c r="C1020" s="21" t="str">
        <f>HYPERLINK("#5030!BW3","0119")</f>
        <v>0119</v>
      </c>
      <c r="D1020" s="22" t="str">
        <f>HYPERLINK("#5030!BW3","木製机")</f>
        <v>木製机</v>
      </c>
    </row>
    <row r="1021" spans="1:4" x14ac:dyDescent="0.4">
      <c r="A1021" s="21">
        <f t="shared" si="120"/>
        <v>5030</v>
      </c>
      <c r="B1021" s="22" t="str">
        <f t="shared" si="121"/>
        <v>家具月報</v>
      </c>
      <c r="C1021" s="21" t="str">
        <f>HYPERLINK("#5030!CA3","0120")</f>
        <v>0120</v>
      </c>
      <c r="D1021" s="22" t="str">
        <f>HYPERLINK("#5030!CA3","木製テーブル")</f>
        <v>木製テーブル</v>
      </c>
    </row>
    <row r="1022" spans="1:4" x14ac:dyDescent="0.4">
      <c r="A1022" s="21">
        <f t="shared" si="120"/>
        <v>5030</v>
      </c>
      <c r="B1022" s="22" t="str">
        <f t="shared" si="121"/>
        <v>家具月報</v>
      </c>
      <c r="C1022" s="21" t="str">
        <f>HYPERLINK("#5030!CE3","0121")</f>
        <v>0121</v>
      </c>
      <c r="D1022" s="22" t="str">
        <f>HYPERLINK("#5030!CE3","木製応接いす")</f>
        <v>木製応接いす</v>
      </c>
    </row>
    <row r="1023" spans="1:4" x14ac:dyDescent="0.4">
      <c r="A1023" s="21">
        <f t="shared" si="120"/>
        <v>5030</v>
      </c>
      <c r="B1023" s="22" t="str">
        <f t="shared" si="121"/>
        <v>家具月報</v>
      </c>
      <c r="C1023" s="21" t="str">
        <f>HYPERLINK("#5030!CI3","0122")</f>
        <v>0122</v>
      </c>
      <c r="D1023" s="22" t="str">
        <f>HYPERLINK("#5030!CI3","木製食卓いす")</f>
        <v>木製食卓いす</v>
      </c>
    </row>
    <row r="1024" spans="1:4" x14ac:dyDescent="0.4">
      <c r="A1024" s="21">
        <f t="shared" si="120"/>
        <v>5030</v>
      </c>
      <c r="B1024" s="22" t="str">
        <f t="shared" si="121"/>
        <v>家具月報</v>
      </c>
      <c r="C1024" s="21" t="str">
        <f>HYPERLINK("#5030!CM3","0123")</f>
        <v>0123</v>
      </c>
      <c r="D1024" s="22" t="str">
        <f>HYPERLINK("#5030!CM3","その他の木製いす")</f>
        <v>その他の木製いす</v>
      </c>
    </row>
    <row r="1025" spans="1:4" x14ac:dyDescent="0.4">
      <c r="A1025" s="21">
        <f t="shared" si="120"/>
        <v>5030</v>
      </c>
      <c r="B1025" s="22" t="str">
        <f t="shared" si="121"/>
        <v>家具月報</v>
      </c>
      <c r="C1025" s="21" t="str">
        <f>HYPERLINK("#5030!CQ3","0124")</f>
        <v>0124</v>
      </c>
      <c r="D1025" s="22" t="str">
        <f>HYPERLINK("#5030!CQ3","木製ベッド")</f>
        <v>木製ベッド</v>
      </c>
    </row>
    <row r="1026" spans="1:4" x14ac:dyDescent="0.4">
      <c r="A1026" s="21">
        <f t="shared" si="120"/>
        <v>5030</v>
      </c>
      <c r="B1026" s="22" t="str">
        <f t="shared" si="121"/>
        <v>家具月報</v>
      </c>
      <c r="C1026" s="21" t="str">
        <f>HYPERLINK("#5030!CU3","0125")</f>
        <v>0125</v>
      </c>
      <c r="D1026" s="22" t="str">
        <f>HYPERLINK("#5030!CU3","その他の木製家具")</f>
        <v>その他の木製家具</v>
      </c>
    </row>
    <row r="1027" spans="1:4" x14ac:dyDescent="0.4">
      <c r="A1027" s="21">
        <f t="shared" ref="A1027:A1032" si="122">HYPERLINK("#5040!A1 ",5040)</f>
        <v>5040</v>
      </c>
      <c r="B1027" s="22" t="str">
        <f t="shared" ref="B1027:B1032" si="123">HYPERLINK("#5040!A1 ","軽金属板製品月報")</f>
        <v>軽金属板製品月報</v>
      </c>
      <c r="C1027" s="21" t="str">
        <f>HYPERLINK("#5040!C3","0101")</f>
        <v>0101</v>
      </c>
      <c r="D1027" s="22" t="str">
        <f>HYPERLINK("#5040!C3","軽金属板製品(日用品)")</f>
        <v>軽金属板製品(日用品)</v>
      </c>
    </row>
    <row r="1028" spans="1:4" x14ac:dyDescent="0.4">
      <c r="A1028" s="21">
        <f t="shared" si="122"/>
        <v>5040</v>
      </c>
      <c r="B1028" s="22" t="str">
        <f t="shared" si="123"/>
        <v>軽金属板製品月報</v>
      </c>
      <c r="C1028" s="21" t="str">
        <f>HYPERLINK("#5040!G3","0102")</f>
        <v>0102</v>
      </c>
      <c r="D1028" s="22" t="str">
        <f>HYPERLINK("#5040!G3","軽金属板製品(電気器具用品)")</f>
        <v>軽金属板製品(電気器具用品)</v>
      </c>
    </row>
    <row r="1029" spans="1:4" x14ac:dyDescent="0.4">
      <c r="A1029" s="21">
        <f t="shared" si="122"/>
        <v>5040</v>
      </c>
      <c r="B1029" s="22" t="str">
        <f t="shared" si="123"/>
        <v>軽金属板製品月報</v>
      </c>
      <c r="C1029" s="21" t="str">
        <f>HYPERLINK("#5040!K3","0103")</f>
        <v>0103</v>
      </c>
      <c r="D1029" s="22" t="str">
        <f>HYPERLINK("#5040!K3","軽金属板製品(船舶・車両用品)")</f>
        <v>軽金属板製品(船舶・車両用品)</v>
      </c>
    </row>
    <row r="1030" spans="1:4" x14ac:dyDescent="0.4">
      <c r="A1030" s="21">
        <f t="shared" si="122"/>
        <v>5040</v>
      </c>
      <c r="B1030" s="22" t="str">
        <f t="shared" si="123"/>
        <v>軽金属板製品月報</v>
      </c>
      <c r="C1030" s="21" t="str">
        <f>HYPERLINK("#5040!O3","0104")</f>
        <v>0104</v>
      </c>
      <c r="D1030" s="22" t="str">
        <f>HYPERLINK("#5040!O3","軽金属板製品(飲料用缶(缶体))")</f>
        <v>軽金属板製品(飲料用缶(缶体))</v>
      </c>
    </row>
    <row r="1031" spans="1:4" x14ac:dyDescent="0.4">
      <c r="A1031" s="21">
        <f t="shared" si="122"/>
        <v>5040</v>
      </c>
      <c r="B1031" s="22" t="str">
        <f t="shared" si="123"/>
        <v>軽金属板製品月報</v>
      </c>
      <c r="C1031" s="21" t="str">
        <f>HYPERLINK("#5040!S3","0105")</f>
        <v>0105</v>
      </c>
      <c r="D1031" s="22" t="str">
        <f>HYPERLINK("#5040!S3","軽金属板製品(飲料用缶(缶ふた))")</f>
        <v>軽金属板製品(飲料用缶(缶ふた))</v>
      </c>
    </row>
    <row r="1032" spans="1:4" x14ac:dyDescent="0.4">
      <c r="A1032" s="21">
        <f t="shared" si="122"/>
        <v>5040</v>
      </c>
      <c r="B1032" s="22" t="str">
        <f t="shared" si="123"/>
        <v>軽金属板製品月報</v>
      </c>
      <c r="C1032" s="21" t="str">
        <f>HYPERLINK("#5040!W3","0106")</f>
        <v>0106</v>
      </c>
      <c r="D1032" s="22" t="str">
        <f>HYPERLINK("#5040!W3","その他の産業用軽金属板製品")</f>
        <v>その他の産業用軽金属板製品</v>
      </c>
    </row>
    <row r="1033" spans="1:4" x14ac:dyDescent="0.4">
      <c r="A1033" s="21">
        <f t="shared" ref="A1033:A1040" si="124">HYPERLINK("#5050!A1 ",5050)</f>
        <v>5050</v>
      </c>
      <c r="B1033" s="22" t="str">
        <f t="shared" ref="B1033:B1040" si="125">HYPERLINK("#5050!A1 ","文具月報")</f>
        <v>文具月報</v>
      </c>
      <c r="C1033" s="21" t="str">
        <f>HYPERLINK("#5050!C3","0101")</f>
        <v>0101</v>
      </c>
      <c r="D1033" s="22" t="str">
        <f>HYPERLINK("#5050!C3","鉛筆")</f>
        <v>鉛筆</v>
      </c>
    </row>
    <row r="1034" spans="1:4" x14ac:dyDescent="0.4">
      <c r="A1034" s="21">
        <f t="shared" si="124"/>
        <v>5050</v>
      </c>
      <c r="B1034" s="22" t="str">
        <f t="shared" si="125"/>
        <v>文具月報</v>
      </c>
      <c r="C1034" s="21" t="str">
        <f>HYPERLINK("#5050!G3","0102")</f>
        <v>0102</v>
      </c>
      <c r="D1034" s="22" t="str">
        <f>HYPERLINK("#5050!G3","シャープペンシル")</f>
        <v>シャープペンシル</v>
      </c>
    </row>
    <row r="1035" spans="1:4" x14ac:dyDescent="0.4">
      <c r="A1035" s="21">
        <f t="shared" si="124"/>
        <v>5050</v>
      </c>
      <c r="B1035" s="22" t="str">
        <f t="shared" si="125"/>
        <v>文具月報</v>
      </c>
      <c r="C1035" s="21" t="str">
        <f>HYPERLINK("#5050!K3","0103")</f>
        <v>0103</v>
      </c>
      <c r="D1035" s="22" t="str">
        <f>HYPERLINK("#5050!K3","水性ボールペン(完成品)")</f>
        <v>水性ボールペン(完成品)</v>
      </c>
    </row>
    <row r="1036" spans="1:4" x14ac:dyDescent="0.4">
      <c r="A1036" s="21">
        <f t="shared" si="124"/>
        <v>5050</v>
      </c>
      <c r="B1036" s="22" t="str">
        <f t="shared" si="125"/>
        <v>文具月報</v>
      </c>
      <c r="C1036" s="21" t="str">
        <f>HYPERLINK("#5050!O3","0104")</f>
        <v>0104</v>
      </c>
      <c r="D1036" s="22" t="str">
        <f>HYPERLINK("#5050!O3","油性ボールペン(完成品)")</f>
        <v>油性ボールペン(完成品)</v>
      </c>
    </row>
    <row r="1037" spans="1:4" x14ac:dyDescent="0.4">
      <c r="A1037" s="21">
        <f t="shared" si="124"/>
        <v>5050</v>
      </c>
      <c r="B1037" s="22" t="str">
        <f t="shared" si="125"/>
        <v>文具月報</v>
      </c>
      <c r="C1037" s="21" t="str">
        <f>HYPERLINK("#5050!S3","0105")</f>
        <v>0105</v>
      </c>
      <c r="D1037" s="22" t="str">
        <f>HYPERLINK("#5050!S3","マーキングペン")</f>
        <v>マーキングペン</v>
      </c>
    </row>
    <row r="1038" spans="1:4" x14ac:dyDescent="0.4">
      <c r="A1038" s="21">
        <f t="shared" si="124"/>
        <v>5050</v>
      </c>
      <c r="B1038" s="22" t="str">
        <f t="shared" si="125"/>
        <v>文具月報</v>
      </c>
      <c r="C1038" s="21" t="str">
        <f>HYPERLINK("#5050!W3","0106")</f>
        <v>0106</v>
      </c>
      <c r="D1038" s="22" t="str">
        <f>HYPERLINK("#5050!W3","クレヨン・パス・水彩絵の具")</f>
        <v>クレヨン・パス・水彩絵の具</v>
      </c>
    </row>
    <row r="1039" spans="1:4" x14ac:dyDescent="0.4">
      <c r="A1039" s="21">
        <f t="shared" si="124"/>
        <v>5050</v>
      </c>
      <c r="B1039" s="22" t="str">
        <f t="shared" si="125"/>
        <v>文具月報</v>
      </c>
      <c r="C1039" s="21" t="str">
        <f>HYPERLINK("#5050!AA3","0107")</f>
        <v>0107</v>
      </c>
      <c r="D1039" s="22" t="str">
        <f>HYPERLINK("#5050!AA3","修正液")</f>
        <v>修正液</v>
      </c>
    </row>
    <row r="1040" spans="1:4" x14ac:dyDescent="0.4">
      <c r="A1040" s="21">
        <f t="shared" si="124"/>
        <v>5050</v>
      </c>
      <c r="B1040" s="22" t="str">
        <f t="shared" si="125"/>
        <v>文具月報</v>
      </c>
      <c r="C1040" s="21" t="str">
        <f>HYPERLINK("#5050!AE3","0108")</f>
        <v>0108</v>
      </c>
      <c r="D1040" s="22" t="str">
        <f>HYPERLINK("#5050!AE3","修正テープ")</f>
        <v>修正テープ</v>
      </c>
    </row>
    <row r="1041" spans="1:4" x14ac:dyDescent="0.4">
      <c r="A1041" s="21">
        <f>HYPERLINK("#5080!A1 ",5080)</f>
        <v>5080</v>
      </c>
      <c r="B1041" s="22" t="str">
        <f>HYPERLINK("#5080!A1 ","玩具月報")</f>
        <v>玩具月報</v>
      </c>
      <c r="C1041" s="21" t="str">
        <f>HYPERLINK("#5080!C3","0101")</f>
        <v>0101</v>
      </c>
      <c r="D1041" s="22" t="str">
        <f>HYPERLINK("#5080!C3","電子応用玩具")</f>
        <v>電子応用玩具</v>
      </c>
    </row>
    <row r="1042" spans="1:4" x14ac:dyDescent="0.4">
      <c r="A1042" s="21">
        <f>HYPERLINK("#5080!A1 ",5080)</f>
        <v>5080</v>
      </c>
      <c r="B1042" s="22" t="str">
        <f>HYPERLINK("#5080!A1 ","玩具月報")</f>
        <v>玩具月報</v>
      </c>
      <c r="C1042" s="21" t="str">
        <f>HYPERLINK("#5080!G3","0102")</f>
        <v>0102</v>
      </c>
      <c r="D1042" s="22" t="str">
        <f>HYPERLINK("#5080!G3","電動玩具")</f>
        <v>電動玩具</v>
      </c>
    </row>
    <row r="1043" spans="1:4" x14ac:dyDescent="0.4">
      <c r="A1043" s="21">
        <f>HYPERLINK("#5080!A1 ",5080)</f>
        <v>5080</v>
      </c>
      <c r="B1043" s="22" t="str">
        <f>HYPERLINK("#5080!A1 ","玩具月報")</f>
        <v>玩具月報</v>
      </c>
      <c r="C1043" s="21" t="str">
        <f>HYPERLINK("#5080!K3","0103")</f>
        <v>0103</v>
      </c>
      <c r="D1043" s="22" t="str">
        <f>HYPERLINK("#5080!K3","プラスチックモデル")</f>
        <v>プラスチックモデル</v>
      </c>
    </row>
    <row r="1044" spans="1:4" x14ac:dyDescent="0.4">
      <c r="A1044" s="21">
        <f>HYPERLINK("#5080!A1 ",5080)</f>
        <v>5080</v>
      </c>
      <c r="B1044" s="22" t="str">
        <f>HYPERLINK("#5080!A1 ","玩具月報")</f>
        <v>玩具月報</v>
      </c>
      <c r="C1044" s="21" t="str">
        <f>HYPERLINK("#5080!O3","0104")</f>
        <v>0104</v>
      </c>
      <c r="D1044" s="22" t="str">
        <f>HYPERLINK("#5080!O3","その他のプラスチック製玩具")</f>
        <v>その他のプラスチック製玩具</v>
      </c>
    </row>
    <row r="1045" spans="1:4" x14ac:dyDescent="0.4">
      <c r="A1045" s="21">
        <f>HYPERLINK("#5100!A1 ",5100)</f>
        <v>5100</v>
      </c>
      <c r="B1045" s="22" t="str">
        <f>HYPERLINK("#5100!A1 ","革靴月報")</f>
        <v>革靴月報</v>
      </c>
      <c r="C1045" s="21" t="str">
        <f>HYPERLINK("#5100!C3","0101")</f>
        <v>0101</v>
      </c>
      <c r="D1045" s="22" t="str">
        <f>HYPERLINK("#5100!C3","紳士用革靴")</f>
        <v>紳士用革靴</v>
      </c>
    </row>
    <row r="1046" spans="1:4" x14ac:dyDescent="0.4">
      <c r="A1046" s="21">
        <f>HYPERLINK("#5100!A1 ",5100)</f>
        <v>5100</v>
      </c>
      <c r="B1046" s="22" t="str">
        <f>HYPERLINK("#5100!A1 ","革靴月報")</f>
        <v>革靴月報</v>
      </c>
      <c r="C1046" s="21" t="str">
        <f>HYPERLINK("#5100!G3","0102")</f>
        <v>0102</v>
      </c>
      <c r="D1046" s="22" t="str">
        <f>HYPERLINK("#5100!G3","婦人用・子供用革靴")</f>
        <v>婦人用・子供用革靴</v>
      </c>
    </row>
    <row r="1047" spans="1:4" x14ac:dyDescent="0.4">
      <c r="A1047" s="21">
        <f>HYPERLINK("#5100!A1 ",5100)</f>
        <v>5100</v>
      </c>
      <c r="B1047" s="22" t="str">
        <f>HYPERLINK("#5100!A1 ","革靴月報")</f>
        <v>革靴月報</v>
      </c>
      <c r="C1047" s="21" t="str">
        <f>HYPERLINK("#5100!K3","0103")</f>
        <v>0103</v>
      </c>
      <c r="D1047" s="22" t="str">
        <f>HYPERLINK("#5100!K3","運動用革靴")</f>
        <v>運動用革靴</v>
      </c>
    </row>
    <row r="1048" spans="1:4" x14ac:dyDescent="0.4">
      <c r="A1048" s="21">
        <f>HYPERLINK("#5100!A1 ",5100)</f>
        <v>5100</v>
      </c>
      <c r="B1048" s="22" t="str">
        <f>HYPERLINK("#5100!A1 ","革靴月報")</f>
        <v>革靴月報</v>
      </c>
      <c r="C1048" s="21" t="str">
        <f>HYPERLINK("#5100!O3","0104")</f>
        <v>0104</v>
      </c>
      <c r="D1048" s="22" t="str">
        <f>HYPERLINK("#5100!O3","作業用革靴")</f>
        <v>作業用革靴</v>
      </c>
    </row>
    <row r="1049" spans="1:4" x14ac:dyDescent="0.4">
      <c r="A1049" s="21">
        <f>HYPERLINK("#5110!A1 ",5110)</f>
        <v>5110</v>
      </c>
      <c r="B1049" s="22" t="str">
        <f>HYPERLINK("#5110!A1 ","製革月報")</f>
        <v>製革月報</v>
      </c>
      <c r="C1049" s="21" t="str">
        <f>HYPERLINK("#5110!C3","0101")</f>
        <v>0101</v>
      </c>
      <c r="D1049" s="22" t="str">
        <f>HYPERLINK("#5110!C3","クロム甲革(成牛)")</f>
        <v>クロム甲革(成牛)</v>
      </c>
    </row>
    <row r="1050" spans="1:4" x14ac:dyDescent="0.4">
      <c r="A1050" s="21">
        <f>HYPERLINK("#5110!A1 ",5110)</f>
        <v>5110</v>
      </c>
      <c r="B1050" s="22" t="str">
        <f>HYPERLINK("#5110!A1 ","製革月報")</f>
        <v>製革月報</v>
      </c>
      <c r="C1050" s="21" t="str">
        <f>HYPERLINK("#5110!H3","0102")</f>
        <v>0102</v>
      </c>
      <c r="D1050" s="22" t="str">
        <f>HYPERLINK("#5110!H3","クロム甲革(その他（成牛以外）)")</f>
        <v>クロム甲革(その他（成牛以外）)</v>
      </c>
    </row>
    <row r="1051" spans="1:4" x14ac:dyDescent="0.4">
      <c r="A1051" s="21">
        <f t="shared" ref="A1051:A1064" si="126">HYPERLINK("#5120!A1 ",5120)</f>
        <v>5120</v>
      </c>
      <c r="B1051" s="22" t="str">
        <f t="shared" ref="B1051:B1064" si="127">HYPERLINK("#5120!A1 ","ガラス製品・ほうろう鉄器月報")</f>
        <v>ガラス製品・ほうろう鉄器月報</v>
      </c>
      <c r="C1051" s="21" t="str">
        <f>HYPERLINK("#5120!C3","0101")</f>
        <v>0101</v>
      </c>
      <c r="D1051" s="22" t="str">
        <f>HYPERLINK("#5120!C3","電球類用・電子管用ガラスバルブ(管・棒を含む)")</f>
        <v>電球類用・電子管用ガラスバルブ(管・棒を含む)</v>
      </c>
    </row>
    <row r="1052" spans="1:4" x14ac:dyDescent="0.4">
      <c r="A1052" s="21">
        <f t="shared" si="126"/>
        <v>5120</v>
      </c>
      <c r="B1052" s="22" t="str">
        <f t="shared" si="127"/>
        <v>ガラス製品・ほうろう鉄器月報</v>
      </c>
      <c r="C1052" s="21" t="str">
        <f>HYPERLINK("#5120!G3","0102")</f>
        <v>0102</v>
      </c>
      <c r="D1052" s="22" t="str">
        <f>HYPERLINK("#5120!G3","光学用ガラス素地")</f>
        <v>光学用ガラス素地</v>
      </c>
    </row>
    <row r="1053" spans="1:4" x14ac:dyDescent="0.4">
      <c r="A1053" s="21">
        <f t="shared" si="126"/>
        <v>5120</v>
      </c>
      <c r="B1053" s="22" t="str">
        <f t="shared" si="127"/>
        <v>ガラス製品・ほうろう鉄器月報</v>
      </c>
      <c r="C1053" s="21" t="str">
        <f>HYPERLINK("#5120!K3","0103")</f>
        <v>0103</v>
      </c>
      <c r="D1053" s="22" t="str">
        <f>HYPERLINK("#5120!K3","照明・信号用ガラスレンズ")</f>
        <v>照明・信号用ガラスレンズ</v>
      </c>
    </row>
    <row r="1054" spans="1:4" x14ac:dyDescent="0.4">
      <c r="A1054" s="21">
        <f t="shared" si="126"/>
        <v>5120</v>
      </c>
      <c r="B1054" s="22" t="str">
        <f t="shared" si="127"/>
        <v>ガラス製品・ほうろう鉄器月報</v>
      </c>
      <c r="C1054" s="21" t="str">
        <f>HYPERLINK("#5120!O3","0104")</f>
        <v>0104</v>
      </c>
      <c r="D1054" s="22" t="str">
        <f>HYPERLINK("#5120!O3","無アルカリガラス基板")</f>
        <v>無アルカリガラス基板</v>
      </c>
    </row>
    <row r="1055" spans="1:4" x14ac:dyDescent="0.4">
      <c r="A1055" s="21">
        <f t="shared" si="126"/>
        <v>5120</v>
      </c>
      <c r="B1055" s="22" t="str">
        <f t="shared" si="127"/>
        <v>ガラス製品・ほうろう鉄器月報</v>
      </c>
      <c r="C1055" s="21" t="str">
        <f>HYPERLINK("#5120!S3","0105")</f>
        <v>0105</v>
      </c>
      <c r="D1055" s="22" t="str">
        <f>HYPERLINK("#5120!S3","酒類用ガラスびん")</f>
        <v>酒類用ガラスびん</v>
      </c>
    </row>
    <row r="1056" spans="1:4" x14ac:dyDescent="0.4">
      <c r="A1056" s="21">
        <f t="shared" si="126"/>
        <v>5120</v>
      </c>
      <c r="B1056" s="22" t="str">
        <f t="shared" si="127"/>
        <v>ガラス製品・ほうろう鉄器月報</v>
      </c>
      <c r="C1056" s="21" t="str">
        <f>HYPERLINK("#5120!W3","0106")</f>
        <v>0106</v>
      </c>
      <c r="D1056" s="22" t="str">
        <f>HYPERLINK("#5120!W3","清涼飲料用ガラスびん")</f>
        <v>清涼飲料用ガラスびん</v>
      </c>
    </row>
    <row r="1057" spans="1:4" x14ac:dyDescent="0.4">
      <c r="A1057" s="21">
        <f t="shared" si="126"/>
        <v>5120</v>
      </c>
      <c r="B1057" s="22" t="str">
        <f t="shared" si="127"/>
        <v>ガラス製品・ほうろう鉄器月報</v>
      </c>
      <c r="C1057" s="21" t="str">
        <f>HYPERLINK("#5120!AA3","0107")</f>
        <v>0107</v>
      </c>
      <c r="D1057" s="22" t="str">
        <f>HYPERLINK("#5120!AA3","し好・滋養飲料用ガラスびん")</f>
        <v>し好・滋養飲料用ガラスびん</v>
      </c>
    </row>
    <row r="1058" spans="1:4" x14ac:dyDescent="0.4">
      <c r="A1058" s="21">
        <f t="shared" si="126"/>
        <v>5120</v>
      </c>
      <c r="B1058" s="22" t="str">
        <f t="shared" si="127"/>
        <v>ガラス製品・ほうろう鉄器月報</v>
      </c>
      <c r="C1058" s="21" t="str">
        <f>HYPERLINK("#5120!AE3","0108")</f>
        <v>0108</v>
      </c>
      <c r="D1058" s="22" t="str">
        <f>HYPERLINK("#5120!AE3","食料用・調味料用ガラス製容器")</f>
        <v>食料用・調味料用ガラス製容器</v>
      </c>
    </row>
    <row r="1059" spans="1:4" x14ac:dyDescent="0.4">
      <c r="A1059" s="21">
        <f t="shared" si="126"/>
        <v>5120</v>
      </c>
      <c r="B1059" s="22" t="str">
        <f t="shared" si="127"/>
        <v>ガラス製品・ほうろう鉄器月報</v>
      </c>
      <c r="C1059" s="21" t="str">
        <f>HYPERLINK("#5120!AI3","0109")</f>
        <v>0109</v>
      </c>
      <c r="D1059" s="22" t="str">
        <f>HYPERLINK("#5120!AI3","化粧品用ガラス製容器")</f>
        <v>化粧品用ガラス製容器</v>
      </c>
    </row>
    <row r="1060" spans="1:4" x14ac:dyDescent="0.4">
      <c r="A1060" s="21">
        <f t="shared" si="126"/>
        <v>5120</v>
      </c>
      <c r="B1060" s="22" t="str">
        <f t="shared" si="127"/>
        <v>ガラス製品・ほうろう鉄器月報</v>
      </c>
      <c r="C1060" s="21" t="str">
        <f>HYPERLINK("#5120!AM3","0110")</f>
        <v>0110</v>
      </c>
      <c r="D1060" s="22" t="str">
        <f>HYPERLINK("#5120!AM3","ガラス製薬びん")</f>
        <v>ガラス製薬びん</v>
      </c>
    </row>
    <row r="1061" spans="1:4" x14ac:dyDescent="0.4">
      <c r="A1061" s="21">
        <f t="shared" si="126"/>
        <v>5120</v>
      </c>
      <c r="B1061" s="22" t="str">
        <f t="shared" si="127"/>
        <v>ガラス製品・ほうろう鉄器月報</v>
      </c>
      <c r="C1061" s="21" t="str">
        <f>HYPERLINK("#5120!AQ3","0111")</f>
        <v>0111</v>
      </c>
      <c r="D1061" s="22" t="str">
        <f>HYPERLINK("#5120!AQ3","ガラス製コップ(台所・食卓用品)")</f>
        <v>ガラス製コップ(台所・食卓用品)</v>
      </c>
    </row>
    <row r="1062" spans="1:4" x14ac:dyDescent="0.4">
      <c r="A1062" s="21">
        <f t="shared" si="126"/>
        <v>5120</v>
      </c>
      <c r="B1062" s="22" t="str">
        <f t="shared" si="127"/>
        <v>ガラス製品・ほうろう鉄器月報</v>
      </c>
      <c r="C1062" s="21" t="str">
        <f>HYPERLINK("#5120!AU3","0112")</f>
        <v>0112</v>
      </c>
      <c r="D1062" s="22" t="str">
        <f>HYPERLINK("#5120!AU3","その他のガラス製台所・食卓用品(花びん・灰皿を含む)")</f>
        <v>その他のガラス製台所・食卓用品(花びん・灰皿を含む)</v>
      </c>
    </row>
    <row r="1063" spans="1:4" x14ac:dyDescent="0.4">
      <c r="A1063" s="21">
        <f t="shared" si="126"/>
        <v>5120</v>
      </c>
      <c r="B1063" s="22" t="str">
        <f t="shared" si="127"/>
        <v>ガラス製品・ほうろう鉄器月報</v>
      </c>
      <c r="C1063" s="21" t="str">
        <f>HYPERLINK("#5120!AY3","0113")</f>
        <v>0113</v>
      </c>
      <c r="D1063" s="22" t="str">
        <f>HYPERLINK("#5120!AY3","その他のガラス製品")</f>
        <v>その他のガラス製品</v>
      </c>
    </row>
    <row r="1064" spans="1:4" x14ac:dyDescent="0.4">
      <c r="A1064" s="21">
        <f t="shared" si="126"/>
        <v>5120</v>
      </c>
      <c r="B1064" s="22" t="str">
        <f t="shared" si="127"/>
        <v>ガラス製品・ほうろう鉄器月報</v>
      </c>
      <c r="C1064" s="21" t="str">
        <f>HYPERLINK("#5120!BC3","0114")</f>
        <v>0114</v>
      </c>
      <c r="D1064" s="22" t="str">
        <f>HYPERLINK("#5120!BC3","ほうろう鉄器製品")</f>
        <v>ほうろう鉄器製品</v>
      </c>
    </row>
    <row r="1065" spans="1:4" ht="15.75" x14ac:dyDescent="0.4">
      <c r="A1065" s="21">
        <f t="shared" ref="A1065:A1079" si="128">HYPERLINK("#5130!A1 ",5130)</f>
        <v>5130</v>
      </c>
      <c r="B1065" s="22" t="str">
        <f t="shared" ref="B1065:B1079" si="129">HYPERLINK("#5130!A1 ","陶磁器月報")</f>
        <v>陶磁器月報</v>
      </c>
      <c r="C1065" s="21" t="str">
        <f>HYPERLINK("#5130!C3","0101")</f>
        <v>0101</v>
      </c>
      <c r="D1065" s="23" t="s">
        <v>3277</v>
      </c>
    </row>
    <row r="1066" spans="1:4" ht="15.75" x14ac:dyDescent="0.4">
      <c r="A1066" s="21">
        <f t="shared" si="128"/>
        <v>5130</v>
      </c>
      <c r="B1066" s="22" t="str">
        <f t="shared" si="129"/>
        <v>陶磁器月報</v>
      </c>
      <c r="C1066" s="21" t="str">
        <f>HYPERLINK("#5130!G3","0102")</f>
        <v>0102</v>
      </c>
      <c r="D1066" s="23" t="s">
        <v>3278</v>
      </c>
    </row>
    <row r="1067" spans="1:4" ht="15.75" x14ac:dyDescent="0.4">
      <c r="A1067" s="21">
        <f t="shared" si="128"/>
        <v>5130</v>
      </c>
      <c r="B1067" s="22" t="str">
        <f t="shared" si="129"/>
        <v>陶磁器月報</v>
      </c>
      <c r="C1067" s="21" t="str">
        <f>HYPERLINK("#5130!K3","0103")</f>
        <v>0103</v>
      </c>
      <c r="D1067" s="23" t="s">
        <v>3279</v>
      </c>
    </row>
    <row r="1068" spans="1:4" ht="15.75" x14ac:dyDescent="0.4">
      <c r="A1068" s="21">
        <f t="shared" si="128"/>
        <v>5130</v>
      </c>
      <c r="B1068" s="22" t="str">
        <f t="shared" si="129"/>
        <v>陶磁器月報</v>
      </c>
      <c r="C1068" s="21" t="str">
        <f>HYPERLINK("#5130!O3","0104")</f>
        <v>0104</v>
      </c>
      <c r="D1068" s="23" t="s">
        <v>3280</v>
      </c>
    </row>
    <row r="1069" spans="1:4" x14ac:dyDescent="0.4">
      <c r="A1069" s="21">
        <f t="shared" si="128"/>
        <v>5130</v>
      </c>
      <c r="B1069" s="22" t="str">
        <f t="shared" si="129"/>
        <v>陶磁器月報</v>
      </c>
      <c r="C1069" s="21" t="str">
        <f>HYPERLINK("#5130!S3","0105")</f>
        <v>0105</v>
      </c>
      <c r="D1069" s="22" t="str">
        <f>HYPERLINK("#5130!S3","衛生用陶磁器(水洗式大便器)")</f>
        <v>衛生用陶磁器(水洗式大便器)</v>
      </c>
    </row>
    <row r="1070" spans="1:4" x14ac:dyDescent="0.4">
      <c r="A1070" s="21">
        <f t="shared" si="128"/>
        <v>5130</v>
      </c>
      <c r="B1070" s="22" t="str">
        <f t="shared" si="129"/>
        <v>陶磁器月報</v>
      </c>
      <c r="C1070" s="21" t="str">
        <f>HYPERLINK("#5130!W3","0106")</f>
        <v>0106</v>
      </c>
      <c r="D1070" s="22" t="str">
        <f>HYPERLINK("#5130!W3","衛生用陶磁器(水洗式小便器)")</f>
        <v>衛生用陶磁器(水洗式小便器)</v>
      </c>
    </row>
    <row r="1071" spans="1:4" x14ac:dyDescent="0.4">
      <c r="A1071" s="21">
        <f t="shared" si="128"/>
        <v>5130</v>
      </c>
      <c r="B1071" s="22" t="str">
        <f t="shared" si="129"/>
        <v>陶磁器月報</v>
      </c>
      <c r="C1071" s="21" t="str">
        <f>HYPERLINK("#5130!AA3","0107")</f>
        <v>0107</v>
      </c>
      <c r="D1071" s="22" t="str">
        <f>HYPERLINK("#5130!AA3","衛生用陶磁器(洗面手洗器)")</f>
        <v>衛生用陶磁器(洗面手洗器)</v>
      </c>
    </row>
    <row r="1072" spans="1:4" x14ac:dyDescent="0.4">
      <c r="A1072" s="21">
        <f t="shared" si="128"/>
        <v>5130</v>
      </c>
      <c r="B1072" s="22" t="str">
        <f t="shared" si="129"/>
        <v>陶磁器月報</v>
      </c>
      <c r="C1072" s="21" t="str">
        <f>HYPERLINK("#5130!AE3","0108")</f>
        <v>0108</v>
      </c>
      <c r="D1072" s="22" t="str">
        <f>HYPERLINK("#5130!AE3","衛生用陶磁器(タンク・流し類)")</f>
        <v>衛生用陶磁器(タンク・流し類)</v>
      </c>
    </row>
    <row r="1073" spans="1:4" x14ac:dyDescent="0.4">
      <c r="A1073" s="21">
        <f t="shared" si="128"/>
        <v>5130</v>
      </c>
      <c r="B1073" s="22" t="str">
        <f t="shared" si="129"/>
        <v>陶磁器月報</v>
      </c>
      <c r="C1073" s="21" t="str">
        <f>HYPERLINK("#5130!AI3","0109")</f>
        <v>0109</v>
      </c>
      <c r="D1073" s="22" t="str">
        <f>HYPERLINK("#5130!AI3","がい子(特別高圧用)")</f>
        <v>がい子(特別高圧用)</v>
      </c>
    </row>
    <row r="1074" spans="1:4" x14ac:dyDescent="0.4">
      <c r="A1074" s="21">
        <f t="shared" si="128"/>
        <v>5130</v>
      </c>
      <c r="B1074" s="22" t="str">
        <f t="shared" si="129"/>
        <v>陶磁器月報</v>
      </c>
      <c r="C1074" s="21" t="str">
        <f>HYPERLINK("#5130!AM3","0110")</f>
        <v>0110</v>
      </c>
      <c r="D1074" s="22" t="str">
        <f>HYPERLINK("#5130!AM3","がい子(高・低圧用)")</f>
        <v>がい子(高・低圧用)</v>
      </c>
    </row>
    <row r="1075" spans="1:4" x14ac:dyDescent="0.4">
      <c r="A1075" s="21">
        <f t="shared" si="128"/>
        <v>5130</v>
      </c>
      <c r="B1075" s="22" t="str">
        <f t="shared" si="129"/>
        <v>陶磁器月報</v>
      </c>
      <c r="C1075" s="21" t="str">
        <f>HYPERLINK("#5130!AQ3","0111")</f>
        <v>0111</v>
      </c>
      <c r="D1075" s="22" t="str">
        <f>HYPERLINK("#5130!AQ3","その他の電気用品(陶磁器)")</f>
        <v>その他の電気用品(陶磁器)</v>
      </c>
    </row>
    <row r="1076" spans="1:4" x14ac:dyDescent="0.4">
      <c r="A1076" s="21">
        <f t="shared" si="128"/>
        <v>5130</v>
      </c>
      <c r="B1076" s="22" t="str">
        <f t="shared" si="129"/>
        <v>陶磁器月報</v>
      </c>
      <c r="C1076" s="21" t="str">
        <f>HYPERLINK("#5130!AU3","0112")</f>
        <v>0112</v>
      </c>
      <c r="D1076" s="22" t="str">
        <f>HYPERLINK("#5130!AU3","台所・食卓用陶磁器(和飲食器)")</f>
        <v>台所・食卓用陶磁器(和飲食器)</v>
      </c>
    </row>
    <row r="1077" spans="1:4" x14ac:dyDescent="0.4">
      <c r="A1077" s="21">
        <f t="shared" si="128"/>
        <v>5130</v>
      </c>
      <c r="B1077" s="22" t="str">
        <f t="shared" si="129"/>
        <v>陶磁器月報</v>
      </c>
      <c r="C1077" s="21" t="str">
        <f>HYPERLINK("#5130!AW3","0113")</f>
        <v>0113</v>
      </c>
      <c r="D1077" s="22" t="str">
        <f>HYPERLINK("#5130!AW3","台所・食卓用陶磁器(洋飲食器)")</f>
        <v>台所・食卓用陶磁器(洋飲食器)</v>
      </c>
    </row>
    <row r="1078" spans="1:4" x14ac:dyDescent="0.4">
      <c r="A1078" s="21">
        <f t="shared" si="128"/>
        <v>5130</v>
      </c>
      <c r="B1078" s="22" t="str">
        <f t="shared" si="129"/>
        <v>陶磁器月報</v>
      </c>
      <c r="C1078" s="21" t="str">
        <f>HYPERLINK("#5130!AY3","0114")</f>
        <v>0114</v>
      </c>
      <c r="D1078" s="22" t="str">
        <f>HYPERLINK("#5130!AY3","その他の台所・食卓用陶磁器")</f>
        <v>その他の台所・食卓用陶磁器</v>
      </c>
    </row>
    <row r="1079" spans="1:4" x14ac:dyDescent="0.4">
      <c r="A1079" s="21">
        <f t="shared" si="128"/>
        <v>5130</v>
      </c>
      <c r="B1079" s="22" t="str">
        <f t="shared" si="129"/>
        <v>陶磁器月報</v>
      </c>
      <c r="C1079" s="21" t="str">
        <f>HYPERLINK("#5130!BA3","0115")</f>
        <v>0115</v>
      </c>
      <c r="D1079" s="22" t="str">
        <f>HYPERLINK("#5130!BA3","玩具・置物(陶磁器)")</f>
        <v>玩具・置物(陶磁器)</v>
      </c>
    </row>
    <row r="1080" spans="1:4" x14ac:dyDescent="0.4">
      <c r="A1080" s="21">
        <f t="shared" ref="A1080:A1091" si="130">HYPERLINK("#5140!A1 ",5140)</f>
        <v>5140</v>
      </c>
      <c r="B1080" s="22" t="str">
        <f t="shared" ref="B1080:B1091" si="131">HYPERLINK("#5140!A1 ","ファインセラミックス月報")</f>
        <v>ファインセラミックス月報</v>
      </c>
      <c r="C1080" s="21" t="str">
        <f>HYPERLINK("#5140!C3","0101")</f>
        <v>0101</v>
      </c>
      <c r="D1080" s="22" t="str">
        <f>HYPERLINK("#5140!C3","ファインセラミックス(集積回路用パッケージ)")</f>
        <v>ファインセラミックス(集積回路用パッケージ)</v>
      </c>
    </row>
    <row r="1081" spans="1:4" x14ac:dyDescent="0.4">
      <c r="A1081" s="21">
        <f t="shared" si="130"/>
        <v>5140</v>
      </c>
      <c r="B1081" s="22" t="str">
        <f t="shared" si="131"/>
        <v>ファインセラミックス月報</v>
      </c>
      <c r="C1081" s="21" t="str">
        <f>HYPERLINK("#5140!G3","0102")</f>
        <v>0102</v>
      </c>
      <c r="D1081" s="22" t="str">
        <f>HYPERLINK("#5140!G3","ファインセラミックス(機能回路用パッケージ)")</f>
        <v>ファインセラミックス(機能回路用パッケージ)</v>
      </c>
    </row>
    <row r="1082" spans="1:4" x14ac:dyDescent="0.4">
      <c r="A1082" s="21">
        <f t="shared" si="130"/>
        <v>5140</v>
      </c>
      <c r="B1082" s="22" t="str">
        <f t="shared" si="131"/>
        <v>ファインセラミックス月報</v>
      </c>
      <c r="C1082" s="21" t="str">
        <f>HYPERLINK("#5140!K3","0103")</f>
        <v>0103</v>
      </c>
      <c r="D1082" s="22" t="str">
        <f>HYPERLINK("#5140!K3","ファインセラミックス(白基板)")</f>
        <v>ファインセラミックス(白基板)</v>
      </c>
    </row>
    <row r="1083" spans="1:4" x14ac:dyDescent="0.4">
      <c r="A1083" s="21">
        <f t="shared" si="130"/>
        <v>5140</v>
      </c>
      <c r="B1083" s="22" t="str">
        <f t="shared" si="131"/>
        <v>ファインセラミックス月報</v>
      </c>
      <c r="C1083" s="21" t="str">
        <f>HYPERLINK("#5140!O3","0104")</f>
        <v>0104</v>
      </c>
      <c r="D1083" s="22" t="str">
        <f>HYPERLINK("#5140!O3","ファインセラミックス(圧電機能素子)")</f>
        <v>ファインセラミックス(圧電機能素子)</v>
      </c>
    </row>
    <row r="1084" spans="1:4" x14ac:dyDescent="0.4">
      <c r="A1084" s="21">
        <f t="shared" si="130"/>
        <v>5140</v>
      </c>
      <c r="B1084" s="22" t="str">
        <f t="shared" si="131"/>
        <v>ファインセラミックス月報</v>
      </c>
      <c r="C1084" s="21" t="str">
        <f>HYPERLINK("#5140!S3","0105")</f>
        <v>0105</v>
      </c>
      <c r="D1084" s="22" t="str">
        <f>HYPERLINK("#5140!S3","ファインセラミックス(ガスセンサ素子)")</f>
        <v>ファインセラミックス(ガスセンサ素子)</v>
      </c>
    </row>
    <row r="1085" spans="1:4" x14ac:dyDescent="0.4">
      <c r="A1085" s="21">
        <f t="shared" si="130"/>
        <v>5140</v>
      </c>
      <c r="B1085" s="22" t="str">
        <f t="shared" si="131"/>
        <v>ファインセラミックス月報</v>
      </c>
      <c r="C1085" s="21" t="str">
        <f>HYPERLINK("#5140!W3","0106")</f>
        <v>0106</v>
      </c>
      <c r="D1085" s="22" t="str">
        <f>HYPERLINK("#5140!W3","ファインセラミックス(生体用部材)")</f>
        <v>ファインセラミックス(生体用部材)</v>
      </c>
    </row>
    <row r="1086" spans="1:4" x14ac:dyDescent="0.4">
      <c r="A1086" s="21">
        <f t="shared" si="130"/>
        <v>5140</v>
      </c>
      <c r="B1086" s="22" t="str">
        <f t="shared" si="131"/>
        <v>ファインセラミックス月報</v>
      </c>
      <c r="C1086" s="21" t="str">
        <f>HYPERLINK("#5140!AA3","0107")</f>
        <v>0107</v>
      </c>
      <c r="D1086" s="22" t="str">
        <f>HYPERLINK("#5140!AA3","その他のファインセラミックス機能材")</f>
        <v>その他のファインセラミックス機能材</v>
      </c>
    </row>
    <row r="1087" spans="1:4" x14ac:dyDescent="0.4">
      <c r="A1087" s="21">
        <f t="shared" si="130"/>
        <v>5140</v>
      </c>
      <c r="B1087" s="22" t="str">
        <f t="shared" si="131"/>
        <v>ファインセラミックス月報</v>
      </c>
      <c r="C1087" s="21" t="str">
        <f>HYPERLINK("#5140!AE3","0108")</f>
        <v>0108</v>
      </c>
      <c r="D1087" s="22" t="str">
        <f>HYPERLINK("#5140!AE3","ファインセラミックス(触媒担体・セラミックフィルタ)")</f>
        <v>ファインセラミックス(触媒担体・セラミックフィルタ)</v>
      </c>
    </row>
    <row r="1088" spans="1:4" x14ac:dyDescent="0.4">
      <c r="A1088" s="21">
        <f t="shared" si="130"/>
        <v>5140</v>
      </c>
      <c r="B1088" s="22" t="str">
        <f t="shared" si="131"/>
        <v>ファインセラミックス月報</v>
      </c>
      <c r="C1088" s="21" t="str">
        <f>HYPERLINK("#5140!AI3","0109")</f>
        <v>0109</v>
      </c>
      <c r="D1088" s="22" t="str">
        <f>HYPERLINK("#5140!AI3","ファインセラミックス(耐熱材)")</f>
        <v>ファインセラミックス(耐熱材)</v>
      </c>
    </row>
    <row r="1089" spans="1:4" x14ac:dyDescent="0.4">
      <c r="A1089" s="21">
        <f t="shared" si="130"/>
        <v>5140</v>
      </c>
      <c r="B1089" s="22" t="str">
        <f t="shared" si="131"/>
        <v>ファインセラミックス月報</v>
      </c>
      <c r="C1089" s="21" t="str">
        <f>HYPERLINK("#5140!AM3","0110")</f>
        <v>0110</v>
      </c>
      <c r="D1089" s="22" t="str">
        <f>HYPERLINK("#5140!AM3","ファインセラミックス(工具材)")</f>
        <v>ファインセラミックス(工具材)</v>
      </c>
    </row>
    <row r="1090" spans="1:4" x14ac:dyDescent="0.4">
      <c r="A1090" s="21">
        <f t="shared" si="130"/>
        <v>5140</v>
      </c>
      <c r="B1090" s="22" t="str">
        <f t="shared" si="131"/>
        <v>ファインセラミックス月報</v>
      </c>
      <c r="C1090" s="21" t="str">
        <f>HYPERLINK("#5140!AQ3","0111")</f>
        <v>0111</v>
      </c>
      <c r="D1090" s="22" t="str">
        <f>HYPERLINK("#5140!AQ3","ファインセラミックス(耐摩耗・耐食材)")</f>
        <v>ファインセラミックス(耐摩耗・耐食材)</v>
      </c>
    </row>
    <row r="1091" spans="1:4" x14ac:dyDescent="0.4">
      <c r="A1091" s="21">
        <f t="shared" si="130"/>
        <v>5140</v>
      </c>
      <c r="B1091" s="22" t="str">
        <f t="shared" si="131"/>
        <v>ファインセラミックス月報</v>
      </c>
      <c r="C1091" s="21" t="str">
        <f>HYPERLINK("#5140!AU3","0112")</f>
        <v>0112</v>
      </c>
      <c r="D1091" s="22" t="str">
        <f>HYPERLINK("#5140!AU3","その他のファインセラミックス構造材")</f>
        <v>その他のファインセラミックス構造材</v>
      </c>
    </row>
    <row r="1092" spans="1:4" ht="16.5" x14ac:dyDescent="0.4">
      <c r="A1092" s="21">
        <f t="shared" ref="A1092:A1105" si="132">HYPERLINK("#6010!A1 ",6010)</f>
        <v>6010</v>
      </c>
      <c r="B1092" s="22" t="str">
        <f t="shared" ref="B1092:B1105" si="133">HYPERLINK("#6010!A1 ","化学肥料・石灰及びソーダ工業製品月報")</f>
        <v>化学肥料・石灰及びソーダ工業製品月報</v>
      </c>
      <c r="C1092" s="21" t="str">
        <f>HYPERLINK("#6010!C3","0101")</f>
        <v>0101</v>
      </c>
      <c r="D1092" s="23" t="s">
        <v>3281</v>
      </c>
    </row>
    <row r="1093" spans="1:4" x14ac:dyDescent="0.4">
      <c r="A1093" s="21">
        <f t="shared" si="132"/>
        <v>6010</v>
      </c>
      <c r="B1093" s="22" t="str">
        <f t="shared" si="133"/>
        <v>化学肥料・石灰及びソーダ工業製品月報</v>
      </c>
      <c r="C1093" s="21" t="str">
        <f>HYPERLINK("#6010!G3","0102")</f>
        <v>0102</v>
      </c>
      <c r="D1093" s="22" t="str">
        <f>HYPERLINK("#6010!G3","硝酸(９８％換算)")</f>
        <v>硝酸(９８％換算)</v>
      </c>
    </row>
    <row r="1094" spans="1:4" x14ac:dyDescent="0.4">
      <c r="A1094" s="21">
        <f t="shared" si="132"/>
        <v>6010</v>
      </c>
      <c r="B1094" s="22" t="str">
        <f t="shared" si="133"/>
        <v>化学肥料・石灰及びソーダ工業製品月報</v>
      </c>
      <c r="C1094" s="21" t="str">
        <f>HYPERLINK("#6010!K3","0103")</f>
        <v>0103</v>
      </c>
      <c r="D1094" s="22" t="str">
        <f>HYPERLINK("#6010!K3","硫酸アンモニウム")</f>
        <v>硫酸アンモニウム</v>
      </c>
    </row>
    <row r="1095" spans="1:4" x14ac:dyDescent="0.4">
      <c r="A1095" s="21">
        <f t="shared" si="132"/>
        <v>6010</v>
      </c>
      <c r="B1095" s="22" t="str">
        <f t="shared" si="133"/>
        <v>化学肥料・石灰及びソーダ工業製品月報</v>
      </c>
      <c r="C1095" s="21" t="str">
        <f>HYPERLINK("#6010!O3","0104")</f>
        <v>0104</v>
      </c>
      <c r="D1095" s="22" t="str">
        <f>HYPERLINK("#6010!O3","複合肥料(高度化成)(粒状)")</f>
        <v>複合肥料(高度化成)(粒状)</v>
      </c>
    </row>
    <row r="1096" spans="1:4" x14ac:dyDescent="0.4">
      <c r="A1096" s="21">
        <f t="shared" si="132"/>
        <v>6010</v>
      </c>
      <c r="B1096" s="22" t="str">
        <f t="shared" si="133"/>
        <v>化学肥料・石灰及びソーダ工業製品月報</v>
      </c>
      <c r="C1096" s="21" t="str">
        <f>HYPERLINK("#6010!S3","0105")</f>
        <v>0105</v>
      </c>
      <c r="D1096" s="22" t="str">
        <f>HYPERLINK("#6010!S3","複合肥料(普通化成)(粒状)")</f>
        <v>複合肥料(普通化成)(粒状)</v>
      </c>
    </row>
    <row r="1097" spans="1:4" x14ac:dyDescent="0.4">
      <c r="A1097" s="21">
        <f t="shared" si="132"/>
        <v>6010</v>
      </c>
      <c r="B1097" s="22" t="str">
        <f t="shared" si="133"/>
        <v>化学肥料・石灰及びソーダ工業製品月報</v>
      </c>
      <c r="C1097" s="21" t="str">
        <f>HYPERLINK("#6010!W3","0106")</f>
        <v>0106</v>
      </c>
      <c r="D1097" s="22" t="str">
        <f>HYPERLINK("#6010!W3","生石灰")</f>
        <v>生石灰</v>
      </c>
    </row>
    <row r="1098" spans="1:4" x14ac:dyDescent="0.4">
      <c r="A1098" s="21">
        <f t="shared" si="132"/>
        <v>6010</v>
      </c>
      <c r="B1098" s="22" t="str">
        <f t="shared" si="133"/>
        <v>化学肥料・石灰及びソーダ工業製品月報</v>
      </c>
      <c r="C1098" s="21" t="str">
        <f>HYPERLINK("#6010!AA3","0107")</f>
        <v>0107</v>
      </c>
      <c r="D1098" s="22" t="str">
        <f>HYPERLINK("#6010!AA3","消石灰")</f>
        <v>消石灰</v>
      </c>
    </row>
    <row r="1099" spans="1:4" x14ac:dyDescent="0.4">
      <c r="A1099" s="21">
        <f t="shared" si="132"/>
        <v>6010</v>
      </c>
      <c r="B1099" s="22" t="str">
        <f t="shared" si="133"/>
        <v>化学肥料・石灰及びソーダ工業製品月報</v>
      </c>
      <c r="C1099" s="21" t="str">
        <f>HYPERLINK("#6010!AE3","0108")</f>
        <v>0108</v>
      </c>
      <c r="D1099" s="22" t="str">
        <f>HYPERLINK("#6010!AE3","軽質炭酸カルシウム")</f>
        <v>軽質炭酸カルシウム</v>
      </c>
    </row>
    <row r="1100" spans="1:4" x14ac:dyDescent="0.4">
      <c r="A1100" s="21">
        <f t="shared" si="132"/>
        <v>6010</v>
      </c>
      <c r="B1100" s="22" t="str">
        <f t="shared" si="133"/>
        <v>化学肥料・石灰及びソーダ工業製品月報</v>
      </c>
      <c r="C1100" s="21" t="str">
        <f>HYPERLINK("#6010!AI3","0109")</f>
        <v>0109</v>
      </c>
      <c r="D1100" s="22" t="str">
        <f>HYPERLINK("#6010!AI3","か性ソーダ(液体９７％換算・固形有姿)")</f>
        <v>か性ソーダ(液体９７％換算・固形有姿)</v>
      </c>
    </row>
    <row r="1101" spans="1:4" x14ac:dyDescent="0.4">
      <c r="A1101" s="21">
        <f t="shared" si="132"/>
        <v>6010</v>
      </c>
      <c r="B1101" s="22" t="str">
        <f t="shared" si="133"/>
        <v>化学肥料・石灰及びソーダ工業製品月報</v>
      </c>
      <c r="C1101" s="21" t="str">
        <f>HYPERLINK("#6010!AM3","0110")</f>
        <v>0110</v>
      </c>
      <c r="D1101" s="22" t="str">
        <f>HYPERLINK("#6010!AM3","塩素ガス")</f>
        <v>塩素ガス</v>
      </c>
    </row>
    <row r="1102" spans="1:4" x14ac:dyDescent="0.4">
      <c r="A1102" s="21">
        <f t="shared" si="132"/>
        <v>6010</v>
      </c>
      <c r="B1102" s="22" t="str">
        <f t="shared" si="133"/>
        <v>化学肥料・石灰及びソーダ工業製品月報</v>
      </c>
      <c r="C1102" s="21" t="str">
        <f>HYPERLINK("#6010!AQ3","0111")</f>
        <v>0111</v>
      </c>
      <c r="D1102" s="22" t="str">
        <f>HYPERLINK("#6010!AQ3","液体塩素")</f>
        <v>液体塩素</v>
      </c>
    </row>
    <row r="1103" spans="1:4" x14ac:dyDescent="0.4">
      <c r="A1103" s="21">
        <f t="shared" si="132"/>
        <v>6010</v>
      </c>
      <c r="B1103" s="22" t="str">
        <f t="shared" si="133"/>
        <v>化学肥料・石灰及びソーダ工業製品月報</v>
      </c>
      <c r="C1103" s="21" t="str">
        <f>HYPERLINK("#6010!AU3","0112")</f>
        <v>0112</v>
      </c>
      <c r="D1103" s="22" t="str">
        <f>HYPERLINK("#6010!AU3","塩酸(合成)(３５％換算)")</f>
        <v>塩酸(合成)(３５％換算)</v>
      </c>
    </row>
    <row r="1104" spans="1:4" x14ac:dyDescent="0.4">
      <c r="A1104" s="21">
        <f t="shared" si="132"/>
        <v>6010</v>
      </c>
      <c r="B1104" s="22" t="str">
        <f t="shared" si="133"/>
        <v>化学肥料・石灰及びソーダ工業製品月報</v>
      </c>
      <c r="C1104" s="21" t="str">
        <f>HYPERLINK("#6010!AY3","0113")</f>
        <v>0113</v>
      </c>
      <c r="D1104" s="22" t="str">
        <f>HYPERLINK("#6010!AY3","塩酸(副生)(３５％換算)")</f>
        <v>塩酸(副生)(３５％換算)</v>
      </c>
    </row>
    <row r="1105" spans="1:4" x14ac:dyDescent="0.4">
      <c r="A1105" s="21">
        <f t="shared" si="132"/>
        <v>6010</v>
      </c>
      <c r="B1105" s="22" t="str">
        <f t="shared" si="133"/>
        <v>化学肥料・石灰及びソーダ工業製品月報</v>
      </c>
      <c r="C1105" s="21" t="str">
        <f>HYPERLINK("#6010!BC3","0114")</f>
        <v>0114</v>
      </c>
      <c r="D1105" s="22" t="str">
        <f>HYPERLINK("#6010!BC3","次亜塩素酸ナトリウム溶液(１２％換算)")</f>
        <v>次亜塩素酸ナトリウム溶液(１２％換算)</v>
      </c>
    </row>
    <row r="1106" spans="1:4" x14ac:dyDescent="0.4">
      <c r="A1106" s="21">
        <f t="shared" ref="A1106:A1115" si="134">HYPERLINK("#6080!A1 ",6080)</f>
        <v>6080</v>
      </c>
      <c r="B1106" s="22" t="str">
        <f t="shared" ref="B1106:B1115" si="135">HYPERLINK("#6080!A1 ","コールタール製品・環式中間物及び合成染料月報")</f>
        <v>コールタール製品・環式中間物及び合成染料月報</v>
      </c>
      <c r="C1106" s="21" t="str">
        <f>HYPERLINK("#6080!C3","0101")</f>
        <v>0101</v>
      </c>
      <c r="D1106" s="22" t="str">
        <f>HYPERLINK("#6080!C3","コールタール")</f>
        <v>コールタール</v>
      </c>
    </row>
    <row r="1107" spans="1:4" x14ac:dyDescent="0.4">
      <c r="A1107" s="21">
        <f t="shared" si="134"/>
        <v>6080</v>
      </c>
      <c r="B1107" s="22" t="str">
        <f t="shared" si="135"/>
        <v>コールタール製品・環式中間物及び合成染料月報</v>
      </c>
      <c r="C1107" s="21" t="str">
        <f>HYPERLINK("#6080!G3","0102")</f>
        <v>0102</v>
      </c>
      <c r="D1107" s="22" t="str">
        <f>HYPERLINK("#6080!G3","粗製ベンゼン（180℃までに100％留出のものに換算）")</f>
        <v>粗製ベンゼン（180℃までに100％留出のものに換算）</v>
      </c>
    </row>
    <row r="1108" spans="1:4" x14ac:dyDescent="0.4">
      <c r="A1108" s="21">
        <f t="shared" si="134"/>
        <v>6080</v>
      </c>
      <c r="B1108" s="22" t="str">
        <f t="shared" si="135"/>
        <v>コールタール製品・環式中間物及び合成染料月報</v>
      </c>
      <c r="C1108" s="21" t="str">
        <f>HYPERLINK("#6080!K3","0103")</f>
        <v>0103</v>
      </c>
      <c r="D1108" s="22" t="str">
        <f>HYPERLINK("#6080!K3","クレオソート油")</f>
        <v>クレオソート油</v>
      </c>
    </row>
    <row r="1109" spans="1:4" x14ac:dyDescent="0.4">
      <c r="A1109" s="21">
        <f t="shared" si="134"/>
        <v>6080</v>
      </c>
      <c r="B1109" s="22" t="str">
        <f t="shared" si="135"/>
        <v>コールタール製品・環式中間物及び合成染料月報</v>
      </c>
      <c r="C1109" s="21" t="str">
        <f>HYPERLINK("#6080!O3","0104")</f>
        <v>0104</v>
      </c>
      <c r="D1109" s="22" t="str">
        <f>HYPERLINK("#6080!O3","ナフタリン")</f>
        <v>ナフタリン</v>
      </c>
    </row>
    <row r="1110" spans="1:4" x14ac:dyDescent="0.4">
      <c r="A1110" s="21">
        <f t="shared" si="134"/>
        <v>6080</v>
      </c>
      <c r="B1110" s="22" t="str">
        <f t="shared" si="135"/>
        <v>コールタール製品・環式中間物及び合成染料月報</v>
      </c>
      <c r="C1110" s="21" t="str">
        <f>HYPERLINK("#6080!S3","0105")</f>
        <v>0105</v>
      </c>
      <c r="D1110" s="22" t="str">
        <f>HYPERLINK("#6080!S3","副生硫酸アンモニウム")</f>
        <v>副生硫酸アンモニウム</v>
      </c>
    </row>
    <row r="1111" spans="1:4" x14ac:dyDescent="0.4">
      <c r="A1111" s="21">
        <f t="shared" si="134"/>
        <v>6080</v>
      </c>
      <c r="B1111" s="22" t="str">
        <f t="shared" si="135"/>
        <v>コールタール製品・環式中間物及び合成染料月報</v>
      </c>
      <c r="C1111" s="21" t="str">
        <f>HYPERLINK("#6080!W3","0106")</f>
        <v>0106</v>
      </c>
      <c r="D1111" s="22" t="str">
        <f>HYPERLINK("#6080!W3","ジフェニルメタンジイソシアネート")</f>
        <v>ジフェニルメタンジイソシアネート</v>
      </c>
    </row>
    <row r="1112" spans="1:4" x14ac:dyDescent="0.4">
      <c r="A1112" s="21">
        <f t="shared" si="134"/>
        <v>6080</v>
      </c>
      <c r="B1112" s="22" t="str">
        <f t="shared" si="135"/>
        <v>コールタール製品・環式中間物及び合成染料月報</v>
      </c>
      <c r="C1112" s="21" t="str">
        <f>HYPERLINK("#6080!AA3","0107")</f>
        <v>0107</v>
      </c>
      <c r="D1112" s="22" t="str">
        <f>HYPERLINK("#6080!AA3","シクロヘキサン")</f>
        <v>シクロヘキサン</v>
      </c>
    </row>
    <row r="1113" spans="1:4" x14ac:dyDescent="0.4">
      <c r="A1113" s="21">
        <f t="shared" si="134"/>
        <v>6080</v>
      </c>
      <c r="B1113" s="22" t="str">
        <f t="shared" si="135"/>
        <v>コールタール製品・環式中間物及び合成染料月報</v>
      </c>
      <c r="C1113" s="21" t="str">
        <f>HYPERLINK("#6080!AE3","0108")</f>
        <v>0108</v>
      </c>
      <c r="D1113" s="22" t="str">
        <f>HYPERLINK("#6080!AE3","無水フタル酸(石油化学製品を除く)")</f>
        <v>無水フタル酸(石油化学製品を除く)</v>
      </c>
    </row>
    <row r="1114" spans="1:4" x14ac:dyDescent="0.4">
      <c r="A1114" s="21">
        <f t="shared" si="134"/>
        <v>6080</v>
      </c>
      <c r="B1114" s="22" t="str">
        <f t="shared" si="135"/>
        <v>コールタール製品・環式中間物及び合成染料月報</v>
      </c>
      <c r="C1114" s="21" t="str">
        <f>HYPERLINK("#6080!AI3","0109")</f>
        <v>0109</v>
      </c>
      <c r="D1114" s="22" t="str">
        <f>HYPERLINK("#6080!AI3","合成染料")</f>
        <v>合成染料</v>
      </c>
    </row>
    <row r="1115" spans="1:4" x14ac:dyDescent="0.4">
      <c r="A1115" s="21">
        <f t="shared" si="134"/>
        <v>6080</v>
      </c>
      <c r="B1115" s="22" t="str">
        <f t="shared" si="135"/>
        <v>コールタール製品・環式中間物及び合成染料月報</v>
      </c>
      <c r="C1115" s="21" t="str">
        <f>HYPERLINK("#6080!AM3","0110")</f>
        <v>0110</v>
      </c>
      <c r="D1115" s="22" t="str">
        <f>HYPERLINK("#6080!AM3","有機ゴム薬品")</f>
        <v>有機ゴム薬品</v>
      </c>
    </row>
    <row r="1116" spans="1:4" x14ac:dyDescent="0.4">
      <c r="A1116" s="21">
        <f t="shared" ref="A1116:A1124" si="136">HYPERLINK("#6090!A1 ",6090)</f>
        <v>6090</v>
      </c>
      <c r="B1116" s="22" t="str">
        <f t="shared" ref="B1116:B1124" si="137">HYPERLINK("#6090!A1 ","有機薬品及び写真感光材料月報")</f>
        <v>有機薬品及び写真感光材料月報</v>
      </c>
      <c r="C1116" s="21" t="str">
        <f>HYPERLINK("#6090!C3","0101")</f>
        <v>0101</v>
      </c>
      <c r="D1116" s="22" t="str">
        <f>HYPERLINK("#6090!C3","発酵エチルアルコール(９５％)")</f>
        <v>発酵エチルアルコール(９５％)</v>
      </c>
    </row>
    <row r="1117" spans="1:4" x14ac:dyDescent="0.4">
      <c r="A1117" s="21">
        <f t="shared" si="136"/>
        <v>6090</v>
      </c>
      <c r="B1117" s="22" t="str">
        <f t="shared" si="137"/>
        <v>有機薬品及び写真感光材料月報</v>
      </c>
      <c r="C1117" s="21" t="str">
        <f>HYPERLINK("#6090!G3","0102")</f>
        <v>0102</v>
      </c>
      <c r="D1117" s="22" t="str">
        <f>HYPERLINK("#6090!G3","ホルマリン")</f>
        <v>ホルマリン</v>
      </c>
    </row>
    <row r="1118" spans="1:4" x14ac:dyDescent="0.4">
      <c r="A1118" s="21">
        <f t="shared" si="136"/>
        <v>6090</v>
      </c>
      <c r="B1118" s="22" t="str">
        <f t="shared" si="137"/>
        <v>有機薬品及び写真感光材料月報</v>
      </c>
      <c r="C1118" s="21" t="str">
        <f>HYPERLINK("#6090!K3","0103")</f>
        <v>0103</v>
      </c>
      <c r="D1118" s="22" t="str">
        <f>HYPERLINK("#6090!K3","塩化メチル")</f>
        <v>塩化メチル</v>
      </c>
    </row>
    <row r="1119" spans="1:4" x14ac:dyDescent="0.4">
      <c r="A1119" s="21">
        <f t="shared" si="136"/>
        <v>6090</v>
      </c>
      <c r="B1119" s="22" t="str">
        <f t="shared" si="137"/>
        <v>有機薬品及び写真感光材料月報</v>
      </c>
      <c r="C1119" s="21" t="str">
        <f>HYPERLINK("#6090!O3","0104")</f>
        <v>0104</v>
      </c>
      <c r="D1119" s="22" t="str">
        <f>HYPERLINK("#6090!O3","塩化メチレン")</f>
        <v>塩化メチレン</v>
      </c>
    </row>
    <row r="1120" spans="1:4" x14ac:dyDescent="0.4">
      <c r="A1120" s="21">
        <f t="shared" si="136"/>
        <v>6090</v>
      </c>
      <c r="B1120" s="22" t="str">
        <f t="shared" si="137"/>
        <v>有機薬品及び写真感光材料月報</v>
      </c>
      <c r="C1120" s="21" t="str">
        <f>HYPERLINK("#6090!S3","0105")</f>
        <v>0105</v>
      </c>
      <c r="D1120" s="22" t="str">
        <f>HYPERLINK("#6090!S3","無水マレイン酸")</f>
        <v>無水マレイン酸</v>
      </c>
    </row>
    <row r="1121" spans="1:4" x14ac:dyDescent="0.4">
      <c r="A1121" s="21">
        <f t="shared" si="136"/>
        <v>6090</v>
      </c>
      <c r="B1121" s="22" t="str">
        <f t="shared" si="137"/>
        <v>有機薬品及び写真感光材料月報</v>
      </c>
      <c r="C1121" s="21" t="str">
        <f>HYPERLINK("#6090!W3","0106")</f>
        <v>0106</v>
      </c>
      <c r="D1121" s="22" t="str">
        <f>HYPERLINK("#6090!W3","フタル酸系可塑剤")</f>
        <v>フタル酸系可塑剤</v>
      </c>
    </row>
    <row r="1122" spans="1:4" x14ac:dyDescent="0.4">
      <c r="A1122" s="21">
        <f t="shared" si="136"/>
        <v>6090</v>
      </c>
      <c r="B1122" s="22" t="str">
        <f t="shared" si="137"/>
        <v>有機薬品及び写真感光材料月報</v>
      </c>
      <c r="C1122" s="21" t="str">
        <f>HYPERLINK("#6090!AA3","0107")</f>
        <v>0107</v>
      </c>
      <c r="D1122" s="22" t="str">
        <f>HYPERLINK("#6090!AA3","りん酸系可塑剤")</f>
        <v>りん酸系可塑剤</v>
      </c>
    </row>
    <row r="1123" spans="1:4" x14ac:dyDescent="0.4">
      <c r="A1123" s="21">
        <f t="shared" si="136"/>
        <v>6090</v>
      </c>
      <c r="B1123" s="22" t="str">
        <f t="shared" si="137"/>
        <v>有機薬品及び写真感光材料月報</v>
      </c>
      <c r="C1123" s="21" t="str">
        <f>HYPERLINK("#6090!AE3","0108")</f>
        <v>0108</v>
      </c>
      <c r="D1123" s="22" t="str">
        <f>HYPERLINK("#6090!AE3","エポキシ系可塑剤")</f>
        <v>エポキシ系可塑剤</v>
      </c>
    </row>
    <row r="1124" spans="1:4" x14ac:dyDescent="0.4">
      <c r="A1124" s="21">
        <f t="shared" si="136"/>
        <v>6090</v>
      </c>
      <c r="B1124" s="22" t="str">
        <f t="shared" si="137"/>
        <v>有機薬品及び写真感光材料月報</v>
      </c>
      <c r="C1124" s="21" t="str">
        <f>HYPERLINK("#6090!AI3","0109")</f>
        <v>0109</v>
      </c>
      <c r="D1124" s="22" t="str">
        <f>HYPERLINK("#6090!AI3","写真フィルム")</f>
        <v>写真フィルム</v>
      </c>
    </row>
    <row r="1125" spans="1:4" x14ac:dyDescent="0.4">
      <c r="A1125" s="21">
        <f t="shared" ref="A1125:A1172" si="138">HYPERLINK("#6100!A1 ",6100)</f>
        <v>6100</v>
      </c>
      <c r="B1125" s="22" t="str">
        <f t="shared" ref="B1125:B1172" si="139">HYPERLINK("#6100!A1 ","石油化学製品月報")</f>
        <v>石油化学製品月報</v>
      </c>
      <c r="C1125" s="21" t="str">
        <f>HYPERLINK("#6100!C3","0101")</f>
        <v>0101</v>
      </c>
      <c r="D1125" s="22" t="str">
        <f>HYPERLINK("#6100!C3","ポリエチレン(低密度のもの(密度０．９４未満のもの))")</f>
        <v>ポリエチレン(低密度のもの(密度０．９４未満のもの))</v>
      </c>
    </row>
    <row r="1126" spans="1:4" x14ac:dyDescent="0.4">
      <c r="A1126" s="21">
        <f t="shared" si="138"/>
        <v>6100</v>
      </c>
      <c r="B1126" s="22" t="str">
        <f t="shared" si="139"/>
        <v>石油化学製品月報</v>
      </c>
      <c r="C1126" s="21" t="str">
        <f>HYPERLINK("#6100!G3","0102")</f>
        <v>0102</v>
      </c>
      <c r="D1126" s="22" t="str">
        <f>HYPERLINK("#6100!G3","ポリエチレン(高密度のもの(密度０．９４以上のもの))")</f>
        <v>ポリエチレン(高密度のもの(密度０．９４以上のもの))</v>
      </c>
    </row>
    <row r="1127" spans="1:4" x14ac:dyDescent="0.4">
      <c r="A1127" s="21">
        <f t="shared" si="138"/>
        <v>6100</v>
      </c>
      <c r="B1127" s="22" t="str">
        <f t="shared" si="139"/>
        <v>石油化学製品月報</v>
      </c>
      <c r="C1127" s="21" t="str">
        <f>HYPERLINK("#6100!K3","0103")</f>
        <v>0103</v>
      </c>
      <c r="D1127" s="22" t="str">
        <f>HYPERLINK("#6100!K3","ポリエチレン(エチレン・酢酸ビニルコポリマー)")</f>
        <v>ポリエチレン(エチレン・酢酸ビニルコポリマー)</v>
      </c>
    </row>
    <row r="1128" spans="1:4" x14ac:dyDescent="0.4">
      <c r="A1128" s="21">
        <f t="shared" si="138"/>
        <v>6100</v>
      </c>
      <c r="B1128" s="22" t="str">
        <f t="shared" si="139"/>
        <v>石油化学製品月報</v>
      </c>
      <c r="C1128" s="21" t="str">
        <f>HYPERLINK("#6100!O3","0104")</f>
        <v>0104</v>
      </c>
      <c r="D1128" s="22" t="str">
        <f>HYPERLINK("#6100!O3","ポリスチレン(成形材料(ＧＰ・ＨＩ))")</f>
        <v>ポリスチレン(成形材料(ＧＰ・ＨＩ))</v>
      </c>
    </row>
    <row r="1129" spans="1:4" x14ac:dyDescent="0.4">
      <c r="A1129" s="21">
        <f t="shared" si="138"/>
        <v>6100</v>
      </c>
      <c r="B1129" s="22" t="str">
        <f t="shared" si="139"/>
        <v>石油化学製品月報</v>
      </c>
      <c r="C1129" s="21" t="str">
        <f>HYPERLINK("#6100!S3","0105")</f>
        <v>0105</v>
      </c>
      <c r="D1129" s="22" t="str">
        <f>HYPERLINK("#6100!S3","ポリスチレン(発泡用(ＦＳ))")</f>
        <v>ポリスチレン(発泡用(ＦＳ))</v>
      </c>
    </row>
    <row r="1130" spans="1:4" x14ac:dyDescent="0.4">
      <c r="A1130" s="21">
        <f t="shared" si="138"/>
        <v>6100</v>
      </c>
      <c r="B1130" s="22" t="str">
        <f t="shared" si="139"/>
        <v>石油化学製品月報</v>
      </c>
      <c r="C1130" s="21" t="str">
        <f>HYPERLINK("#6100!W3","0106")</f>
        <v>0106</v>
      </c>
      <c r="D1130" s="22" t="str">
        <f>HYPERLINK("#6100!W3","ポリスチレン(ＡＳ樹脂・ＡＢＳ樹脂)")</f>
        <v>ポリスチレン(ＡＳ樹脂・ＡＢＳ樹脂)</v>
      </c>
    </row>
    <row r="1131" spans="1:4" x14ac:dyDescent="0.4">
      <c r="A1131" s="21">
        <f t="shared" si="138"/>
        <v>6100</v>
      </c>
      <c r="B1131" s="22" t="str">
        <f t="shared" si="139"/>
        <v>石油化学製品月報</v>
      </c>
      <c r="C1131" s="21" t="str">
        <f>HYPERLINK("#6100!AA3","0108")</f>
        <v>0108</v>
      </c>
      <c r="D1131" s="22" t="str">
        <f>HYPERLINK("#6100!AA3","ポリプロピレン")</f>
        <v>ポリプロピレン</v>
      </c>
    </row>
    <row r="1132" spans="1:4" x14ac:dyDescent="0.4">
      <c r="A1132" s="21">
        <f t="shared" si="138"/>
        <v>6100</v>
      </c>
      <c r="B1132" s="22" t="str">
        <f t="shared" si="139"/>
        <v>石油化学製品月報</v>
      </c>
      <c r="C1132" s="21" t="str">
        <f>HYPERLINK("#6100!AE3","0110")</f>
        <v>0110</v>
      </c>
      <c r="D1132" s="22" t="str">
        <f>HYPERLINK("#6100!AE3","石油樹脂")</f>
        <v>石油樹脂</v>
      </c>
    </row>
    <row r="1133" spans="1:4" x14ac:dyDescent="0.4">
      <c r="A1133" s="21">
        <f t="shared" si="138"/>
        <v>6100</v>
      </c>
      <c r="B1133" s="22" t="str">
        <f t="shared" si="139"/>
        <v>石油化学製品月報</v>
      </c>
      <c r="C1133" s="21" t="str">
        <f>HYPERLINK("#6100!AI3","0112")</f>
        <v>0112</v>
      </c>
      <c r="D1133" s="22" t="str">
        <f>HYPERLINK("#6100!AI3","スチレンブタジエンラバー(クラム(油入りを除く))")</f>
        <v>スチレンブタジエンラバー(クラム(油入りを除く))</v>
      </c>
    </row>
    <row r="1134" spans="1:4" x14ac:dyDescent="0.4">
      <c r="A1134" s="21">
        <f t="shared" si="138"/>
        <v>6100</v>
      </c>
      <c r="B1134" s="22" t="str">
        <f t="shared" si="139"/>
        <v>石油化学製品月報</v>
      </c>
      <c r="C1134" s="21" t="str">
        <f>HYPERLINK("#6100!AM3","0113")</f>
        <v>0113</v>
      </c>
      <c r="D1134" s="22" t="str">
        <f>HYPERLINK("#6100!AM3","スチレンブタジエンラバー(クラム(油入り))")</f>
        <v>スチレンブタジエンラバー(クラム(油入り))</v>
      </c>
    </row>
    <row r="1135" spans="1:4" x14ac:dyDescent="0.4">
      <c r="A1135" s="21">
        <f t="shared" si="138"/>
        <v>6100</v>
      </c>
      <c r="B1135" s="22" t="str">
        <f t="shared" si="139"/>
        <v>石油化学製品月報</v>
      </c>
      <c r="C1135" s="21" t="str">
        <f>HYPERLINK("#6100!AQ3","0114")</f>
        <v>0114</v>
      </c>
      <c r="D1135" s="22" t="str">
        <f>HYPERLINK("#6100!AQ3","スチレンブタジエンラバー(ラテックス)")</f>
        <v>スチレンブタジエンラバー(ラテックス)</v>
      </c>
    </row>
    <row r="1136" spans="1:4" x14ac:dyDescent="0.4">
      <c r="A1136" s="21">
        <f t="shared" si="138"/>
        <v>6100</v>
      </c>
      <c r="B1136" s="22" t="str">
        <f t="shared" si="139"/>
        <v>石油化学製品月報</v>
      </c>
      <c r="C1136" s="21" t="str">
        <f>HYPERLINK("#6100!AU3","0115")</f>
        <v>0115</v>
      </c>
      <c r="D1136" s="22" t="str">
        <f>HYPERLINK("#6100!AU3","アクリロニトリルブタジエンラバー")</f>
        <v>アクリロニトリルブタジエンラバー</v>
      </c>
    </row>
    <row r="1137" spans="1:4" x14ac:dyDescent="0.4">
      <c r="A1137" s="21">
        <f t="shared" si="138"/>
        <v>6100</v>
      </c>
      <c r="B1137" s="22" t="str">
        <f t="shared" si="139"/>
        <v>石油化学製品月報</v>
      </c>
      <c r="C1137" s="21" t="str">
        <f>HYPERLINK("#6100!AY3","0116")</f>
        <v>0116</v>
      </c>
      <c r="D1137" s="22" t="str">
        <f>HYPERLINK("#6100!AY3","ポリクロロプレン")</f>
        <v>ポリクロロプレン</v>
      </c>
    </row>
    <row r="1138" spans="1:4" x14ac:dyDescent="0.4">
      <c r="A1138" s="21">
        <f t="shared" si="138"/>
        <v>6100</v>
      </c>
      <c r="B1138" s="22" t="str">
        <f t="shared" si="139"/>
        <v>石油化学製品月報</v>
      </c>
      <c r="C1138" s="21" t="str">
        <f>HYPERLINK("#6100!BC3","0117")</f>
        <v>0117</v>
      </c>
      <c r="D1138" s="22" t="str">
        <f>HYPERLINK("#6100!BC3","ポリブタジエン")</f>
        <v>ポリブタジエン</v>
      </c>
    </row>
    <row r="1139" spans="1:4" x14ac:dyDescent="0.4">
      <c r="A1139" s="21">
        <f t="shared" si="138"/>
        <v>6100</v>
      </c>
      <c r="B1139" s="22" t="str">
        <f t="shared" si="139"/>
        <v>石油化学製品月報</v>
      </c>
      <c r="C1139" s="21" t="str">
        <f>HYPERLINK("#6100!BG3","0118")</f>
        <v>0118</v>
      </c>
      <c r="D1139" s="22" t="str">
        <f>HYPERLINK("#6100!BG3","エチレンプロピレンラバー")</f>
        <v>エチレンプロピレンラバー</v>
      </c>
    </row>
    <row r="1140" spans="1:4" x14ac:dyDescent="0.4">
      <c r="A1140" s="21">
        <f t="shared" si="138"/>
        <v>6100</v>
      </c>
      <c r="B1140" s="22" t="str">
        <f t="shared" si="139"/>
        <v>石油化学製品月報</v>
      </c>
      <c r="C1140" s="21" t="str">
        <f>HYPERLINK("#6100!BK3","0119")</f>
        <v>0119</v>
      </c>
      <c r="D1140" s="22" t="str">
        <f>HYPERLINK("#6100!BK3","その他の合成ゴム")</f>
        <v>その他の合成ゴム</v>
      </c>
    </row>
    <row r="1141" spans="1:4" x14ac:dyDescent="0.4">
      <c r="A1141" s="21">
        <f t="shared" si="138"/>
        <v>6100</v>
      </c>
      <c r="B1141" s="22" t="str">
        <f t="shared" si="139"/>
        <v>石油化学製品月報</v>
      </c>
      <c r="C1141" s="21" t="str">
        <f>HYPERLINK("#6100!BO3","0120")</f>
        <v>0120</v>
      </c>
      <c r="D1141" s="22" t="str">
        <f>HYPERLINK("#6100!BO3","スチレンモノマー")</f>
        <v>スチレンモノマー</v>
      </c>
    </row>
    <row r="1142" spans="1:4" x14ac:dyDescent="0.4">
      <c r="A1142" s="21">
        <f t="shared" si="138"/>
        <v>6100</v>
      </c>
      <c r="B1142" s="22" t="str">
        <f t="shared" si="139"/>
        <v>石油化学製品月報</v>
      </c>
      <c r="C1142" s="21" t="str">
        <f>HYPERLINK("#6100!BS3","0121")</f>
        <v>0121</v>
      </c>
      <c r="D1142" s="22" t="str">
        <f>HYPERLINK("#6100!BS3","フェノール")</f>
        <v>フェノール</v>
      </c>
    </row>
    <row r="1143" spans="1:4" x14ac:dyDescent="0.4">
      <c r="A1143" s="21">
        <f t="shared" si="138"/>
        <v>6100</v>
      </c>
      <c r="B1143" s="22" t="str">
        <f t="shared" si="139"/>
        <v>石油化学製品月報</v>
      </c>
      <c r="C1143" s="21" t="str">
        <f>HYPERLINK("#6100!BW3","0124")</f>
        <v>0124</v>
      </c>
      <c r="D1143" s="22" t="str">
        <f>HYPERLINK("#6100!BW3","ビスフェノールＡ")</f>
        <v>ビスフェノールＡ</v>
      </c>
    </row>
    <row r="1144" spans="1:4" x14ac:dyDescent="0.4">
      <c r="A1144" s="21">
        <f t="shared" si="138"/>
        <v>6100</v>
      </c>
      <c r="B1144" s="22" t="str">
        <f t="shared" si="139"/>
        <v>石油化学製品月報</v>
      </c>
      <c r="C1144" s="21" t="str">
        <f>HYPERLINK("#6100!CA3","0125")</f>
        <v>0125</v>
      </c>
      <c r="D1144" s="22" t="str">
        <f>HYPERLINK("#6100!CA3","無水フタル酸")</f>
        <v>無水フタル酸</v>
      </c>
    </row>
    <row r="1145" spans="1:4" x14ac:dyDescent="0.4">
      <c r="A1145" s="21">
        <f t="shared" si="138"/>
        <v>6100</v>
      </c>
      <c r="B1145" s="22" t="str">
        <f t="shared" si="139"/>
        <v>石油化学製品月報</v>
      </c>
      <c r="C1145" s="21" t="str">
        <f>HYPERLINK("#6100!CE3","0126")</f>
        <v>0126</v>
      </c>
      <c r="D1145" s="22" t="str">
        <f>HYPERLINK("#6100!CE3","テレフタル酸(高純度のもの)")</f>
        <v>テレフタル酸(高純度のもの)</v>
      </c>
    </row>
    <row r="1146" spans="1:4" x14ac:dyDescent="0.4">
      <c r="A1146" s="21">
        <f t="shared" si="138"/>
        <v>6100</v>
      </c>
      <c r="B1146" s="22" t="str">
        <f t="shared" si="139"/>
        <v>石油化学製品月報</v>
      </c>
      <c r="C1146" s="21" t="str">
        <f>HYPERLINK("#6100!CI3","0128")</f>
        <v>0128</v>
      </c>
      <c r="D1146" s="22" t="str">
        <f>HYPERLINK("#6100!CI3","純ベンゼン(非石油系を含む)")</f>
        <v>純ベンゼン(非石油系を含む)</v>
      </c>
    </row>
    <row r="1147" spans="1:4" x14ac:dyDescent="0.4">
      <c r="A1147" s="21">
        <f t="shared" si="138"/>
        <v>6100</v>
      </c>
      <c r="B1147" s="22" t="str">
        <f t="shared" si="139"/>
        <v>石油化学製品月報</v>
      </c>
      <c r="C1147" s="21" t="str">
        <f>HYPERLINK("#6100!CM3","0129")</f>
        <v>0129</v>
      </c>
      <c r="D1147" s="22" t="str">
        <f>HYPERLINK("#6100!CM3","純トルエン(非石油系を含む)")</f>
        <v>純トルエン(非石油系を含む)</v>
      </c>
    </row>
    <row r="1148" spans="1:4" x14ac:dyDescent="0.4">
      <c r="A1148" s="21">
        <f t="shared" si="138"/>
        <v>6100</v>
      </c>
      <c r="B1148" s="22" t="str">
        <f t="shared" si="139"/>
        <v>石油化学製品月報</v>
      </c>
      <c r="C1148" s="21" t="str">
        <f>HYPERLINK("#6100!CQ3","0130")</f>
        <v>0130</v>
      </c>
      <c r="D1148" s="22" t="str">
        <f>HYPERLINK("#6100!CQ3","キシレン(非石油系を含む)")</f>
        <v>キシレン(非石油系を含む)</v>
      </c>
    </row>
    <row r="1149" spans="1:4" x14ac:dyDescent="0.4">
      <c r="A1149" s="21">
        <f t="shared" si="138"/>
        <v>6100</v>
      </c>
      <c r="B1149" s="22" t="str">
        <f t="shared" si="139"/>
        <v>石油化学製品月報</v>
      </c>
      <c r="C1149" s="21" t="str">
        <f>HYPERLINK("#6100!CU3","0131")</f>
        <v>0131</v>
      </c>
      <c r="D1149" s="22" t="str">
        <f>HYPERLINK("#6100!CU3","オルソキシレン")</f>
        <v>オルソキシレン</v>
      </c>
    </row>
    <row r="1150" spans="1:4" x14ac:dyDescent="0.4">
      <c r="A1150" s="21">
        <f t="shared" si="138"/>
        <v>6100</v>
      </c>
      <c r="B1150" s="22" t="str">
        <f t="shared" si="139"/>
        <v>石油化学製品月報</v>
      </c>
      <c r="C1150" s="21" t="str">
        <f>HYPERLINK("#6100!CY3","0132")</f>
        <v>0132</v>
      </c>
      <c r="D1150" s="22" t="str">
        <f>HYPERLINK("#6100!CY3","パラキシレン")</f>
        <v>パラキシレン</v>
      </c>
    </row>
    <row r="1151" spans="1:4" x14ac:dyDescent="0.4">
      <c r="A1151" s="21">
        <f t="shared" si="138"/>
        <v>6100</v>
      </c>
      <c r="B1151" s="22" t="str">
        <f t="shared" si="139"/>
        <v>石油化学製品月報</v>
      </c>
      <c r="C1151" s="21" t="str">
        <f>HYPERLINK("#6100!DC3","0134")</f>
        <v>0134</v>
      </c>
      <c r="D1151" s="22" t="str">
        <f>HYPERLINK("#6100!DC3","エチレン")</f>
        <v>エチレン</v>
      </c>
    </row>
    <row r="1152" spans="1:4" x14ac:dyDescent="0.4">
      <c r="A1152" s="21">
        <f t="shared" si="138"/>
        <v>6100</v>
      </c>
      <c r="B1152" s="22" t="str">
        <f t="shared" si="139"/>
        <v>石油化学製品月報</v>
      </c>
      <c r="C1152" s="21" t="str">
        <f>HYPERLINK("#6100!DF3","0135")</f>
        <v>0135</v>
      </c>
      <c r="D1152" s="22" t="str">
        <f>HYPERLINK("#6100!DF3","酸化エチレン")</f>
        <v>酸化エチレン</v>
      </c>
    </row>
    <row r="1153" spans="1:4" x14ac:dyDescent="0.4">
      <c r="A1153" s="21">
        <f t="shared" si="138"/>
        <v>6100</v>
      </c>
      <c r="B1153" s="22" t="str">
        <f t="shared" si="139"/>
        <v>石油化学製品月報</v>
      </c>
      <c r="C1153" s="21" t="str">
        <f>HYPERLINK("#6100!DJ3","0136")</f>
        <v>0136</v>
      </c>
      <c r="D1153" s="22" t="str">
        <f>HYPERLINK("#6100!DJ3","エチレングリコール")</f>
        <v>エチレングリコール</v>
      </c>
    </row>
    <row r="1154" spans="1:4" x14ac:dyDescent="0.4">
      <c r="A1154" s="21">
        <f t="shared" si="138"/>
        <v>6100</v>
      </c>
      <c r="B1154" s="22" t="str">
        <f t="shared" si="139"/>
        <v>石油化学製品月報</v>
      </c>
      <c r="C1154" s="21" t="str">
        <f>HYPERLINK("#6100!DN3","0138")</f>
        <v>0138</v>
      </c>
      <c r="D1154" s="22" t="str">
        <f>HYPERLINK("#6100!DN3","エチレングリコールエーテル")</f>
        <v>エチレングリコールエーテル</v>
      </c>
    </row>
    <row r="1155" spans="1:4" x14ac:dyDescent="0.4">
      <c r="A1155" s="21">
        <f t="shared" si="138"/>
        <v>6100</v>
      </c>
      <c r="B1155" s="22" t="str">
        <f t="shared" si="139"/>
        <v>石油化学製品月報</v>
      </c>
      <c r="C1155" s="21" t="str">
        <f>HYPERLINK("#6100!DR3","0140")</f>
        <v>0140</v>
      </c>
      <c r="D1155" s="22" t="str">
        <f>HYPERLINK("#6100!DR3","アセトアルデヒド")</f>
        <v>アセトアルデヒド</v>
      </c>
    </row>
    <row r="1156" spans="1:4" x14ac:dyDescent="0.4">
      <c r="A1156" s="21">
        <f t="shared" si="138"/>
        <v>6100</v>
      </c>
      <c r="B1156" s="22" t="str">
        <f t="shared" si="139"/>
        <v>石油化学製品月報</v>
      </c>
      <c r="C1156" s="21" t="str">
        <f>HYPERLINK("#6100!DV3","0144")</f>
        <v>0144</v>
      </c>
      <c r="D1156" s="22" t="str">
        <f>HYPERLINK("#6100!DV3","エチルアルコール")</f>
        <v>エチルアルコール</v>
      </c>
    </row>
    <row r="1157" spans="1:4" x14ac:dyDescent="0.4">
      <c r="A1157" s="21">
        <f t="shared" si="138"/>
        <v>6100</v>
      </c>
      <c r="B1157" s="22" t="str">
        <f t="shared" si="139"/>
        <v>石油化学製品月報</v>
      </c>
      <c r="C1157" s="21" t="str">
        <f>HYPERLINK("#6100!DZ3","0146")</f>
        <v>0146</v>
      </c>
      <c r="D1157" s="22" t="str">
        <f>HYPERLINK("#6100!DZ3","二塩化エチレン")</f>
        <v>二塩化エチレン</v>
      </c>
    </row>
    <row r="1158" spans="1:4" x14ac:dyDescent="0.4">
      <c r="A1158" s="21">
        <f t="shared" si="138"/>
        <v>6100</v>
      </c>
      <c r="B1158" s="22" t="str">
        <f t="shared" si="139"/>
        <v>石油化学製品月報</v>
      </c>
      <c r="C1158" s="21" t="str">
        <f>HYPERLINK("#6100!ED3","0147")</f>
        <v>0147</v>
      </c>
      <c r="D1158" s="22" t="str">
        <f>HYPERLINK("#6100!ED3","プロピレン")</f>
        <v>プロピレン</v>
      </c>
    </row>
    <row r="1159" spans="1:4" x14ac:dyDescent="0.4">
      <c r="A1159" s="21">
        <f t="shared" si="138"/>
        <v>6100</v>
      </c>
      <c r="B1159" s="22" t="str">
        <f t="shared" si="139"/>
        <v>石油化学製品月報</v>
      </c>
      <c r="C1159" s="21" t="str">
        <f>HYPERLINK("#6100!EG3","0148")</f>
        <v>0148</v>
      </c>
      <c r="D1159" s="22" t="str">
        <f>HYPERLINK("#6100!EG3","酸化プロピレン")</f>
        <v>酸化プロピレン</v>
      </c>
    </row>
    <row r="1160" spans="1:4" x14ac:dyDescent="0.4">
      <c r="A1160" s="21">
        <f t="shared" si="138"/>
        <v>6100</v>
      </c>
      <c r="B1160" s="22" t="str">
        <f t="shared" si="139"/>
        <v>石油化学製品月報</v>
      </c>
      <c r="C1160" s="21" t="str">
        <f>HYPERLINK("#6100!EK3","0150")</f>
        <v>0150</v>
      </c>
      <c r="D1160" s="22" t="str">
        <f>HYPERLINK("#6100!EK3","ポリプロピレングリコール")</f>
        <v>ポリプロピレングリコール</v>
      </c>
    </row>
    <row r="1161" spans="1:4" x14ac:dyDescent="0.4">
      <c r="A1161" s="21">
        <f t="shared" si="138"/>
        <v>6100</v>
      </c>
      <c r="B1161" s="22" t="str">
        <f t="shared" si="139"/>
        <v>石油化学製品月報</v>
      </c>
      <c r="C1161" s="21" t="str">
        <f>HYPERLINK("#6100!EO3","0151")</f>
        <v>0151</v>
      </c>
      <c r="D1161" s="22" t="str">
        <f>HYPERLINK("#6100!EO3","エピクロルヒドリン")</f>
        <v>エピクロルヒドリン</v>
      </c>
    </row>
    <row r="1162" spans="1:4" x14ac:dyDescent="0.4">
      <c r="A1162" s="21">
        <f t="shared" si="138"/>
        <v>6100</v>
      </c>
      <c r="B1162" s="22" t="str">
        <f t="shared" si="139"/>
        <v>石油化学製品月報</v>
      </c>
      <c r="C1162" s="21" t="str">
        <f>HYPERLINK("#6100!ES3","0153")</f>
        <v>0153</v>
      </c>
      <c r="D1162" s="22" t="str">
        <f>HYPERLINK("#6100!ES3","イソプロピルアルコール")</f>
        <v>イソプロピルアルコール</v>
      </c>
    </row>
    <row r="1163" spans="1:4" x14ac:dyDescent="0.4">
      <c r="A1163" s="21">
        <f t="shared" si="138"/>
        <v>6100</v>
      </c>
      <c r="B1163" s="22" t="str">
        <f t="shared" si="139"/>
        <v>石油化学製品月報</v>
      </c>
      <c r="C1163" s="21" t="str">
        <f>HYPERLINK("#6100!EW3","0154")</f>
        <v>0154</v>
      </c>
      <c r="D1163" s="22" t="str">
        <f>HYPERLINK("#6100!EW3","合成アセトン")</f>
        <v>合成アセトン</v>
      </c>
    </row>
    <row r="1164" spans="1:4" x14ac:dyDescent="0.4">
      <c r="A1164" s="21">
        <f t="shared" si="138"/>
        <v>6100</v>
      </c>
      <c r="B1164" s="22" t="str">
        <f t="shared" si="139"/>
        <v>石油化学製品月報</v>
      </c>
      <c r="C1164" s="21" t="str">
        <f>HYPERLINK("#6100!FA3","0155")</f>
        <v>0155</v>
      </c>
      <c r="D1164" s="22" t="str">
        <f>HYPERLINK("#6100!FA3","メチルイソブチルケトン")</f>
        <v>メチルイソブチルケトン</v>
      </c>
    </row>
    <row r="1165" spans="1:4" x14ac:dyDescent="0.4">
      <c r="A1165" s="21">
        <f t="shared" si="138"/>
        <v>6100</v>
      </c>
      <c r="B1165" s="22" t="str">
        <f t="shared" si="139"/>
        <v>石油化学製品月報</v>
      </c>
      <c r="C1165" s="21" t="str">
        <f>HYPERLINK("#6100!FE3","0156")</f>
        <v>0156</v>
      </c>
      <c r="D1165" s="22" t="str">
        <f>HYPERLINK("#6100!FE3","アクリロニトリル")</f>
        <v>アクリロニトリル</v>
      </c>
    </row>
    <row r="1166" spans="1:4" x14ac:dyDescent="0.4">
      <c r="A1166" s="21">
        <f t="shared" si="138"/>
        <v>6100</v>
      </c>
      <c r="B1166" s="22" t="str">
        <f t="shared" si="139"/>
        <v>石油化学製品月報</v>
      </c>
      <c r="C1166" s="21" t="str">
        <f>HYPERLINK("#6100!FI3","0157")</f>
        <v>0157</v>
      </c>
      <c r="D1166" s="22" t="str">
        <f>HYPERLINK("#6100!FI3","アクリル酸エステル")</f>
        <v>アクリル酸エステル</v>
      </c>
    </row>
    <row r="1167" spans="1:4" x14ac:dyDescent="0.4">
      <c r="A1167" s="21">
        <f t="shared" si="138"/>
        <v>6100</v>
      </c>
      <c r="B1167" s="22" t="str">
        <f t="shared" si="139"/>
        <v>石油化学製品月報</v>
      </c>
      <c r="C1167" s="21" t="str">
        <f>HYPERLINK("#6100!FM3","0158")</f>
        <v>0158</v>
      </c>
      <c r="D1167" s="22" t="str">
        <f>HYPERLINK("#6100!FM3","合成オクタノール")</f>
        <v>合成オクタノール</v>
      </c>
    </row>
    <row r="1168" spans="1:4" x14ac:dyDescent="0.4">
      <c r="A1168" s="21">
        <f t="shared" si="138"/>
        <v>6100</v>
      </c>
      <c r="B1168" s="22" t="str">
        <f t="shared" si="139"/>
        <v>石油化学製品月報</v>
      </c>
      <c r="C1168" s="21" t="str">
        <f>HYPERLINK("#6100!FQ3","0159")</f>
        <v>0159</v>
      </c>
      <c r="D1168" s="22" t="str">
        <f>HYPERLINK("#6100!FQ3","合成ブタノール")</f>
        <v>合成ブタノール</v>
      </c>
    </row>
    <row r="1169" spans="1:4" x14ac:dyDescent="0.4">
      <c r="A1169" s="21">
        <f t="shared" si="138"/>
        <v>6100</v>
      </c>
      <c r="B1169" s="22" t="str">
        <f t="shared" si="139"/>
        <v>石油化学製品月報</v>
      </c>
      <c r="C1169" s="21" t="str">
        <f>HYPERLINK("#6100!FU3","0162")</f>
        <v>0162</v>
      </c>
      <c r="D1169" s="22" t="str">
        <f>HYPERLINK("#6100!FU3","メチルエチルケトン")</f>
        <v>メチルエチルケトン</v>
      </c>
    </row>
    <row r="1170" spans="1:4" x14ac:dyDescent="0.4">
      <c r="A1170" s="21">
        <f t="shared" si="138"/>
        <v>6100</v>
      </c>
      <c r="B1170" s="22" t="str">
        <f t="shared" si="139"/>
        <v>石油化学製品月報</v>
      </c>
      <c r="C1170" s="21" t="str">
        <f>HYPERLINK("#6100!FY3","0163")</f>
        <v>0163</v>
      </c>
      <c r="D1170" s="22" t="str">
        <f>HYPERLINK("#6100!FY3","ブタン・ブチレン")</f>
        <v>ブタン・ブチレン</v>
      </c>
    </row>
    <row r="1171" spans="1:4" x14ac:dyDescent="0.4">
      <c r="A1171" s="21">
        <f t="shared" si="138"/>
        <v>6100</v>
      </c>
      <c r="B1171" s="22" t="str">
        <f t="shared" si="139"/>
        <v>石油化学製品月報</v>
      </c>
      <c r="C1171" s="21" t="str">
        <f>HYPERLINK("#6100!GB3","0164")</f>
        <v>0164</v>
      </c>
      <c r="D1171" s="22" t="str">
        <f>HYPERLINK("#6100!GB3","ブタジエン")</f>
        <v>ブタジエン</v>
      </c>
    </row>
    <row r="1172" spans="1:4" x14ac:dyDescent="0.4">
      <c r="A1172" s="21">
        <f t="shared" si="138"/>
        <v>6100</v>
      </c>
      <c r="B1172" s="22" t="str">
        <f t="shared" si="139"/>
        <v>石油化学製品月報</v>
      </c>
      <c r="C1172" s="21" t="str">
        <f>HYPERLINK("#6100!GE3","0166")</f>
        <v>0166</v>
      </c>
      <c r="D1172" s="22" t="str">
        <f>HYPERLINK("#6100!GE3","分解ガソリン")</f>
        <v>分解ガソリン</v>
      </c>
    </row>
    <row r="1173" spans="1:4" x14ac:dyDescent="0.4">
      <c r="A1173" s="21">
        <f t="shared" ref="A1173:A1192" si="140">HYPERLINK("#6121!A1 ",6121)</f>
        <v>6121</v>
      </c>
      <c r="B1173" s="22" t="str">
        <f t="shared" ref="B1173:B1192" si="141">HYPERLINK("#6121!A1 ","無機薬品・火薬類月報")</f>
        <v>無機薬品・火薬類月報</v>
      </c>
      <c r="C1173" s="21" t="str">
        <f>HYPERLINK("#6121!C3","0101")</f>
        <v>0101</v>
      </c>
      <c r="D1173" s="22" t="str">
        <f>HYPERLINK("#6121!C3","ふっ化水素酸(５０％換算値)")</f>
        <v>ふっ化水素酸(５０％換算値)</v>
      </c>
    </row>
    <row r="1174" spans="1:4" x14ac:dyDescent="0.4">
      <c r="A1174" s="21">
        <f t="shared" si="140"/>
        <v>6121</v>
      </c>
      <c r="B1174" s="22" t="str">
        <f t="shared" si="141"/>
        <v>無機薬品・火薬類月報</v>
      </c>
      <c r="C1174" s="21" t="str">
        <f>HYPERLINK("#6121!G3","0102")</f>
        <v>0102</v>
      </c>
      <c r="D1174" s="22" t="str">
        <f>HYPERLINK("#6121!G3","りん酸")</f>
        <v>りん酸</v>
      </c>
    </row>
    <row r="1175" spans="1:4" x14ac:dyDescent="0.4">
      <c r="A1175" s="21">
        <f t="shared" si="140"/>
        <v>6121</v>
      </c>
      <c r="B1175" s="22" t="str">
        <f t="shared" si="141"/>
        <v>無機薬品・火薬類月報</v>
      </c>
      <c r="C1175" s="21" t="str">
        <f>HYPERLINK("#6121!K3","0103")</f>
        <v>0103</v>
      </c>
      <c r="D1175" s="22" t="str">
        <f>HYPERLINK("#6121!K3","水酸化カリウム")</f>
        <v>水酸化カリウム</v>
      </c>
    </row>
    <row r="1176" spans="1:4" x14ac:dyDescent="0.4">
      <c r="A1176" s="21">
        <f t="shared" si="140"/>
        <v>6121</v>
      </c>
      <c r="B1176" s="22" t="str">
        <f t="shared" si="141"/>
        <v>無機薬品・火薬類月報</v>
      </c>
      <c r="C1176" s="21" t="str">
        <f>HYPERLINK("#6121!O3","0104")</f>
        <v>0104</v>
      </c>
      <c r="D1176" s="22" t="str">
        <f>HYPERLINK("#6121!O3","酸化亜鉛")</f>
        <v>酸化亜鉛</v>
      </c>
    </row>
    <row r="1177" spans="1:4" x14ac:dyDescent="0.4">
      <c r="A1177" s="21">
        <f t="shared" si="140"/>
        <v>6121</v>
      </c>
      <c r="B1177" s="22" t="str">
        <f t="shared" si="141"/>
        <v>無機薬品・火薬類月報</v>
      </c>
      <c r="C1177" s="21" t="str">
        <f>HYPERLINK("#6121!S3","0105")</f>
        <v>0105</v>
      </c>
      <c r="D1177" s="22" t="str">
        <f>HYPERLINK("#6121!S3","酸化第二鉄")</f>
        <v>酸化第二鉄</v>
      </c>
    </row>
    <row r="1178" spans="1:4" x14ac:dyDescent="0.4">
      <c r="A1178" s="21">
        <f t="shared" si="140"/>
        <v>6121</v>
      </c>
      <c r="B1178" s="22" t="str">
        <f t="shared" si="141"/>
        <v>無機薬品・火薬類月報</v>
      </c>
      <c r="C1178" s="21" t="str">
        <f>HYPERLINK("#6121!W3","0106")</f>
        <v>0106</v>
      </c>
      <c r="D1178" s="22" t="str">
        <f>HYPERLINK("#6121!W3","アゾ顔料")</f>
        <v>アゾ顔料</v>
      </c>
    </row>
    <row r="1179" spans="1:4" x14ac:dyDescent="0.4">
      <c r="A1179" s="21">
        <f t="shared" si="140"/>
        <v>6121</v>
      </c>
      <c r="B1179" s="22" t="str">
        <f t="shared" si="141"/>
        <v>無機薬品・火薬類月報</v>
      </c>
      <c r="C1179" s="21" t="str">
        <f>HYPERLINK("#6121!AA3","0107")</f>
        <v>0107</v>
      </c>
      <c r="D1179" s="22" t="str">
        <f>HYPERLINK("#6121!AA3","フタロシアニン系顔料")</f>
        <v>フタロシアニン系顔料</v>
      </c>
    </row>
    <row r="1180" spans="1:4" x14ac:dyDescent="0.4">
      <c r="A1180" s="21">
        <f t="shared" si="140"/>
        <v>6121</v>
      </c>
      <c r="B1180" s="22" t="str">
        <f t="shared" si="141"/>
        <v>無機薬品・火薬類月報</v>
      </c>
      <c r="C1180" s="21" t="str">
        <f>HYPERLINK("#6121!AE3","0108")</f>
        <v>0108</v>
      </c>
      <c r="D1180" s="22" t="str">
        <f>HYPERLINK("#6121!AE3","酸化チタン(アナタース型)")</f>
        <v>酸化チタン(アナタース型)</v>
      </c>
    </row>
    <row r="1181" spans="1:4" x14ac:dyDescent="0.4">
      <c r="A1181" s="21">
        <f t="shared" si="140"/>
        <v>6121</v>
      </c>
      <c r="B1181" s="22" t="str">
        <f t="shared" si="141"/>
        <v>無機薬品・火薬類月報</v>
      </c>
      <c r="C1181" s="21" t="str">
        <f>HYPERLINK("#6121!AI3","0109")</f>
        <v>0109</v>
      </c>
      <c r="D1181" s="22" t="str">
        <f>HYPERLINK("#6121!AI3","酸化チタン(ルチル型)")</f>
        <v>酸化チタン(ルチル型)</v>
      </c>
    </row>
    <row r="1182" spans="1:4" x14ac:dyDescent="0.4">
      <c r="A1182" s="21">
        <f t="shared" si="140"/>
        <v>6121</v>
      </c>
      <c r="B1182" s="22" t="str">
        <f t="shared" si="141"/>
        <v>無機薬品・火薬類月報</v>
      </c>
      <c r="C1182" s="21" t="str">
        <f>HYPERLINK("#6121!AM3","0110")</f>
        <v>0110</v>
      </c>
      <c r="D1182" s="22" t="str">
        <f>HYPERLINK("#6121!AM3","カーボンブラック")</f>
        <v>カーボンブラック</v>
      </c>
    </row>
    <row r="1183" spans="1:4" x14ac:dyDescent="0.4">
      <c r="A1183" s="21">
        <f t="shared" si="140"/>
        <v>6121</v>
      </c>
      <c r="B1183" s="22" t="str">
        <f t="shared" si="141"/>
        <v>無機薬品・火薬類月報</v>
      </c>
      <c r="C1183" s="21" t="str">
        <f>HYPERLINK("#6121!AQ3","0111")</f>
        <v>0111</v>
      </c>
      <c r="D1183" s="22" t="str">
        <f>HYPERLINK("#6121!AQ3","活性炭(粒状)")</f>
        <v>活性炭(粒状)</v>
      </c>
    </row>
    <row r="1184" spans="1:4" x14ac:dyDescent="0.4">
      <c r="A1184" s="21">
        <f t="shared" si="140"/>
        <v>6121</v>
      </c>
      <c r="B1184" s="22" t="str">
        <f t="shared" si="141"/>
        <v>無機薬品・火薬類月報</v>
      </c>
      <c r="C1184" s="21" t="str">
        <f>HYPERLINK("#6121!AU3","0112")</f>
        <v>0112</v>
      </c>
      <c r="D1184" s="22" t="str">
        <f>HYPERLINK("#6121!AU3","硫酸アルミニウム(１４％固形換算値)")</f>
        <v>硫酸アルミニウム(１４％固形換算値)</v>
      </c>
    </row>
    <row r="1185" spans="1:4" x14ac:dyDescent="0.4">
      <c r="A1185" s="21">
        <f t="shared" si="140"/>
        <v>6121</v>
      </c>
      <c r="B1185" s="22" t="str">
        <f t="shared" si="141"/>
        <v>無機薬品・火薬類月報</v>
      </c>
      <c r="C1185" s="21" t="str">
        <f>HYPERLINK("#6121!AY3","0113")</f>
        <v>0113</v>
      </c>
      <c r="D1185" s="22" t="str">
        <f>HYPERLINK("#6121!AY3","ポリ塩化アルミニウム(アルミナ１０％換算値)")</f>
        <v>ポリ塩化アルミニウム(アルミナ１０％換算値)</v>
      </c>
    </row>
    <row r="1186" spans="1:4" x14ac:dyDescent="0.4">
      <c r="A1186" s="21">
        <f t="shared" si="140"/>
        <v>6121</v>
      </c>
      <c r="B1186" s="22" t="str">
        <f t="shared" si="141"/>
        <v>無機薬品・火薬類月報</v>
      </c>
      <c r="C1186" s="21" t="str">
        <f>HYPERLINK("#6121!BC3","0114")</f>
        <v>0114</v>
      </c>
      <c r="D1186" s="22" t="str">
        <f>HYPERLINK("#6121!BC3","よう素")</f>
        <v>よう素</v>
      </c>
    </row>
    <row r="1187" spans="1:4" x14ac:dyDescent="0.4">
      <c r="A1187" s="21">
        <f t="shared" si="140"/>
        <v>6121</v>
      </c>
      <c r="B1187" s="22" t="str">
        <f t="shared" si="141"/>
        <v>無機薬品・火薬類月報</v>
      </c>
      <c r="C1187" s="21" t="str">
        <f>HYPERLINK("#6121!BG3","0115")</f>
        <v>0115</v>
      </c>
      <c r="D1187" s="22" t="str">
        <f>HYPERLINK("#6121!BG3","けい酸ナトリウム")</f>
        <v>けい酸ナトリウム</v>
      </c>
    </row>
    <row r="1188" spans="1:4" x14ac:dyDescent="0.4">
      <c r="A1188" s="21">
        <f t="shared" si="140"/>
        <v>6121</v>
      </c>
      <c r="B1188" s="22" t="str">
        <f t="shared" si="141"/>
        <v>無機薬品・火薬類月報</v>
      </c>
      <c r="C1188" s="21" t="str">
        <f>HYPERLINK("#6121!BK3","0116")</f>
        <v>0116</v>
      </c>
      <c r="D1188" s="22" t="str">
        <f>HYPERLINK("#6121!BK3","過酸化水素(１００％重量換算値)")</f>
        <v>過酸化水素(１００％重量換算値)</v>
      </c>
    </row>
    <row r="1189" spans="1:4" x14ac:dyDescent="0.4">
      <c r="A1189" s="21">
        <f t="shared" si="140"/>
        <v>6121</v>
      </c>
      <c r="B1189" s="22" t="str">
        <f t="shared" si="141"/>
        <v>無機薬品・火薬類月報</v>
      </c>
      <c r="C1189" s="21" t="str">
        <f>HYPERLINK("#6121!BO3","0117")</f>
        <v>0117</v>
      </c>
      <c r="D1189" s="22" t="str">
        <f>HYPERLINK("#6121!BO3","化学石こう(２水塩換算値)")</f>
        <v>化学石こう(２水塩換算値)</v>
      </c>
    </row>
    <row r="1190" spans="1:4" x14ac:dyDescent="0.4">
      <c r="A1190" s="21">
        <f t="shared" si="140"/>
        <v>6121</v>
      </c>
      <c r="B1190" s="22" t="str">
        <f t="shared" si="141"/>
        <v>無機薬品・火薬類月報</v>
      </c>
      <c r="C1190" s="21" t="str">
        <f>HYPERLINK("#6121!BS3","0118")</f>
        <v>0118</v>
      </c>
      <c r="D1190" s="22" t="str">
        <f>HYPERLINK("#6121!BS3","硫酸(１００％換算値)")</f>
        <v>硫酸(１００％換算値)</v>
      </c>
    </row>
    <row r="1191" spans="1:4" x14ac:dyDescent="0.4">
      <c r="A1191" s="21">
        <f t="shared" si="140"/>
        <v>6121</v>
      </c>
      <c r="B1191" s="22" t="str">
        <f t="shared" si="141"/>
        <v>無機薬品・火薬類月報</v>
      </c>
      <c r="C1191" s="21" t="str">
        <f>HYPERLINK("#6121!BW3","0119")</f>
        <v>0119</v>
      </c>
      <c r="D1191" s="22" t="str">
        <f>HYPERLINK("#6121!BW3","硝安油剤爆薬")</f>
        <v>硝安油剤爆薬</v>
      </c>
    </row>
    <row r="1192" spans="1:4" x14ac:dyDescent="0.4">
      <c r="A1192" s="21">
        <f t="shared" si="140"/>
        <v>6121</v>
      </c>
      <c r="B1192" s="22" t="str">
        <f t="shared" si="141"/>
        <v>無機薬品・火薬類月報</v>
      </c>
      <c r="C1192" s="21" t="str">
        <f>HYPERLINK("#6121!CA3","0120")</f>
        <v>0120</v>
      </c>
      <c r="D1192" s="22" t="str">
        <f>HYPERLINK("#6121!CA3","火薬及びその他の爆薬(武器用を除く)")</f>
        <v>火薬及びその他の爆薬(武器用を除く)</v>
      </c>
    </row>
    <row r="1193" spans="1:4" x14ac:dyDescent="0.4">
      <c r="A1193" s="21">
        <f t="shared" ref="A1193:A1200" si="142">HYPERLINK("#6122!A1 ",6122)</f>
        <v>6122</v>
      </c>
      <c r="B1193" s="22" t="str">
        <f t="shared" ref="B1193:B1200" si="143">HYPERLINK("#6122!A1 ","触媒月報")</f>
        <v>触媒月報</v>
      </c>
      <c r="C1193" s="21" t="str">
        <f>HYPERLINK("#6122!C3","0101")</f>
        <v>0101</v>
      </c>
      <c r="D1193" s="22" t="str">
        <f>HYPERLINK("#6122!C3","石油精製用触媒(水素化処理用(重油脱硫用を含む))")</f>
        <v>石油精製用触媒(水素化処理用(重油脱硫用を含む))</v>
      </c>
    </row>
    <row r="1194" spans="1:4" x14ac:dyDescent="0.4">
      <c r="A1194" s="21">
        <f t="shared" si="142"/>
        <v>6122</v>
      </c>
      <c r="B1194" s="22" t="str">
        <f t="shared" si="143"/>
        <v>触媒月報</v>
      </c>
      <c r="C1194" s="21" t="str">
        <f>HYPERLINK("#6122!G3","0102")</f>
        <v>0102</v>
      </c>
      <c r="D1194" s="22" t="str">
        <f>HYPERLINK("#6122!G3","その他の石油精製用触媒")</f>
        <v>その他の石油精製用触媒</v>
      </c>
    </row>
    <row r="1195" spans="1:4" x14ac:dyDescent="0.4">
      <c r="A1195" s="21">
        <f t="shared" si="142"/>
        <v>6122</v>
      </c>
      <c r="B1195" s="22" t="str">
        <f t="shared" si="143"/>
        <v>触媒月報</v>
      </c>
      <c r="C1195" s="21" t="str">
        <f>HYPERLINK("#6122!K3","0103")</f>
        <v>0103</v>
      </c>
      <c r="D1195" s="22" t="str">
        <f>HYPERLINK("#6122!K3","石油化学品製造用触媒")</f>
        <v>石油化学品製造用触媒</v>
      </c>
    </row>
    <row r="1196" spans="1:4" x14ac:dyDescent="0.4">
      <c r="A1196" s="21">
        <f t="shared" si="142"/>
        <v>6122</v>
      </c>
      <c r="B1196" s="22" t="str">
        <f t="shared" si="143"/>
        <v>触媒月報</v>
      </c>
      <c r="C1196" s="21" t="str">
        <f>HYPERLINK("#6122!O3","0104")</f>
        <v>0104</v>
      </c>
      <c r="D1196" s="22" t="str">
        <f>HYPERLINK("#6122!O3","高分子重合用触媒")</f>
        <v>高分子重合用触媒</v>
      </c>
    </row>
    <row r="1197" spans="1:4" x14ac:dyDescent="0.4">
      <c r="A1197" s="21">
        <f t="shared" si="142"/>
        <v>6122</v>
      </c>
      <c r="B1197" s="22" t="str">
        <f t="shared" si="143"/>
        <v>触媒月報</v>
      </c>
      <c r="C1197" s="21" t="str">
        <f>HYPERLINK("#6122!S3","0105")</f>
        <v>0105</v>
      </c>
      <c r="D1197" s="22" t="str">
        <f>HYPERLINK("#6122!S3","油脂加工・医薬・食品製造用触媒")</f>
        <v>油脂加工・医薬・食品製造用触媒</v>
      </c>
    </row>
    <row r="1198" spans="1:4" x14ac:dyDescent="0.4">
      <c r="A1198" s="21">
        <f t="shared" si="142"/>
        <v>6122</v>
      </c>
      <c r="B1198" s="22" t="str">
        <f t="shared" si="143"/>
        <v>触媒月報</v>
      </c>
      <c r="C1198" s="21" t="str">
        <f>HYPERLINK("#6122!W3","0106")</f>
        <v>0106</v>
      </c>
      <c r="D1198" s="22" t="str">
        <f>HYPERLINK("#6122!W3","その他の工業用触媒(無機・雰囲気ガス等)")</f>
        <v>その他の工業用触媒(無機・雰囲気ガス等)</v>
      </c>
    </row>
    <row r="1199" spans="1:4" x14ac:dyDescent="0.4">
      <c r="A1199" s="21">
        <f t="shared" si="142"/>
        <v>6122</v>
      </c>
      <c r="B1199" s="22" t="str">
        <f t="shared" si="143"/>
        <v>触媒月報</v>
      </c>
      <c r="C1199" s="21" t="str">
        <f>HYPERLINK("#6122!AA3","0107")</f>
        <v>0107</v>
      </c>
      <c r="D1199" s="22" t="str">
        <f>HYPERLINK("#6122!AA3","自動車排気ガス浄化用触媒")</f>
        <v>自動車排気ガス浄化用触媒</v>
      </c>
    </row>
    <row r="1200" spans="1:4" x14ac:dyDescent="0.4">
      <c r="A1200" s="21">
        <f t="shared" si="142"/>
        <v>6122</v>
      </c>
      <c r="B1200" s="22" t="str">
        <f t="shared" si="143"/>
        <v>触媒月報</v>
      </c>
      <c r="C1200" s="21" t="str">
        <f>HYPERLINK("#6122!AE3","0108")</f>
        <v>0108</v>
      </c>
      <c r="D1200" s="22" t="str">
        <f>HYPERLINK("#6122!AE3","その他の環境保全用触媒")</f>
        <v>その他の環境保全用触媒</v>
      </c>
    </row>
    <row r="1201" spans="1:4" x14ac:dyDescent="0.4">
      <c r="A1201" s="21">
        <f t="shared" ref="A1201:A1209" si="144">HYPERLINK("#6140!A1 ",6140)</f>
        <v>6140</v>
      </c>
      <c r="B1201" s="22" t="str">
        <f t="shared" ref="B1201:B1209" si="145">HYPERLINK("#6140!A1 ","高圧ガス月報")</f>
        <v>高圧ガス月報</v>
      </c>
      <c r="C1201" s="21" t="str">
        <f>HYPERLINK("#6140!C3","0101")</f>
        <v>0101</v>
      </c>
      <c r="D1201" s="22" t="str">
        <f>HYPERLINK("#6140!C3","酸素ガス")</f>
        <v>酸素ガス</v>
      </c>
    </row>
    <row r="1202" spans="1:4" x14ac:dyDescent="0.4">
      <c r="A1202" s="21">
        <f t="shared" si="144"/>
        <v>6140</v>
      </c>
      <c r="B1202" s="22" t="str">
        <f t="shared" si="145"/>
        <v>高圧ガス月報</v>
      </c>
      <c r="C1202" s="21" t="str">
        <f>HYPERLINK("#6140!G3","0102")</f>
        <v>0102</v>
      </c>
      <c r="D1202" s="22" t="str">
        <f>HYPERLINK("#6140!G3","液化酸素")</f>
        <v>液化酸素</v>
      </c>
    </row>
    <row r="1203" spans="1:4" x14ac:dyDescent="0.4">
      <c r="A1203" s="21">
        <f t="shared" si="144"/>
        <v>6140</v>
      </c>
      <c r="B1203" s="22" t="str">
        <f t="shared" si="145"/>
        <v>高圧ガス月報</v>
      </c>
      <c r="C1203" s="21" t="str">
        <f>HYPERLINK("#6140!K3","0103")</f>
        <v>0103</v>
      </c>
      <c r="D1203" s="22" t="str">
        <f>HYPERLINK("#6140!K3","窒素ガス")</f>
        <v>窒素ガス</v>
      </c>
    </row>
    <row r="1204" spans="1:4" x14ac:dyDescent="0.4">
      <c r="A1204" s="21">
        <f t="shared" si="144"/>
        <v>6140</v>
      </c>
      <c r="B1204" s="22" t="str">
        <f t="shared" si="145"/>
        <v>高圧ガス月報</v>
      </c>
      <c r="C1204" s="21" t="str">
        <f>HYPERLINK("#6140!O3","0104")</f>
        <v>0104</v>
      </c>
      <c r="D1204" s="22" t="str">
        <f>HYPERLINK("#6140!O3","液化窒素")</f>
        <v>液化窒素</v>
      </c>
    </row>
    <row r="1205" spans="1:4" x14ac:dyDescent="0.4">
      <c r="A1205" s="21">
        <f t="shared" si="144"/>
        <v>6140</v>
      </c>
      <c r="B1205" s="22" t="str">
        <f t="shared" si="145"/>
        <v>高圧ガス月報</v>
      </c>
      <c r="C1205" s="21" t="str">
        <f>HYPERLINK("#6140!S3","0105")</f>
        <v>0105</v>
      </c>
      <c r="D1205" s="22" t="str">
        <f>HYPERLINK("#6140!S3","アルゴン")</f>
        <v>アルゴン</v>
      </c>
    </row>
    <row r="1206" spans="1:4" x14ac:dyDescent="0.4">
      <c r="A1206" s="21">
        <f t="shared" si="144"/>
        <v>6140</v>
      </c>
      <c r="B1206" s="22" t="str">
        <f t="shared" si="145"/>
        <v>高圧ガス月報</v>
      </c>
      <c r="C1206" s="21" t="str">
        <f>HYPERLINK("#6140!W3","0106")</f>
        <v>0106</v>
      </c>
      <c r="D1206" s="22" t="str">
        <f>HYPERLINK("#6140!W3","水素")</f>
        <v>水素</v>
      </c>
    </row>
    <row r="1207" spans="1:4" x14ac:dyDescent="0.4">
      <c r="A1207" s="21">
        <f t="shared" si="144"/>
        <v>6140</v>
      </c>
      <c r="B1207" s="22" t="str">
        <f t="shared" si="145"/>
        <v>高圧ガス月報</v>
      </c>
      <c r="C1207" s="21" t="str">
        <f>HYPERLINK("#6140!AA3","0107")</f>
        <v>0107</v>
      </c>
      <c r="D1207" s="22" t="str">
        <f>HYPERLINK("#6140!AA3","溶解アセチレン")</f>
        <v>溶解アセチレン</v>
      </c>
    </row>
    <row r="1208" spans="1:4" x14ac:dyDescent="0.4">
      <c r="A1208" s="21">
        <f t="shared" si="144"/>
        <v>6140</v>
      </c>
      <c r="B1208" s="22" t="str">
        <f t="shared" si="145"/>
        <v>高圧ガス月報</v>
      </c>
      <c r="C1208" s="21" t="str">
        <f>HYPERLINK("#6140!AE3","0108")</f>
        <v>0108</v>
      </c>
      <c r="D1208" s="22" t="str">
        <f>HYPERLINK("#6140!AE3","フルオロカーボン")</f>
        <v>フルオロカーボン</v>
      </c>
    </row>
    <row r="1209" spans="1:4" x14ac:dyDescent="0.4">
      <c r="A1209" s="21">
        <f t="shared" si="144"/>
        <v>6140</v>
      </c>
      <c r="B1209" s="22" t="str">
        <f t="shared" si="145"/>
        <v>高圧ガス月報</v>
      </c>
      <c r="C1209" s="21" t="str">
        <f>HYPERLINK("#6140!AI3","0109")</f>
        <v>0109</v>
      </c>
      <c r="D1209" s="22" t="str">
        <f>HYPERLINK("#6140!AI3","炭酸ガス")</f>
        <v>炭酸ガス</v>
      </c>
    </row>
    <row r="1210" spans="1:4" x14ac:dyDescent="0.4">
      <c r="A1210" s="21">
        <f t="shared" ref="A1210:A1244" si="146">HYPERLINK("#6160!A1 ",6160)</f>
        <v>6160</v>
      </c>
      <c r="B1210" s="22" t="str">
        <f t="shared" ref="B1210:B1244" si="147">HYPERLINK("#6160!A1 ","プラスチック月報")</f>
        <v>プラスチック月報</v>
      </c>
      <c r="C1210" s="21" t="str">
        <f>HYPERLINK("#6160!C3","0101")</f>
        <v>0101</v>
      </c>
      <c r="D1210" s="22" t="str">
        <f>HYPERLINK("#6160!C3","フェノール樹脂(成形材料)")</f>
        <v>フェノール樹脂(成形材料)</v>
      </c>
    </row>
    <row r="1211" spans="1:4" x14ac:dyDescent="0.4">
      <c r="A1211" s="21">
        <f t="shared" si="146"/>
        <v>6160</v>
      </c>
      <c r="B1211" s="22" t="str">
        <f t="shared" si="147"/>
        <v>プラスチック月報</v>
      </c>
      <c r="C1211" s="21" t="str">
        <f>HYPERLINK("#6160!G3","0102")</f>
        <v>0102</v>
      </c>
      <c r="D1211" s="22" t="str">
        <f>HYPERLINK("#6160!G3","フェノール樹脂(積層品)")</f>
        <v>フェノール樹脂(積層品)</v>
      </c>
    </row>
    <row r="1212" spans="1:4" x14ac:dyDescent="0.4">
      <c r="A1212" s="21">
        <f t="shared" si="146"/>
        <v>6160</v>
      </c>
      <c r="B1212" s="22" t="str">
        <f t="shared" si="147"/>
        <v>プラスチック月報</v>
      </c>
      <c r="C1212" s="21" t="str">
        <f>HYPERLINK("#6160!K3","0103")</f>
        <v>0103</v>
      </c>
      <c r="D1212" s="22" t="str">
        <f>HYPERLINK("#6160!K3","フェノール樹脂(木材加工接着剤用)")</f>
        <v>フェノール樹脂(木材加工接着剤用)</v>
      </c>
    </row>
    <row r="1213" spans="1:4" x14ac:dyDescent="0.4">
      <c r="A1213" s="21">
        <f t="shared" si="146"/>
        <v>6160</v>
      </c>
      <c r="B1213" s="22" t="str">
        <f t="shared" si="147"/>
        <v>プラスチック月報</v>
      </c>
      <c r="C1213" s="21" t="str">
        <f>HYPERLINK("#6160!O3","0104")</f>
        <v>0104</v>
      </c>
      <c r="D1213" s="22" t="str">
        <f>HYPERLINK("#6160!O3","その他のフェノール樹脂")</f>
        <v>その他のフェノール樹脂</v>
      </c>
    </row>
    <row r="1214" spans="1:4" x14ac:dyDescent="0.4">
      <c r="A1214" s="21">
        <f t="shared" si="146"/>
        <v>6160</v>
      </c>
      <c r="B1214" s="22" t="str">
        <f t="shared" si="147"/>
        <v>プラスチック月報</v>
      </c>
      <c r="C1214" s="21" t="str">
        <f>HYPERLINK("#6160!S3","0105")</f>
        <v>0105</v>
      </c>
      <c r="D1214" s="22" t="str">
        <f>HYPERLINK("#6160!S3","ユリア樹脂")</f>
        <v>ユリア樹脂</v>
      </c>
    </row>
    <row r="1215" spans="1:4" x14ac:dyDescent="0.4">
      <c r="A1215" s="21">
        <f t="shared" si="146"/>
        <v>6160</v>
      </c>
      <c r="B1215" s="22" t="str">
        <f t="shared" si="147"/>
        <v>プラスチック月報</v>
      </c>
      <c r="C1215" s="21" t="str">
        <f>HYPERLINK("#6160!W3","0106")</f>
        <v>0106</v>
      </c>
      <c r="D1215" s="22" t="str">
        <f>HYPERLINK("#6160!W3","メラミン樹脂(化粧板用)")</f>
        <v>メラミン樹脂(化粧板用)</v>
      </c>
    </row>
    <row r="1216" spans="1:4" x14ac:dyDescent="0.4">
      <c r="A1216" s="21">
        <f t="shared" si="146"/>
        <v>6160</v>
      </c>
      <c r="B1216" s="22" t="str">
        <f t="shared" si="147"/>
        <v>プラスチック月報</v>
      </c>
      <c r="C1216" s="21" t="str">
        <f>HYPERLINK("#6160!AA3","0107")</f>
        <v>0107</v>
      </c>
      <c r="D1216" s="22" t="str">
        <f>HYPERLINK("#6160!AA3","メラミン樹脂(塗料用)")</f>
        <v>メラミン樹脂(塗料用)</v>
      </c>
    </row>
    <row r="1217" spans="1:4" x14ac:dyDescent="0.4">
      <c r="A1217" s="21">
        <f t="shared" si="146"/>
        <v>6160</v>
      </c>
      <c r="B1217" s="22" t="str">
        <f t="shared" si="147"/>
        <v>プラスチック月報</v>
      </c>
      <c r="C1217" s="21" t="str">
        <f>HYPERLINK("#6160!AE3","0108")</f>
        <v>0108</v>
      </c>
      <c r="D1217" s="22" t="str">
        <f>HYPERLINK("#6160!AE3","メラミン樹脂(接着剤用)")</f>
        <v>メラミン樹脂(接着剤用)</v>
      </c>
    </row>
    <row r="1218" spans="1:4" x14ac:dyDescent="0.4">
      <c r="A1218" s="21">
        <f t="shared" si="146"/>
        <v>6160</v>
      </c>
      <c r="B1218" s="22" t="str">
        <f t="shared" si="147"/>
        <v>プラスチック月報</v>
      </c>
      <c r="C1218" s="21" t="str">
        <f>HYPERLINK("#6160!AI3","0109")</f>
        <v>0109</v>
      </c>
      <c r="D1218" s="22" t="str">
        <f>HYPERLINK("#6160!AI3","その他のメラミン樹脂")</f>
        <v>その他のメラミン樹脂</v>
      </c>
    </row>
    <row r="1219" spans="1:4" x14ac:dyDescent="0.4">
      <c r="A1219" s="21">
        <f t="shared" si="146"/>
        <v>6160</v>
      </c>
      <c r="B1219" s="22" t="str">
        <f t="shared" si="147"/>
        <v>プラスチック月報</v>
      </c>
      <c r="C1219" s="21" t="str">
        <f>HYPERLINK("#6160!AM3","0110")</f>
        <v>0110</v>
      </c>
      <c r="D1219" s="22" t="str">
        <f>HYPERLINK("#6160!AM3","不飽和ポリエステル樹脂(ＦＲＰ用)")</f>
        <v>不飽和ポリエステル樹脂(ＦＲＰ用)</v>
      </c>
    </row>
    <row r="1220" spans="1:4" x14ac:dyDescent="0.4">
      <c r="A1220" s="21">
        <f t="shared" si="146"/>
        <v>6160</v>
      </c>
      <c r="B1220" s="22" t="str">
        <f t="shared" si="147"/>
        <v>プラスチック月報</v>
      </c>
      <c r="C1220" s="21" t="str">
        <f>HYPERLINK("#6160!AQ3","0111")</f>
        <v>0111</v>
      </c>
      <c r="D1220" s="22" t="str">
        <f>HYPERLINK("#6160!AQ3","その他の不飽和ポリエステル樹脂")</f>
        <v>その他の不飽和ポリエステル樹脂</v>
      </c>
    </row>
    <row r="1221" spans="1:4" x14ac:dyDescent="0.4">
      <c r="A1221" s="21">
        <f t="shared" si="146"/>
        <v>6160</v>
      </c>
      <c r="B1221" s="22" t="str">
        <f t="shared" si="147"/>
        <v>プラスチック月報</v>
      </c>
      <c r="C1221" s="21" t="str">
        <f>HYPERLINK("#6160!AU3","0112")</f>
        <v>0112</v>
      </c>
      <c r="D1221" s="22" t="str">
        <f>HYPERLINK("#6160!AU3","アルキド樹脂")</f>
        <v>アルキド樹脂</v>
      </c>
    </row>
    <row r="1222" spans="1:4" x14ac:dyDescent="0.4">
      <c r="A1222" s="21">
        <f t="shared" si="146"/>
        <v>6160</v>
      </c>
      <c r="B1222" s="22" t="str">
        <f t="shared" si="147"/>
        <v>プラスチック月報</v>
      </c>
      <c r="C1222" s="21" t="str">
        <f>HYPERLINK("#6160!AY3","0113")</f>
        <v>0113</v>
      </c>
      <c r="D1222" s="22" t="str">
        <f>HYPERLINK("#6160!AY3","エポキシ樹脂")</f>
        <v>エポキシ樹脂</v>
      </c>
    </row>
    <row r="1223" spans="1:4" x14ac:dyDescent="0.4">
      <c r="A1223" s="21">
        <f t="shared" si="146"/>
        <v>6160</v>
      </c>
      <c r="B1223" s="22" t="str">
        <f t="shared" si="147"/>
        <v>プラスチック月報</v>
      </c>
      <c r="C1223" s="21" t="str">
        <f>HYPERLINK("#6160!BC3","0114")</f>
        <v>0114</v>
      </c>
      <c r="D1223" s="22" t="str">
        <f>HYPERLINK("#6160!BC3","ウレタンフォーム(軟質)")</f>
        <v>ウレタンフォーム(軟質)</v>
      </c>
    </row>
    <row r="1224" spans="1:4" x14ac:dyDescent="0.4">
      <c r="A1224" s="21">
        <f t="shared" si="146"/>
        <v>6160</v>
      </c>
      <c r="B1224" s="22" t="str">
        <f t="shared" si="147"/>
        <v>プラスチック月報</v>
      </c>
      <c r="C1224" s="21" t="str">
        <f>HYPERLINK("#6160!BG3","0115")</f>
        <v>0115</v>
      </c>
      <c r="D1224" s="22" t="str">
        <f>HYPERLINK("#6160!BG3","ウレタンフォーム(硬質)")</f>
        <v>ウレタンフォーム(硬質)</v>
      </c>
    </row>
    <row r="1225" spans="1:4" x14ac:dyDescent="0.4">
      <c r="A1225" s="21">
        <f t="shared" si="146"/>
        <v>6160</v>
      </c>
      <c r="B1225" s="22" t="str">
        <f t="shared" si="147"/>
        <v>プラスチック月報</v>
      </c>
      <c r="C1225" s="21" t="str">
        <f>HYPERLINK("#6160!BK3","0116")</f>
        <v>0116</v>
      </c>
      <c r="D1225" s="22" t="str">
        <f>HYPERLINK("#6160!BK3","メタクリル酸エステル(モノマー)")</f>
        <v>メタクリル酸エステル(モノマー)</v>
      </c>
    </row>
    <row r="1226" spans="1:4" x14ac:dyDescent="0.4">
      <c r="A1226" s="21">
        <f t="shared" si="146"/>
        <v>6160</v>
      </c>
      <c r="B1226" s="22" t="str">
        <f t="shared" si="147"/>
        <v>プラスチック月報</v>
      </c>
      <c r="C1226" s="21" t="str">
        <f>HYPERLINK("#6160!BO3","0117")</f>
        <v>0117</v>
      </c>
      <c r="D1226" s="22" t="str">
        <f>HYPERLINK("#6160!BO3","メタクリル樹脂(成形材料)")</f>
        <v>メタクリル樹脂(成形材料)</v>
      </c>
    </row>
    <row r="1227" spans="1:4" x14ac:dyDescent="0.4">
      <c r="A1227" s="21">
        <f t="shared" si="146"/>
        <v>6160</v>
      </c>
      <c r="B1227" s="22" t="str">
        <f t="shared" si="147"/>
        <v>プラスチック月報</v>
      </c>
      <c r="C1227" s="21" t="str">
        <f>HYPERLINK("#6160!BS3","0118")</f>
        <v>0118</v>
      </c>
      <c r="D1227" s="22" t="str">
        <f>HYPERLINK("#6160!BS3","その他のメタクリル樹脂")</f>
        <v>その他のメタクリル樹脂</v>
      </c>
    </row>
    <row r="1228" spans="1:4" x14ac:dyDescent="0.4">
      <c r="A1228" s="21">
        <f t="shared" si="146"/>
        <v>6160</v>
      </c>
      <c r="B1228" s="22" t="str">
        <f t="shared" si="147"/>
        <v>プラスチック月報</v>
      </c>
      <c r="C1228" s="21" t="str">
        <f>HYPERLINK("#6160!BW3","0119")</f>
        <v>0119</v>
      </c>
      <c r="D1228" s="22" t="str">
        <f>HYPERLINK("#6160!BW3","酢酸ビニル(モノマー)")</f>
        <v>酢酸ビニル(モノマー)</v>
      </c>
    </row>
    <row r="1229" spans="1:4" x14ac:dyDescent="0.4">
      <c r="A1229" s="21">
        <f t="shared" si="146"/>
        <v>6160</v>
      </c>
      <c r="B1229" s="22" t="str">
        <f t="shared" si="147"/>
        <v>プラスチック月報</v>
      </c>
      <c r="C1229" s="21" t="str">
        <f>HYPERLINK("#6160!CA3","0120")</f>
        <v>0120</v>
      </c>
      <c r="D1229" s="22" t="str">
        <f>HYPERLINK("#6160!CA3","ポリビニルアルコール")</f>
        <v>ポリビニルアルコール</v>
      </c>
    </row>
    <row r="1230" spans="1:4" x14ac:dyDescent="0.4">
      <c r="A1230" s="21">
        <f t="shared" si="146"/>
        <v>6160</v>
      </c>
      <c r="B1230" s="22" t="str">
        <f t="shared" si="147"/>
        <v>プラスチック月報</v>
      </c>
      <c r="C1230" s="21" t="str">
        <f>HYPERLINK("#6160!CE3","0121")</f>
        <v>0121</v>
      </c>
      <c r="D1230" s="22" t="str">
        <f>HYPERLINK("#6160!CE3","塩化ビニル(モノマー)")</f>
        <v>塩化ビニル(モノマー)</v>
      </c>
    </row>
    <row r="1231" spans="1:4" x14ac:dyDescent="0.4">
      <c r="A1231" s="21">
        <f t="shared" si="146"/>
        <v>6160</v>
      </c>
      <c r="B1231" s="22" t="str">
        <f t="shared" si="147"/>
        <v>プラスチック月報</v>
      </c>
      <c r="C1231" s="21" t="str">
        <f>HYPERLINK("#6160!CI3","0122")</f>
        <v>0122</v>
      </c>
      <c r="D1231" s="22" t="str">
        <f>HYPERLINK("#6160!CI3","塩化ビニル樹脂(ポリマー)")</f>
        <v>塩化ビニル樹脂(ポリマー)</v>
      </c>
    </row>
    <row r="1232" spans="1:4" x14ac:dyDescent="0.4">
      <c r="A1232" s="21">
        <f t="shared" si="146"/>
        <v>6160</v>
      </c>
      <c r="B1232" s="22" t="str">
        <f t="shared" si="147"/>
        <v>プラスチック月報</v>
      </c>
      <c r="C1232" s="21" t="str">
        <f>HYPERLINK("#6160!CM3","0123")</f>
        <v>0123</v>
      </c>
      <c r="D1232" s="22" t="str">
        <f>HYPERLINK("#6160!CM3","塩化ビニル樹脂(コポリマー)")</f>
        <v>塩化ビニル樹脂(コポリマー)</v>
      </c>
    </row>
    <row r="1233" spans="1:4" x14ac:dyDescent="0.4">
      <c r="A1233" s="21">
        <f t="shared" si="146"/>
        <v>6160</v>
      </c>
      <c r="B1233" s="22" t="str">
        <f t="shared" si="147"/>
        <v>プラスチック月報</v>
      </c>
      <c r="C1233" s="21" t="str">
        <f>HYPERLINK("#6160!CQ3","0124")</f>
        <v>0124</v>
      </c>
      <c r="D1233" s="22" t="str">
        <f>HYPERLINK("#6160!CQ3","塩化ビニル樹脂(ペースト)")</f>
        <v>塩化ビニル樹脂(ペースト)</v>
      </c>
    </row>
    <row r="1234" spans="1:4" x14ac:dyDescent="0.4">
      <c r="A1234" s="21">
        <f t="shared" si="146"/>
        <v>6160</v>
      </c>
      <c r="B1234" s="22" t="str">
        <f t="shared" si="147"/>
        <v>プラスチック月報</v>
      </c>
      <c r="C1234" s="21" t="str">
        <f>HYPERLINK("#6160!CU3","0125")</f>
        <v>0125</v>
      </c>
      <c r="D1234" s="22" t="str">
        <f>HYPERLINK("#6160!CU3","カプロラクタム")</f>
        <v>カプロラクタム</v>
      </c>
    </row>
    <row r="1235" spans="1:4" x14ac:dyDescent="0.4">
      <c r="A1235" s="21">
        <f t="shared" si="146"/>
        <v>6160</v>
      </c>
      <c r="B1235" s="22" t="str">
        <f t="shared" si="147"/>
        <v>プラスチック月報</v>
      </c>
      <c r="C1235" s="21" t="str">
        <f>HYPERLINK("#6160!CY3","0126")</f>
        <v>0126</v>
      </c>
      <c r="D1235" s="22" t="str">
        <f>HYPERLINK("#6160!CY3","ポリアミド系樹脂成形材料")</f>
        <v>ポリアミド系樹脂成形材料</v>
      </c>
    </row>
    <row r="1236" spans="1:4" x14ac:dyDescent="0.4">
      <c r="A1236" s="21">
        <f t="shared" si="146"/>
        <v>6160</v>
      </c>
      <c r="B1236" s="22" t="str">
        <f t="shared" si="147"/>
        <v>プラスチック月報</v>
      </c>
      <c r="C1236" s="21" t="str">
        <f>HYPERLINK("#6160!DC3","0127")</f>
        <v>0127</v>
      </c>
      <c r="D1236" s="22" t="str">
        <f>HYPERLINK("#6160!DC3","ふっ素樹脂")</f>
        <v>ふっ素樹脂</v>
      </c>
    </row>
    <row r="1237" spans="1:4" x14ac:dyDescent="0.4">
      <c r="A1237" s="21">
        <f t="shared" si="146"/>
        <v>6160</v>
      </c>
      <c r="B1237" s="22" t="str">
        <f t="shared" si="147"/>
        <v>プラスチック月報</v>
      </c>
      <c r="C1237" s="21" t="str">
        <f>HYPERLINK("#6160!DG3","0128")</f>
        <v>0128</v>
      </c>
      <c r="D1237" s="22" t="str">
        <f>HYPERLINK("#6160!DG3","ポリカーボネート")</f>
        <v>ポリカーボネート</v>
      </c>
    </row>
    <row r="1238" spans="1:4" x14ac:dyDescent="0.4">
      <c r="A1238" s="21">
        <f t="shared" si="146"/>
        <v>6160</v>
      </c>
      <c r="B1238" s="22" t="str">
        <f t="shared" si="147"/>
        <v>プラスチック月報</v>
      </c>
      <c r="C1238" s="21" t="str">
        <f>HYPERLINK("#6160!DK3","0129")</f>
        <v>0129</v>
      </c>
      <c r="D1238" s="22" t="str">
        <f>HYPERLINK("#6160!DK3","ポリアセタール")</f>
        <v>ポリアセタール</v>
      </c>
    </row>
    <row r="1239" spans="1:4" x14ac:dyDescent="0.4">
      <c r="A1239" s="21">
        <f t="shared" si="146"/>
        <v>6160</v>
      </c>
      <c r="B1239" s="22" t="str">
        <f t="shared" si="147"/>
        <v>プラスチック月報</v>
      </c>
      <c r="C1239" s="21" t="str">
        <f>HYPERLINK("#6160!DO3","0130")</f>
        <v>0130</v>
      </c>
      <c r="D1239" s="22" t="str">
        <f>HYPERLINK("#6160!DO3","ポリエチレンテレフタレート(繊維用)")</f>
        <v>ポリエチレンテレフタレート(繊維用)</v>
      </c>
    </row>
    <row r="1240" spans="1:4" x14ac:dyDescent="0.4">
      <c r="A1240" s="21">
        <f t="shared" si="146"/>
        <v>6160</v>
      </c>
      <c r="B1240" s="22" t="str">
        <f t="shared" si="147"/>
        <v>プラスチック月報</v>
      </c>
      <c r="C1240" s="21" t="str">
        <f>HYPERLINK("#6160!DS3","0131")</f>
        <v>0131</v>
      </c>
      <c r="D1240" s="22" t="str">
        <f>HYPERLINK("#6160!DS3","ポリエチレンテレフタレート(容器用)")</f>
        <v>ポリエチレンテレフタレート(容器用)</v>
      </c>
    </row>
    <row r="1241" spans="1:4" x14ac:dyDescent="0.4">
      <c r="A1241" s="21">
        <f t="shared" si="146"/>
        <v>6160</v>
      </c>
      <c r="B1241" s="22" t="str">
        <f t="shared" si="147"/>
        <v>プラスチック月報</v>
      </c>
      <c r="C1241" s="21" t="str">
        <f>HYPERLINK("#6160!DW3","0132")</f>
        <v>0132</v>
      </c>
      <c r="D1241" s="22" t="str">
        <f>HYPERLINK("#6160!DW3","その他のポリエチレンテレフタレート")</f>
        <v>その他のポリエチレンテレフタレート</v>
      </c>
    </row>
    <row r="1242" spans="1:4" x14ac:dyDescent="0.4">
      <c r="A1242" s="21">
        <f t="shared" si="146"/>
        <v>6160</v>
      </c>
      <c r="B1242" s="22" t="str">
        <f t="shared" si="147"/>
        <v>プラスチック月報</v>
      </c>
      <c r="C1242" s="21" t="str">
        <f>HYPERLINK("#6160!EA3","0133")</f>
        <v>0133</v>
      </c>
      <c r="D1242" s="22" t="str">
        <f>HYPERLINK("#6160!EA3","ポリブチレンテレフタレート")</f>
        <v>ポリブチレンテレフタレート</v>
      </c>
    </row>
    <row r="1243" spans="1:4" x14ac:dyDescent="0.4">
      <c r="A1243" s="21">
        <f t="shared" si="146"/>
        <v>6160</v>
      </c>
      <c r="B1243" s="22" t="str">
        <f t="shared" si="147"/>
        <v>プラスチック月報</v>
      </c>
      <c r="C1243" s="21" t="str">
        <f>HYPERLINK("#6160!EE3","0134")</f>
        <v>0134</v>
      </c>
      <c r="D1243" s="22" t="str">
        <f>HYPERLINK("#6160!EE3","ポリフェニレンサルファイド")</f>
        <v>ポリフェニレンサルファイド</v>
      </c>
    </row>
    <row r="1244" spans="1:4" x14ac:dyDescent="0.4">
      <c r="A1244" s="21">
        <f t="shared" si="146"/>
        <v>6160</v>
      </c>
      <c r="B1244" s="22" t="str">
        <f t="shared" si="147"/>
        <v>プラスチック月報</v>
      </c>
      <c r="C1244" s="21" t="str">
        <f>HYPERLINK("#6160!EI3","0135")</f>
        <v>0135</v>
      </c>
      <c r="D1244" s="22" t="str">
        <f>HYPERLINK("#6160!EI3","その他の樹脂")</f>
        <v>その他の樹脂</v>
      </c>
    </row>
    <row r="1245" spans="1:4" x14ac:dyDescent="0.4">
      <c r="A1245" s="21">
        <f t="shared" ref="A1245:A1275" si="148">HYPERLINK("#6171!A1 ",6171)</f>
        <v>6171</v>
      </c>
      <c r="B1245" s="22" t="str">
        <f t="shared" ref="B1245:B1275" si="149">HYPERLINK("#6171!A1 ","油脂製品、石けん・合成洗剤等及び界面活性剤月報")</f>
        <v>油脂製品、石けん・合成洗剤等及び界面活性剤月報</v>
      </c>
      <c r="C1245" s="21" t="str">
        <f>HYPERLINK("#6171!C3","0101")</f>
        <v>0101</v>
      </c>
      <c r="D1245" s="22" t="str">
        <f>HYPERLINK("#6171!C3","直分脂肪酸")</f>
        <v>直分脂肪酸</v>
      </c>
    </row>
    <row r="1246" spans="1:4" x14ac:dyDescent="0.4">
      <c r="A1246" s="21">
        <f t="shared" si="148"/>
        <v>6171</v>
      </c>
      <c r="B1246" s="22" t="str">
        <f t="shared" si="149"/>
        <v>油脂製品、石けん・合成洗剤等及び界面活性剤月報</v>
      </c>
      <c r="C1246" s="21" t="str">
        <f>HYPERLINK("#6171!G3","0102")</f>
        <v>0102</v>
      </c>
      <c r="D1246" s="22" t="str">
        <f>HYPERLINK("#6171!G3","硬化脂肪酸")</f>
        <v>硬化脂肪酸</v>
      </c>
    </row>
    <row r="1247" spans="1:4" x14ac:dyDescent="0.4">
      <c r="A1247" s="21">
        <f t="shared" si="148"/>
        <v>6171</v>
      </c>
      <c r="B1247" s="22" t="str">
        <f t="shared" si="149"/>
        <v>油脂製品、石けん・合成洗剤等及び界面活性剤月報</v>
      </c>
      <c r="C1247" s="21" t="str">
        <f>HYPERLINK("#6171!K3","0103")</f>
        <v>0103</v>
      </c>
      <c r="D1247" s="22" t="str">
        <f>HYPERLINK("#6171!K3","分別・分留脂肪酸")</f>
        <v>分別・分留脂肪酸</v>
      </c>
    </row>
    <row r="1248" spans="1:4" x14ac:dyDescent="0.4">
      <c r="A1248" s="21">
        <f t="shared" si="148"/>
        <v>6171</v>
      </c>
      <c r="B1248" s="22" t="str">
        <f t="shared" si="149"/>
        <v>油脂製品、石けん・合成洗剤等及び界面活性剤月報</v>
      </c>
      <c r="C1248" s="21" t="str">
        <f>HYPERLINK("#6171!O3","0104")</f>
        <v>0104</v>
      </c>
      <c r="D1248" s="22" t="str">
        <f>HYPERLINK("#6171!O3","精製グリセリン(９８．５％換算)")</f>
        <v>精製グリセリン(９８．５％換算)</v>
      </c>
    </row>
    <row r="1249" spans="1:4" x14ac:dyDescent="0.4">
      <c r="A1249" s="21">
        <f t="shared" si="148"/>
        <v>6171</v>
      </c>
      <c r="B1249" s="22" t="str">
        <f t="shared" si="149"/>
        <v>油脂製品、石けん・合成洗剤等及び界面活性剤月報</v>
      </c>
      <c r="C1249" s="21" t="str">
        <f>HYPERLINK("#6171!S3","0105")</f>
        <v>0105</v>
      </c>
      <c r="D1249" s="22" t="str">
        <f>HYPERLINK("#6171!S3","浴用固形石けん")</f>
        <v>浴用固形石けん</v>
      </c>
    </row>
    <row r="1250" spans="1:4" x14ac:dyDescent="0.4">
      <c r="A1250" s="21">
        <f t="shared" si="148"/>
        <v>6171</v>
      </c>
      <c r="B1250" s="22" t="str">
        <f t="shared" si="149"/>
        <v>油脂製品、石けん・合成洗剤等及び界面活性剤月報</v>
      </c>
      <c r="C1250" s="21" t="str">
        <f>HYPERLINK("#6171!W3","0106")</f>
        <v>0106</v>
      </c>
      <c r="D1250" s="22" t="str">
        <f>HYPERLINK("#6171!W3","手洗用液体石けん")</f>
        <v>手洗用液体石けん</v>
      </c>
    </row>
    <row r="1251" spans="1:4" x14ac:dyDescent="0.4">
      <c r="A1251" s="21">
        <f t="shared" si="148"/>
        <v>6171</v>
      </c>
      <c r="B1251" s="22" t="str">
        <f t="shared" si="149"/>
        <v>油脂製品、石けん・合成洗剤等及び界面活性剤月報</v>
      </c>
      <c r="C1251" s="21" t="str">
        <f>HYPERLINK("#6171!AA3","0107")</f>
        <v>0107</v>
      </c>
      <c r="D1251" s="22" t="str">
        <f>HYPERLINK("#6171!AA3","その他の石けん")</f>
        <v>その他の石けん</v>
      </c>
    </row>
    <row r="1252" spans="1:4" x14ac:dyDescent="0.4">
      <c r="A1252" s="21">
        <f t="shared" si="148"/>
        <v>6171</v>
      </c>
      <c r="B1252" s="22" t="str">
        <f t="shared" si="149"/>
        <v>油脂製品、石けん・合成洗剤等及び界面活性剤月報</v>
      </c>
      <c r="C1252" s="21" t="str">
        <f>HYPERLINK("#6171!AE3","0108")</f>
        <v>0108</v>
      </c>
      <c r="D1252" s="22" t="str">
        <f>HYPERLINK("#6171!AE3","洗顔・ボディ用身体洗浄剤")</f>
        <v>洗顔・ボディ用身体洗浄剤</v>
      </c>
    </row>
    <row r="1253" spans="1:4" x14ac:dyDescent="0.4">
      <c r="A1253" s="21">
        <f t="shared" si="148"/>
        <v>6171</v>
      </c>
      <c r="B1253" s="22" t="str">
        <f t="shared" si="149"/>
        <v>油脂製品、石けん・合成洗剤等及び界面活性剤月報</v>
      </c>
      <c r="C1253" s="21" t="str">
        <f>HYPERLINK("#6171!AI3","0109")</f>
        <v>0109</v>
      </c>
      <c r="D1253" s="22" t="str">
        <f>HYPERLINK("#6171!AI3","洗濯用粉末合成洗剤")</f>
        <v>洗濯用粉末合成洗剤</v>
      </c>
    </row>
    <row r="1254" spans="1:4" x14ac:dyDescent="0.4">
      <c r="A1254" s="21">
        <f t="shared" si="148"/>
        <v>6171</v>
      </c>
      <c r="B1254" s="22" t="str">
        <f t="shared" si="149"/>
        <v>油脂製品、石けん・合成洗剤等及び界面活性剤月報</v>
      </c>
      <c r="C1254" s="21" t="str">
        <f>HYPERLINK("#6171!AM3","0110")</f>
        <v>0110</v>
      </c>
      <c r="D1254" s="22" t="str">
        <f>HYPERLINK("#6171!AM3","洗濯用液体合成洗剤(中性)")</f>
        <v>洗濯用液体合成洗剤(中性)</v>
      </c>
    </row>
    <row r="1255" spans="1:4" x14ac:dyDescent="0.4">
      <c r="A1255" s="21">
        <f t="shared" si="148"/>
        <v>6171</v>
      </c>
      <c r="B1255" s="22" t="str">
        <f t="shared" si="149"/>
        <v>油脂製品、石けん・合成洗剤等及び界面活性剤月報</v>
      </c>
      <c r="C1255" s="21" t="str">
        <f>HYPERLINK("#6171!AQ3","0111")</f>
        <v>0111</v>
      </c>
      <c r="D1255" s="22" t="str">
        <f>HYPERLINK("#6171!AQ3","洗濯用液体合成洗剤(中性以外のもの)")</f>
        <v>洗濯用液体合成洗剤(中性以外のもの)</v>
      </c>
    </row>
    <row r="1256" spans="1:4" x14ac:dyDescent="0.4">
      <c r="A1256" s="21">
        <f t="shared" si="148"/>
        <v>6171</v>
      </c>
      <c r="B1256" s="22" t="str">
        <f t="shared" si="149"/>
        <v>油脂製品、石けん・合成洗剤等及び界面活性剤月報</v>
      </c>
      <c r="C1256" s="21" t="str">
        <f>HYPERLINK("#6171!AU3","0112")</f>
        <v>0112</v>
      </c>
      <c r="D1256" s="22" t="str">
        <f>HYPERLINK("#6171!AU3","台所用合成洗剤")</f>
        <v>台所用合成洗剤</v>
      </c>
    </row>
    <row r="1257" spans="1:4" x14ac:dyDescent="0.4">
      <c r="A1257" s="21">
        <f t="shared" si="148"/>
        <v>6171</v>
      </c>
      <c r="B1257" s="22" t="str">
        <f t="shared" si="149"/>
        <v>油脂製品、石けん・合成洗剤等及び界面活性剤月報</v>
      </c>
      <c r="C1257" s="21" t="str">
        <f>HYPERLINK("#6171!AY3","0113")</f>
        <v>0113</v>
      </c>
      <c r="D1257" s="22" t="str">
        <f>HYPERLINK("#6171!AY3","住宅・家具用合成洗剤")</f>
        <v>住宅・家具用合成洗剤</v>
      </c>
    </row>
    <row r="1258" spans="1:4" x14ac:dyDescent="0.4">
      <c r="A1258" s="21">
        <f t="shared" si="148"/>
        <v>6171</v>
      </c>
      <c r="B1258" s="22" t="str">
        <f t="shared" si="149"/>
        <v>油脂製品、石けん・合成洗剤等及び界面活性剤月報</v>
      </c>
      <c r="C1258" s="21" t="str">
        <f>HYPERLINK("#6171!BC3","0114")</f>
        <v>0114</v>
      </c>
      <c r="D1258" s="22" t="str">
        <f>HYPERLINK("#6171!BC3","柔軟仕上げ剤")</f>
        <v>柔軟仕上げ剤</v>
      </c>
    </row>
    <row r="1259" spans="1:4" x14ac:dyDescent="0.4">
      <c r="A1259" s="21">
        <f t="shared" si="148"/>
        <v>6171</v>
      </c>
      <c r="B1259" s="22" t="str">
        <f t="shared" si="149"/>
        <v>油脂製品、石けん・合成洗剤等及び界面活性剤月報</v>
      </c>
      <c r="C1259" s="21" t="str">
        <f>HYPERLINK("#6171!BG3","0115")</f>
        <v>0115</v>
      </c>
      <c r="D1259" s="22" t="str">
        <f>HYPERLINK("#6171!BG3","漂白剤(酸素系)")</f>
        <v>漂白剤(酸素系)</v>
      </c>
    </row>
    <row r="1260" spans="1:4" x14ac:dyDescent="0.4">
      <c r="A1260" s="21">
        <f t="shared" si="148"/>
        <v>6171</v>
      </c>
      <c r="B1260" s="22" t="str">
        <f t="shared" si="149"/>
        <v>油脂製品、石けん・合成洗剤等及び界面活性剤月報</v>
      </c>
      <c r="C1260" s="21" t="str">
        <f>HYPERLINK("#6171!BK3","0116")</f>
        <v>0116</v>
      </c>
      <c r="D1260" s="22" t="str">
        <f>HYPERLINK("#6171!BK3","漂白剤(塩素系)")</f>
        <v>漂白剤(塩素系)</v>
      </c>
    </row>
    <row r="1261" spans="1:4" x14ac:dyDescent="0.4">
      <c r="A1261" s="21">
        <f t="shared" si="148"/>
        <v>6171</v>
      </c>
      <c r="B1261" s="22" t="str">
        <f t="shared" si="149"/>
        <v>油脂製品、石けん・合成洗剤等及び界面活性剤月報</v>
      </c>
      <c r="C1261" s="21" t="str">
        <f>HYPERLINK("#6171!BO3","0117")</f>
        <v>0117</v>
      </c>
      <c r="D1261" s="22" t="str">
        <f>HYPERLINK("#6171!BO3","酸・アルカリ洗浄剤")</f>
        <v>酸・アルカリ洗浄剤</v>
      </c>
    </row>
    <row r="1262" spans="1:4" x14ac:dyDescent="0.4">
      <c r="A1262" s="21">
        <f t="shared" si="148"/>
        <v>6171</v>
      </c>
      <c r="B1262" s="22" t="str">
        <f t="shared" si="149"/>
        <v>油脂製品、石けん・合成洗剤等及び界面活性剤月報</v>
      </c>
      <c r="C1262" s="21" t="str">
        <f>HYPERLINK("#6171!BS3","0118")</f>
        <v>0118</v>
      </c>
      <c r="D1262" s="22" t="str">
        <f>HYPERLINK("#6171!BS3","クレンザー")</f>
        <v>クレンザー</v>
      </c>
    </row>
    <row r="1263" spans="1:4" x14ac:dyDescent="0.4">
      <c r="A1263" s="21">
        <f t="shared" si="148"/>
        <v>6171</v>
      </c>
      <c r="B1263" s="22" t="str">
        <f t="shared" si="149"/>
        <v>油脂製品、石けん・合成洗剤等及び界面活性剤月報</v>
      </c>
      <c r="C1263" s="21" t="str">
        <f>HYPERLINK("#6171!BW3","0119")</f>
        <v>0119</v>
      </c>
      <c r="D1263" s="22" t="str">
        <f>HYPERLINK("#6171!BW3","陰イオン界面活性剤(硫酸エステル型)")</f>
        <v>陰イオン界面活性剤(硫酸エステル型)</v>
      </c>
    </row>
    <row r="1264" spans="1:4" x14ac:dyDescent="0.4">
      <c r="A1264" s="21">
        <f t="shared" si="148"/>
        <v>6171</v>
      </c>
      <c r="B1264" s="22" t="str">
        <f t="shared" si="149"/>
        <v>油脂製品、石けん・合成洗剤等及び界面活性剤月報</v>
      </c>
      <c r="C1264" s="21" t="str">
        <f>HYPERLINK("#6171!CA3","0120")</f>
        <v>0120</v>
      </c>
      <c r="D1264" s="22" t="str">
        <f>HYPERLINK("#6171!CA3","陰イオン界面活性剤(アルキル(アリル)スルホネート)")</f>
        <v>陰イオン界面活性剤(アルキル(アリル)スルホネート)</v>
      </c>
    </row>
    <row r="1265" spans="1:4" x14ac:dyDescent="0.4">
      <c r="A1265" s="21">
        <f t="shared" si="148"/>
        <v>6171</v>
      </c>
      <c r="B1265" s="22" t="str">
        <f t="shared" si="149"/>
        <v>油脂製品、石けん・合成洗剤等及び界面活性剤月報</v>
      </c>
      <c r="C1265" s="21" t="str">
        <f>HYPERLINK("#6171!CE3","0121")</f>
        <v>0121</v>
      </c>
      <c r="D1265" s="22" t="str">
        <f>HYPERLINK("#6171!CE3","陰イオン界面活性剤(その他のスルホン酸型)")</f>
        <v>陰イオン界面活性剤(その他のスルホン酸型)</v>
      </c>
    </row>
    <row r="1266" spans="1:4" x14ac:dyDescent="0.4">
      <c r="A1266" s="21">
        <f t="shared" si="148"/>
        <v>6171</v>
      </c>
      <c r="B1266" s="22" t="str">
        <f t="shared" si="149"/>
        <v>油脂製品、石けん・合成洗剤等及び界面活性剤月報</v>
      </c>
      <c r="C1266" s="21" t="str">
        <f>HYPERLINK("#6171!CI3","0122")</f>
        <v>0122</v>
      </c>
      <c r="D1266" s="22" t="str">
        <f>HYPERLINK("#6171!CI3","その他の陰イオン界面活性剤")</f>
        <v>その他の陰イオン界面活性剤</v>
      </c>
    </row>
    <row r="1267" spans="1:4" x14ac:dyDescent="0.4">
      <c r="A1267" s="21">
        <f t="shared" si="148"/>
        <v>6171</v>
      </c>
      <c r="B1267" s="22" t="str">
        <f t="shared" si="149"/>
        <v>油脂製品、石けん・合成洗剤等及び界面活性剤月報</v>
      </c>
      <c r="C1267" s="21" t="str">
        <f>HYPERLINK("#6171!CM3","0123")</f>
        <v>0123</v>
      </c>
      <c r="D1267" s="22" t="str">
        <f>HYPERLINK("#6171!CM3","陽イオン界面活性剤")</f>
        <v>陽イオン界面活性剤</v>
      </c>
    </row>
    <row r="1268" spans="1:4" x14ac:dyDescent="0.4">
      <c r="A1268" s="21">
        <f t="shared" si="148"/>
        <v>6171</v>
      </c>
      <c r="B1268" s="22" t="str">
        <f t="shared" si="149"/>
        <v>油脂製品、石けん・合成洗剤等及び界面活性剤月報</v>
      </c>
      <c r="C1268" s="21" t="str">
        <f>HYPERLINK("#6171!CQ3","0124")</f>
        <v>0124</v>
      </c>
      <c r="D1268" s="22" t="str">
        <f>HYPERLINK("#6171!CQ3","非イオン界面活性剤(ＰＯＥアルキルエーテル)")</f>
        <v>非イオン界面活性剤(ＰＯＥアルキルエーテル)</v>
      </c>
    </row>
    <row r="1269" spans="1:4" x14ac:dyDescent="0.4">
      <c r="A1269" s="21">
        <f t="shared" si="148"/>
        <v>6171</v>
      </c>
      <c r="B1269" s="22" t="str">
        <f t="shared" si="149"/>
        <v>油脂製品、石けん・合成洗剤等及び界面活性剤月報</v>
      </c>
      <c r="C1269" s="21" t="str">
        <f>HYPERLINK("#6171!CU3","0125")</f>
        <v>0125</v>
      </c>
      <c r="D1269" s="22" t="str">
        <f>HYPERLINK("#6171!CU3","非イオン界面活性剤(ＰＯＥアルキルアリルエーテル)")</f>
        <v>非イオン界面活性剤(ＰＯＥアルキルアリルエーテル)</v>
      </c>
    </row>
    <row r="1270" spans="1:4" x14ac:dyDescent="0.4">
      <c r="A1270" s="21">
        <f t="shared" si="148"/>
        <v>6171</v>
      </c>
      <c r="B1270" s="22" t="str">
        <f t="shared" si="149"/>
        <v>油脂製品、石けん・合成洗剤等及び界面活性剤月報</v>
      </c>
      <c r="C1270" s="21" t="str">
        <f>HYPERLINK("#6171!CY3","0126")</f>
        <v>0126</v>
      </c>
      <c r="D1270" s="22" t="str">
        <f>HYPERLINK("#6171!CY3","非イオン界面活性剤(その他のエーテル)")</f>
        <v>非イオン界面活性剤(その他のエーテル)</v>
      </c>
    </row>
    <row r="1271" spans="1:4" x14ac:dyDescent="0.4">
      <c r="A1271" s="21">
        <f t="shared" si="148"/>
        <v>6171</v>
      </c>
      <c r="B1271" s="22" t="str">
        <f t="shared" si="149"/>
        <v>油脂製品、石けん・合成洗剤等及び界面活性剤月報</v>
      </c>
      <c r="C1271" s="21" t="str">
        <f>HYPERLINK("#6171!DC3","0127")</f>
        <v>0127</v>
      </c>
      <c r="D1271" s="22" t="str">
        <f>HYPERLINK("#6171!DC3","非イオン界面活性剤(エステル・エーテル型)")</f>
        <v>非イオン界面活性剤(エステル・エーテル型)</v>
      </c>
    </row>
    <row r="1272" spans="1:4" x14ac:dyDescent="0.4">
      <c r="A1272" s="21">
        <f t="shared" si="148"/>
        <v>6171</v>
      </c>
      <c r="B1272" s="22" t="str">
        <f t="shared" si="149"/>
        <v>油脂製品、石けん・合成洗剤等及び界面活性剤月報</v>
      </c>
      <c r="C1272" s="21" t="str">
        <f>HYPERLINK("#6171!DG3","0128")</f>
        <v>0128</v>
      </c>
      <c r="D1272" s="22" t="str">
        <f>HYPERLINK("#6171!DG3","非イオン界面活性剤(多価アルコールエステル)")</f>
        <v>非イオン界面活性剤(多価アルコールエステル)</v>
      </c>
    </row>
    <row r="1273" spans="1:4" x14ac:dyDescent="0.4">
      <c r="A1273" s="21">
        <f t="shared" si="148"/>
        <v>6171</v>
      </c>
      <c r="B1273" s="22" t="str">
        <f t="shared" si="149"/>
        <v>油脂製品、石けん・合成洗剤等及び界面活性剤月報</v>
      </c>
      <c r="C1273" s="21" t="str">
        <f>HYPERLINK("#6171!DK3","0129")</f>
        <v>0129</v>
      </c>
      <c r="D1273" s="22" t="str">
        <f>HYPERLINK("#6171!DK3","その他の非イオン界面活性剤")</f>
        <v>その他の非イオン界面活性剤</v>
      </c>
    </row>
    <row r="1274" spans="1:4" x14ac:dyDescent="0.4">
      <c r="A1274" s="21">
        <f t="shared" si="148"/>
        <v>6171</v>
      </c>
      <c r="B1274" s="22" t="str">
        <f t="shared" si="149"/>
        <v>油脂製品、石けん・合成洗剤等及び界面活性剤月報</v>
      </c>
      <c r="C1274" s="21" t="str">
        <f>HYPERLINK("#6171!DO3","0130")</f>
        <v>0130</v>
      </c>
      <c r="D1274" s="22" t="str">
        <f>HYPERLINK("#6171!DO3","両性イオン界面活性剤")</f>
        <v>両性イオン界面活性剤</v>
      </c>
    </row>
    <row r="1275" spans="1:4" x14ac:dyDescent="0.4">
      <c r="A1275" s="21">
        <f t="shared" si="148"/>
        <v>6171</v>
      </c>
      <c r="B1275" s="22" t="str">
        <f t="shared" si="149"/>
        <v>油脂製品、石けん・合成洗剤等及び界面活性剤月報</v>
      </c>
      <c r="C1275" s="21" t="str">
        <f>HYPERLINK("#6171!DS3","0131")</f>
        <v>0131</v>
      </c>
      <c r="D1275" s="22" t="str">
        <f>HYPERLINK("#6171!DS3","調合界面活性剤")</f>
        <v>調合界面活性剤</v>
      </c>
    </row>
    <row r="1276" spans="1:4" x14ac:dyDescent="0.4">
      <c r="A1276" s="21">
        <f t="shared" ref="A1276:A1308" si="150">HYPERLINK("#6175!A1 ",6175)</f>
        <v>6175</v>
      </c>
      <c r="B1276" s="22" t="str">
        <f t="shared" ref="B1276:B1308" si="151">HYPERLINK("#6175!A1 ","化粧品月報")</f>
        <v>化粧品月報</v>
      </c>
      <c r="C1276" s="21" t="str">
        <f>HYPERLINK("#6175!C3","0101")</f>
        <v>0101</v>
      </c>
      <c r="D1276" s="22" t="str">
        <f>HYPERLINK("#6175!C3","香水・オーデコロン")</f>
        <v>香水・オーデコロン</v>
      </c>
    </row>
    <row r="1277" spans="1:4" x14ac:dyDescent="0.4">
      <c r="A1277" s="21">
        <f t="shared" si="150"/>
        <v>6175</v>
      </c>
      <c r="B1277" s="22" t="str">
        <f t="shared" si="151"/>
        <v>化粧品月報</v>
      </c>
      <c r="C1277" s="21" t="str">
        <f>HYPERLINK("#6175!H3","0102")</f>
        <v>0102</v>
      </c>
      <c r="D1277" s="22" t="str">
        <f>HYPERLINK("#6175!H3","シャンプー")</f>
        <v>シャンプー</v>
      </c>
    </row>
    <row r="1278" spans="1:4" x14ac:dyDescent="0.4">
      <c r="A1278" s="21">
        <f t="shared" si="150"/>
        <v>6175</v>
      </c>
      <c r="B1278" s="22" t="str">
        <f t="shared" si="151"/>
        <v>化粧品月報</v>
      </c>
      <c r="C1278" s="21" t="str">
        <f>HYPERLINK("#6175!M3","0103")</f>
        <v>0103</v>
      </c>
      <c r="D1278" s="22" t="str">
        <f>HYPERLINK("#6175!M3","ヘアリンス")</f>
        <v>ヘアリンス</v>
      </c>
    </row>
    <row r="1279" spans="1:4" x14ac:dyDescent="0.4">
      <c r="A1279" s="21">
        <f t="shared" si="150"/>
        <v>6175</v>
      </c>
      <c r="B1279" s="22" t="str">
        <f t="shared" si="151"/>
        <v>化粧品月報</v>
      </c>
      <c r="C1279" s="21" t="str">
        <f>HYPERLINK("#6175!R3","0104")</f>
        <v>0104</v>
      </c>
      <c r="D1279" s="22" t="str">
        <f>HYPERLINK("#6175!R3","ヘアトニック")</f>
        <v>ヘアトニック</v>
      </c>
    </row>
    <row r="1280" spans="1:4" x14ac:dyDescent="0.4">
      <c r="A1280" s="21">
        <f t="shared" si="150"/>
        <v>6175</v>
      </c>
      <c r="B1280" s="22" t="str">
        <f t="shared" si="151"/>
        <v>化粧品月報</v>
      </c>
      <c r="C1280" s="21" t="str">
        <f>HYPERLINK("#6175!W3","0105")</f>
        <v>0105</v>
      </c>
      <c r="D1280" s="22" t="str">
        <f>HYPERLINK("#6175!W3","ヘアトリートメント")</f>
        <v>ヘアトリートメント</v>
      </c>
    </row>
    <row r="1281" spans="1:4" x14ac:dyDescent="0.4">
      <c r="A1281" s="21">
        <f t="shared" si="150"/>
        <v>6175</v>
      </c>
      <c r="B1281" s="22" t="str">
        <f t="shared" si="151"/>
        <v>化粧品月報</v>
      </c>
      <c r="C1281" s="21" t="str">
        <f>HYPERLINK("#6175!AB3","0106")</f>
        <v>0106</v>
      </c>
      <c r="D1281" s="22" t="str">
        <f>HYPERLINK("#6175!AB3","ポマード・チック・ヘアクリーム・香油")</f>
        <v>ポマード・チック・ヘアクリーム・香油</v>
      </c>
    </row>
    <row r="1282" spans="1:4" x14ac:dyDescent="0.4">
      <c r="A1282" s="21">
        <f t="shared" si="150"/>
        <v>6175</v>
      </c>
      <c r="B1282" s="22" t="str">
        <f t="shared" si="151"/>
        <v>化粧品月報</v>
      </c>
      <c r="C1282" s="21" t="str">
        <f>HYPERLINK("#6175!AG3","0107")</f>
        <v>0107</v>
      </c>
      <c r="D1282" s="22" t="str">
        <f>HYPERLINK("#6175!AG3","液状・泡状整髪料")</f>
        <v>液状・泡状整髪料</v>
      </c>
    </row>
    <row r="1283" spans="1:4" x14ac:dyDescent="0.4">
      <c r="A1283" s="21">
        <f t="shared" si="150"/>
        <v>6175</v>
      </c>
      <c r="B1283" s="22" t="str">
        <f t="shared" si="151"/>
        <v>化粧品月報</v>
      </c>
      <c r="C1283" s="21" t="str">
        <f>HYPERLINK("#6175!AL3","0108")</f>
        <v>0108</v>
      </c>
      <c r="D1283" s="22" t="str">
        <f>HYPERLINK("#6175!AL3","セットローション")</f>
        <v>セットローション</v>
      </c>
    </row>
    <row r="1284" spans="1:4" x14ac:dyDescent="0.4">
      <c r="A1284" s="21">
        <f t="shared" si="150"/>
        <v>6175</v>
      </c>
      <c r="B1284" s="22" t="str">
        <f t="shared" si="151"/>
        <v>化粧品月報</v>
      </c>
      <c r="C1284" s="21" t="str">
        <f>HYPERLINK("#6175!AQ3","0109")</f>
        <v>0109</v>
      </c>
      <c r="D1284" s="22" t="str">
        <f>HYPERLINK("#6175!AQ3","ヘアスプレー")</f>
        <v>ヘアスプレー</v>
      </c>
    </row>
    <row r="1285" spans="1:4" x14ac:dyDescent="0.4">
      <c r="A1285" s="21">
        <f t="shared" si="150"/>
        <v>6175</v>
      </c>
      <c r="B1285" s="22" t="str">
        <f t="shared" si="151"/>
        <v>化粧品月報</v>
      </c>
      <c r="C1285" s="21" t="str">
        <f>HYPERLINK("#6175!AV3","0110")</f>
        <v>0110</v>
      </c>
      <c r="D1285" s="22" t="str">
        <f>HYPERLINK("#6175!AV3","染毛料")</f>
        <v>染毛料</v>
      </c>
    </row>
    <row r="1286" spans="1:4" x14ac:dyDescent="0.4">
      <c r="A1286" s="21">
        <f t="shared" si="150"/>
        <v>6175</v>
      </c>
      <c r="B1286" s="22" t="str">
        <f t="shared" si="151"/>
        <v>化粧品月報</v>
      </c>
      <c r="C1286" s="21" t="str">
        <f>HYPERLINK("#6175!BA3","0111")</f>
        <v>0111</v>
      </c>
      <c r="D1286" s="22" t="str">
        <f>HYPERLINK("#6175!BA3","その他の頭髪用化粧品")</f>
        <v>その他の頭髪用化粧品</v>
      </c>
    </row>
    <row r="1287" spans="1:4" x14ac:dyDescent="0.4">
      <c r="A1287" s="21">
        <f t="shared" si="150"/>
        <v>6175</v>
      </c>
      <c r="B1287" s="22" t="str">
        <f t="shared" si="151"/>
        <v>化粧品月報</v>
      </c>
      <c r="C1287" s="21" t="str">
        <f>HYPERLINK("#6175!BF3","0112")</f>
        <v>0112</v>
      </c>
      <c r="D1287" s="22" t="str">
        <f>HYPERLINK("#6175!BF3","洗顔クリーム・フォーム")</f>
        <v>洗顔クリーム・フォーム</v>
      </c>
    </row>
    <row r="1288" spans="1:4" x14ac:dyDescent="0.4">
      <c r="A1288" s="21">
        <f t="shared" si="150"/>
        <v>6175</v>
      </c>
      <c r="B1288" s="22" t="str">
        <f t="shared" si="151"/>
        <v>化粧品月報</v>
      </c>
      <c r="C1288" s="21" t="str">
        <f>HYPERLINK("#6175!BK3","0113")</f>
        <v>0113</v>
      </c>
      <c r="D1288" s="22" t="str">
        <f>HYPERLINK("#6175!BK3","クレンジングクリーム")</f>
        <v>クレンジングクリーム</v>
      </c>
    </row>
    <row r="1289" spans="1:4" x14ac:dyDescent="0.4">
      <c r="A1289" s="21">
        <f t="shared" si="150"/>
        <v>6175</v>
      </c>
      <c r="B1289" s="22" t="str">
        <f t="shared" si="151"/>
        <v>化粧品月報</v>
      </c>
      <c r="C1289" s="21" t="str">
        <f>HYPERLINK("#6175!BP3","0114")</f>
        <v>0114</v>
      </c>
      <c r="D1289" s="22" t="str">
        <f>HYPERLINK("#6175!BP3","マッサージ・コールドクリーム")</f>
        <v>マッサージ・コールドクリーム</v>
      </c>
    </row>
    <row r="1290" spans="1:4" x14ac:dyDescent="0.4">
      <c r="A1290" s="21">
        <f t="shared" si="150"/>
        <v>6175</v>
      </c>
      <c r="B1290" s="22" t="str">
        <f t="shared" si="151"/>
        <v>化粧品月報</v>
      </c>
      <c r="C1290" s="21" t="str">
        <f>HYPERLINK("#6175!BU3","0115")</f>
        <v>0115</v>
      </c>
      <c r="D1290" s="22" t="str">
        <f>HYPERLINK("#6175!BU3","モイスチャークリーム")</f>
        <v>モイスチャークリーム</v>
      </c>
    </row>
    <row r="1291" spans="1:4" x14ac:dyDescent="0.4">
      <c r="A1291" s="21">
        <f t="shared" si="150"/>
        <v>6175</v>
      </c>
      <c r="B1291" s="22" t="str">
        <f t="shared" si="151"/>
        <v>化粧品月報</v>
      </c>
      <c r="C1291" s="21" t="str">
        <f>HYPERLINK("#6175!BZ3","0116")</f>
        <v>0116</v>
      </c>
      <c r="D1291" s="22" t="str">
        <f>HYPERLINK("#6175!BZ3","乳液")</f>
        <v>乳液</v>
      </c>
    </row>
    <row r="1292" spans="1:4" x14ac:dyDescent="0.4">
      <c r="A1292" s="21">
        <f t="shared" si="150"/>
        <v>6175</v>
      </c>
      <c r="B1292" s="22" t="str">
        <f t="shared" si="151"/>
        <v>化粧品月報</v>
      </c>
      <c r="C1292" s="21" t="str">
        <f>HYPERLINK("#6175!CE3","0117")</f>
        <v>0117</v>
      </c>
      <c r="D1292" s="22" t="str">
        <f>HYPERLINK("#6175!CE3","化粧水")</f>
        <v>化粧水</v>
      </c>
    </row>
    <row r="1293" spans="1:4" x14ac:dyDescent="0.4">
      <c r="A1293" s="21">
        <f t="shared" si="150"/>
        <v>6175</v>
      </c>
      <c r="B1293" s="22" t="str">
        <f t="shared" si="151"/>
        <v>化粧品月報</v>
      </c>
      <c r="C1293" s="21" t="str">
        <f>HYPERLINK("#6175!CJ3","0118")</f>
        <v>0118</v>
      </c>
      <c r="D1293" s="22" t="str">
        <f>HYPERLINK("#6175!CJ3","美容液")</f>
        <v>美容液</v>
      </c>
    </row>
    <row r="1294" spans="1:4" x14ac:dyDescent="0.4">
      <c r="A1294" s="21">
        <f t="shared" si="150"/>
        <v>6175</v>
      </c>
      <c r="B1294" s="22" t="str">
        <f t="shared" si="151"/>
        <v>化粧品月報</v>
      </c>
      <c r="C1294" s="21" t="str">
        <f>HYPERLINK("#6175!CO3","0119")</f>
        <v>0119</v>
      </c>
      <c r="D1294" s="22" t="str">
        <f>HYPERLINK("#6175!CO3","パック")</f>
        <v>パック</v>
      </c>
    </row>
    <row r="1295" spans="1:4" x14ac:dyDescent="0.4">
      <c r="A1295" s="21">
        <f t="shared" si="150"/>
        <v>6175</v>
      </c>
      <c r="B1295" s="22" t="str">
        <f t="shared" si="151"/>
        <v>化粧品月報</v>
      </c>
      <c r="C1295" s="21" t="str">
        <f>HYPERLINK("#6175!CT3","0120")</f>
        <v>0120</v>
      </c>
      <c r="D1295" s="22" t="str">
        <f>HYPERLINK("#6175!CT3","男性皮膚用化粧品")</f>
        <v>男性皮膚用化粧品</v>
      </c>
    </row>
    <row r="1296" spans="1:4" x14ac:dyDescent="0.4">
      <c r="A1296" s="21">
        <f t="shared" si="150"/>
        <v>6175</v>
      </c>
      <c r="B1296" s="22" t="str">
        <f t="shared" si="151"/>
        <v>化粧品月報</v>
      </c>
      <c r="C1296" s="21" t="str">
        <f>HYPERLINK("#6175!CY3","0121")</f>
        <v>0121</v>
      </c>
      <c r="D1296" s="22" t="str">
        <f>HYPERLINK("#6175!CY3","その他の皮膚用化粧品")</f>
        <v>その他の皮膚用化粧品</v>
      </c>
    </row>
    <row r="1297" spans="1:4" x14ac:dyDescent="0.4">
      <c r="A1297" s="21">
        <f t="shared" si="150"/>
        <v>6175</v>
      </c>
      <c r="B1297" s="22" t="str">
        <f t="shared" si="151"/>
        <v>化粧品月報</v>
      </c>
      <c r="C1297" s="21" t="str">
        <f>HYPERLINK("#6175!DD3","0122")</f>
        <v>0122</v>
      </c>
      <c r="D1297" s="22" t="str">
        <f>HYPERLINK("#6175!DD3","ファンデーション")</f>
        <v>ファンデーション</v>
      </c>
    </row>
    <row r="1298" spans="1:4" x14ac:dyDescent="0.4">
      <c r="A1298" s="21">
        <f t="shared" si="150"/>
        <v>6175</v>
      </c>
      <c r="B1298" s="22" t="str">
        <f t="shared" si="151"/>
        <v>化粧品月報</v>
      </c>
      <c r="C1298" s="21" t="str">
        <f>HYPERLINK("#6175!DI3","0123")</f>
        <v>0123</v>
      </c>
      <c r="D1298" s="22" t="str">
        <f>HYPERLINK("#6175!DI3","おしろい")</f>
        <v>おしろい</v>
      </c>
    </row>
    <row r="1299" spans="1:4" x14ac:dyDescent="0.4">
      <c r="A1299" s="21">
        <f t="shared" si="150"/>
        <v>6175</v>
      </c>
      <c r="B1299" s="22" t="str">
        <f t="shared" si="151"/>
        <v>化粧品月報</v>
      </c>
      <c r="C1299" s="21" t="str">
        <f>HYPERLINK("#6175!DN3","0124")</f>
        <v>0124</v>
      </c>
      <c r="D1299" s="22" t="str">
        <f>HYPERLINK("#6175!DN3","口紅")</f>
        <v>口紅</v>
      </c>
    </row>
    <row r="1300" spans="1:4" x14ac:dyDescent="0.4">
      <c r="A1300" s="21">
        <f t="shared" si="150"/>
        <v>6175</v>
      </c>
      <c r="B1300" s="22" t="str">
        <f t="shared" si="151"/>
        <v>化粧品月報</v>
      </c>
      <c r="C1300" s="21" t="str">
        <f>HYPERLINK("#6175!DS3","0125")</f>
        <v>0125</v>
      </c>
      <c r="D1300" s="22" t="str">
        <f>HYPERLINK("#6175!DS3","リップクリーム")</f>
        <v>リップクリーム</v>
      </c>
    </row>
    <row r="1301" spans="1:4" x14ac:dyDescent="0.4">
      <c r="A1301" s="21">
        <f t="shared" si="150"/>
        <v>6175</v>
      </c>
      <c r="B1301" s="22" t="str">
        <f t="shared" si="151"/>
        <v>化粧品月報</v>
      </c>
      <c r="C1301" s="21" t="str">
        <f>HYPERLINK("#6175!DX3","0126")</f>
        <v>0126</v>
      </c>
      <c r="D1301" s="22" t="str">
        <f>HYPERLINK("#6175!DX3","ほほ紅")</f>
        <v>ほほ紅</v>
      </c>
    </row>
    <row r="1302" spans="1:4" x14ac:dyDescent="0.4">
      <c r="A1302" s="21">
        <f t="shared" si="150"/>
        <v>6175</v>
      </c>
      <c r="B1302" s="22" t="str">
        <f t="shared" si="151"/>
        <v>化粧品月報</v>
      </c>
      <c r="C1302" s="21" t="str">
        <f>HYPERLINK("#6175!EC3","0127")</f>
        <v>0127</v>
      </c>
      <c r="D1302" s="22" t="str">
        <f>HYPERLINK("#6175!EC3","アイメークアップ")</f>
        <v>アイメークアップ</v>
      </c>
    </row>
    <row r="1303" spans="1:4" x14ac:dyDescent="0.4">
      <c r="A1303" s="21">
        <f t="shared" si="150"/>
        <v>6175</v>
      </c>
      <c r="B1303" s="22" t="str">
        <f t="shared" si="151"/>
        <v>化粧品月報</v>
      </c>
      <c r="C1303" s="21" t="str">
        <f>HYPERLINK("#6175!EH3","0128")</f>
        <v>0128</v>
      </c>
      <c r="D1303" s="22" t="str">
        <f>HYPERLINK("#6175!EH3","まゆ墨・まつ毛化粧料")</f>
        <v>まゆ墨・まつ毛化粧料</v>
      </c>
    </row>
    <row r="1304" spans="1:4" x14ac:dyDescent="0.4">
      <c r="A1304" s="21">
        <f t="shared" si="150"/>
        <v>6175</v>
      </c>
      <c r="B1304" s="22" t="str">
        <f t="shared" si="151"/>
        <v>化粧品月報</v>
      </c>
      <c r="C1304" s="21" t="str">
        <f>HYPERLINK("#6175!EM3","0129")</f>
        <v>0129</v>
      </c>
      <c r="D1304" s="22" t="str">
        <f>HYPERLINK("#6175!EM3","つめ化粧料(除光液を含む)")</f>
        <v>つめ化粧料(除光液を含む)</v>
      </c>
    </row>
    <row r="1305" spans="1:4" x14ac:dyDescent="0.4">
      <c r="A1305" s="21">
        <f t="shared" si="150"/>
        <v>6175</v>
      </c>
      <c r="B1305" s="22" t="str">
        <f t="shared" si="151"/>
        <v>化粧品月報</v>
      </c>
      <c r="C1305" s="21" t="str">
        <f>HYPERLINK("#6175!ER3","0130")</f>
        <v>0130</v>
      </c>
      <c r="D1305" s="22" t="str">
        <f>HYPERLINK("#6175!ER3","その他の仕上用化粧品")</f>
        <v>その他の仕上用化粧品</v>
      </c>
    </row>
    <row r="1306" spans="1:4" x14ac:dyDescent="0.4">
      <c r="A1306" s="21">
        <f t="shared" si="150"/>
        <v>6175</v>
      </c>
      <c r="B1306" s="22" t="str">
        <f t="shared" si="151"/>
        <v>化粧品月報</v>
      </c>
      <c r="C1306" s="21" t="str">
        <f>HYPERLINK("#6175!EW3","0131")</f>
        <v>0131</v>
      </c>
      <c r="D1306" s="22" t="str">
        <f>HYPERLINK("#6175!EW3","日やけ止め及び日やけ用化粧品")</f>
        <v>日やけ止め及び日やけ用化粧品</v>
      </c>
    </row>
    <row r="1307" spans="1:4" x14ac:dyDescent="0.4">
      <c r="A1307" s="21">
        <f t="shared" si="150"/>
        <v>6175</v>
      </c>
      <c r="B1307" s="22" t="str">
        <f t="shared" si="151"/>
        <v>化粧品月報</v>
      </c>
      <c r="C1307" s="21" t="str">
        <f>HYPERLINK("#6175!FB3","0132")</f>
        <v>0132</v>
      </c>
      <c r="D1307" s="22" t="str">
        <f>HYPERLINK("#6175!FB3","ひげそり用・浴用化粧品")</f>
        <v>ひげそり用・浴用化粧品</v>
      </c>
    </row>
    <row r="1308" spans="1:4" x14ac:dyDescent="0.4">
      <c r="A1308" s="21">
        <f t="shared" si="150"/>
        <v>6175</v>
      </c>
      <c r="B1308" s="22" t="str">
        <f t="shared" si="151"/>
        <v>化粧品月報</v>
      </c>
      <c r="C1308" s="21" t="str">
        <f>HYPERLINK("#6175!FG3","0133")</f>
        <v>0133</v>
      </c>
      <c r="D1308" s="22" t="str">
        <f>HYPERLINK("#6175!FG3","その他の特殊用途化粧品")</f>
        <v>その他の特殊用途化粧品</v>
      </c>
    </row>
    <row r="1309" spans="1:4" x14ac:dyDescent="0.4">
      <c r="A1309" s="21">
        <f t="shared" ref="A1309:A1335" si="152">HYPERLINK("#6180!A1 ",6180)</f>
        <v>6180</v>
      </c>
      <c r="B1309" s="22" t="str">
        <f t="shared" ref="B1309:B1335" si="153">HYPERLINK("#6180!A1 ","塗料及び印刷インキ月報")</f>
        <v>塗料及び印刷インキ月報</v>
      </c>
      <c r="C1309" s="21" t="str">
        <f>HYPERLINK("#6180!C3","0101")</f>
        <v>0101</v>
      </c>
      <c r="D1309" s="22" t="str">
        <f>HYPERLINK("#6180!C3","ラッカー")</f>
        <v>ラッカー</v>
      </c>
    </row>
    <row r="1310" spans="1:4" x14ac:dyDescent="0.4">
      <c r="A1310" s="21">
        <f t="shared" si="152"/>
        <v>6180</v>
      </c>
      <c r="B1310" s="22" t="str">
        <f t="shared" si="153"/>
        <v>塗料及び印刷インキ月報</v>
      </c>
      <c r="C1310" s="21" t="str">
        <f>HYPERLINK("#6180!G3","0102")</f>
        <v>0102</v>
      </c>
      <c r="D1310" s="22" t="str">
        <f>HYPERLINK("#6180!G3","電気絶縁塗料")</f>
        <v>電気絶縁塗料</v>
      </c>
    </row>
    <row r="1311" spans="1:4" x14ac:dyDescent="0.4">
      <c r="A1311" s="21">
        <f t="shared" si="152"/>
        <v>6180</v>
      </c>
      <c r="B1311" s="22" t="str">
        <f t="shared" si="153"/>
        <v>塗料及び印刷インキ月報</v>
      </c>
      <c r="C1311" s="21" t="str">
        <f>HYPERLINK("#6180!K3","0103")</f>
        <v>0103</v>
      </c>
      <c r="D1311" s="22" t="str">
        <f>HYPERLINK("#6180!K3","ワニス・エナメル")</f>
        <v>ワニス・エナメル</v>
      </c>
    </row>
    <row r="1312" spans="1:4" x14ac:dyDescent="0.4">
      <c r="A1312" s="21">
        <f t="shared" si="152"/>
        <v>6180</v>
      </c>
      <c r="B1312" s="22" t="str">
        <f t="shared" si="153"/>
        <v>塗料及び印刷インキ月報</v>
      </c>
      <c r="C1312" s="21" t="str">
        <f>HYPERLINK("#6180!O3","0104")</f>
        <v>0104</v>
      </c>
      <c r="D1312" s="22" t="str">
        <f>HYPERLINK("#6180!O3","調合ペイント")</f>
        <v>調合ペイント</v>
      </c>
    </row>
    <row r="1313" spans="1:4" x14ac:dyDescent="0.4">
      <c r="A1313" s="21">
        <f t="shared" si="152"/>
        <v>6180</v>
      </c>
      <c r="B1313" s="22" t="str">
        <f t="shared" si="153"/>
        <v>塗料及び印刷インキ月報</v>
      </c>
      <c r="C1313" s="21" t="str">
        <f>HYPERLINK("#6180!S3","0105")</f>
        <v>0105</v>
      </c>
      <c r="D1313" s="22" t="str">
        <f>HYPERLINK("#6180!S3","さび止ペイント")</f>
        <v>さび止ペイント</v>
      </c>
    </row>
    <row r="1314" spans="1:4" x14ac:dyDescent="0.4">
      <c r="A1314" s="21">
        <f t="shared" si="152"/>
        <v>6180</v>
      </c>
      <c r="B1314" s="22" t="str">
        <f t="shared" si="153"/>
        <v>塗料及び印刷インキ月報</v>
      </c>
      <c r="C1314" s="21" t="str">
        <f>HYPERLINK("#6180!W3","0106")</f>
        <v>0106</v>
      </c>
      <c r="D1314" s="22" t="str">
        <f>HYPERLINK("#6180!W3","アミノアルキド樹脂系塗料")</f>
        <v>アミノアルキド樹脂系塗料</v>
      </c>
    </row>
    <row r="1315" spans="1:4" x14ac:dyDescent="0.4">
      <c r="A1315" s="21">
        <f t="shared" si="152"/>
        <v>6180</v>
      </c>
      <c r="B1315" s="22" t="str">
        <f t="shared" si="153"/>
        <v>塗料及び印刷インキ月報</v>
      </c>
      <c r="C1315" s="21" t="str">
        <f>HYPERLINK("#6180!AA3","0107")</f>
        <v>0107</v>
      </c>
      <c r="D1315" s="22" t="str">
        <f>HYPERLINK("#6180!AA3","アクリル樹脂系塗料(常温乾燥型)")</f>
        <v>アクリル樹脂系塗料(常温乾燥型)</v>
      </c>
    </row>
    <row r="1316" spans="1:4" x14ac:dyDescent="0.4">
      <c r="A1316" s="21">
        <f t="shared" si="152"/>
        <v>6180</v>
      </c>
      <c r="B1316" s="22" t="str">
        <f t="shared" si="153"/>
        <v>塗料及び印刷インキ月報</v>
      </c>
      <c r="C1316" s="21" t="str">
        <f>HYPERLINK("#6180!AE3","0108")</f>
        <v>0108</v>
      </c>
      <c r="D1316" s="22" t="str">
        <f>HYPERLINK("#6180!AE3","アクリル樹脂系塗料(焼付乾燥型)")</f>
        <v>アクリル樹脂系塗料(焼付乾燥型)</v>
      </c>
    </row>
    <row r="1317" spans="1:4" x14ac:dyDescent="0.4">
      <c r="A1317" s="21">
        <f t="shared" si="152"/>
        <v>6180</v>
      </c>
      <c r="B1317" s="22" t="str">
        <f t="shared" si="153"/>
        <v>塗料及び印刷インキ月報</v>
      </c>
      <c r="C1317" s="21" t="str">
        <f>HYPERLINK("#6180!AI3","0109")</f>
        <v>0109</v>
      </c>
      <c r="D1317" s="22" t="str">
        <f>HYPERLINK("#6180!AI3","エポキシ樹脂系塗料")</f>
        <v>エポキシ樹脂系塗料</v>
      </c>
    </row>
    <row r="1318" spans="1:4" x14ac:dyDescent="0.4">
      <c r="A1318" s="21">
        <f t="shared" si="152"/>
        <v>6180</v>
      </c>
      <c r="B1318" s="22" t="str">
        <f t="shared" si="153"/>
        <v>塗料及び印刷インキ月報</v>
      </c>
      <c r="C1318" s="21" t="str">
        <f>HYPERLINK("#6180!AM3","0110")</f>
        <v>0110</v>
      </c>
      <c r="D1318" s="22" t="str">
        <f>HYPERLINK("#6180!AM3","ウレタン樹脂系塗料")</f>
        <v>ウレタン樹脂系塗料</v>
      </c>
    </row>
    <row r="1319" spans="1:4" x14ac:dyDescent="0.4">
      <c r="A1319" s="21">
        <f t="shared" si="152"/>
        <v>6180</v>
      </c>
      <c r="B1319" s="22" t="str">
        <f t="shared" si="153"/>
        <v>塗料及び印刷インキ月報</v>
      </c>
      <c r="C1319" s="21" t="str">
        <f>HYPERLINK("#6180!AQ3","0111")</f>
        <v>0111</v>
      </c>
      <c r="D1319" s="22" t="str">
        <f>HYPERLINK("#6180!AQ3","不飽和ポリエステル樹脂系塗料")</f>
        <v>不飽和ポリエステル樹脂系塗料</v>
      </c>
    </row>
    <row r="1320" spans="1:4" x14ac:dyDescent="0.4">
      <c r="A1320" s="21">
        <f t="shared" si="152"/>
        <v>6180</v>
      </c>
      <c r="B1320" s="22" t="str">
        <f t="shared" si="153"/>
        <v>塗料及び印刷インキ月報</v>
      </c>
      <c r="C1320" s="21" t="str">
        <f>HYPERLINK("#6180!AU3","0112")</f>
        <v>0112</v>
      </c>
      <c r="D1320" s="22" t="str">
        <f>HYPERLINK("#6180!AU3","船底塗料")</f>
        <v>船底塗料</v>
      </c>
    </row>
    <row r="1321" spans="1:4" x14ac:dyDescent="0.4">
      <c r="A1321" s="21">
        <f t="shared" si="152"/>
        <v>6180</v>
      </c>
      <c r="B1321" s="22" t="str">
        <f t="shared" si="153"/>
        <v>塗料及び印刷インキ月報</v>
      </c>
      <c r="C1321" s="21" t="str">
        <f>HYPERLINK("#6180!AY3","0113")</f>
        <v>0113</v>
      </c>
      <c r="D1321" s="22" t="str">
        <f>HYPERLINK("#6180!AY3","その他の溶剤系塗料")</f>
        <v>その他の溶剤系塗料</v>
      </c>
    </row>
    <row r="1322" spans="1:4" x14ac:dyDescent="0.4">
      <c r="A1322" s="21">
        <f t="shared" si="152"/>
        <v>6180</v>
      </c>
      <c r="B1322" s="22" t="str">
        <f t="shared" si="153"/>
        <v>塗料及び印刷インキ月報</v>
      </c>
      <c r="C1322" s="21" t="str">
        <f>HYPERLINK("#6180!BC3","0114")</f>
        <v>0114</v>
      </c>
      <c r="D1322" s="22" t="str">
        <f>HYPERLINK("#6180!BC3","エマルションペイント")</f>
        <v>エマルションペイント</v>
      </c>
    </row>
    <row r="1323" spans="1:4" x14ac:dyDescent="0.4">
      <c r="A1323" s="21">
        <f t="shared" si="152"/>
        <v>6180</v>
      </c>
      <c r="B1323" s="22" t="str">
        <f t="shared" si="153"/>
        <v>塗料及び印刷インキ月報</v>
      </c>
      <c r="C1323" s="21" t="str">
        <f>HYPERLINK("#6180!BG3","0115")</f>
        <v>0115</v>
      </c>
      <c r="D1323" s="22" t="str">
        <f>HYPERLINK("#6180!BG3","厚膜型エマルションペイント")</f>
        <v>厚膜型エマルションペイント</v>
      </c>
    </row>
    <row r="1324" spans="1:4" x14ac:dyDescent="0.4">
      <c r="A1324" s="21">
        <f t="shared" si="152"/>
        <v>6180</v>
      </c>
      <c r="B1324" s="22" t="str">
        <f t="shared" si="153"/>
        <v>塗料及び印刷インキ月報</v>
      </c>
      <c r="C1324" s="21" t="str">
        <f>HYPERLINK("#6180!BK3","0116")</f>
        <v>0116</v>
      </c>
      <c r="D1324" s="22" t="str">
        <f>HYPERLINK("#6180!BK3","水性樹脂系塗料")</f>
        <v>水性樹脂系塗料</v>
      </c>
    </row>
    <row r="1325" spans="1:4" x14ac:dyDescent="0.4">
      <c r="A1325" s="21">
        <f t="shared" si="152"/>
        <v>6180</v>
      </c>
      <c r="B1325" s="22" t="str">
        <f t="shared" si="153"/>
        <v>塗料及び印刷インキ月報</v>
      </c>
      <c r="C1325" s="21" t="str">
        <f>HYPERLINK("#6180!BO3","0117")</f>
        <v>0117</v>
      </c>
      <c r="D1325" s="22" t="str">
        <f>HYPERLINK("#6180!BO3","粉体塗料")</f>
        <v>粉体塗料</v>
      </c>
    </row>
    <row r="1326" spans="1:4" x14ac:dyDescent="0.4">
      <c r="A1326" s="21">
        <f t="shared" si="152"/>
        <v>6180</v>
      </c>
      <c r="B1326" s="22" t="str">
        <f t="shared" si="153"/>
        <v>塗料及び印刷インキ月報</v>
      </c>
      <c r="C1326" s="21" t="str">
        <f>HYPERLINK("#6180!BS3","0118")</f>
        <v>0118</v>
      </c>
      <c r="D1326" s="22" t="str">
        <f>HYPERLINK("#6180!BS3","トラフィックペイント")</f>
        <v>トラフィックペイント</v>
      </c>
    </row>
    <row r="1327" spans="1:4" x14ac:dyDescent="0.4">
      <c r="A1327" s="21">
        <f t="shared" si="152"/>
        <v>6180</v>
      </c>
      <c r="B1327" s="22" t="str">
        <f t="shared" si="153"/>
        <v>塗料及び印刷インキ月報</v>
      </c>
      <c r="C1327" s="21" t="str">
        <f>HYPERLINK("#6180!BW3","0119")</f>
        <v>0119</v>
      </c>
      <c r="D1327" s="22" t="str">
        <f>HYPERLINK("#6180!BW3","その他の塗料")</f>
        <v>その他の塗料</v>
      </c>
    </row>
    <row r="1328" spans="1:4" x14ac:dyDescent="0.4">
      <c r="A1328" s="21">
        <f t="shared" si="152"/>
        <v>6180</v>
      </c>
      <c r="B1328" s="22" t="str">
        <f t="shared" si="153"/>
        <v>塗料及び印刷インキ月報</v>
      </c>
      <c r="C1328" s="21" t="str">
        <f>HYPERLINK("#6180!CA3","0120")</f>
        <v>0120</v>
      </c>
      <c r="D1328" s="22" t="str">
        <f>HYPERLINK("#6180!CA3","シンナー")</f>
        <v>シンナー</v>
      </c>
    </row>
    <row r="1329" spans="1:4" x14ac:dyDescent="0.4">
      <c r="A1329" s="21">
        <f t="shared" si="152"/>
        <v>6180</v>
      </c>
      <c r="B1329" s="22" t="str">
        <f t="shared" si="153"/>
        <v>塗料及び印刷インキ月報</v>
      </c>
      <c r="C1329" s="21" t="str">
        <f>HYPERLINK("#6180!CE3","0121")</f>
        <v>0121</v>
      </c>
      <c r="D1329" s="22" t="str">
        <f>HYPERLINK("#6180!CE3","平版インキ")</f>
        <v>平版インキ</v>
      </c>
    </row>
    <row r="1330" spans="1:4" x14ac:dyDescent="0.4">
      <c r="A1330" s="21">
        <f t="shared" si="152"/>
        <v>6180</v>
      </c>
      <c r="B1330" s="22" t="str">
        <f t="shared" si="153"/>
        <v>塗料及び印刷インキ月報</v>
      </c>
      <c r="C1330" s="21" t="str">
        <f>HYPERLINK("#6180!CI3","0122")</f>
        <v>0122</v>
      </c>
      <c r="D1330" s="22" t="str">
        <f>HYPERLINK("#6180!CI3","樹脂凸版インキ")</f>
        <v>樹脂凸版インキ</v>
      </c>
    </row>
    <row r="1331" spans="1:4" x14ac:dyDescent="0.4">
      <c r="A1331" s="21">
        <f t="shared" si="152"/>
        <v>6180</v>
      </c>
      <c r="B1331" s="22" t="str">
        <f t="shared" si="153"/>
        <v>塗料及び印刷インキ月報</v>
      </c>
      <c r="C1331" s="21" t="str">
        <f>HYPERLINK("#6180!CM3","0123")</f>
        <v>0123</v>
      </c>
      <c r="D1331" s="22" t="str">
        <f>HYPERLINK("#6180!CM3","金属印刷インキ")</f>
        <v>金属印刷インキ</v>
      </c>
    </row>
    <row r="1332" spans="1:4" x14ac:dyDescent="0.4">
      <c r="A1332" s="21">
        <f t="shared" si="152"/>
        <v>6180</v>
      </c>
      <c r="B1332" s="22" t="str">
        <f t="shared" si="153"/>
        <v>塗料及び印刷インキ月報</v>
      </c>
      <c r="C1332" s="21" t="str">
        <f>HYPERLINK("#6180!CQ3","0124")</f>
        <v>0124</v>
      </c>
      <c r="D1332" s="22" t="str">
        <f>HYPERLINK("#6180!CQ3","グラビアインキ")</f>
        <v>グラビアインキ</v>
      </c>
    </row>
    <row r="1333" spans="1:4" x14ac:dyDescent="0.4">
      <c r="A1333" s="21">
        <f t="shared" si="152"/>
        <v>6180</v>
      </c>
      <c r="B1333" s="22" t="str">
        <f t="shared" si="153"/>
        <v>塗料及び印刷インキ月報</v>
      </c>
      <c r="C1333" s="21" t="str">
        <f>HYPERLINK("#6180!CU3","0125")</f>
        <v>0125</v>
      </c>
      <c r="D1333" s="22" t="str">
        <f>HYPERLINK("#6180!CU3","その他の一般インキ")</f>
        <v>その他の一般インキ</v>
      </c>
    </row>
    <row r="1334" spans="1:4" x14ac:dyDescent="0.4">
      <c r="A1334" s="21">
        <f t="shared" si="152"/>
        <v>6180</v>
      </c>
      <c r="B1334" s="22" t="str">
        <f t="shared" si="153"/>
        <v>塗料及び印刷インキ月報</v>
      </c>
      <c r="C1334" s="21" t="str">
        <f>HYPERLINK("#6180!CY3","0126")</f>
        <v>0126</v>
      </c>
      <c r="D1334" s="22" t="str">
        <f>HYPERLINK("#6180!CY3","新聞インキ")</f>
        <v>新聞インキ</v>
      </c>
    </row>
    <row r="1335" spans="1:4" x14ac:dyDescent="0.4">
      <c r="A1335" s="21">
        <f t="shared" si="152"/>
        <v>6180</v>
      </c>
      <c r="B1335" s="22" t="str">
        <f t="shared" si="153"/>
        <v>塗料及び印刷インキ月報</v>
      </c>
      <c r="C1335" s="21" t="str">
        <f>HYPERLINK("#6180!DC3","0127")</f>
        <v>0127</v>
      </c>
      <c r="D1335" s="22" t="str">
        <f>HYPERLINK("#6180!DC3","印刷インキ用ワニス")</f>
        <v>印刷インキ用ワニス</v>
      </c>
    </row>
    <row r="1336" spans="1:4" x14ac:dyDescent="0.4">
      <c r="A1336" s="21">
        <f>HYPERLINK("#6201!A1 ",6201)</f>
        <v>6201</v>
      </c>
      <c r="B1336" s="22" t="str">
        <f>HYPERLINK("#6201!A1 ","ゴム製品月報（自動車用タイヤ）")</f>
        <v>ゴム製品月報（自動車用タイヤ）</v>
      </c>
      <c r="C1336" s="21" t="str">
        <f>HYPERLINK("#6201!C3","0101")</f>
        <v>0101</v>
      </c>
      <c r="D1336" s="22" t="str">
        <f>HYPERLINK("#6201!C3","トラック・バス用タイヤ")</f>
        <v>トラック・バス用タイヤ</v>
      </c>
    </row>
    <row r="1337" spans="1:4" x14ac:dyDescent="0.4">
      <c r="A1337" s="21">
        <f>HYPERLINK("#6201!A1 ",6201)</f>
        <v>6201</v>
      </c>
      <c r="B1337" s="22" t="str">
        <f>HYPERLINK("#6201!A1 ","ゴム製品月報（自動車用タイヤ）")</f>
        <v>ゴム製品月報（自動車用タイヤ）</v>
      </c>
      <c r="C1337" s="21" t="str">
        <f>HYPERLINK("#6201!G3","0102")</f>
        <v>0102</v>
      </c>
      <c r="D1337" s="22" t="str">
        <f>HYPERLINK("#6201!G3","乗用車用タイヤ")</f>
        <v>乗用車用タイヤ</v>
      </c>
    </row>
    <row r="1338" spans="1:4" x14ac:dyDescent="0.4">
      <c r="A1338" s="21">
        <f>HYPERLINK("#6201!A1 ",6201)</f>
        <v>6201</v>
      </c>
      <c r="B1338" s="22" t="str">
        <f>HYPERLINK("#6201!A1 ","ゴム製品月報（自動車用タイヤ）")</f>
        <v>ゴム製品月報（自動車用タイヤ）</v>
      </c>
      <c r="C1338" s="21" t="str">
        <f>HYPERLINK("#6201!K3","0103")</f>
        <v>0103</v>
      </c>
      <c r="D1338" s="22" t="str">
        <f>HYPERLINK("#6201!K3","小型トラック用タイヤ")</f>
        <v>小型トラック用タイヤ</v>
      </c>
    </row>
    <row r="1339" spans="1:4" x14ac:dyDescent="0.4">
      <c r="A1339" s="21">
        <f>HYPERLINK("#6201!A1 ",6201)</f>
        <v>6201</v>
      </c>
      <c r="B1339" s="22" t="str">
        <f>HYPERLINK("#6201!A1 ","ゴム製品月報（自動車用タイヤ）")</f>
        <v>ゴム製品月報（自動車用タイヤ）</v>
      </c>
      <c r="C1339" s="21" t="str">
        <f>HYPERLINK("#6201!O3","0104")</f>
        <v>0104</v>
      </c>
      <c r="D1339" s="22" t="str">
        <f>HYPERLINK("#6201!O3","二輪自動車用タイヤ")</f>
        <v>二輪自動車用タイヤ</v>
      </c>
    </row>
    <row r="1340" spans="1:4" x14ac:dyDescent="0.4">
      <c r="A1340" s="21">
        <f>HYPERLINK("#6201!A1 ",6201)</f>
        <v>6201</v>
      </c>
      <c r="B1340" s="22" t="str">
        <f>HYPERLINK("#6201!A1 ","ゴム製品月報（自動車用タイヤ）")</f>
        <v>ゴム製品月報（自動車用タイヤ）</v>
      </c>
      <c r="C1340" s="21" t="str">
        <f>HYPERLINK("#6201!S3","0105")</f>
        <v>0105</v>
      </c>
      <c r="D1340" s="22" t="str">
        <f>HYPERLINK("#6201!S3","特殊車両用タイヤ")</f>
        <v>特殊車両用タイヤ</v>
      </c>
    </row>
    <row r="1341" spans="1:4" x14ac:dyDescent="0.4">
      <c r="A1341" s="21">
        <f t="shared" ref="A1341:A1363" si="154">HYPERLINK("#6202!A1 ",6202)</f>
        <v>6202</v>
      </c>
      <c r="B1341" s="22" t="str">
        <f t="shared" ref="B1341:B1363" si="155">HYPERLINK("#6202!A1 ","ゴム製品月報（自動車用タイヤを除く）")</f>
        <v>ゴム製品月報（自動車用タイヤを除く）</v>
      </c>
      <c r="C1341" s="21" t="str">
        <f>HYPERLINK("#6202!C3","0101")</f>
        <v>0101</v>
      </c>
      <c r="D1341" s="22" t="str">
        <f>HYPERLINK("#6202!C3","ゴム底布ぐつ")</f>
        <v>ゴム底布ぐつ</v>
      </c>
    </row>
    <row r="1342" spans="1:4" x14ac:dyDescent="0.4">
      <c r="A1342" s="21">
        <f t="shared" si="154"/>
        <v>6202</v>
      </c>
      <c r="B1342" s="22" t="str">
        <f t="shared" si="155"/>
        <v>ゴム製品月報（自動車用タイヤを除く）</v>
      </c>
      <c r="C1342" s="21" t="str">
        <f>HYPERLINK("#6202!H3","0102")</f>
        <v>0102</v>
      </c>
      <c r="D1342" s="22" t="str">
        <f>HYPERLINK("#6202!H3","その他のゴム製履物(総ゴムぐつを含む)")</f>
        <v>その他のゴム製履物(総ゴムぐつを含む)</v>
      </c>
    </row>
    <row r="1343" spans="1:4" x14ac:dyDescent="0.4">
      <c r="A1343" s="21">
        <f t="shared" si="154"/>
        <v>6202</v>
      </c>
      <c r="B1343" s="22" t="str">
        <f t="shared" si="155"/>
        <v>ゴム製品月報（自動車用タイヤを除く）</v>
      </c>
      <c r="C1343" s="21" t="str">
        <f>HYPERLINK("#6202!M3","0103")</f>
        <v>0103</v>
      </c>
      <c r="D1343" s="22" t="str">
        <f>HYPERLINK("#6202!M3","プラスチック製くつ(射出成形品)")</f>
        <v>プラスチック製くつ(射出成形品)</v>
      </c>
    </row>
    <row r="1344" spans="1:4" x14ac:dyDescent="0.4">
      <c r="A1344" s="21">
        <f t="shared" si="154"/>
        <v>6202</v>
      </c>
      <c r="B1344" s="22" t="str">
        <f t="shared" si="155"/>
        <v>ゴム製品月報（自動車用タイヤを除く）</v>
      </c>
      <c r="C1344" s="21" t="str">
        <f>HYPERLINK("#6202!Q3","0104")</f>
        <v>0104</v>
      </c>
      <c r="D1344" s="22" t="str">
        <f>HYPERLINK("#6202!Q3","その他のプラスチック製履物(ゴム・プラスチック製底のくつ、サンダルを含む)")</f>
        <v>その他のプラスチック製履物(ゴム・プラスチック製底のくつ、サンダルを含む)</v>
      </c>
    </row>
    <row r="1345" spans="1:4" x14ac:dyDescent="0.4">
      <c r="A1345" s="21">
        <f t="shared" si="154"/>
        <v>6202</v>
      </c>
      <c r="B1345" s="22" t="str">
        <f t="shared" si="155"/>
        <v>ゴム製品月報（自動車用タイヤを除く）</v>
      </c>
      <c r="C1345" s="21" t="str">
        <f>HYPERLINK("#6202!U3","0105")</f>
        <v>0105</v>
      </c>
      <c r="D1345" s="22" t="str">
        <f>HYPERLINK("#6202!U3","コンベヤ用ゴムベルト")</f>
        <v>コンベヤ用ゴムベルト</v>
      </c>
    </row>
    <row r="1346" spans="1:4" x14ac:dyDescent="0.4">
      <c r="A1346" s="21">
        <f t="shared" si="154"/>
        <v>6202</v>
      </c>
      <c r="B1346" s="22" t="str">
        <f t="shared" si="155"/>
        <v>ゴム製品月報（自動車用タイヤを除く）</v>
      </c>
      <c r="C1346" s="21" t="str">
        <f>HYPERLINK("#6202!Z3","0106")</f>
        <v>0106</v>
      </c>
      <c r="D1346" s="22" t="str">
        <f>HYPERLINK("#6202!Z3","歯付ゴムベルト")</f>
        <v>歯付ゴムベルト</v>
      </c>
    </row>
    <row r="1347" spans="1:4" x14ac:dyDescent="0.4">
      <c r="A1347" s="21">
        <f t="shared" si="154"/>
        <v>6202</v>
      </c>
      <c r="B1347" s="22" t="str">
        <f t="shared" si="155"/>
        <v>ゴム製品月報（自動車用タイヤを除く）</v>
      </c>
      <c r="C1347" s="21" t="str">
        <f>HYPERLINK("#6202!AD3","0107")</f>
        <v>0107</v>
      </c>
      <c r="D1347" s="22" t="str">
        <f>HYPERLINK("#6202!AD3","その他のゴムベルト")</f>
        <v>その他のゴムベルト</v>
      </c>
    </row>
    <row r="1348" spans="1:4" x14ac:dyDescent="0.4">
      <c r="A1348" s="21">
        <f t="shared" si="154"/>
        <v>6202</v>
      </c>
      <c r="B1348" s="22" t="str">
        <f t="shared" si="155"/>
        <v>ゴム製品月報（自動車用タイヤを除く）</v>
      </c>
      <c r="C1348" s="21" t="str">
        <f>HYPERLINK("#6202!AH3","0108")</f>
        <v>0108</v>
      </c>
      <c r="D1348" s="22" t="str">
        <f>HYPERLINK("#6202!AH3","高圧用ゴムホース")</f>
        <v>高圧用ゴムホース</v>
      </c>
    </row>
    <row r="1349" spans="1:4" x14ac:dyDescent="0.4">
      <c r="A1349" s="21">
        <f t="shared" si="154"/>
        <v>6202</v>
      </c>
      <c r="B1349" s="22" t="str">
        <f t="shared" si="155"/>
        <v>ゴム製品月報（自動車用タイヤを除く）</v>
      </c>
      <c r="C1349" s="21" t="str">
        <f>HYPERLINK("#6202!AM3","0109")</f>
        <v>0109</v>
      </c>
      <c r="D1349" s="22" t="str">
        <f>HYPERLINK("#6202!AM3","自動車用ゴムホース")</f>
        <v>自動車用ゴムホース</v>
      </c>
    </row>
    <row r="1350" spans="1:4" x14ac:dyDescent="0.4">
      <c r="A1350" s="21">
        <f t="shared" si="154"/>
        <v>6202</v>
      </c>
      <c r="B1350" s="22" t="str">
        <f t="shared" si="155"/>
        <v>ゴム製品月報（自動車用タイヤを除く）</v>
      </c>
      <c r="C1350" s="21" t="str">
        <f>HYPERLINK("#6202!AR3","0110")</f>
        <v>0110</v>
      </c>
      <c r="D1350" s="22" t="str">
        <f>HYPERLINK("#6202!AR3","その他のゴムホース")</f>
        <v>その他のゴムホース</v>
      </c>
    </row>
    <row r="1351" spans="1:4" x14ac:dyDescent="0.4">
      <c r="A1351" s="21">
        <f t="shared" si="154"/>
        <v>6202</v>
      </c>
      <c r="B1351" s="22" t="str">
        <f t="shared" si="155"/>
        <v>ゴム製品月報（自動車用タイヤを除く）</v>
      </c>
      <c r="C1351" s="21" t="str">
        <f>HYPERLINK("#6202!AW3","0111")</f>
        <v>0111</v>
      </c>
      <c r="D1351" s="22" t="str">
        <f>HYPERLINK("#6202!AW3","防振ゴム")</f>
        <v>防振ゴム</v>
      </c>
    </row>
    <row r="1352" spans="1:4" x14ac:dyDescent="0.4">
      <c r="A1352" s="21">
        <f t="shared" si="154"/>
        <v>6202</v>
      </c>
      <c r="B1352" s="22" t="str">
        <f t="shared" si="155"/>
        <v>ゴム製品月報（自動車用タイヤを除く）</v>
      </c>
      <c r="C1352" s="21" t="str">
        <f>HYPERLINK("#6202!BA3","0112")</f>
        <v>0112</v>
      </c>
      <c r="D1352" s="22" t="str">
        <f>HYPERLINK("#6202!BA3","ゴム製防げん材")</f>
        <v>ゴム製防げん材</v>
      </c>
    </row>
    <row r="1353" spans="1:4" x14ac:dyDescent="0.4">
      <c r="A1353" s="21">
        <f t="shared" si="154"/>
        <v>6202</v>
      </c>
      <c r="B1353" s="22" t="str">
        <f t="shared" si="155"/>
        <v>ゴム製品月報（自動車用タイヤを除く）</v>
      </c>
      <c r="C1353" s="21" t="str">
        <f>HYPERLINK("#6202!BE3","0113")</f>
        <v>0113</v>
      </c>
      <c r="D1353" s="22" t="str">
        <f>HYPERLINK("#6202!BE3","ゴムロール(一般工業用等)")</f>
        <v>ゴムロール(一般工業用等)</v>
      </c>
    </row>
    <row r="1354" spans="1:4" x14ac:dyDescent="0.4">
      <c r="A1354" s="21">
        <f t="shared" si="154"/>
        <v>6202</v>
      </c>
      <c r="B1354" s="22" t="str">
        <f t="shared" si="155"/>
        <v>ゴム製品月報（自動車用タイヤを除く）</v>
      </c>
      <c r="C1354" s="21" t="str">
        <f>HYPERLINK("#6202!BI3","0114")</f>
        <v>0114</v>
      </c>
      <c r="D1354" s="22" t="str">
        <f>HYPERLINK("#6202!BI3","ゴム製パッキン類")</f>
        <v>ゴム製パッキン類</v>
      </c>
    </row>
    <row r="1355" spans="1:4" x14ac:dyDescent="0.4">
      <c r="A1355" s="21">
        <f t="shared" si="154"/>
        <v>6202</v>
      </c>
      <c r="B1355" s="22" t="str">
        <f t="shared" si="155"/>
        <v>ゴム製品月報（自動車用タイヤを除く）</v>
      </c>
      <c r="C1355" s="21" t="str">
        <f>HYPERLINK("#6202!BM3","0115")</f>
        <v>0115</v>
      </c>
      <c r="D1355" s="22" t="str">
        <f>HYPERLINK("#6202!BM3","オイルシール（ゴム製パッキン類の内数）")</f>
        <v>オイルシール（ゴム製パッキン類の内数）</v>
      </c>
    </row>
    <row r="1356" spans="1:4" x14ac:dyDescent="0.4">
      <c r="A1356" s="21">
        <f t="shared" si="154"/>
        <v>6202</v>
      </c>
      <c r="B1356" s="22" t="str">
        <f t="shared" si="155"/>
        <v>ゴム製品月報（自動車用タイヤを除く）</v>
      </c>
      <c r="C1356" s="21" t="str">
        <f>HYPERLINK("#6202!BQ3","0116")</f>
        <v>0116</v>
      </c>
      <c r="D1356" s="22" t="str">
        <f>HYPERLINK("#6202!BQ3","ゴム製スポンジ製品")</f>
        <v>ゴム製スポンジ製品</v>
      </c>
    </row>
    <row r="1357" spans="1:4" x14ac:dyDescent="0.4">
      <c r="A1357" s="21">
        <f t="shared" si="154"/>
        <v>6202</v>
      </c>
      <c r="B1357" s="22" t="str">
        <f t="shared" si="155"/>
        <v>ゴム製品月報（自動車用タイヤを除く）</v>
      </c>
      <c r="C1357" s="21" t="str">
        <f>HYPERLINK("#6202!BU3","0117")</f>
        <v>0117</v>
      </c>
      <c r="D1357" s="22" t="str">
        <f>HYPERLINK("#6202!BU3","ゴム板")</f>
        <v>ゴム板</v>
      </c>
    </row>
    <row r="1358" spans="1:4" x14ac:dyDescent="0.4">
      <c r="A1358" s="21">
        <f t="shared" si="154"/>
        <v>6202</v>
      </c>
      <c r="B1358" s="22" t="str">
        <f t="shared" si="155"/>
        <v>ゴム製品月報（自動車用タイヤを除く）</v>
      </c>
      <c r="C1358" s="21" t="str">
        <f>HYPERLINK("#6202!BY3","0118")</f>
        <v>0118</v>
      </c>
      <c r="D1358" s="22" t="str">
        <f>HYPERLINK("#6202!BY3","その他の工業用ゴム製品(自動車用タイヤを除く)")</f>
        <v>その他の工業用ゴム製品(自動車用タイヤを除く)</v>
      </c>
    </row>
    <row r="1359" spans="1:4" x14ac:dyDescent="0.4">
      <c r="A1359" s="21">
        <f t="shared" si="154"/>
        <v>6202</v>
      </c>
      <c r="B1359" s="22" t="str">
        <f t="shared" si="155"/>
        <v>ゴム製品月報（自動車用タイヤを除く）</v>
      </c>
      <c r="C1359" s="21" t="str">
        <f>HYPERLINK("#6202!CC3","0119")</f>
        <v>0119</v>
      </c>
      <c r="D1359" s="22" t="str">
        <f>HYPERLINK("#6202!CC3","更生タイヤ用練生地")</f>
        <v>更生タイヤ用練生地</v>
      </c>
    </row>
    <row r="1360" spans="1:4" x14ac:dyDescent="0.4">
      <c r="A1360" s="21">
        <f t="shared" si="154"/>
        <v>6202</v>
      </c>
      <c r="B1360" s="22" t="str">
        <f t="shared" si="155"/>
        <v>ゴム製品月報（自動車用タイヤを除く）</v>
      </c>
      <c r="C1360" s="21" t="str">
        <f>HYPERLINK("#6202!CG3","0120")</f>
        <v>0120</v>
      </c>
      <c r="D1360" s="22" t="str">
        <f>HYPERLINK("#6202!CG3","医療・衛生用ゴム製品")</f>
        <v>医療・衛生用ゴム製品</v>
      </c>
    </row>
    <row r="1361" spans="1:4" x14ac:dyDescent="0.4">
      <c r="A1361" s="21">
        <f t="shared" si="154"/>
        <v>6202</v>
      </c>
      <c r="B1361" s="22" t="str">
        <f t="shared" si="155"/>
        <v>ゴム製品月報（自動車用タイヤを除く）</v>
      </c>
      <c r="C1361" s="21" t="str">
        <f>HYPERLINK("#6202!CK3","0121")</f>
        <v>0121</v>
      </c>
      <c r="D1361" s="22" t="str">
        <f>HYPERLINK("#6202!CK3","運動競技用ゴム製品")</f>
        <v>運動競技用ゴム製品</v>
      </c>
    </row>
    <row r="1362" spans="1:4" x14ac:dyDescent="0.4">
      <c r="A1362" s="21">
        <f t="shared" si="154"/>
        <v>6202</v>
      </c>
      <c r="B1362" s="22" t="str">
        <f t="shared" si="155"/>
        <v>ゴム製品月報（自動車用タイヤを除く）</v>
      </c>
      <c r="C1362" s="21" t="str">
        <f>HYPERLINK("#6202!CO3","0122")</f>
        <v>0122</v>
      </c>
      <c r="D1362" s="22" t="str">
        <f>HYPERLINK("#6202!CO3","その他のゴム製品(自動車用タイヤを除く)")</f>
        <v>その他のゴム製品(自動車用タイヤを除く)</v>
      </c>
    </row>
    <row r="1363" spans="1:4" x14ac:dyDescent="0.4">
      <c r="A1363" s="21">
        <f t="shared" si="154"/>
        <v>6202</v>
      </c>
      <c r="B1363" s="22" t="str">
        <f t="shared" si="155"/>
        <v>ゴム製品月報（自動車用タイヤを除く）</v>
      </c>
      <c r="C1363" s="21" t="str">
        <f>HYPERLINK("#6202!CS3","0123")</f>
        <v>0123</v>
      </c>
      <c r="D1363" s="22" t="str">
        <f>HYPERLINK("#6202!CS3","再生ゴム")</f>
        <v>再生ゴム</v>
      </c>
    </row>
    <row r="1364" spans="1:4" x14ac:dyDescent="0.4">
      <c r="A1364" s="21">
        <f t="shared" ref="A1364:A1393" si="156">HYPERLINK("#6210!A1 ",6210)</f>
        <v>6210</v>
      </c>
      <c r="B1364" s="22" t="str">
        <f t="shared" ref="B1364:B1393" si="157">HYPERLINK("#6210!A1 ","プラスチック製品月報")</f>
        <v>プラスチック製品月報</v>
      </c>
      <c r="C1364" s="21" t="str">
        <f>HYPERLINK("#6210!C3","0101")</f>
        <v>0101</v>
      </c>
      <c r="D1364" s="22" t="str">
        <f>HYPERLINK("#6210!C3","プラスチック製農業用フィルム(軟質製品)")</f>
        <v>プラスチック製農業用フィルム(軟質製品)</v>
      </c>
    </row>
    <row r="1365" spans="1:4" x14ac:dyDescent="0.4">
      <c r="A1365" s="21">
        <f t="shared" si="156"/>
        <v>6210</v>
      </c>
      <c r="B1365" s="22" t="str">
        <f t="shared" si="157"/>
        <v>プラスチック製品月報</v>
      </c>
      <c r="C1365" s="21" t="str">
        <f>HYPERLINK("#6210!G3","0102")</f>
        <v>0102</v>
      </c>
      <c r="D1365" s="22" t="str">
        <f>HYPERLINK("#6210!G3","プラスチック製包装用フィルム(軟質製品)")</f>
        <v>プラスチック製包装用フィルム(軟質製品)</v>
      </c>
    </row>
    <row r="1366" spans="1:4" x14ac:dyDescent="0.4">
      <c r="A1366" s="21">
        <f t="shared" si="156"/>
        <v>6210</v>
      </c>
      <c r="B1366" s="22" t="str">
        <f t="shared" si="157"/>
        <v>プラスチック製品月報</v>
      </c>
      <c r="C1366" s="21" t="str">
        <f>HYPERLINK("#6210!K3","0103")</f>
        <v>0103</v>
      </c>
      <c r="D1366" s="22" t="str">
        <f>HYPERLINK("#6210!K3","プラスチック製ラミネートフィルム(軟質製品)")</f>
        <v>プラスチック製ラミネートフィルム(軟質製品)</v>
      </c>
    </row>
    <row r="1367" spans="1:4" x14ac:dyDescent="0.4">
      <c r="A1367" s="21">
        <f t="shared" si="156"/>
        <v>6210</v>
      </c>
      <c r="B1367" s="22" t="str">
        <f t="shared" si="157"/>
        <v>プラスチック製品月報</v>
      </c>
      <c r="C1367" s="21" t="str">
        <f>HYPERLINK("#6210!O3","0104")</f>
        <v>0104</v>
      </c>
      <c r="D1367" s="22" t="str">
        <f>HYPERLINK("#6210!O3","プラスチック製その他のフィルム(軟質製品)")</f>
        <v>プラスチック製その他のフィルム(軟質製品)</v>
      </c>
    </row>
    <row r="1368" spans="1:4" x14ac:dyDescent="0.4">
      <c r="A1368" s="21">
        <f t="shared" si="156"/>
        <v>6210</v>
      </c>
      <c r="B1368" s="22" t="str">
        <f t="shared" si="157"/>
        <v>プラスチック製品月報</v>
      </c>
      <c r="C1368" s="21" t="str">
        <f>HYPERLINK("#6210!S3","0105")</f>
        <v>0105</v>
      </c>
      <c r="D1368" s="22" t="str">
        <f>HYPERLINK("#6210!S3","プラスチック製フィルム(硬質製品)")</f>
        <v>プラスチック製フィルム(硬質製品)</v>
      </c>
    </row>
    <row r="1369" spans="1:4" x14ac:dyDescent="0.4">
      <c r="A1369" s="21">
        <f t="shared" si="156"/>
        <v>6210</v>
      </c>
      <c r="B1369" s="22" t="str">
        <f t="shared" si="157"/>
        <v>プラスチック製品月報</v>
      </c>
      <c r="C1369" s="21" t="str">
        <f>HYPERLINK("#6210!W3","0106")</f>
        <v>0106</v>
      </c>
      <c r="D1369" s="22" t="str">
        <f>HYPERLINK("#6210!W3","プラスチック製シート")</f>
        <v>プラスチック製シート</v>
      </c>
    </row>
    <row r="1370" spans="1:4" x14ac:dyDescent="0.4">
      <c r="A1370" s="21">
        <f t="shared" si="156"/>
        <v>6210</v>
      </c>
      <c r="B1370" s="22" t="str">
        <f t="shared" si="157"/>
        <v>プラスチック製品月報</v>
      </c>
      <c r="C1370" s="21" t="str">
        <f>HYPERLINK("#6210!AA3","0107")</f>
        <v>0107</v>
      </c>
      <c r="D1370" s="22" t="str">
        <f>HYPERLINK("#6210!AA3","プラスチック製平板")</f>
        <v>プラスチック製平板</v>
      </c>
    </row>
    <row r="1371" spans="1:4" x14ac:dyDescent="0.4">
      <c r="A1371" s="21">
        <f t="shared" si="156"/>
        <v>6210</v>
      </c>
      <c r="B1371" s="22" t="str">
        <f t="shared" si="157"/>
        <v>プラスチック製品月報</v>
      </c>
      <c r="C1371" s="21" t="str">
        <f>HYPERLINK("#6210!AE3","0108")</f>
        <v>0108</v>
      </c>
      <c r="D1371" s="22" t="str">
        <f>HYPERLINK("#6210!AE3","プラスチック製波板")</f>
        <v>プラスチック製波板</v>
      </c>
    </row>
    <row r="1372" spans="1:4" x14ac:dyDescent="0.4">
      <c r="A1372" s="21">
        <f t="shared" si="156"/>
        <v>6210</v>
      </c>
      <c r="B1372" s="22" t="str">
        <f t="shared" si="157"/>
        <v>プラスチック製品月報</v>
      </c>
      <c r="C1372" s="21" t="str">
        <f>HYPERLINK("#6210!AI3","0109")</f>
        <v>0109</v>
      </c>
      <c r="D1372" s="22" t="str">
        <f>HYPERLINK("#6210!AI3","プラスチック製合成皮革")</f>
        <v>プラスチック製合成皮革</v>
      </c>
    </row>
    <row r="1373" spans="1:4" x14ac:dyDescent="0.4">
      <c r="A1373" s="21">
        <f t="shared" si="156"/>
        <v>6210</v>
      </c>
      <c r="B1373" s="22" t="str">
        <f t="shared" si="157"/>
        <v>プラスチック製品月報</v>
      </c>
      <c r="C1373" s="21" t="str">
        <f>HYPERLINK("#6210!AM3","0110")</f>
        <v>0110</v>
      </c>
      <c r="D1373" s="22" t="str">
        <f>HYPERLINK("#6210!AM3","プラスチック製パイプ")</f>
        <v>プラスチック製パイプ</v>
      </c>
    </row>
    <row r="1374" spans="1:4" x14ac:dyDescent="0.4">
      <c r="A1374" s="21">
        <f t="shared" si="156"/>
        <v>6210</v>
      </c>
      <c r="B1374" s="22" t="str">
        <f t="shared" si="157"/>
        <v>プラスチック製品月報</v>
      </c>
      <c r="C1374" s="21" t="str">
        <f>HYPERLINK("#6210!AQ3","0111")</f>
        <v>0111</v>
      </c>
      <c r="D1374" s="22" t="str">
        <f>HYPERLINK("#6210!AQ3","プラスチック製継手")</f>
        <v>プラスチック製継手</v>
      </c>
    </row>
    <row r="1375" spans="1:4" x14ac:dyDescent="0.4">
      <c r="A1375" s="21">
        <f t="shared" si="156"/>
        <v>6210</v>
      </c>
      <c r="B1375" s="22" t="str">
        <f t="shared" si="157"/>
        <v>プラスチック製品月報</v>
      </c>
      <c r="C1375" s="21" t="str">
        <f>HYPERLINK("#6210!AU3","0112")</f>
        <v>0112</v>
      </c>
      <c r="D1375" s="22" t="str">
        <f>HYPERLINK("#6210!AU3","プラスチック製輸送機械用部品")</f>
        <v>プラスチック製輸送機械用部品</v>
      </c>
    </row>
    <row r="1376" spans="1:4" x14ac:dyDescent="0.4">
      <c r="A1376" s="21">
        <f t="shared" si="156"/>
        <v>6210</v>
      </c>
      <c r="B1376" s="22" t="str">
        <f t="shared" si="157"/>
        <v>プラスチック製品月報</v>
      </c>
      <c r="C1376" s="21" t="str">
        <f>HYPERLINK("#6210!AY3","0113")</f>
        <v>0113</v>
      </c>
      <c r="D1376" s="22" t="str">
        <f>HYPERLINK("#6210!AY3","プラスチック製電気通信用部品")</f>
        <v>プラスチック製電気通信用部品</v>
      </c>
    </row>
    <row r="1377" spans="1:4" x14ac:dyDescent="0.4">
      <c r="A1377" s="21">
        <f t="shared" si="156"/>
        <v>6210</v>
      </c>
      <c r="B1377" s="22" t="str">
        <f t="shared" si="157"/>
        <v>プラスチック製品月報</v>
      </c>
      <c r="C1377" s="21" t="str">
        <f>HYPERLINK("#6210!BC3","0114")</f>
        <v>0114</v>
      </c>
      <c r="D1377" s="22" t="str">
        <f>HYPERLINK("#6210!BC3","プラスチック製その他の機械器具部品")</f>
        <v>プラスチック製その他の機械器具部品</v>
      </c>
    </row>
    <row r="1378" spans="1:4" x14ac:dyDescent="0.4">
      <c r="A1378" s="21">
        <f t="shared" si="156"/>
        <v>6210</v>
      </c>
      <c r="B1378" s="22" t="str">
        <f t="shared" si="157"/>
        <v>プラスチック製品月報</v>
      </c>
      <c r="C1378" s="21" t="str">
        <f>HYPERLINK("#6210!BG3","0115")</f>
        <v>0115</v>
      </c>
      <c r="D1378" s="22" t="str">
        <f>HYPERLINK("#6210!BG3","プラスチック製日用品・雑貨")</f>
        <v>プラスチック製日用品・雑貨</v>
      </c>
    </row>
    <row r="1379" spans="1:4" x14ac:dyDescent="0.4">
      <c r="A1379" s="21">
        <f t="shared" si="156"/>
        <v>6210</v>
      </c>
      <c r="B1379" s="22" t="str">
        <f t="shared" si="157"/>
        <v>プラスチック製品月報</v>
      </c>
      <c r="C1379" s="21" t="str">
        <f>HYPERLINK("#6210!BK3","0116")</f>
        <v>0116</v>
      </c>
      <c r="D1379" s="22" t="str">
        <f>HYPERLINK("#6210!BK3","プラスチック製中空成形容器")</f>
        <v>プラスチック製中空成形容器</v>
      </c>
    </row>
    <row r="1380" spans="1:4" x14ac:dyDescent="0.4">
      <c r="A1380" s="21">
        <f t="shared" si="156"/>
        <v>6210</v>
      </c>
      <c r="B1380" s="22" t="str">
        <f t="shared" si="157"/>
        <v>プラスチック製品月報</v>
      </c>
      <c r="C1380" s="21" t="str">
        <f>HYPERLINK("#6210!BO3","0117")</f>
        <v>0117</v>
      </c>
      <c r="D1380" s="22" t="str">
        <f>HYPERLINK("#6210!BO3","プラスチック製その他の容器")</f>
        <v>プラスチック製その他の容器</v>
      </c>
    </row>
    <row r="1381" spans="1:4" x14ac:dyDescent="0.4">
      <c r="A1381" s="21">
        <f t="shared" si="156"/>
        <v>6210</v>
      </c>
      <c r="B1381" s="22" t="str">
        <f t="shared" si="157"/>
        <v>プラスチック製品月報</v>
      </c>
      <c r="C1381" s="21" t="str">
        <f>HYPERLINK("#6210!BS3","0118")</f>
        <v>0118</v>
      </c>
      <c r="D1381" s="22" t="str">
        <f>HYPERLINK("#6210!BS3","プラスチック製雨どい及び同付属品")</f>
        <v>プラスチック製雨どい及び同付属品</v>
      </c>
    </row>
    <row r="1382" spans="1:4" x14ac:dyDescent="0.4">
      <c r="A1382" s="21">
        <f t="shared" si="156"/>
        <v>6210</v>
      </c>
      <c r="B1382" s="22" t="str">
        <f t="shared" si="157"/>
        <v>プラスチック製品月報</v>
      </c>
      <c r="C1382" s="21" t="str">
        <f>HYPERLINK("#6210!BW3","0119")</f>
        <v>0119</v>
      </c>
      <c r="D1382" s="22" t="str">
        <f>HYPERLINK("#6210!BW3","プラスチック製床材料")</f>
        <v>プラスチック製床材料</v>
      </c>
    </row>
    <row r="1383" spans="1:4" x14ac:dyDescent="0.4">
      <c r="A1383" s="21">
        <f t="shared" si="156"/>
        <v>6210</v>
      </c>
      <c r="B1383" s="22" t="str">
        <f t="shared" si="157"/>
        <v>プラスチック製品月報</v>
      </c>
      <c r="C1383" s="21" t="str">
        <f>HYPERLINK("#6210!CA3","0120")</f>
        <v>0120</v>
      </c>
      <c r="D1383" s="22" t="str">
        <f>HYPERLINK("#6210!CA3","プラスチック製その他の建材")</f>
        <v>プラスチック製その他の建材</v>
      </c>
    </row>
    <row r="1384" spans="1:4" x14ac:dyDescent="0.4">
      <c r="A1384" s="21">
        <f t="shared" si="156"/>
        <v>6210</v>
      </c>
      <c r="B1384" s="22" t="str">
        <f t="shared" si="157"/>
        <v>プラスチック製品月報</v>
      </c>
      <c r="C1384" s="21" t="str">
        <f>HYPERLINK("#6210!CE3","0121")</f>
        <v>0121</v>
      </c>
      <c r="D1384" s="22" t="str">
        <f>HYPERLINK("#6210!CE3","プラスチック製板物(発泡製品)")</f>
        <v>プラスチック製板物(発泡製品)</v>
      </c>
    </row>
    <row r="1385" spans="1:4" x14ac:dyDescent="0.4">
      <c r="A1385" s="21">
        <f t="shared" si="156"/>
        <v>6210</v>
      </c>
      <c r="B1385" s="22" t="str">
        <f t="shared" si="157"/>
        <v>プラスチック製品月報</v>
      </c>
      <c r="C1385" s="21" t="str">
        <f>HYPERLINK("#6210!CI3","0122")</f>
        <v>0122</v>
      </c>
      <c r="D1385" s="22" t="str">
        <f>HYPERLINK("#6210!CI3","プラスチック製型物(発泡製品)")</f>
        <v>プラスチック製型物(発泡製品)</v>
      </c>
    </row>
    <row r="1386" spans="1:4" x14ac:dyDescent="0.4">
      <c r="A1386" s="21">
        <f t="shared" si="156"/>
        <v>6210</v>
      </c>
      <c r="B1386" s="22" t="str">
        <f t="shared" si="157"/>
        <v>プラスチック製品月報</v>
      </c>
      <c r="C1386" s="21" t="str">
        <f>HYPERLINK("#6210!CM3","0123")</f>
        <v>0123</v>
      </c>
      <c r="D1386" s="22" t="str">
        <f>HYPERLINK("#6210!CM3","プラスチック製その他の発泡製品")</f>
        <v>プラスチック製その他の発泡製品</v>
      </c>
    </row>
    <row r="1387" spans="1:4" x14ac:dyDescent="0.4">
      <c r="A1387" s="21">
        <f t="shared" si="156"/>
        <v>6210</v>
      </c>
      <c r="B1387" s="22" t="str">
        <f t="shared" si="157"/>
        <v>プラスチック製品月報</v>
      </c>
      <c r="C1387" s="21" t="str">
        <f>HYPERLINK("#6210!CQ3","0124")</f>
        <v>0124</v>
      </c>
      <c r="D1387" s="22" t="str">
        <f>HYPERLINK("#6210!CQ3","プラスチック製強化製品")</f>
        <v>プラスチック製強化製品</v>
      </c>
    </row>
    <row r="1388" spans="1:4" x14ac:dyDescent="0.4">
      <c r="A1388" s="21">
        <f t="shared" si="156"/>
        <v>6210</v>
      </c>
      <c r="B1388" s="22" t="str">
        <f t="shared" si="157"/>
        <v>プラスチック製品月報</v>
      </c>
      <c r="C1388" s="21" t="str">
        <f>HYPERLINK("#6210!CU3","0125")</f>
        <v>0125</v>
      </c>
      <c r="D1388" s="22" t="str">
        <f>HYPERLINK("#6210!CU3","プラスチック製異形押出製品(建材を除く)")</f>
        <v>プラスチック製異形押出製品(建材を除く)</v>
      </c>
    </row>
    <row r="1389" spans="1:4" x14ac:dyDescent="0.4">
      <c r="A1389" s="21">
        <f t="shared" si="156"/>
        <v>6210</v>
      </c>
      <c r="B1389" s="22" t="str">
        <f t="shared" si="157"/>
        <v>プラスチック製品月報</v>
      </c>
      <c r="C1389" s="21" t="str">
        <f>HYPERLINK("#6210!CY3","0126")</f>
        <v>0126</v>
      </c>
      <c r="D1389" s="22" t="str">
        <f>HYPERLINK("#6210!CY3","プラスチック製ホース")</f>
        <v>プラスチック製ホース</v>
      </c>
    </row>
    <row r="1390" spans="1:4" x14ac:dyDescent="0.4">
      <c r="A1390" s="21">
        <f t="shared" si="156"/>
        <v>6210</v>
      </c>
      <c r="B1390" s="22" t="str">
        <f t="shared" si="157"/>
        <v>プラスチック製品月報</v>
      </c>
      <c r="C1390" s="21" t="str">
        <f>HYPERLINK("#6210!DC3","0127")</f>
        <v>0127</v>
      </c>
      <c r="D1390" s="22" t="str">
        <f>HYPERLINK("#6210!DC3","プラスチック製ディスクレコード")</f>
        <v>プラスチック製ディスクレコード</v>
      </c>
    </row>
    <row r="1391" spans="1:4" x14ac:dyDescent="0.4">
      <c r="A1391" s="21">
        <f t="shared" si="156"/>
        <v>6210</v>
      </c>
      <c r="B1391" s="22" t="str">
        <f t="shared" si="157"/>
        <v>プラスチック製品月報</v>
      </c>
      <c r="C1391" s="21" t="str">
        <f>HYPERLINK("#6210!DG3","0128")</f>
        <v>0128</v>
      </c>
      <c r="D1391" s="22" t="str">
        <f>HYPERLINK("#6210!DG3","プラスチック製その他製品")</f>
        <v>プラスチック製その他製品</v>
      </c>
    </row>
    <row r="1392" spans="1:4" x14ac:dyDescent="0.4">
      <c r="A1392" s="21">
        <f t="shared" si="156"/>
        <v>6210</v>
      </c>
      <c r="B1392" s="22" t="str">
        <f t="shared" si="157"/>
        <v>プラスチック製品月報</v>
      </c>
      <c r="C1392" s="21" t="str">
        <f>HYPERLINK("#6210!DK3","0129")</f>
        <v>0129</v>
      </c>
      <c r="D1392" s="22" t="str">
        <f>HYPERLINK("#6210!DK3","プラスチック製浴槽 (特掲)")</f>
        <v>プラスチック製浴槽 (特掲)</v>
      </c>
    </row>
    <row r="1393" spans="1:4" x14ac:dyDescent="0.4">
      <c r="A1393" s="21">
        <f t="shared" si="156"/>
        <v>6210</v>
      </c>
      <c r="B1393" s="22" t="str">
        <f t="shared" si="157"/>
        <v>プラスチック製品月報</v>
      </c>
      <c r="C1393" s="21" t="str">
        <f>HYPERLINK("#6210!DO3","0130")</f>
        <v>0130</v>
      </c>
      <c r="D1393" s="22" t="str">
        <f>HYPERLINK("#6210!DO3","プラスチック製浄化槽 (特掲)")</f>
        <v>プラスチック製浄化槽 (特掲)</v>
      </c>
    </row>
    <row r="1394" spans="1:4" x14ac:dyDescent="0.4">
      <c r="A1394" s="21">
        <f t="shared" ref="A1394:A1407" si="158">HYPERLINK("#7230!A1 ",7230)</f>
        <v>7230</v>
      </c>
      <c r="B1394" s="22" t="str">
        <f t="shared" ref="B1394:B1407" si="159">HYPERLINK("#7230!A1 ","板ガラス・安全ガラス・複層ガラス及びガラス繊維月報")</f>
        <v>板ガラス・安全ガラス・複層ガラス及びガラス繊維月報</v>
      </c>
      <c r="C1394" s="21" t="str">
        <f>HYPERLINK("#7230!C3","0101")</f>
        <v>0101</v>
      </c>
      <c r="D1394" s="22" t="str">
        <f>HYPERLINK("#7230!C3","板ガラス")</f>
        <v>板ガラス</v>
      </c>
    </row>
    <row r="1395" spans="1:4" x14ac:dyDescent="0.4">
      <c r="A1395" s="21">
        <f t="shared" si="158"/>
        <v>7230</v>
      </c>
      <c r="B1395" s="22" t="str">
        <f t="shared" si="159"/>
        <v>板ガラス・安全ガラス・複層ガラス及びガラス繊維月報</v>
      </c>
      <c r="C1395" s="21" t="str">
        <f>HYPERLINK("#7230!G3","0102")</f>
        <v>0102</v>
      </c>
      <c r="D1395" s="22" t="str">
        <f>HYPERLINK("#7230!G3","自動車用・鉄道車両用合わせガラス")</f>
        <v>自動車用・鉄道車両用合わせガラス</v>
      </c>
    </row>
    <row r="1396" spans="1:4" x14ac:dyDescent="0.4">
      <c r="A1396" s="21">
        <f t="shared" si="158"/>
        <v>7230</v>
      </c>
      <c r="B1396" s="22" t="str">
        <f t="shared" si="159"/>
        <v>板ガラス・安全ガラス・複層ガラス及びガラス繊維月報</v>
      </c>
      <c r="C1396" s="21" t="str">
        <f>HYPERLINK("#7230!K3","0103")</f>
        <v>0103</v>
      </c>
      <c r="D1396" s="22" t="str">
        <f>HYPERLINK("#7230!K3","その他の合わせガラス")</f>
        <v>その他の合わせガラス</v>
      </c>
    </row>
    <row r="1397" spans="1:4" x14ac:dyDescent="0.4">
      <c r="A1397" s="21">
        <f t="shared" si="158"/>
        <v>7230</v>
      </c>
      <c r="B1397" s="22" t="str">
        <f t="shared" si="159"/>
        <v>板ガラス・安全ガラス・複層ガラス及びガラス繊維月報</v>
      </c>
      <c r="C1397" s="21" t="str">
        <f>HYPERLINK("#7230!O3","0104")</f>
        <v>0104</v>
      </c>
      <c r="D1397" s="22" t="str">
        <f>HYPERLINK("#7230!O3","強化ガラス")</f>
        <v>強化ガラス</v>
      </c>
    </row>
    <row r="1398" spans="1:4" x14ac:dyDescent="0.4">
      <c r="A1398" s="21">
        <f t="shared" si="158"/>
        <v>7230</v>
      </c>
      <c r="B1398" s="22" t="str">
        <f t="shared" si="159"/>
        <v>板ガラス・安全ガラス・複層ガラス及びガラス繊維月報</v>
      </c>
      <c r="C1398" s="21" t="str">
        <f>HYPERLINK("#7230!S3","0105")</f>
        <v>0105</v>
      </c>
      <c r="D1398" s="22" t="str">
        <f>HYPERLINK("#7230!S3","複層ガラス")</f>
        <v>複層ガラス</v>
      </c>
    </row>
    <row r="1399" spans="1:4" x14ac:dyDescent="0.4">
      <c r="A1399" s="21">
        <f t="shared" si="158"/>
        <v>7230</v>
      </c>
      <c r="B1399" s="22" t="str">
        <f t="shared" si="159"/>
        <v>板ガラス・安全ガラス・複層ガラス及びガラス繊維月報</v>
      </c>
      <c r="C1399" s="21" t="str">
        <f>HYPERLINK("#7230!W3","0106")</f>
        <v>0106</v>
      </c>
      <c r="D1399" s="22" t="str">
        <f>HYPERLINK("#7230!W3","ガラス短繊維(フェルト)")</f>
        <v>ガラス短繊維(フェルト)</v>
      </c>
    </row>
    <row r="1400" spans="1:4" x14ac:dyDescent="0.4">
      <c r="A1400" s="21">
        <f t="shared" si="158"/>
        <v>7230</v>
      </c>
      <c r="B1400" s="22" t="str">
        <f t="shared" si="159"/>
        <v>板ガラス・安全ガラス・複層ガラス及びガラス繊維月報</v>
      </c>
      <c r="C1400" s="21" t="str">
        <f>HYPERLINK("#7230!AA3","0107")</f>
        <v>0107</v>
      </c>
      <c r="D1400" s="22" t="str">
        <f>HYPERLINK("#7230!AA3","ガラス短繊維(ボード)")</f>
        <v>ガラス短繊維(ボード)</v>
      </c>
    </row>
    <row r="1401" spans="1:4" x14ac:dyDescent="0.4">
      <c r="A1401" s="21">
        <f t="shared" si="158"/>
        <v>7230</v>
      </c>
      <c r="B1401" s="22" t="str">
        <f t="shared" si="159"/>
        <v>板ガラス・安全ガラス・複層ガラス及びガラス繊維月報</v>
      </c>
      <c r="C1401" s="21" t="str">
        <f>HYPERLINK("#7230!AE3","0108")</f>
        <v>0108</v>
      </c>
      <c r="D1401" s="22" t="str">
        <f>HYPERLINK("#7230!AE3","その他のガラス短繊維")</f>
        <v>その他のガラス短繊維</v>
      </c>
    </row>
    <row r="1402" spans="1:4" x14ac:dyDescent="0.4">
      <c r="A1402" s="21">
        <f t="shared" si="158"/>
        <v>7230</v>
      </c>
      <c r="B1402" s="22" t="str">
        <f t="shared" si="159"/>
        <v>板ガラス・安全ガラス・複層ガラス及びガラス繊維月報</v>
      </c>
      <c r="C1402" s="21" t="str">
        <f>HYPERLINK("#7230!AI3","0109")</f>
        <v>0109</v>
      </c>
      <c r="D1402" s="22" t="str">
        <f>HYPERLINK("#7230!AI3","ガラス長繊維(ロービング)")</f>
        <v>ガラス長繊維(ロービング)</v>
      </c>
    </row>
    <row r="1403" spans="1:4" x14ac:dyDescent="0.4">
      <c r="A1403" s="21">
        <f t="shared" si="158"/>
        <v>7230</v>
      </c>
      <c r="B1403" s="22" t="str">
        <f t="shared" si="159"/>
        <v>板ガラス・安全ガラス・複層ガラス及びガラス繊維月報</v>
      </c>
      <c r="C1403" s="21" t="str">
        <f>HYPERLINK("#7230!AM3","0110")</f>
        <v>0110</v>
      </c>
      <c r="D1403" s="22" t="str">
        <f>HYPERLINK("#7230!AM3","ガラス長繊維(チョップドストランド)")</f>
        <v>ガラス長繊維(チョップドストランド)</v>
      </c>
    </row>
    <row r="1404" spans="1:4" x14ac:dyDescent="0.4">
      <c r="A1404" s="21">
        <f t="shared" si="158"/>
        <v>7230</v>
      </c>
      <c r="B1404" s="22" t="str">
        <f t="shared" si="159"/>
        <v>板ガラス・安全ガラス・複層ガラス及びガラス繊維月報</v>
      </c>
      <c r="C1404" s="21" t="str">
        <f>HYPERLINK("#7230!AQ3","0111")</f>
        <v>0111</v>
      </c>
      <c r="D1404" s="22" t="str">
        <f>HYPERLINK("#7230!AQ3","ガラス長繊維(マット)")</f>
        <v>ガラス長繊維(マット)</v>
      </c>
    </row>
    <row r="1405" spans="1:4" x14ac:dyDescent="0.4">
      <c r="A1405" s="21">
        <f t="shared" si="158"/>
        <v>7230</v>
      </c>
      <c r="B1405" s="22" t="str">
        <f t="shared" si="159"/>
        <v>板ガラス・安全ガラス・複層ガラス及びガラス繊維月報</v>
      </c>
      <c r="C1405" s="21" t="str">
        <f>HYPERLINK("#7230!AU3","0112")</f>
        <v>0112</v>
      </c>
      <c r="D1405" s="22" t="str">
        <f>HYPERLINK("#7230!AU3","ガラス長繊維(糸)")</f>
        <v>ガラス長繊維(糸)</v>
      </c>
    </row>
    <row r="1406" spans="1:4" x14ac:dyDescent="0.4">
      <c r="A1406" s="21">
        <f t="shared" si="158"/>
        <v>7230</v>
      </c>
      <c r="B1406" s="22" t="str">
        <f t="shared" si="159"/>
        <v>板ガラス・安全ガラス・複層ガラス及びガラス繊維月報</v>
      </c>
      <c r="C1406" s="21" t="str">
        <f>HYPERLINK("#7230!AY3","0113")</f>
        <v>0113</v>
      </c>
      <c r="D1406" s="22" t="str">
        <f>HYPERLINK("#7230!AY3","ガラス長繊維(布)")</f>
        <v>ガラス長繊維(布)</v>
      </c>
    </row>
    <row r="1407" spans="1:4" x14ac:dyDescent="0.4">
      <c r="A1407" s="21">
        <f t="shared" si="158"/>
        <v>7230</v>
      </c>
      <c r="B1407" s="22" t="str">
        <f t="shared" si="159"/>
        <v>板ガラス・安全ガラス・複層ガラス及びガラス繊維月報</v>
      </c>
      <c r="C1407" s="21" t="str">
        <f>HYPERLINK("#7230!BC3","0114")</f>
        <v>0114</v>
      </c>
      <c r="D1407" s="22" t="str">
        <f>HYPERLINK("#7230!BC3","その他のガラス長繊維")</f>
        <v>その他のガラス長繊維</v>
      </c>
    </row>
    <row r="1408" spans="1:4" x14ac:dyDescent="0.4">
      <c r="A1408" s="21">
        <f t="shared" ref="A1408:A1415" si="160">HYPERLINK("#7250!A1 ",7250)</f>
        <v>7250</v>
      </c>
      <c r="B1408" s="22" t="str">
        <f t="shared" ref="B1408:B1415" si="161">HYPERLINK("#7250!A1 ","耐火れんが・不定形耐火物月報")</f>
        <v>耐火れんが・不定形耐火物月報</v>
      </c>
      <c r="C1408" s="21" t="str">
        <f>HYPERLINK("#7250!C3","0101")</f>
        <v>0101</v>
      </c>
      <c r="D1408" s="22" t="str">
        <f>HYPERLINK("#7250!C3","耐火れんが(粘土質)")</f>
        <v>耐火れんが(粘土質)</v>
      </c>
    </row>
    <row r="1409" spans="1:4" x14ac:dyDescent="0.4">
      <c r="A1409" s="21">
        <f t="shared" si="160"/>
        <v>7250</v>
      </c>
      <c r="B1409" s="22" t="str">
        <f t="shared" si="161"/>
        <v>耐火れんが・不定形耐火物月報</v>
      </c>
      <c r="C1409" s="21" t="str">
        <f>HYPERLINK("#7250!G3","0102")</f>
        <v>0102</v>
      </c>
      <c r="D1409" s="22" t="str">
        <f>HYPERLINK("#7250!G3","耐火れんが(高アルミナ質(電鋳品を含む))")</f>
        <v>耐火れんが(高アルミナ質(電鋳品を含む))</v>
      </c>
    </row>
    <row r="1410" spans="1:4" x14ac:dyDescent="0.4">
      <c r="A1410" s="21">
        <f t="shared" si="160"/>
        <v>7250</v>
      </c>
      <c r="B1410" s="22" t="str">
        <f t="shared" si="161"/>
        <v>耐火れんが・不定形耐火物月報</v>
      </c>
      <c r="C1410" s="21" t="str">
        <f>HYPERLINK("#7250!K3","0103")</f>
        <v>0103</v>
      </c>
      <c r="D1410" s="22" t="str">
        <f>HYPERLINK("#7250!K3","耐火れんが(塩基性れんが(ドロマイト質を含む))")</f>
        <v>耐火れんが(塩基性れんが(ドロマイト質を含む))</v>
      </c>
    </row>
    <row r="1411" spans="1:4" x14ac:dyDescent="0.4">
      <c r="A1411" s="21">
        <f t="shared" si="160"/>
        <v>7250</v>
      </c>
      <c r="B1411" s="22" t="str">
        <f t="shared" si="161"/>
        <v>耐火れんが・不定形耐火物月報</v>
      </c>
      <c r="C1411" s="21" t="str">
        <f>HYPERLINK("#7250!O3","0104")</f>
        <v>0104</v>
      </c>
      <c r="D1411" s="22" t="str">
        <f>HYPERLINK("#7250!O3","耐火れんが(ジルコン(ジルコニアを含む))")</f>
        <v>耐火れんが(ジルコン(ジルコニアを含む))</v>
      </c>
    </row>
    <row r="1412" spans="1:4" x14ac:dyDescent="0.4">
      <c r="A1412" s="21">
        <f t="shared" si="160"/>
        <v>7250</v>
      </c>
      <c r="B1412" s="22" t="str">
        <f t="shared" si="161"/>
        <v>耐火れんが・不定形耐火物月報</v>
      </c>
      <c r="C1412" s="21" t="str">
        <f>HYPERLINK("#7250!S3","0105")</f>
        <v>0105</v>
      </c>
      <c r="D1412" s="22" t="str">
        <f>HYPERLINK("#7250!S3","その他の耐火れんが")</f>
        <v>その他の耐火れんが</v>
      </c>
    </row>
    <row r="1413" spans="1:4" x14ac:dyDescent="0.4">
      <c r="A1413" s="21">
        <f t="shared" si="160"/>
        <v>7250</v>
      </c>
      <c r="B1413" s="22" t="str">
        <f t="shared" si="161"/>
        <v>耐火れんが・不定形耐火物月報</v>
      </c>
      <c r="C1413" s="21" t="str">
        <f>HYPERLINK("#7250!W3","0106")</f>
        <v>0106</v>
      </c>
      <c r="D1413" s="22" t="str">
        <f>HYPERLINK("#7250!W3","キャスタブル耐火物")</f>
        <v>キャスタブル耐火物</v>
      </c>
    </row>
    <row r="1414" spans="1:4" x14ac:dyDescent="0.4">
      <c r="A1414" s="21">
        <f t="shared" si="160"/>
        <v>7250</v>
      </c>
      <c r="B1414" s="22" t="str">
        <f t="shared" si="161"/>
        <v>耐火れんが・不定形耐火物月報</v>
      </c>
      <c r="C1414" s="21" t="str">
        <f>HYPERLINK("#7250!AA3","0107")</f>
        <v>0107</v>
      </c>
      <c r="D1414" s="22" t="str">
        <f>HYPERLINK("#7250!AA3","吹付材耐火物")</f>
        <v>吹付材耐火物</v>
      </c>
    </row>
    <row r="1415" spans="1:4" x14ac:dyDescent="0.4">
      <c r="A1415" s="21">
        <f t="shared" si="160"/>
        <v>7250</v>
      </c>
      <c r="B1415" s="22" t="str">
        <f t="shared" si="161"/>
        <v>耐火れんが・不定形耐火物月報</v>
      </c>
      <c r="C1415" s="21" t="str">
        <f>HYPERLINK("#7250!AE3","0108")</f>
        <v>0108</v>
      </c>
      <c r="D1415" s="22" t="str">
        <f>HYPERLINK("#7250!AE3","その他の不定形耐火物")</f>
        <v>その他の不定形耐火物</v>
      </c>
    </row>
    <row r="1416" spans="1:4" x14ac:dyDescent="0.4">
      <c r="A1416" s="21">
        <f t="shared" ref="A1416:A1422" si="162">HYPERLINK("#7260!A1 ",7260)</f>
        <v>7260</v>
      </c>
      <c r="B1416" s="22" t="str">
        <f t="shared" ref="B1416:B1422" si="163">HYPERLINK("#7260!A1 ","炭素製品・研削砥石月報")</f>
        <v>炭素製品・研削砥石月報</v>
      </c>
      <c r="C1416" s="21" t="str">
        <f>HYPERLINK("#7260!C3","0101")</f>
        <v>0101</v>
      </c>
      <c r="D1416" s="22" t="str">
        <f>HYPERLINK("#7260!C3","人造黒鉛電極(丸形)")</f>
        <v>人造黒鉛電極(丸形)</v>
      </c>
    </row>
    <row r="1417" spans="1:4" x14ac:dyDescent="0.4">
      <c r="A1417" s="21">
        <f t="shared" si="162"/>
        <v>7260</v>
      </c>
      <c r="B1417" s="22" t="str">
        <f t="shared" si="163"/>
        <v>炭素製品・研削砥石月報</v>
      </c>
      <c r="C1417" s="21" t="str">
        <f>HYPERLINK("#7260!G3","0102")</f>
        <v>0102</v>
      </c>
      <c r="D1417" s="22" t="str">
        <f>HYPERLINK("#7260!G3","その他の炭素製電極(連続自焼式電極ペーストを含む)")</f>
        <v>その他の炭素製電極(連続自焼式電極ペーストを含む)</v>
      </c>
    </row>
    <row r="1418" spans="1:4" x14ac:dyDescent="0.4">
      <c r="A1418" s="21">
        <f t="shared" si="162"/>
        <v>7260</v>
      </c>
      <c r="B1418" s="22" t="str">
        <f t="shared" si="163"/>
        <v>炭素製品・研削砥石月報</v>
      </c>
      <c r="C1418" s="21" t="str">
        <f>HYPERLINK("#7260!K3","0103")</f>
        <v>0103</v>
      </c>
      <c r="D1418" s="22" t="str">
        <f>HYPERLINK("#7260!K3","炭素製ブラシ")</f>
        <v>炭素製ブラシ</v>
      </c>
    </row>
    <row r="1419" spans="1:4" x14ac:dyDescent="0.4">
      <c r="A1419" s="21">
        <f t="shared" si="162"/>
        <v>7260</v>
      </c>
      <c r="B1419" s="22" t="str">
        <f t="shared" si="163"/>
        <v>炭素製品・研削砥石月報</v>
      </c>
      <c r="C1419" s="21" t="str">
        <f>HYPERLINK("#7260!O3","0104")</f>
        <v>0104</v>
      </c>
      <c r="D1419" s="22" t="str">
        <f>HYPERLINK("#7260!O3","特殊炭素製品")</f>
        <v>特殊炭素製品</v>
      </c>
    </row>
    <row r="1420" spans="1:4" x14ac:dyDescent="0.4">
      <c r="A1420" s="21">
        <f t="shared" si="162"/>
        <v>7260</v>
      </c>
      <c r="B1420" s="22" t="str">
        <f t="shared" si="163"/>
        <v>炭素製品・研削砥石月報</v>
      </c>
      <c r="C1420" s="21" t="str">
        <f>HYPERLINK("#7260!S3","0105")</f>
        <v>0105</v>
      </c>
      <c r="D1420" s="22" t="str">
        <f>HYPERLINK("#7260!S3","炭素繊維")</f>
        <v>炭素繊維</v>
      </c>
    </row>
    <row r="1421" spans="1:4" x14ac:dyDescent="0.4">
      <c r="A1421" s="21">
        <f t="shared" si="162"/>
        <v>7260</v>
      </c>
      <c r="B1421" s="22" t="str">
        <f t="shared" si="163"/>
        <v>炭素製品・研削砥石月報</v>
      </c>
      <c r="C1421" s="21" t="str">
        <f>HYPERLINK("#7260!W3","0106")</f>
        <v>0106</v>
      </c>
      <c r="D1421" s="22" t="str">
        <f>HYPERLINK("#7260!W3","ビトリファイド法砥石")</f>
        <v>ビトリファイド法砥石</v>
      </c>
    </row>
    <row r="1422" spans="1:4" x14ac:dyDescent="0.4">
      <c r="A1422" s="21">
        <f t="shared" si="162"/>
        <v>7260</v>
      </c>
      <c r="B1422" s="22" t="str">
        <f t="shared" si="163"/>
        <v>炭素製品・研削砥石月報</v>
      </c>
      <c r="C1422" s="21" t="str">
        <f>HYPERLINK("#7260!AA3","0107")</f>
        <v>0107</v>
      </c>
      <c r="D1422" s="22" t="str">
        <f>HYPERLINK("#7260!AA3","レジノイド法砥石")</f>
        <v>レジノイド法砥石</v>
      </c>
    </row>
    <row r="1423" spans="1:4" x14ac:dyDescent="0.4">
      <c r="A1423" s="21">
        <f t="shared" ref="A1423:A1430" si="164">HYPERLINK("#7290!A1 ",7290)</f>
        <v>7290</v>
      </c>
      <c r="B1423" s="22" t="str">
        <f t="shared" ref="B1423:B1430" si="165">HYPERLINK("#7290!A1 ","ボード・パネル月報")</f>
        <v>ボード・パネル月報</v>
      </c>
      <c r="C1423" s="21" t="str">
        <f>HYPERLINK("#7290!C3","0101")</f>
        <v>0101</v>
      </c>
      <c r="D1423" s="22" t="str">
        <f>HYPERLINK("#7290!C3","せっこうボード")</f>
        <v>せっこうボード</v>
      </c>
    </row>
    <row r="1424" spans="1:4" x14ac:dyDescent="0.4">
      <c r="A1424" s="21">
        <f t="shared" si="164"/>
        <v>7290</v>
      </c>
      <c r="B1424" s="22" t="str">
        <f t="shared" si="165"/>
        <v>ボード・パネル月報</v>
      </c>
      <c r="C1424" s="21" t="str">
        <f>HYPERLINK("#7290!G3","0102")</f>
        <v>0102</v>
      </c>
      <c r="D1424" s="22" t="str">
        <f>HYPERLINK("#7290!G3","繊維板(硬質)")</f>
        <v>繊維板(硬質)</v>
      </c>
    </row>
    <row r="1425" spans="1:4" x14ac:dyDescent="0.4">
      <c r="A1425" s="21">
        <f t="shared" si="164"/>
        <v>7290</v>
      </c>
      <c r="B1425" s="22" t="str">
        <f t="shared" si="165"/>
        <v>ボード・パネル月報</v>
      </c>
      <c r="C1425" s="21" t="str">
        <f>HYPERLINK("#7290!K3","0103")</f>
        <v>0103</v>
      </c>
      <c r="D1425" s="22" t="str">
        <f>HYPERLINK("#7290!K3","繊維板(中質)")</f>
        <v>繊維板(中質)</v>
      </c>
    </row>
    <row r="1426" spans="1:4" x14ac:dyDescent="0.4">
      <c r="A1426" s="21">
        <f t="shared" si="164"/>
        <v>7290</v>
      </c>
      <c r="B1426" s="22" t="str">
        <f t="shared" si="165"/>
        <v>ボード・パネル月報</v>
      </c>
      <c r="C1426" s="21" t="str">
        <f>HYPERLINK("#7290!O3","0104")</f>
        <v>0104</v>
      </c>
      <c r="D1426" s="22" t="str">
        <f>HYPERLINK("#7290!O3","繊維板(軟質)")</f>
        <v>繊維板(軟質)</v>
      </c>
    </row>
    <row r="1427" spans="1:4" x14ac:dyDescent="0.4">
      <c r="A1427" s="21">
        <f t="shared" si="164"/>
        <v>7290</v>
      </c>
      <c r="B1427" s="22" t="str">
        <f t="shared" si="165"/>
        <v>ボード・パネル月報</v>
      </c>
      <c r="C1427" s="21" t="str">
        <f>HYPERLINK("#7290!S3","0105")</f>
        <v>0105</v>
      </c>
      <c r="D1427" s="22" t="str">
        <f>HYPERLINK("#7290!S3","パーティクルボード")</f>
        <v>パーティクルボード</v>
      </c>
    </row>
    <row r="1428" spans="1:4" x14ac:dyDescent="0.4">
      <c r="A1428" s="21">
        <f t="shared" si="164"/>
        <v>7290</v>
      </c>
      <c r="B1428" s="22" t="str">
        <f t="shared" si="165"/>
        <v>ボード・パネル月報</v>
      </c>
      <c r="C1428" s="21" t="str">
        <f>HYPERLINK("#7290!W3","0106")</f>
        <v>0106</v>
      </c>
      <c r="D1428" s="22" t="str">
        <f>HYPERLINK("#7290!W3","プレハブ建築用コンクリート系パネル")</f>
        <v>プレハブ建築用コンクリート系パネル</v>
      </c>
    </row>
    <row r="1429" spans="1:4" x14ac:dyDescent="0.4">
      <c r="A1429" s="21">
        <f t="shared" si="164"/>
        <v>7290</v>
      </c>
      <c r="B1429" s="22" t="str">
        <f t="shared" si="165"/>
        <v>ボード・パネル月報</v>
      </c>
      <c r="C1429" s="21" t="str">
        <f>HYPERLINK("#7290!AA3","0107")</f>
        <v>0107</v>
      </c>
      <c r="D1429" s="22" t="str">
        <f>HYPERLINK("#7290!AA3","プレハブ建築用軽量鉄骨系パネル")</f>
        <v>プレハブ建築用軽量鉄骨系パネル</v>
      </c>
    </row>
    <row r="1430" spans="1:4" x14ac:dyDescent="0.4">
      <c r="A1430" s="21">
        <f t="shared" si="164"/>
        <v>7290</v>
      </c>
      <c r="B1430" s="22" t="str">
        <f t="shared" si="165"/>
        <v>ボード・パネル月報</v>
      </c>
      <c r="C1430" s="21" t="str">
        <f>HYPERLINK("#7290!AE3","0108")</f>
        <v>0108</v>
      </c>
      <c r="D1430" s="22" t="str">
        <f>HYPERLINK("#7290!AE3","プレハブ建築用木質系パネル")</f>
        <v>プレハブ建築用木質系パネル</v>
      </c>
    </row>
    <row r="1431" spans="1:4" x14ac:dyDescent="0.4">
      <c r="A1431" s="21">
        <f t="shared" ref="A1431:A1439" si="166">HYPERLINK("#7320!A1 ",7320)</f>
        <v>7320</v>
      </c>
      <c r="B1431" s="22" t="str">
        <f t="shared" ref="B1431:B1439" si="167">HYPERLINK("#7320!A1 ","金属製建具月報")</f>
        <v>金属製建具月報</v>
      </c>
      <c r="C1431" s="21" t="str">
        <f>HYPERLINK("#7320!C3","0101")</f>
        <v>0101</v>
      </c>
      <c r="D1431" s="22" t="str">
        <f>HYPERLINK("#7320!C3","木造住宅用アルミニウムサッシ（アルミ）")</f>
        <v>木造住宅用アルミニウムサッシ（アルミ）</v>
      </c>
    </row>
    <row r="1432" spans="1:4" x14ac:dyDescent="0.4">
      <c r="A1432" s="21">
        <f t="shared" si="166"/>
        <v>7320</v>
      </c>
      <c r="B1432" s="22" t="str">
        <f t="shared" si="167"/>
        <v>金属製建具月報</v>
      </c>
      <c r="C1432" s="21" t="str">
        <f>HYPERLINK("#7320!G3","0102")</f>
        <v>0102</v>
      </c>
      <c r="D1432" s="22" t="str">
        <f>HYPERLINK("#7320!G3","木造住宅用アルミニウムサッシ（アルミ樹脂複合）")</f>
        <v>木造住宅用アルミニウムサッシ（アルミ樹脂複合）</v>
      </c>
    </row>
    <row r="1433" spans="1:4" x14ac:dyDescent="0.4">
      <c r="A1433" s="21">
        <f t="shared" si="166"/>
        <v>7320</v>
      </c>
      <c r="B1433" s="22" t="str">
        <f t="shared" si="167"/>
        <v>金属製建具月報</v>
      </c>
      <c r="C1433" s="21" t="str">
        <f>HYPERLINK("#7320!K3","0103")</f>
        <v>0103</v>
      </c>
      <c r="D1433" s="22" t="str">
        <f>HYPERLINK("#7320!K3","ビル用アルミニウムサッシ")</f>
        <v>ビル用アルミニウムサッシ</v>
      </c>
    </row>
    <row r="1434" spans="1:4" x14ac:dyDescent="0.4">
      <c r="A1434" s="21">
        <f t="shared" si="166"/>
        <v>7320</v>
      </c>
      <c r="B1434" s="22" t="str">
        <f t="shared" si="167"/>
        <v>金属製建具月報</v>
      </c>
      <c r="C1434" s="21" t="str">
        <f>HYPERLINK("#7320!O3","0104")</f>
        <v>0104</v>
      </c>
      <c r="D1434" s="22" t="str">
        <f>HYPERLINK("#7320!O3","アルミニウムドア")</f>
        <v>アルミニウムドア</v>
      </c>
    </row>
    <row r="1435" spans="1:4" x14ac:dyDescent="0.4">
      <c r="A1435" s="21">
        <f t="shared" si="166"/>
        <v>7320</v>
      </c>
      <c r="B1435" s="22" t="str">
        <f t="shared" si="167"/>
        <v>金属製建具月報</v>
      </c>
      <c r="C1435" s="21" t="str">
        <f>HYPERLINK("#7320!S3","0105")</f>
        <v>0105</v>
      </c>
      <c r="D1435" s="22" t="str">
        <f>HYPERLINK("#7320!S3","アルミニウムエクステリア")</f>
        <v>アルミニウムエクステリア</v>
      </c>
    </row>
    <row r="1436" spans="1:4" x14ac:dyDescent="0.4">
      <c r="A1436" s="21">
        <f t="shared" si="166"/>
        <v>7320</v>
      </c>
      <c r="B1436" s="22" t="str">
        <f t="shared" si="167"/>
        <v>金属製建具月報</v>
      </c>
      <c r="C1436" s="21" t="str">
        <f>HYPERLINK("#7320!W3","0106")</f>
        <v>0106</v>
      </c>
      <c r="D1436" s="22" t="str">
        <f>HYPERLINK("#7320!W3","アルミニウム製室内建具")</f>
        <v>アルミニウム製室内建具</v>
      </c>
    </row>
    <row r="1437" spans="1:4" x14ac:dyDescent="0.4">
      <c r="A1437" s="21">
        <f t="shared" si="166"/>
        <v>7320</v>
      </c>
      <c r="B1437" s="22" t="str">
        <f t="shared" si="167"/>
        <v>金属製建具月報</v>
      </c>
      <c r="C1437" s="21" t="str">
        <f>HYPERLINK("#7320!AA3","0107")</f>
        <v>0107</v>
      </c>
      <c r="D1437" s="22" t="str">
        <f>HYPERLINK("#7320!AA3","スチール又はステンレスサッシ")</f>
        <v>スチール又はステンレスサッシ</v>
      </c>
    </row>
    <row r="1438" spans="1:4" x14ac:dyDescent="0.4">
      <c r="A1438" s="21">
        <f t="shared" si="166"/>
        <v>7320</v>
      </c>
      <c r="B1438" s="22" t="str">
        <f t="shared" si="167"/>
        <v>金属製建具月報</v>
      </c>
      <c r="C1438" s="21" t="str">
        <f>HYPERLINK("#7320!AE3","0108")</f>
        <v>0108</v>
      </c>
      <c r="D1438" s="22" t="str">
        <f>HYPERLINK("#7320!AE3","スチール又はステンレスドア")</f>
        <v>スチール又はステンレスドア</v>
      </c>
    </row>
    <row r="1439" spans="1:4" x14ac:dyDescent="0.4">
      <c r="A1439" s="21">
        <f t="shared" si="166"/>
        <v>7320</v>
      </c>
      <c r="B1439" s="22" t="str">
        <f t="shared" si="167"/>
        <v>金属製建具月報</v>
      </c>
      <c r="C1439" s="21" t="str">
        <f>HYPERLINK("#7320!AI3","0109")</f>
        <v>0109</v>
      </c>
      <c r="D1439" s="22" t="str">
        <f>HYPERLINK("#7320!AI3","スチール又はステンレスシャッター")</f>
        <v>スチール又はステンレスシャッター</v>
      </c>
    </row>
    <row r="1440" spans="1:4" x14ac:dyDescent="0.4">
      <c r="A1440" s="21">
        <f t="shared" ref="A1440:A1454" si="168">HYPERLINK("#7340!A1 ",7340)</f>
        <v>7340</v>
      </c>
      <c r="B1440" s="22" t="str">
        <f t="shared" ref="B1440:B1454" si="169">HYPERLINK("#7340!A1 ","セメント・セメント製品月報")</f>
        <v>セメント・セメント製品月報</v>
      </c>
      <c r="C1440" s="21" t="str">
        <f>HYPERLINK("#7340!C3","0101")</f>
        <v>0101</v>
      </c>
      <c r="D1440" s="22" t="str">
        <f>HYPERLINK("#7340!C3","早強・中庸熱ポルトランドセメント")</f>
        <v>早強・中庸熱ポルトランドセメント</v>
      </c>
    </row>
    <row r="1441" spans="1:4" x14ac:dyDescent="0.4">
      <c r="A1441" s="21">
        <f t="shared" si="168"/>
        <v>7340</v>
      </c>
      <c r="B1441" s="22" t="str">
        <f t="shared" si="169"/>
        <v>セメント・セメント製品月報</v>
      </c>
      <c r="C1441" s="21" t="str">
        <f>HYPERLINK("#7340!G3","0102")</f>
        <v>0102</v>
      </c>
      <c r="D1441" s="22" t="str">
        <f>HYPERLINK("#7340!G3","普通ポルトランドセメント")</f>
        <v>普通ポルトランドセメント</v>
      </c>
    </row>
    <row r="1442" spans="1:4" x14ac:dyDescent="0.4">
      <c r="A1442" s="21">
        <f t="shared" si="168"/>
        <v>7340</v>
      </c>
      <c r="B1442" s="22" t="str">
        <f t="shared" si="169"/>
        <v>セメント・セメント製品月報</v>
      </c>
      <c r="C1442" s="21" t="str">
        <f>HYPERLINK("#7340!K3","0103")</f>
        <v>0103</v>
      </c>
      <c r="D1442" s="22" t="str">
        <f>HYPERLINK("#7340!K3","高炉セメント")</f>
        <v>高炉セメント</v>
      </c>
    </row>
    <row r="1443" spans="1:4" x14ac:dyDescent="0.4">
      <c r="A1443" s="21">
        <f t="shared" si="168"/>
        <v>7340</v>
      </c>
      <c r="B1443" s="22" t="str">
        <f t="shared" si="169"/>
        <v>セメント・セメント製品月報</v>
      </c>
      <c r="C1443" s="21" t="str">
        <f>HYPERLINK("#7340!O3","0104")</f>
        <v>0104</v>
      </c>
      <c r="D1443" s="22" t="str">
        <f>HYPERLINK("#7340!O3","その他のセメント")</f>
        <v>その他のセメント</v>
      </c>
    </row>
    <row r="1444" spans="1:4" x14ac:dyDescent="0.4">
      <c r="A1444" s="21">
        <f t="shared" si="168"/>
        <v>7340</v>
      </c>
      <c r="B1444" s="22" t="str">
        <f t="shared" si="169"/>
        <v>セメント・セメント製品月報</v>
      </c>
      <c r="C1444" s="21" t="str">
        <f>HYPERLINK("#7340!S3","0105")</f>
        <v>0105</v>
      </c>
      <c r="D1444" s="22" t="str">
        <f>HYPERLINK("#7340!S3","クリンカ")</f>
        <v>クリンカ</v>
      </c>
    </row>
    <row r="1445" spans="1:4" x14ac:dyDescent="0.4">
      <c r="A1445" s="21">
        <f t="shared" si="168"/>
        <v>7340</v>
      </c>
      <c r="B1445" s="22" t="str">
        <f t="shared" si="169"/>
        <v>セメント・セメント製品月報</v>
      </c>
      <c r="C1445" s="21" t="str">
        <f>HYPERLINK("#7340!W3","0106")</f>
        <v>0106</v>
      </c>
      <c r="D1445" s="22" t="str">
        <f>HYPERLINK("#7340!W3","遠心力鉄筋コンクリート管")</f>
        <v>遠心力鉄筋コンクリート管</v>
      </c>
    </row>
    <row r="1446" spans="1:4" x14ac:dyDescent="0.4">
      <c r="A1446" s="21">
        <f t="shared" si="168"/>
        <v>7340</v>
      </c>
      <c r="B1446" s="22" t="str">
        <f t="shared" si="169"/>
        <v>セメント・セメント製品月報</v>
      </c>
      <c r="C1446" s="21" t="str">
        <f>HYPERLINK("#7340!AA3","0107")</f>
        <v>0107</v>
      </c>
      <c r="D1446" s="22" t="str">
        <f>HYPERLINK("#7340!AA3","遠心力鉄筋コンクリートポール")</f>
        <v>遠心力鉄筋コンクリートポール</v>
      </c>
    </row>
    <row r="1447" spans="1:4" x14ac:dyDescent="0.4">
      <c r="A1447" s="21">
        <f t="shared" si="168"/>
        <v>7340</v>
      </c>
      <c r="B1447" s="22" t="str">
        <f t="shared" si="169"/>
        <v>セメント・セメント製品月報</v>
      </c>
      <c r="C1447" s="21" t="str">
        <f>HYPERLINK("#7340!AE3","0108")</f>
        <v>0108</v>
      </c>
      <c r="D1447" s="22" t="str">
        <f>HYPERLINK("#7340!AE3","遠心力鉄筋コンクリートパイル")</f>
        <v>遠心力鉄筋コンクリートパイル</v>
      </c>
    </row>
    <row r="1448" spans="1:4" x14ac:dyDescent="0.4">
      <c r="A1448" s="21">
        <f t="shared" si="168"/>
        <v>7340</v>
      </c>
      <c r="B1448" s="22" t="str">
        <f t="shared" si="169"/>
        <v>セメント・セメント製品月報</v>
      </c>
      <c r="C1448" s="21" t="str">
        <f>HYPERLINK("#7340!AI3","0109")</f>
        <v>0109</v>
      </c>
      <c r="D1448" s="22" t="str">
        <f>HYPERLINK("#7340!AI3","空洞コンクリートブロック")</f>
        <v>空洞コンクリートブロック</v>
      </c>
    </row>
    <row r="1449" spans="1:4" x14ac:dyDescent="0.4">
      <c r="A1449" s="21">
        <f t="shared" si="168"/>
        <v>7340</v>
      </c>
      <c r="B1449" s="22" t="str">
        <f t="shared" si="169"/>
        <v>セメント・セメント製品月報</v>
      </c>
      <c r="C1449" s="21" t="str">
        <f>HYPERLINK("#7340!AM3","0110")</f>
        <v>0110</v>
      </c>
      <c r="D1449" s="22" t="str">
        <f>HYPERLINK("#7340!AM3","護岸用コンクリートブロック")</f>
        <v>護岸用コンクリートブロック</v>
      </c>
    </row>
    <row r="1450" spans="1:4" x14ac:dyDescent="0.4">
      <c r="A1450" s="21">
        <f t="shared" si="168"/>
        <v>7340</v>
      </c>
      <c r="B1450" s="22" t="str">
        <f t="shared" si="169"/>
        <v>セメント・セメント製品月報</v>
      </c>
      <c r="C1450" s="21" t="str">
        <f>HYPERLINK("#7340!AQ3","0111")</f>
        <v>0111</v>
      </c>
      <c r="D1450" s="22" t="str">
        <f>HYPERLINK("#7340!AQ3","道路用コンクリート製品")</f>
        <v>道路用コンクリート製品</v>
      </c>
    </row>
    <row r="1451" spans="1:4" x14ac:dyDescent="0.4">
      <c r="A1451" s="21">
        <f t="shared" si="168"/>
        <v>7340</v>
      </c>
      <c r="B1451" s="22" t="str">
        <f t="shared" si="169"/>
        <v>セメント・セメント製品月報</v>
      </c>
      <c r="C1451" s="21" t="str">
        <f>HYPERLINK("#7340!AU3","0112")</f>
        <v>0112</v>
      </c>
      <c r="D1451" s="22" t="str">
        <f>HYPERLINK("#7340!AU3","プレストレストコンクリート製品(はり・けた)")</f>
        <v>プレストレストコンクリート製品(はり・けた)</v>
      </c>
    </row>
    <row r="1452" spans="1:4" x14ac:dyDescent="0.4">
      <c r="A1452" s="21">
        <f t="shared" si="168"/>
        <v>7340</v>
      </c>
      <c r="B1452" s="22" t="str">
        <f t="shared" si="169"/>
        <v>セメント・セメント製品月報</v>
      </c>
      <c r="C1452" s="21" t="str">
        <f>HYPERLINK("#7340!AY3","0113")</f>
        <v>0113</v>
      </c>
      <c r="D1452" s="22" t="str">
        <f>HYPERLINK("#7340!AY3","その他のプレストレストコンクリート製品")</f>
        <v>その他のプレストレストコンクリート製品</v>
      </c>
    </row>
    <row r="1453" spans="1:4" x14ac:dyDescent="0.4">
      <c r="A1453" s="21">
        <f t="shared" si="168"/>
        <v>7340</v>
      </c>
      <c r="B1453" s="22" t="str">
        <f t="shared" si="169"/>
        <v>セメント・セメント製品月報</v>
      </c>
      <c r="C1453" s="21" t="str">
        <f>HYPERLINK("#7340!BC3","0114")</f>
        <v>0114</v>
      </c>
      <c r="D1453" s="22" t="str">
        <f>HYPERLINK("#7340!BC3","木毛･木片セメント板")</f>
        <v>木毛･木片セメント板</v>
      </c>
    </row>
    <row r="1454" spans="1:4" x14ac:dyDescent="0.4">
      <c r="A1454" s="21">
        <f t="shared" si="168"/>
        <v>7340</v>
      </c>
      <c r="B1454" s="22" t="str">
        <f t="shared" si="169"/>
        <v>セメント・セメント製品月報</v>
      </c>
      <c r="C1454" s="21" t="str">
        <f>HYPERLINK("#7340!BG3","0115")</f>
        <v>0115</v>
      </c>
      <c r="D1454" s="22" t="str">
        <f>HYPERLINK("#7340!BG3","気泡コンクリート製品")</f>
        <v>気泡コンクリート製品</v>
      </c>
    </row>
    <row r="1455" spans="1:4" x14ac:dyDescent="0.4">
      <c r="A1455" s="21">
        <f t="shared" ref="A1455:A1462" si="170">HYPERLINK("#8020!A1 ",8020)</f>
        <v>8020</v>
      </c>
      <c r="B1455" s="22" t="str">
        <f t="shared" ref="B1455:B1462" si="171">HYPERLINK("#8020!A1 ","鉱物及びコークス月報")</f>
        <v>鉱物及びコークス月報</v>
      </c>
      <c r="C1455" s="21" t="str">
        <f>HYPERLINK("#8020!C3","0101")</f>
        <v>0101</v>
      </c>
      <c r="D1455" s="22" t="str">
        <f>HYPERLINK("#8020!C3","けい石")</f>
        <v>けい石</v>
      </c>
    </row>
    <row r="1456" spans="1:4" x14ac:dyDescent="0.4">
      <c r="A1456" s="21">
        <f t="shared" si="170"/>
        <v>8020</v>
      </c>
      <c r="B1456" s="22" t="str">
        <f t="shared" si="171"/>
        <v>鉱物及びコークス月報</v>
      </c>
      <c r="C1456" s="21" t="str">
        <f>HYPERLINK("#8020!G3","0102")</f>
        <v>0102</v>
      </c>
      <c r="D1456" s="22" t="str">
        <f>HYPERLINK("#8020!G3","石灰石")</f>
        <v>石灰石</v>
      </c>
    </row>
    <row r="1457" spans="1:4" x14ac:dyDescent="0.4">
      <c r="A1457" s="21">
        <f t="shared" si="170"/>
        <v>8020</v>
      </c>
      <c r="B1457" s="22" t="str">
        <f t="shared" si="171"/>
        <v>鉱物及びコークス月報</v>
      </c>
      <c r="C1457" s="21" t="str">
        <f>HYPERLINK("#8020!K3","0103")</f>
        <v>0103</v>
      </c>
      <c r="D1457" s="22" t="str">
        <f>HYPERLINK("#8020!K3","ドロマイト")</f>
        <v>ドロマイト</v>
      </c>
    </row>
    <row r="1458" spans="1:4" x14ac:dyDescent="0.4">
      <c r="A1458" s="21">
        <f t="shared" si="170"/>
        <v>8020</v>
      </c>
      <c r="B1458" s="22" t="str">
        <f t="shared" si="171"/>
        <v>鉱物及びコークス月報</v>
      </c>
      <c r="C1458" s="21" t="str">
        <f>HYPERLINK("#8020!O3","0104")</f>
        <v>0104</v>
      </c>
      <c r="D1458" s="22" t="str">
        <f>HYPERLINK("#8020!O3","けい砂")</f>
        <v>けい砂</v>
      </c>
    </row>
    <row r="1459" spans="1:4" x14ac:dyDescent="0.4">
      <c r="A1459" s="21">
        <f t="shared" si="170"/>
        <v>8020</v>
      </c>
      <c r="B1459" s="22" t="str">
        <f t="shared" si="171"/>
        <v>鉱物及びコークス月報</v>
      </c>
      <c r="C1459" s="21" t="str">
        <f>HYPERLINK("#8020!S3","0105")</f>
        <v>0105</v>
      </c>
      <c r="D1459" s="22" t="str">
        <f>HYPERLINK("#8020!S3","コークス")</f>
        <v>コークス</v>
      </c>
    </row>
    <row r="1460" spans="1:4" x14ac:dyDescent="0.4">
      <c r="A1460" s="21">
        <f t="shared" si="170"/>
        <v>8020</v>
      </c>
      <c r="B1460" s="22" t="str">
        <f t="shared" si="171"/>
        <v>鉱物及びコークス月報</v>
      </c>
      <c r="C1460" s="21" t="str">
        <f>HYPERLINK("#8020!W3","0131")</f>
        <v>0131</v>
      </c>
      <c r="D1460" s="22" t="str">
        <f>HYPERLINK("#8020!W3","金鉱(亜鉛含有量)")</f>
        <v>金鉱(亜鉛含有量)</v>
      </c>
    </row>
    <row r="1461" spans="1:4" x14ac:dyDescent="0.4">
      <c r="A1461" s="21">
        <f t="shared" si="170"/>
        <v>8020</v>
      </c>
      <c r="B1461" s="22" t="str">
        <f t="shared" si="171"/>
        <v>鉱物及びコークス月報</v>
      </c>
      <c r="C1461" s="21" t="str">
        <f>HYPERLINK("#8020!AA3","0132")</f>
        <v>0132</v>
      </c>
      <c r="D1461" s="22" t="str">
        <f>HYPERLINK("#8020!AA3","金鉱(亜鉛含有量)")</f>
        <v>金鉱(亜鉛含有量)</v>
      </c>
    </row>
    <row r="1462" spans="1:4" x14ac:dyDescent="0.4">
      <c r="A1462" s="21">
        <f t="shared" si="170"/>
        <v>8020</v>
      </c>
      <c r="B1462" s="22" t="str">
        <f t="shared" si="171"/>
        <v>鉱物及びコークス月報</v>
      </c>
      <c r="C1462" s="21" t="str">
        <f>HYPERLINK("#8020!AE3","0133")</f>
        <v>0133</v>
      </c>
      <c r="D1462" s="22" t="str">
        <f>HYPERLINK("#8020!AE3","金鉱(亜鉛含有量)")</f>
        <v>金鉱(亜鉛含有量)</v>
      </c>
    </row>
    <row r="1463" spans="1:4" x14ac:dyDescent="0.4">
      <c r="A1463" s="21">
        <f>HYPERLINK("#8040!A1 ",8040)</f>
        <v>8040</v>
      </c>
      <c r="B1463" s="22" t="str">
        <f>HYPERLINK("#8040!A1 ","原油及び天然ガス月報")</f>
        <v>原油及び天然ガス月報</v>
      </c>
      <c r="C1463" s="21" t="str">
        <f>HYPERLINK("#8040!C3","0101")</f>
        <v>0101</v>
      </c>
      <c r="D1463" s="22" t="str">
        <f>HYPERLINK("#8040!C3","原油")</f>
        <v>原油</v>
      </c>
    </row>
    <row r="1464" spans="1:4" x14ac:dyDescent="0.4">
      <c r="A1464" s="21">
        <f>HYPERLINK("#8040!A1 ",8040)</f>
        <v>8040</v>
      </c>
      <c r="B1464" s="22" t="str">
        <f>HYPERLINK("#8040!A1 ","原油及び天然ガス月報")</f>
        <v>原油及び天然ガス月報</v>
      </c>
      <c r="C1464" s="21" t="str">
        <f>HYPERLINK("#8040!G3","0102")</f>
        <v>0102</v>
      </c>
      <c r="D1464" s="22" t="str">
        <f>HYPERLINK("#8040!G3","天然ガス")</f>
        <v>天然ガス</v>
      </c>
    </row>
    <row r="1465" spans="1:4" x14ac:dyDescent="0.4">
      <c r="A1465" s="21">
        <f t="shared" ref="A1465:A1484" si="172">HYPERLINK("#8061!A1 ",8061)</f>
        <v>8061</v>
      </c>
      <c r="B1465" s="22" t="str">
        <f t="shared" ref="B1465:B1484" si="173">HYPERLINK("#8061!A1 ","石油製品月報")</f>
        <v>石油製品月報</v>
      </c>
      <c r="C1465" s="21" t="str">
        <f>HYPERLINK("#8061!C3","0101")</f>
        <v>0101</v>
      </c>
      <c r="D1465" s="22" t="str">
        <f>HYPERLINK("#8061!C3","自動車用高級ガソリン")</f>
        <v>自動車用高級ガソリン</v>
      </c>
    </row>
    <row r="1466" spans="1:4" x14ac:dyDescent="0.4">
      <c r="A1466" s="21">
        <f t="shared" si="172"/>
        <v>8061</v>
      </c>
      <c r="B1466" s="22" t="str">
        <f t="shared" si="173"/>
        <v>石油製品月報</v>
      </c>
      <c r="C1466" s="21" t="str">
        <f>HYPERLINK("#8061!F3","0102")</f>
        <v>0102</v>
      </c>
      <c r="D1466" s="22" t="str">
        <f>HYPERLINK("#8061!F3","自動車用並級ガソリン")</f>
        <v>自動車用並級ガソリン</v>
      </c>
    </row>
    <row r="1467" spans="1:4" x14ac:dyDescent="0.4">
      <c r="A1467" s="21">
        <f t="shared" si="172"/>
        <v>8061</v>
      </c>
      <c r="B1467" s="22" t="str">
        <f t="shared" si="173"/>
        <v>石油製品月報</v>
      </c>
      <c r="C1467" s="21" t="str">
        <f>HYPERLINK("#8061!I3","0103")</f>
        <v>0103</v>
      </c>
      <c r="D1467" s="22" t="str">
        <f>HYPERLINK("#8061!I3","その他用ガソリン")</f>
        <v>その他用ガソリン</v>
      </c>
    </row>
    <row r="1468" spans="1:4" x14ac:dyDescent="0.4">
      <c r="A1468" s="21">
        <f t="shared" si="172"/>
        <v>8061</v>
      </c>
      <c r="B1468" s="22" t="str">
        <f t="shared" si="173"/>
        <v>石油製品月報</v>
      </c>
      <c r="C1468" s="21" t="str">
        <f>HYPERLINK("#8061!L3","0104")</f>
        <v>0104</v>
      </c>
      <c r="D1468" s="22" t="str">
        <f>HYPERLINK("#8061!L3","石油化学用ナフサ")</f>
        <v>石油化学用ナフサ</v>
      </c>
    </row>
    <row r="1469" spans="1:4" x14ac:dyDescent="0.4">
      <c r="A1469" s="21">
        <f t="shared" si="172"/>
        <v>8061</v>
      </c>
      <c r="B1469" s="22" t="str">
        <f t="shared" si="173"/>
        <v>石油製品月報</v>
      </c>
      <c r="C1469" s="21" t="str">
        <f>HYPERLINK("#8061!O3","0105")</f>
        <v>0105</v>
      </c>
      <c r="D1469" s="22" t="str">
        <f>HYPERLINK("#8061!O3","その他用ナフサ")</f>
        <v>その他用ナフサ</v>
      </c>
    </row>
    <row r="1470" spans="1:4" x14ac:dyDescent="0.4">
      <c r="A1470" s="21">
        <f t="shared" si="172"/>
        <v>8061</v>
      </c>
      <c r="B1470" s="22" t="str">
        <f t="shared" si="173"/>
        <v>石油製品月報</v>
      </c>
      <c r="C1470" s="21" t="str">
        <f>HYPERLINK("#8061!R3","0106")</f>
        <v>0106</v>
      </c>
      <c r="D1470" s="22" t="str">
        <f>HYPERLINK("#8061!R3","ジェット燃料油")</f>
        <v>ジェット燃料油</v>
      </c>
    </row>
    <row r="1471" spans="1:4" x14ac:dyDescent="0.4">
      <c r="A1471" s="21">
        <f t="shared" si="172"/>
        <v>8061</v>
      </c>
      <c r="B1471" s="22" t="str">
        <f t="shared" si="173"/>
        <v>石油製品月報</v>
      </c>
      <c r="C1471" s="21" t="str">
        <f>HYPERLINK("#8061!U3","0107")</f>
        <v>0107</v>
      </c>
      <c r="D1471" s="22" t="str">
        <f>HYPERLINK("#8061!U3","灯油")</f>
        <v>灯油</v>
      </c>
    </row>
    <row r="1472" spans="1:4" x14ac:dyDescent="0.4">
      <c r="A1472" s="21">
        <f t="shared" si="172"/>
        <v>8061</v>
      </c>
      <c r="B1472" s="22" t="str">
        <f t="shared" si="173"/>
        <v>石油製品月報</v>
      </c>
      <c r="C1472" s="21" t="str">
        <f>HYPERLINK("#8061!X3","0108")</f>
        <v>0108</v>
      </c>
      <c r="D1472" s="22" t="str">
        <f>HYPERLINK("#8061!X3","軽油")</f>
        <v>軽油</v>
      </c>
    </row>
    <row r="1473" spans="1:4" x14ac:dyDescent="0.4">
      <c r="A1473" s="21">
        <f t="shared" si="172"/>
        <v>8061</v>
      </c>
      <c r="B1473" s="22" t="str">
        <f t="shared" si="173"/>
        <v>石油製品月報</v>
      </c>
      <c r="C1473" s="21" t="str">
        <f>HYPERLINK("#8061!AA3","0109")</f>
        <v>0109</v>
      </c>
      <c r="D1473" s="22" t="str">
        <f>HYPERLINK("#8061!AA3","Ａ重油")</f>
        <v>Ａ重油</v>
      </c>
    </row>
    <row r="1474" spans="1:4" x14ac:dyDescent="0.4">
      <c r="A1474" s="21">
        <f t="shared" si="172"/>
        <v>8061</v>
      </c>
      <c r="B1474" s="22" t="str">
        <f t="shared" si="173"/>
        <v>石油製品月報</v>
      </c>
      <c r="C1474" s="21" t="str">
        <f>HYPERLINK("#8061!AD3","0110")</f>
        <v>0110</v>
      </c>
      <c r="D1474" s="22" t="str">
        <f>HYPERLINK("#8061!AD3","Ｂ・Ｃ重油")</f>
        <v>Ｂ・Ｃ重油</v>
      </c>
    </row>
    <row r="1475" spans="1:4" x14ac:dyDescent="0.4">
      <c r="A1475" s="21">
        <f t="shared" si="172"/>
        <v>8061</v>
      </c>
      <c r="B1475" s="22" t="str">
        <f t="shared" si="173"/>
        <v>石油製品月報</v>
      </c>
      <c r="C1475" s="21" t="str">
        <f>HYPERLINK("#8061!AG3","0111")</f>
        <v>0111</v>
      </c>
      <c r="D1475" s="22" t="str">
        <f>HYPERLINK("#8061!AG3","潤滑油")</f>
        <v>潤滑油</v>
      </c>
    </row>
    <row r="1476" spans="1:4" x14ac:dyDescent="0.4">
      <c r="A1476" s="21">
        <f t="shared" si="172"/>
        <v>8061</v>
      </c>
      <c r="B1476" s="22" t="str">
        <f t="shared" si="173"/>
        <v>石油製品月報</v>
      </c>
      <c r="C1476" s="21" t="str">
        <f>HYPERLINK("#8061!AJ3","0112")</f>
        <v>0112</v>
      </c>
      <c r="D1476" s="22" t="str">
        <f>HYPERLINK("#8061!AJ3","パラフィン")</f>
        <v>パラフィン</v>
      </c>
    </row>
    <row r="1477" spans="1:4" x14ac:dyDescent="0.4">
      <c r="A1477" s="21">
        <f t="shared" si="172"/>
        <v>8061</v>
      </c>
      <c r="B1477" s="22" t="str">
        <f t="shared" si="173"/>
        <v>石油製品月報</v>
      </c>
      <c r="C1477" s="21" t="str">
        <f>HYPERLINK("#8061!AM3","0113")</f>
        <v>0113</v>
      </c>
      <c r="D1477" s="22" t="str">
        <f>HYPERLINK("#8061!AM3","アスファルト")</f>
        <v>アスファルト</v>
      </c>
    </row>
    <row r="1478" spans="1:4" x14ac:dyDescent="0.4">
      <c r="A1478" s="21">
        <f t="shared" si="172"/>
        <v>8061</v>
      </c>
      <c r="B1478" s="22" t="str">
        <f t="shared" si="173"/>
        <v>石油製品月報</v>
      </c>
      <c r="C1478" s="21" t="str">
        <f>HYPERLINK("#8061!AP3","0114")</f>
        <v>0114</v>
      </c>
      <c r="D1478" s="22" t="str">
        <f>HYPERLINK("#8061!AP3","液化石油ガス(Ｐ．Ｐ及びＰ．Ｂ)")</f>
        <v>液化石油ガス(Ｐ．Ｐ及びＰ．Ｂ)</v>
      </c>
    </row>
    <row r="1479" spans="1:4" x14ac:dyDescent="0.4">
      <c r="A1479" s="21">
        <f t="shared" si="172"/>
        <v>8061</v>
      </c>
      <c r="B1479" s="22" t="str">
        <f t="shared" si="173"/>
        <v>石油製品月報</v>
      </c>
      <c r="C1479" s="21" t="str">
        <f>HYPERLINK("#8061!AS3","0115")</f>
        <v>0115</v>
      </c>
      <c r="D1479" s="22" t="str">
        <f>HYPERLINK("#8061!AS3","液化石油ガス(Ｂ．Ｂ)")</f>
        <v>液化石油ガス(Ｂ．Ｂ)</v>
      </c>
    </row>
    <row r="1480" spans="1:4" x14ac:dyDescent="0.4">
      <c r="A1480" s="21">
        <f t="shared" si="172"/>
        <v>8061</v>
      </c>
      <c r="B1480" s="22" t="str">
        <f t="shared" si="173"/>
        <v>石油製品月報</v>
      </c>
      <c r="C1480" s="21" t="str">
        <f>HYPERLINK("#8061!AV3","0116")</f>
        <v>0116</v>
      </c>
      <c r="D1480" s="22" t="str">
        <f>HYPERLINK("#8061!AV3","オイルコークス")</f>
        <v>オイルコークス</v>
      </c>
    </row>
    <row r="1481" spans="1:4" x14ac:dyDescent="0.4">
      <c r="A1481" s="21">
        <f t="shared" si="172"/>
        <v>8061</v>
      </c>
      <c r="B1481" s="22" t="str">
        <f t="shared" si="173"/>
        <v>石油製品月報</v>
      </c>
      <c r="C1481" s="21" t="str">
        <f>HYPERLINK("#8061!AY3","0117")</f>
        <v>0117</v>
      </c>
      <c r="D1481" s="22" t="str">
        <f>HYPERLINK("#8061!AY3","回収いおう")</f>
        <v>回収いおう</v>
      </c>
    </row>
    <row r="1482" spans="1:4" x14ac:dyDescent="0.4">
      <c r="A1482" s="21">
        <f t="shared" si="172"/>
        <v>8061</v>
      </c>
      <c r="B1482" s="22" t="str">
        <f t="shared" si="173"/>
        <v>石油製品月報</v>
      </c>
      <c r="C1482" s="21" t="str">
        <f>HYPERLINK("#8061!BB3","0118")</f>
        <v>0118</v>
      </c>
      <c r="D1482" s="22" t="str">
        <f>HYPERLINK("#8061!BB3","その他の石油製品")</f>
        <v>その他の石油製品</v>
      </c>
    </row>
    <row r="1483" spans="1:4" x14ac:dyDescent="0.4">
      <c r="A1483" s="21">
        <f t="shared" si="172"/>
        <v>8061</v>
      </c>
      <c r="B1483" s="22" t="str">
        <f t="shared" si="173"/>
        <v>石油製品月報</v>
      </c>
      <c r="C1483" s="21" t="str">
        <f>HYPERLINK("#8061!BE3","0119")</f>
        <v>0119</v>
      </c>
      <c r="D1483" s="22" t="str">
        <f>HYPERLINK("#8061!BE3","精製及び混合原料油")</f>
        <v>精製及び混合原料油</v>
      </c>
    </row>
    <row r="1484" spans="1:4" x14ac:dyDescent="0.4">
      <c r="A1484" s="21">
        <f t="shared" si="172"/>
        <v>8061</v>
      </c>
      <c r="B1484" s="22" t="str">
        <f t="shared" si="173"/>
        <v>石油製品月報</v>
      </c>
      <c r="C1484" s="21" t="str">
        <f>HYPERLINK("#8061!BH3","0120")</f>
        <v>0120</v>
      </c>
      <c r="D1484" s="22" t="str">
        <f>HYPERLINK("#8061!BH3","石油ガス")</f>
        <v>石油ガス</v>
      </c>
    </row>
    <row r="1485" spans="1:4" x14ac:dyDescent="0.4">
      <c r="A1485" s="21">
        <f t="shared" ref="A1485:A1492" si="174">HYPERLINK("#9040!A1 ",9040)</f>
        <v>9040</v>
      </c>
      <c r="B1485" s="22" t="str">
        <f t="shared" ref="B1485:B1492" si="175">HYPERLINK("#9040!A1 ","アルミニウム月報")</f>
        <v>アルミニウム月報</v>
      </c>
      <c r="C1485" s="21" t="str">
        <f>HYPERLINK("#9040!C3","0101")</f>
        <v>0101</v>
      </c>
      <c r="D1485" s="22" t="str">
        <f>HYPERLINK("#9040!C3","精製アルミニウム地金")</f>
        <v>精製アルミニウム地金</v>
      </c>
    </row>
    <row r="1486" spans="1:4" x14ac:dyDescent="0.4">
      <c r="A1486" s="21">
        <f t="shared" si="174"/>
        <v>9040</v>
      </c>
      <c r="B1486" s="22" t="str">
        <f t="shared" si="175"/>
        <v>アルミニウム月報</v>
      </c>
      <c r="C1486" s="21" t="str">
        <f>HYPERLINK("#9040!G3","0102")</f>
        <v>0102</v>
      </c>
      <c r="D1486" s="22" t="str">
        <f>HYPERLINK("#9040!G3","アルミニウム合金地金(鋳物・ダイカスト用)")</f>
        <v>アルミニウム合金地金(鋳物・ダイカスト用)</v>
      </c>
    </row>
    <row r="1487" spans="1:4" x14ac:dyDescent="0.4">
      <c r="A1487" s="21">
        <f t="shared" si="174"/>
        <v>9040</v>
      </c>
      <c r="B1487" s="22" t="str">
        <f t="shared" si="175"/>
        <v>アルミニウム月報</v>
      </c>
      <c r="C1487" s="21" t="str">
        <f>HYPERLINK("#9040!K3","0103")</f>
        <v>0103</v>
      </c>
      <c r="D1487" s="22" t="str">
        <f>HYPERLINK("#9040!K3","アルミニウム合金地金(その他用)")</f>
        <v>アルミニウム合金地金(その他用)</v>
      </c>
    </row>
    <row r="1488" spans="1:4" x14ac:dyDescent="0.4">
      <c r="A1488" s="21">
        <f t="shared" si="174"/>
        <v>9040</v>
      </c>
      <c r="B1488" s="22" t="str">
        <f t="shared" si="175"/>
        <v>アルミニウム月報</v>
      </c>
      <c r="C1488" s="21" t="str">
        <f>HYPERLINK("#9040!O3","0104")</f>
        <v>0104</v>
      </c>
      <c r="D1488" s="22" t="str">
        <f>HYPERLINK("#9040!O3","アルミニウム二次地金(脱酸用)")</f>
        <v>アルミニウム二次地金(脱酸用)</v>
      </c>
    </row>
    <row r="1489" spans="1:4" x14ac:dyDescent="0.4">
      <c r="A1489" s="21">
        <f t="shared" si="174"/>
        <v>9040</v>
      </c>
      <c r="B1489" s="22" t="str">
        <f t="shared" si="175"/>
        <v>アルミニウム月報</v>
      </c>
      <c r="C1489" s="21" t="str">
        <f>HYPERLINK("#9040!S3","0105")</f>
        <v>0105</v>
      </c>
      <c r="D1489" s="22" t="str">
        <f>HYPERLINK("#9040!S3","アルミニウム二次地金(その他用)")</f>
        <v>アルミニウム二次地金(その他用)</v>
      </c>
    </row>
    <row r="1490" spans="1:4" x14ac:dyDescent="0.4">
      <c r="A1490" s="21">
        <f t="shared" si="174"/>
        <v>9040</v>
      </c>
      <c r="B1490" s="22" t="str">
        <f t="shared" si="175"/>
        <v>アルミニウム月報</v>
      </c>
      <c r="C1490" s="21" t="str">
        <f>HYPERLINK("#9040!W3","0106")</f>
        <v>0106</v>
      </c>
      <c r="D1490" s="22" t="str">
        <f>HYPERLINK("#9040!W3","アルミニウム二次合金地金(鋳物・ダイカスト用)")</f>
        <v>アルミニウム二次合金地金(鋳物・ダイカスト用)</v>
      </c>
    </row>
    <row r="1491" spans="1:4" x14ac:dyDescent="0.4">
      <c r="A1491" s="21">
        <f t="shared" si="174"/>
        <v>9040</v>
      </c>
      <c r="B1491" s="22" t="str">
        <f t="shared" si="175"/>
        <v>アルミニウム月報</v>
      </c>
      <c r="C1491" s="21" t="str">
        <f>HYPERLINK("#9040!AA3","0107")</f>
        <v>0107</v>
      </c>
      <c r="D1491" s="22" t="str">
        <f>HYPERLINK("#9040!AA3","アルミニウム二次合金地金(その他用)")</f>
        <v>アルミニウム二次合金地金(その他用)</v>
      </c>
    </row>
    <row r="1492" spans="1:4" x14ac:dyDescent="0.4">
      <c r="A1492" s="21">
        <f t="shared" si="174"/>
        <v>9040</v>
      </c>
      <c r="B1492" s="22" t="str">
        <f t="shared" si="175"/>
        <v>アルミニウム月報</v>
      </c>
      <c r="C1492" s="21" t="str">
        <f>HYPERLINK("#9040!AE3","0108")</f>
        <v>0108</v>
      </c>
      <c r="D1492" s="22" t="str">
        <f>HYPERLINK("#9040!AE3","アルミニウム粉")</f>
        <v>アルミニウム粉</v>
      </c>
    </row>
    <row r="1493" spans="1:4" x14ac:dyDescent="0.4">
      <c r="A1493" s="21">
        <f t="shared" ref="A1493:A1503" si="176">HYPERLINK("#9050!A1 ",9050)</f>
        <v>9050</v>
      </c>
      <c r="B1493" s="22" t="str">
        <f t="shared" ref="B1493:B1503" si="177">HYPERLINK("#9050!A1 ","非鉄金属製品月報（伸銅製品）")</f>
        <v>非鉄金属製品月報（伸銅製品）</v>
      </c>
      <c r="C1493" s="21" t="str">
        <f>HYPERLINK("#9050!C3","0101")</f>
        <v>0101</v>
      </c>
      <c r="D1493" s="22" t="str">
        <f>HYPERLINK("#9050!C3","銅製品(板)")</f>
        <v>銅製品(板)</v>
      </c>
    </row>
    <row r="1494" spans="1:4" x14ac:dyDescent="0.4">
      <c r="A1494" s="21">
        <f t="shared" si="176"/>
        <v>9050</v>
      </c>
      <c r="B1494" s="22" t="str">
        <f t="shared" si="177"/>
        <v>非鉄金属製品月報（伸銅製品）</v>
      </c>
      <c r="C1494" s="21" t="str">
        <f>HYPERLINK("#9050!G3","0102")</f>
        <v>0102</v>
      </c>
      <c r="D1494" s="22" t="str">
        <f>HYPERLINK("#9050!G3","銅製品(条)")</f>
        <v>銅製品(条)</v>
      </c>
    </row>
    <row r="1495" spans="1:4" x14ac:dyDescent="0.4">
      <c r="A1495" s="21">
        <f t="shared" si="176"/>
        <v>9050</v>
      </c>
      <c r="B1495" s="22" t="str">
        <f t="shared" si="177"/>
        <v>非鉄金属製品月報（伸銅製品）</v>
      </c>
      <c r="C1495" s="21" t="str">
        <f>HYPERLINK("#9050!K3","0103")</f>
        <v>0103</v>
      </c>
      <c r="D1495" s="22" t="str">
        <f>HYPERLINK("#9050!K3","銅製品(管)")</f>
        <v>銅製品(管)</v>
      </c>
    </row>
    <row r="1496" spans="1:4" x14ac:dyDescent="0.4">
      <c r="A1496" s="21">
        <f t="shared" si="176"/>
        <v>9050</v>
      </c>
      <c r="B1496" s="22" t="str">
        <f t="shared" si="177"/>
        <v>非鉄金属製品月報（伸銅製品）</v>
      </c>
      <c r="C1496" s="21" t="str">
        <f>HYPERLINK("#9050!O3","0104")</f>
        <v>0104</v>
      </c>
      <c r="D1496" s="22" t="str">
        <f>HYPERLINK("#9050!O3","銅製品(棒・線)")</f>
        <v>銅製品(棒・線)</v>
      </c>
    </row>
    <row r="1497" spans="1:4" x14ac:dyDescent="0.4">
      <c r="A1497" s="21">
        <f t="shared" si="176"/>
        <v>9050</v>
      </c>
      <c r="B1497" s="22" t="str">
        <f t="shared" si="177"/>
        <v>非鉄金属製品月報（伸銅製品）</v>
      </c>
      <c r="C1497" s="21" t="str">
        <f>HYPERLINK("#9050!S3","0105")</f>
        <v>0105</v>
      </c>
      <c r="D1497" s="22" t="str">
        <f>HYPERLINK("#9050!S3","黄銅製品(板)")</f>
        <v>黄銅製品(板)</v>
      </c>
    </row>
    <row r="1498" spans="1:4" x14ac:dyDescent="0.4">
      <c r="A1498" s="21">
        <f t="shared" si="176"/>
        <v>9050</v>
      </c>
      <c r="B1498" s="22" t="str">
        <f t="shared" si="177"/>
        <v>非鉄金属製品月報（伸銅製品）</v>
      </c>
      <c r="C1498" s="21" t="str">
        <f>HYPERLINK("#9050!W3","0106")</f>
        <v>0106</v>
      </c>
      <c r="D1498" s="22" t="str">
        <f>HYPERLINK("#9050!W3","黄銅製品(条)")</f>
        <v>黄銅製品(条)</v>
      </c>
    </row>
    <row r="1499" spans="1:4" x14ac:dyDescent="0.4">
      <c r="A1499" s="21">
        <f t="shared" si="176"/>
        <v>9050</v>
      </c>
      <c r="B1499" s="22" t="str">
        <f t="shared" si="177"/>
        <v>非鉄金属製品月報（伸銅製品）</v>
      </c>
      <c r="C1499" s="21" t="str">
        <f>HYPERLINK("#9050!AA3","0107")</f>
        <v>0107</v>
      </c>
      <c r="D1499" s="22" t="str">
        <f>HYPERLINK("#9050!AA3","黄銅製品(管)")</f>
        <v>黄銅製品(管)</v>
      </c>
    </row>
    <row r="1500" spans="1:4" x14ac:dyDescent="0.4">
      <c r="A1500" s="21">
        <f t="shared" si="176"/>
        <v>9050</v>
      </c>
      <c r="B1500" s="22" t="str">
        <f t="shared" si="177"/>
        <v>非鉄金属製品月報（伸銅製品）</v>
      </c>
      <c r="C1500" s="21" t="str">
        <f>HYPERLINK("#9050!AE3","0108")</f>
        <v>0108</v>
      </c>
      <c r="D1500" s="22" t="str">
        <f>HYPERLINK("#9050!AE3","黄銅製品(棒)")</f>
        <v>黄銅製品(棒)</v>
      </c>
    </row>
    <row r="1501" spans="1:4" x14ac:dyDescent="0.4">
      <c r="A1501" s="21">
        <f t="shared" si="176"/>
        <v>9050</v>
      </c>
      <c r="B1501" s="22" t="str">
        <f t="shared" si="177"/>
        <v>非鉄金属製品月報（伸銅製品）</v>
      </c>
      <c r="C1501" s="21" t="str">
        <f>HYPERLINK("#9050!AI3","0109")</f>
        <v>0109</v>
      </c>
      <c r="D1501" s="22" t="str">
        <f>HYPERLINK("#9050!AI3","黄銅製品(線)")</f>
        <v>黄銅製品(線)</v>
      </c>
    </row>
    <row r="1502" spans="1:4" x14ac:dyDescent="0.4">
      <c r="A1502" s="21">
        <f t="shared" si="176"/>
        <v>9050</v>
      </c>
      <c r="B1502" s="22" t="str">
        <f t="shared" si="177"/>
        <v>非鉄金属製品月報（伸銅製品）</v>
      </c>
      <c r="C1502" s="21" t="str">
        <f>HYPERLINK("#9050!AM3","0110")</f>
        <v>0110</v>
      </c>
      <c r="D1502" s="22" t="str">
        <f>HYPERLINK("#9050!AM3","その他の伸銅製品(板・条)")</f>
        <v>その他の伸銅製品(板・条)</v>
      </c>
    </row>
    <row r="1503" spans="1:4" x14ac:dyDescent="0.4">
      <c r="A1503" s="21">
        <f t="shared" si="176"/>
        <v>9050</v>
      </c>
      <c r="B1503" s="22" t="str">
        <f t="shared" si="177"/>
        <v>非鉄金属製品月報（伸銅製品）</v>
      </c>
      <c r="C1503" s="21" t="str">
        <f>HYPERLINK("#9050!AQ3","0111")</f>
        <v>0111</v>
      </c>
      <c r="D1503" s="22" t="str">
        <f>HYPERLINK("#9050!AQ3","その他の伸銅製品(棒・線)")</f>
        <v>その他の伸銅製品(棒・線)</v>
      </c>
    </row>
    <row r="1504" spans="1:4" x14ac:dyDescent="0.4">
      <c r="A1504" s="21">
        <f t="shared" ref="A1504:A1510" si="178">HYPERLINK("#9060!A1 ",9060)</f>
        <v>9060</v>
      </c>
      <c r="B1504" s="22" t="str">
        <f t="shared" ref="B1504:B1510" si="179">HYPERLINK("#9060!A1 ","非鉄金属製品月報（シリコンウエハ、はんだ、銅合金塊）")</f>
        <v>非鉄金属製品月報（シリコンウエハ、はんだ、銅合金塊）</v>
      </c>
      <c r="C1504" s="21" t="str">
        <f>HYPERLINK("#9060!C3","0101")</f>
        <v>0101</v>
      </c>
      <c r="D1504" s="22" t="str">
        <f>HYPERLINK("#9060!C3","シリコンウエハ５インチ(１２５ｍｍ)以下")</f>
        <v>シリコンウエハ５インチ(１２５ｍｍ)以下</v>
      </c>
    </row>
    <row r="1505" spans="1:4" x14ac:dyDescent="0.4">
      <c r="A1505" s="21">
        <f t="shared" si="178"/>
        <v>9060</v>
      </c>
      <c r="B1505" s="22" t="str">
        <f t="shared" si="179"/>
        <v>非鉄金属製品月報（シリコンウエハ、はんだ、銅合金塊）</v>
      </c>
      <c r="C1505" s="21" t="str">
        <f>HYPERLINK("#9060!F3","0102")</f>
        <v>0102</v>
      </c>
      <c r="D1505" s="22" t="str">
        <f>HYPERLINK("#9060!F3","シリコンウエハ６インチ(１５０ｍｍ)")</f>
        <v>シリコンウエハ６インチ(１５０ｍｍ)</v>
      </c>
    </row>
    <row r="1506" spans="1:4" x14ac:dyDescent="0.4">
      <c r="A1506" s="21">
        <f t="shared" si="178"/>
        <v>9060</v>
      </c>
      <c r="B1506" s="22" t="str">
        <f t="shared" si="179"/>
        <v>非鉄金属製品月報（シリコンウエハ、はんだ、銅合金塊）</v>
      </c>
      <c r="C1506" s="21" t="str">
        <f>HYPERLINK("#9060!I3","0103")</f>
        <v>0103</v>
      </c>
      <c r="D1506" s="22" t="str">
        <f>HYPERLINK("#9060!I3","シリコンウエハ８インチ(２００ｍｍ)")</f>
        <v>シリコンウエハ８インチ(２００ｍｍ)</v>
      </c>
    </row>
    <row r="1507" spans="1:4" x14ac:dyDescent="0.4">
      <c r="A1507" s="21">
        <f t="shared" si="178"/>
        <v>9060</v>
      </c>
      <c r="B1507" s="22" t="str">
        <f t="shared" si="179"/>
        <v>非鉄金属製品月報（シリコンウエハ、はんだ、銅合金塊）</v>
      </c>
      <c r="C1507" s="21" t="str">
        <f>HYPERLINK("#9060!L3","0104")</f>
        <v>0104</v>
      </c>
      <c r="D1507" s="22" t="str">
        <f>HYPERLINK("#9060!L3","シリコンウエハ１２インチ(３００ｍｍ)以上")</f>
        <v>シリコンウエハ１２インチ(３００ｍｍ)以上</v>
      </c>
    </row>
    <row r="1508" spans="1:4" x14ac:dyDescent="0.4">
      <c r="A1508" s="21">
        <f t="shared" si="178"/>
        <v>9060</v>
      </c>
      <c r="B1508" s="22" t="str">
        <f t="shared" si="179"/>
        <v>非鉄金属製品月報（シリコンウエハ、はんだ、銅合金塊）</v>
      </c>
      <c r="C1508" s="21" t="str">
        <f>HYPERLINK("#9060!O3","0105")</f>
        <v>0105</v>
      </c>
      <c r="D1508" s="22" t="str">
        <f>HYPERLINK("#9060!O3","シリコンウエハ販売金額合計")</f>
        <v>シリコンウエハ販売金額合計</v>
      </c>
    </row>
    <row r="1509" spans="1:4" x14ac:dyDescent="0.4">
      <c r="A1509" s="21">
        <f t="shared" si="178"/>
        <v>9060</v>
      </c>
      <c r="B1509" s="22" t="str">
        <f t="shared" si="179"/>
        <v>非鉄金属製品月報（シリコンウエハ、はんだ、銅合金塊）</v>
      </c>
      <c r="C1509" s="21" t="str">
        <f>HYPERLINK("#9060!P3","0106")</f>
        <v>0106</v>
      </c>
      <c r="D1509" s="22" t="str">
        <f>HYPERLINK("#9060!P3","はんだ")</f>
        <v>はんだ</v>
      </c>
    </row>
    <row r="1510" spans="1:4" x14ac:dyDescent="0.4">
      <c r="A1510" s="21">
        <f t="shared" si="178"/>
        <v>9060</v>
      </c>
      <c r="B1510" s="22" t="str">
        <f t="shared" si="179"/>
        <v>非鉄金属製品月報（シリコンウエハ、はんだ、銅合金塊）</v>
      </c>
      <c r="C1510" s="21" t="str">
        <f>HYPERLINK("#9060!T3","0107")</f>
        <v>0107</v>
      </c>
      <c r="D1510" s="22" t="str">
        <f>HYPERLINK("#9060!T3","銅合金塊")</f>
        <v>銅合金塊</v>
      </c>
    </row>
    <row r="1511" spans="1:4" x14ac:dyDescent="0.4">
      <c r="A1511" s="21">
        <f t="shared" ref="A1511:A1517" si="180">HYPERLINK("#9070!A1 ",9070)</f>
        <v>9070</v>
      </c>
      <c r="B1511" s="22" t="str">
        <f t="shared" ref="B1511:B1517" si="181">HYPERLINK("#9070!A1 ","非鉄金属製品月報（アルミニウム圧延製品）")</f>
        <v>非鉄金属製品月報（アルミニウム圧延製品）</v>
      </c>
      <c r="C1511" s="21" t="str">
        <f>HYPERLINK("#9070!C3","0101")</f>
        <v>0101</v>
      </c>
      <c r="D1511" s="22" t="str">
        <f>HYPERLINK("#9070!C3","アルミニウム圧延製品(板)")</f>
        <v>アルミニウム圧延製品(板)</v>
      </c>
    </row>
    <row r="1512" spans="1:4" x14ac:dyDescent="0.4">
      <c r="A1512" s="21">
        <f t="shared" si="180"/>
        <v>9070</v>
      </c>
      <c r="B1512" s="22" t="str">
        <f t="shared" si="181"/>
        <v>非鉄金属製品月報（アルミニウム圧延製品）</v>
      </c>
      <c r="C1512" s="21" t="str">
        <f>HYPERLINK("#9070!G3","0102")</f>
        <v>0102</v>
      </c>
      <c r="D1512" s="22" t="str">
        <f>HYPERLINK("#9070!G3","アルミニウム圧延製品(円板)")</f>
        <v>アルミニウム圧延製品(円板)</v>
      </c>
    </row>
    <row r="1513" spans="1:4" x14ac:dyDescent="0.4">
      <c r="A1513" s="21">
        <f t="shared" si="180"/>
        <v>9070</v>
      </c>
      <c r="B1513" s="22" t="str">
        <f t="shared" si="181"/>
        <v>非鉄金属製品月報（アルミニウム圧延製品）</v>
      </c>
      <c r="C1513" s="21" t="str">
        <f>HYPERLINK("#9070!K3","0103")</f>
        <v>0103</v>
      </c>
      <c r="D1513" s="22" t="str">
        <f>HYPERLINK("#9070!K3","アルミニウム圧延製品(条)")</f>
        <v>アルミニウム圧延製品(条)</v>
      </c>
    </row>
    <row r="1514" spans="1:4" x14ac:dyDescent="0.4">
      <c r="A1514" s="21">
        <f t="shared" si="180"/>
        <v>9070</v>
      </c>
      <c r="B1514" s="22" t="str">
        <f t="shared" si="181"/>
        <v>非鉄金属製品月報（アルミニウム圧延製品）</v>
      </c>
      <c r="C1514" s="21" t="str">
        <f>HYPERLINK("#9070!O3","0104")</f>
        <v>0104</v>
      </c>
      <c r="D1514" s="22" t="str">
        <f>HYPERLINK("#9070!O3","アルミニウム圧延製品(管)")</f>
        <v>アルミニウム圧延製品(管)</v>
      </c>
    </row>
    <row r="1515" spans="1:4" x14ac:dyDescent="0.4">
      <c r="A1515" s="21">
        <f t="shared" si="180"/>
        <v>9070</v>
      </c>
      <c r="B1515" s="22" t="str">
        <f t="shared" si="181"/>
        <v>非鉄金属製品月報（アルミニウム圧延製品）</v>
      </c>
      <c r="C1515" s="21" t="str">
        <f>HYPERLINK("#9070!S3","0105")</f>
        <v>0105</v>
      </c>
      <c r="D1515" s="22" t="str">
        <f>HYPERLINK("#9070!S3","アルミニウム圧延製品(棒・線)")</f>
        <v>アルミニウム圧延製品(棒・線)</v>
      </c>
    </row>
    <row r="1516" spans="1:4" x14ac:dyDescent="0.4">
      <c r="A1516" s="21">
        <f t="shared" si="180"/>
        <v>9070</v>
      </c>
      <c r="B1516" s="22" t="str">
        <f t="shared" si="181"/>
        <v>非鉄金属製品月報（アルミニウム圧延製品）</v>
      </c>
      <c r="C1516" s="21" t="str">
        <f>HYPERLINK("#9070!W3","0106")</f>
        <v>0106</v>
      </c>
      <c r="D1516" s="22" t="str">
        <f>HYPERLINK("#9070!W3","アルミニウム圧延製品(形材)")</f>
        <v>アルミニウム圧延製品(形材)</v>
      </c>
    </row>
    <row r="1517" spans="1:4" x14ac:dyDescent="0.4">
      <c r="A1517" s="21">
        <f t="shared" si="180"/>
        <v>9070</v>
      </c>
      <c r="B1517" s="22" t="str">
        <f t="shared" si="181"/>
        <v>非鉄金属製品月報（アルミニウム圧延製品）</v>
      </c>
      <c r="C1517" s="21" t="str">
        <f>HYPERLINK("#9070!AA3","0107")</f>
        <v>0107</v>
      </c>
      <c r="D1517" s="22" t="str">
        <f>HYPERLINK("#9070!AA3","アルミニウム圧延製品(はく)")</f>
        <v>アルミニウム圧延製品(はく)</v>
      </c>
    </row>
    <row r="1518" spans="1:4" x14ac:dyDescent="0.4">
      <c r="A1518" s="21">
        <f t="shared" ref="A1518:A1530" si="182">HYPERLINK("#9080!A1 ",9080)</f>
        <v>9080</v>
      </c>
      <c r="B1518" s="22" t="str">
        <f t="shared" ref="B1518:B1530" si="183">HYPERLINK("#9080!A1 ","非鉄金属製品（電線・ケーブル）、光ファイバ製品月報")</f>
        <v>非鉄金属製品（電線・ケーブル）、光ファイバ製品月報</v>
      </c>
      <c r="C1518" s="21" t="str">
        <f>HYPERLINK("#9080!C3","0101")</f>
        <v>0101</v>
      </c>
      <c r="D1518" s="22" t="str">
        <f>HYPERLINK("#9080!C3","銅裸線(電線メーカー向け心線)")</f>
        <v>銅裸線(電線メーカー向け心線)</v>
      </c>
    </row>
    <row r="1519" spans="1:4" x14ac:dyDescent="0.4">
      <c r="A1519" s="21">
        <f t="shared" si="182"/>
        <v>9080</v>
      </c>
      <c r="B1519" s="22" t="str">
        <f t="shared" si="183"/>
        <v>非鉄金属製品（電線・ケーブル）、光ファイバ製品月報</v>
      </c>
      <c r="C1519" s="21" t="str">
        <f>HYPERLINK("#9080!G3","0102")</f>
        <v>0102</v>
      </c>
      <c r="D1519" s="22" t="str">
        <f>HYPERLINK("#9080!G3","銅裸線(ユーザー向け)")</f>
        <v>銅裸線(ユーザー向け)</v>
      </c>
    </row>
    <row r="1520" spans="1:4" x14ac:dyDescent="0.4">
      <c r="A1520" s="21">
        <f t="shared" si="182"/>
        <v>9080</v>
      </c>
      <c r="B1520" s="22" t="str">
        <f t="shared" si="183"/>
        <v>非鉄金属製品（電線・ケーブル）、光ファイバ製品月報</v>
      </c>
      <c r="C1520" s="21" t="str">
        <f>HYPERLINK("#9080!K3","0103")</f>
        <v>0103</v>
      </c>
      <c r="D1520" s="22" t="str">
        <f>HYPERLINK("#9080!K3","銅巻線")</f>
        <v>銅巻線</v>
      </c>
    </row>
    <row r="1521" spans="1:4" x14ac:dyDescent="0.4">
      <c r="A1521" s="21">
        <f t="shared" si="182"/>
        <v>9080</v>
      </c>
      <c r="B1521" s="22" t="str">
        <f t="shared" si="183"/>
        <v>非鉄金属製品（電線・ケーブル）、光ファイバ製品月報</v>
      </c>
      <c r="C1521" s="21" t="str">
        <f>HYPERLINK("#9080!O3","0104")</f>
        <v>0104</v>
      </c>
      <c r="D1521" s="22" t="str">
        <f>HYPERLINK("#9080!O3","機器用銅電線")</f>
        <v>機器用銅電線</v>
      </c>
    </row>
    <row r="1522" spans="1:4" x14ac:dyDescent="0.4">
      <c r="A1522" s="21">
        <f t="shared" si="182"/>
        <v>9080</v>
      </c>
      <c r="B1522" s="22" t="str">
        <f t="shared" si="183"/>
        <v>非鉄金属製品（電線・ケーブル）、光ファイバ製品月報</v>
      </c>
      <c r="C1522" s="21" t="str">
        <f>HYPERLINK("#9080!S3","0105")</f>
        <v>0105</v>
      </c>
      <c r="D1522" s="22" t="str">
        <f>HYPERLINK("#9080!S3","輸送機器用銅電線")</f>
        <v>輸送機器用銅電線</v>
      </c>
    </row>
    <row r="1523" spans="1:4" x14ac:dyDescent="0.4">
      <c r="A1523" s="21">
        <f t="shared" si="182"/>
        <v>9080</v>
      </c>
      <c r="B1523" s="22" t="str">
        <f t="shared" si="183"/>
        <v>非鉄金属製品（電線・ケーブル）、光ファイバ製品月報</v>
      </c>
      <c r="C1523" s="21" t="str">
        <f>HYPERLINK("#9080!W3","0106")</f>
        <v>0106</v>
      </c>
      <c r="D1523" s="22" t="str">
        <f>HYPERLINK("#9080!W3","通信用銅電線・ケーブル")</f>
        <v>通信用銅電線・ケーブル</v>
      </c>
    </row>
    <row r="1524" spans="1:4" x14ac:dyDescent="0.4">
      <c r="A1524" s="21">
        <f t="shared" si="182"/>
        <v>9080</v>
      </c>
      <c r="B1524" s="22" t="str">
        <f t="shared" si="183"/>
        <v>非鉄金属製品（電線・ケーブル）、光ファイバ製品月報</v>
      </c>
      <c r="C1524" s="21" t="str">
        <f>HYPERLINK("#9080!AA3","0107")</f>
        <v>0107</v>
      </c>
      <c r="D1524" s="22" t="str">
        <f>HYPERLINK("#9080!AA3","電力用銅電線・ケーブル")</f>
        <v>電力用銅電線・ケーブル</v>
      </c>
    </row>
    <row r="1525" spans="1:4" x14ac:dyDescent="0.4">
      <c r="A1525" s="21">
        <f t="shared" si="182"/>
        <v>9080</v>
      </c>
      <c r="B1525" s="22" t="str">
        <f t="shared" si="183"/>
        <v>非鉄金属製品（電線・ケーブル）、光ファイバ製品月報</v>
      </c>
      <c r="C1525" s="21" t="str">
        <f>HYPERLINK("#9080!AE3","0108")</f>
        <v>0108</v>
      </c>
      <c r="D1525" s="22" t="str">
        <f>HYPERLINK("#9080!AE3","その他の絶縁銅電線")</f>
        <v>その他の絶縁銅電線</v>
      </c>
    </row>
    <row r="1526" spans="1:4" x14ac:dyDescent="0.4">
      <c r="A1526" s="21">
        <f t="shared" si="182"/>
        <v>9080</v>
      </c>
      <c r="B1526" s="22" t="str">
        <f t="shared" si="183"/>
        <v>非鉄金属製品（電線・ケーブル）、光ファイバ製品月報</v>
      </c>
      <c r="C1526" s="21" t="str">
        <f>HYPERLINK("#9080!AI3","0109")</f>
        <v>0109</v>
      </c>
      <c r="D1526" s="22" t="str">
        <f>HYPERLINK("#9080!AI3","アルミニウム電線")</f>
        <v>アルミニウム電線</v>
      </c>
    </row>
    <row r="1527" spans="1:4" x14ac:dyDescent="0.4">
      <c r="A1527" s="21">
        <f t="shared" si="182"/>
        <v>9080</v>
      </c>
      <c r="B1527" s="22" t="str">
        <f t="shared" si="183"/>
        <v>非鉄金属製品（電線・ケーブル）、光ファイバ製品月報</v>
      </c>
      <c r="C1527" s="21" t="str">
        <f>HYPERLINK("#9080!AM3","0110")</f>
        <v>0110</v>
      </c>
      <c r="D1527" s="22" t="str">
        <f>HYPERLINK("#9080!AM3","光ファイバケーブル(通信複合ケーブルを含む)")</f>
        <v>光ファイバケーブル(通信複合ケーブルを含む)</v>
      </c>
    </row>
    <row r="1528" spans="1:4" x14ac:dyDescent="0.4">
      <c r="A1528" s="21">
        <f t="shared" si="182"/>
        <v>9080</v>
      </c>
      <c r="B1528" s="22" t="str">
        <f t="shared" si="183"/>
        <v>非鉄金属製品（電線・ケーブル）、光ファイバ製品月報</v>
      </c>
      <c r="C1528" s="21" t="str">
        <f>HYPERLINK("#9080!AP3","0111")</f>
        <v>0111</v>
      </c>
      <c r="D1528" s="22" t="str">
        <f>HYPERLINK("#9080!AP3","その他の光ケーブル")</f>
        <v>その他の光ケーブル</v>
      </c>
    </row>
    <row r="1529" spans="1:4" x14ac:dyDescent="0.4">
      <c r="A1529" s="21">
        <f t="shared" si="182"/>
        <v>9080</v>
      </c>
      <c r="B1529" s="22" t="str">
        <f t="shared" si="183"/>
        <v>非鉄金属製品（電線・ケーブル）、光ファイバ製品月報</v>
      </c>
      <c r="C1529" s="21" t="str">
        <f>HYPERLINK("#9080!AS3","0112")</f>
        <v>0112</v>
      </c>
      <c r="D1529" s="22" t="str">
        <f>HYPERLINK("#9080!AS3","光ファイバ心線(ユーザー向け)")</f>
        <v>光ファイバ心線(ユーザー向け)</v>
      </c>
    </row>
    <row r="1530" spans="1:4" x14ac:dyDescent="0.4">
      <c r="A1530" s="21">
        <f t="shared" si="182"/>
        <v>9080</v>
      </c>
      <c r="B1530" s="22" t="str">
        <f t="shared" si="183"/>
        <v>非鉄金属製品（電線・ケーブル）、光ファイバ製品月報</v>
      </c>
      <c r="C1530" s="21" t="str">
        <f>HYPERLINK("#9080!AV3","0113")</f>
        <v>0113</v>
      </c>
      <c r="D1530" s="22" t="str">
        <f>HYPERLINK("#9080!AV3","光ファイバ製品販売金額計")</f>
        <v>光ファイバ製品販売金額計</v>
      </c>
    </row>
    <row r="1531" spans="1:4" x14ac:dyDescent="0.4">
      <c r="A1531" s="21">
        <f t="shared" ref="A1531:A1537" si="184">HYPERLINK("#9810!A1 ",9810)</f>
        <v>9810</v>
      </c>
      <c r="B1531" s="22" t="str">
        <f t="shared" ref="B1531:B1537" si="185">HYPERLINK("#9810!A1 ","非鉄金属月報")</f>
        <v>非鉄金属月報</v>
      </c>
      <c r="C1531" s="21" t="str">
        <f>HYPERLINK("#9810!C3","0101")</f>
        <v>0101</v>
      </c>
      <c r="D1531" s="22" t="str">
        <f>HYPERLINK("#9810!C3","電気金")</f>
        <v>電気金</v>
      </c>
    </row>
    <row r="1532" spans="1:4" x14ac:dyDescent="0.4">
      <c r="A1532" s="21">
        <f t="shared" si="184"/>
        <v>9810</v>
      </c>
      <c r="B1532" s="22" t="str">
        <f t="shared" si="185"/>
        <v>非鉄金属月報</v>
      </c>
      <c r="C1532" s="21" t="str">
        <f>HYPERLINK("#9810!G3","0102")</f>
        <v>0102</v>
      </c>
      <c r="D1532" s="22" t="str">
        <f>HYPERLINK("#9810!G3","電気銀")</f>
        <v>電気銀</v>
      </c>
    </row>
    <row r="1533" spans="1:4" x14ac:dyDescent="0.4">
      <c r="A1533" s="21">
        <f t="shared" si="184"/>
        <v>9810</v>
      </c>
      <c r="B1533" s="22" t="str">
        <f t="shared" si="185"/>
        <v>非鉄金属月報</v>
      </c>
      <c r="C1533" s="21" t="str">
        <f>HYPERLINK("#9810!K3","0103")</f>
        <v>0103</v>
      </c>
      <c r="D1533" s="22" t="str">
        <f>HYPERLINK("#9810!K3","粗銅")</f>
        <v>粗銅</v>
      </c>
    </row>
    <row r="1534" spans="1:4" x14ac:dyDescent="0.4">
      <c r="A1534" s="21">
        <f t="shared" si="184"/>
        <v>9810</v>
      </c>
      <c r="B1534" s="22" t="str">
        <f t="shared" si="185"/>
        <v>非鉄金属月報</v>
      </c>
      <c r="C1534" s="21" t="str">
        <f>HYPERLINK("#9810!O3","0104")</f>
        <v>0104</v>
      </c>
      <c r="D1534" s="22" t="str">
        <f>HYPERLINK("#9810!O3","電気銅")</f>
        <v>電気銅</v>
      </c>
    </row>
    <row r="1535" spans="1:4" x14ac:dyDescent="0.4">
      <c r="A1535" s="21">
        <f t="shared" si="184"/>
        <v>9810</v>
      </c>
      <c r="B1535" s="22" t="str">
        <f t="shared" si="185"/>
        <v>非鉄金属月報</v>
      </c>
      <c r="C1535" s="21" t="str">
        <f>HYPERLINK("#9810!S3","0105")</f>
        <v>0105</v>
      </c>
      <c r="D1535" s="22" t="str">
        <f>HYPERLINK("#9810!S3","粗鉛(副産粗鉛含む)")</f>
        <v>粗鉛(副産粗鉛含む)</v>
      </c>
    </row>
    <row r="1536" spans="1:4" x14ac:dyDescent="0.4">
      <c r="A1536" s="21">
        <f t="shared" si="184"/>
        <v>9810</v>
      </c>
      <c r="B1536" s="22" t="str">
        <f t="shared" si="185"/>
        <v>非鉄金属月報</v>
      </c>
      <c r="C1536" s="21" t="str">
        <f>HYPERLINK("#9810!W3","0106")</f>
        <v>0106</v>
      </c>
      <c r="D1536" s="22" t="str">
        <f>HYPERLINK("#9810!W3","電気鉛")</f>
        <v>電気鉛</v>
      </c>
    </row>
    <row r="1537" spans="1:4" x14ac:dyDescent="0.4">
      <c r="A1537" s="21">
        <f t="shared" si="184"/>
        <v>9810</v>
      </c>
      <c r="B1537" s="22" t="str">
        <f t="shared" si="185"/>
        <v>非鉄金属月報</v>
      </c>
      <c r="C1537" s="21" t="str">
        <f>HYPERLINK("#9810!AA3","0107")</f>
        <v>0107</v>
      </c>
      <c r="D1537" s="22" t="str">
        <f>HYPERLINK("#9810!AA3","亜鉛")</f>
        <v>亜鉛</v>
      </c>
    </row>
  </sheetData>
  <phoneticPr fontId="2"/>
  <hyperlinks>
    <hyperlink ref="D1065" location="'5130'!C3" display="AAA" xr:uid="{460CE338-1345-40BE-B9D9-A65C25F1D876}"/>
    <hyperlink ref="D1066" location="'5130'!G3" display="AAA" xr:uid="{2FB14196-6733-4F87-A992-EFB33389E06A}"/>
    <hyperlink ref="D1067" location="'5130'!K3" display="AAA" xr:uid="{169FF2AA-63B4-4313-BE28-0281EBCE7233}"/>
    <hyperlink ref="D1068" location="'5130'!O3" display="AAA" xr:uid="{6F20933C-C961-437E-9C14-FACFBBA12C18}"/>
    <hyperlink ref="D1092" location="'6010'!C3" display="AAA" xr:uid="{88BF8358-C45A-4E09-883D-0A7DC395A04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484BF-7EB8-4E25-8CFC-5F4800E89F6E}">
  <dimension ref="A1:BA40"/>
  <sheetViews>
    <sheetView workbookViewId="0">
      <selection activeCell="C9" sqref="C9"/>
    </sheetView>
  </sheetViews>
  <sheetFormatPr defaultColWidth="15.625" defaultRowHeight="18.75" x14ac:dyDescent="0.4"/>
  <sheetData>
    <row r="1" spans="1:53" x14ac:dyDescent="0.4">
      <c r="A1" s="1" t="s">
        <v>66</v>
      </c>
      <c r="B1" s="1"/>
    </row>
    <row r="2" spans="1:53" x14ac:dyDescent="0.4">
      <c r="A2" s="4" t="str">
        <f>HYPERLINK("#'目次(Contents)'!A3","目次に戻る(Return to Contents)")</f>
        <v>目次に戻る(Return to Contents)</v>
      </c>
      <c r="B2" s="1"/>
    </row>
    <row r="3" spans="1:53" x14ac:dyDescent="0.4">
      <c r="A3" s="1"/>
      <c r="B3" s="2" t="s">
        <v>0</v>
      </c>
      <c r="C3" t="s">
        <v>68</v>
      </c>
      <c r="D3" t="s">
        <v>68</v>
      </c>
      <c r="E3" t="s">
        <v>68</v>
      </c>
      <c r="F3" t="s">
        <v>78</v>
      </c>
      <c r="G3" t="s">
        <v>78</v>
      </c>
      <c r="H3" t="s">
        <v>78</v>
      </c>
      <c r="I3" t="s">
        <v>80</v>
      </c>
      <c r="J3" t="s">
        <v>80</v>
      </c>
      <c r="K3" t="s">
        <v>80</v>
      </c>
      <c r="L3" t="s">
        <v>82</v>
      </c>
      <c r="M3" t="s">
        <v>82</v>
      </c>
      <c r="N3" t="s">
        <v>82</v>
      </c>
      <c r="O3" t="s">
        <v>84</v>
      </c>
      <c r="P3" t="s">
        <v>84</v>
      </c>
      <c r="Q3" t="s">
        <v>84</v>
      </c>
      <c r="R3" t="s">
        <v>86</v>
      </c>
      <c r="S3" t="s">
        <v>86</v>
      </c>
      <c r="T3" t="s">
        <v>86</v>
      </c>
      <c r="U3" t="s">
        <v>88</v>
      </c>
      <c r="V3" t="s">
        <v>88</v>
      </c>
      <c r="W3" t="s">
        <v>88</v>
      </c>
      <c r="X3" t="s">
        <v>90</v>
      </c>
      <c r="Y3" t="s">
        <v>90</v>
      </c>
      <c r="Z3" t="s">
        <v>90</v>
      </c>
      <c r="AA3" t="s">
        <v>92</v>
      </c>
      <c r="AB3" t="s">
        <v>92</v>
      </c>
      <c r="AC3" t="s">
        <v>92</v>
      </c>
      <c r="AD3" t="s">
        <v>94</v>
      </c>
      <c r="AE3" t="s">
        <v>94</v>
      </c>
      <c r="AF3" t="s">
        <v>94</v>
      </c>
      <c r="AG3" t="s">
        <v>96</v>
      </c>
      <c r="AH3" t="s">
        <v>96</v>
      </c>
      <c r="AI3" t="s">
        <v>96</v>
      </c>
      <c r="AJ3" t="s">
        <v>98</v>
      </c>
      <c r="AK3" t="s">
        <v>98</v>
      </c>
      <c r="AL3" t="s">
        <v>98</v>
      </c>
      <c r="AM3" t="s">
        <v>100</v>
      </c>
      <c r="AN3" t="s">
        <v>100</v>
      </c>
      <c r="AO3" t="s">
        <v>100</v>
      </c>
      <c r="AP3" t="s">
        <v>102</v>
      </c>
      <c r="AQ3" t="s">
        <v>102</v>
      </c>
      <c r="AR3" t="s">
        <v>102</v>
      </c>
      <c r="AS3" t="s">
        <v>104</v>
      </c>
      <c r="AT3" t="s">
        <v>104</v>
      </c>
      <c r="AU3" t="s">
        <v>104</v>
      </c>
      <c r="AV3" t="s">
        <v>106</v>
      </c>
      <c r="AW3" t="s">
        <v>106</v>
      </c>
      <c r="AX3" t="s">
        <v>106</v>
      </c>
      <c r="AY3" t="s">
        <v>108</v>
      </c>
      <c r="AZ3" t="s">
        <v>108</v>
      </c>
      <c r="BA3" t="s">
        <v>108</v>
      </c>
    </row>
    <row r="4" spans="1:53" x14ac:dyDescent="0.4">
      <c r="A4" s="1"/>
      <c r="B4" s="2" t="s">
        <v>1</v>
      </c>
      <c r="C4" t="s">
        <v>71</v>
      </c>
      <c r="D4" t="s">
        <v>71</v>
      </c>
      <c r="E4" t="s">
        <v>71</v>
      </c>
      <c r="F4" t="s">
        <v>79</v>
      </c>
      <c r="G4" t="s">
        <v>79</v>
      </c>
      <c r="H4" t="s">
        <v>79</v>
      </c>
      <c r="I4" t="s">
        <v>81</v>
      </c>
      <c r="J4" t="s">
        <v>81</v>
      </c>
      <c r="K4" t="s">
        <v>81</v>
      </c>
      <c r="L4" t="s">
        <v>83</v>
      </c>
      <c r="M4" t="s">
        <v>83</v>
      </c>
      <c r="N4" t="s">
        <v>83</v>
      </c>
      <c r="O4" t="s">
        <v>85</v>
      </c>
      <c r="P4" t="s">
        <v>85</v>
      </c>
      <c r="Q4" t="s">
        <v>85</v>
      </c>
      <c r="R4" t="s">
        <v>87</v>
      </c>
      <c r="S4" t="s">
        <v>87</v>
      </c>
      <c r="T4" t="s">
        <v>87</v>
      </c>
      <c r="U4" t="s">
        <v>89</v>
      </c>
      <c r="V4" t="s">
        <v>89</v>
      </c>
      <c r="W4" t="s">
        <v>89</v>
      </c>
      <c r="X4" t="s">
        <v>91</v>
      </c>
      <c r="Y4" t="s">
        <v>91</v>
      </c>
      <c r="Z4" t="s">
        <v>91</v>
      </c>
      <c r="AA4" t="s">
        <v>93</v>
      </c>
      <c r="AB4" t="s">
        <v>93</v>
      </c>
      <c r="AC4" t="s">
        <v>93</v>
      </c>
      <c r="AD4" t="s">
        <v>95</v>
      </c>
      <c r="AE4" t="s">
        <v>95</v>
      </c>
      <c r="AF4" t="s">
        <v>95</v>
      </c>
      <c r="AG4" t="s">
        <v>97</v>
      </c>
      <c r="AH4" t="s">
        <v>97</v>
      </c>
      <c r="AI4" t="s">
        <v>97</v>
      </c>
      <c r="AJ4" t="s">
        <v>99</v>
      </c>
      <c r="AK4" t="s">
        <v>99</v>
      </c>
      <c r="AL4" t="s">
        <v>99</v>
      </c>
      <c r="AM4" t="s">
        <v>101</v>
      </c>
      <c r="AN4" t="s">
        <v>101</v>
      </c>
      <c r="AO4" t="s">
        <v>101</v>
      </c>
      <c r="AP4" t="s">
        <v>103</v>
      </c>
      <c r="AQ4" t="s">
        <v>103</v>
      </c>
      <c r="AR4" t="s">
        <v>103</v>
      </c>
      <c r="AS4" t="s">
        <v>105</v>
      </c>
      <c r="AT4" t="s">
        <v>105</v>
      </c>
      <c r="AU4" t="s">
        <v>105</v>
      </c>
      <c r="AV4" t="s">
        <v>107</v>
      </c>
      <c r="AW4" t="s">
        <v>107</v>
      </c>
      <c r="AX4" t="s">
        <v>107</v>
      </c>
      <c r="AY4" t="s">
        <v>109</v>
      </c>
      <c r="AZ4" t="s">
        <v>109</v>
      </c>
      <c r="BA4" t="s">
        <v>109</v>
      </c>
    </row>
    <row r="5" spans="1:5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</row>
    <row r="6" spans="1:5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</row>
    <row r="7" spans="1:53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</row>
    <row r="8" spans="1:53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</row>
    <row r="9" spans="1:5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>
        <v>243275</v>
      </c>
      <c r="S9">
        <v>237802</v>
      </c>
      <c r="T9">
        <v>19066</v>
      </c>
      <c r="U9" t="s">
        <v>73</v>
      </c>
      <c r="V9" t="s">
        <v>73</v>
      </c>
      <c r="W9" t="s">
        <v>73</v>
      </c>
      <c r="X9">
        <v>73776522</v>
      </c>
      <c r="Y9">
        <v>0</v>
      </c>
      <c r="Z9">
        <v>398</v>
      </c>
      <c r="AA9">
        <v>22256265</v>
      </c>
      <c r="AB9">
        <v>5184</v>
      </c>
      <c r="AC9">
        <v>71268</v>
      </c>
      <c r="AD9">
        <v>133922</v>
      </c>
      <c r="AE9">
        <v>7593</v>
      </c>
      <c r="AF9">
        <v>676</v>
      </c>
      <c r="AG9">
        <v>169300</v>
      </c>
      <c r="AH9">
        <v>0</v>
      </c>
      <c r="AI9">
        <v>104</v>
      </c>
      <c r="AJ9">
        <v>73613488</v>
      </c>
      <c r="AK9">
        <v>3622016</v>
      </c>
      <c r="AL9">
        <v>2427917</v>
      </c>
      <c r="AM9">
        <v>21257908</v>
      </c>
      <c r="AN9">
        <v>839633</v>
      </c>
      <c r="AO9">
        <v>1750140</v>
      </c>
      <c r="AP9">
        <v>136333</v>
      </c>
      <c r="AQ9">
        <v>100991</v>
      </c>
      <c r="AR9">
        <v>12164</v>
      </c>
      <c r="AS9">
        <v>401006</v>
      </c>
      <c r="AT9">
        <v>273185</v>
      </c>
      <c r="AU9">
        <v>18945</v>
      </c>
      <c r="AV9">
        <v>75979</v>
      </c>
      <c r="AW9">
        <v>43222</v>
      </c>
      <c r="AX9">
        <v>5414</v>
      </c>
      <c r="AY9">
        <v>72366</v>
      </c>
      <c r="AZ9">
        <v>44323</v>
      </c>
      <c r="BA9">
        <v>9237</v>
      </c>
    </row>
    <row r="10" spans="1:5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193467</v>
      </c>
      <c r="S10">
        <v>154900</v>
      </c>
      <c r="T10">
        <v>40096</v>
      </c>
      <c r="U10" t="s">
        <v>73</v>
      </c>
      <c r="V10" t="s">
        <v>73</v>
      </c>
      <c r="W10" t="s">
        <v>73</v>
      </c>
      <c r="X10">
        <v>68668311</v>
      </c>
      <c r="Y10">
        <v>113</v>
      </c>
      <c r="Z10">
        <v>905</v>
      </c>
      <c r="AA10">
        <v>20278497</v>
      </c>
      <c r="AB10">
        <v>5869</v>
      </c>
      <c r="AC10">
        <v>71185</v>
      </c>
      <c r="AD10">
        <v>136040</v>
      </c>
      <c r="AE10">
        <v>7868</v>
      </c>
      <c r="AF10">
        <v>530</v>
      </c>
      <c r="AG10">
        <v>143953</v>
      </c>
      <c r="AH10">
        <v>155</v>
      </c>
      <c r="AI10">
        <v>122</v>
      </c>
      <c r="AJ10">
        <v>68541137</v>
      </c>
      <c r="AK10">
        <v>3092061</v>
      </c>
      <c r="AL10">
        <v>2383144</v>
      </c>
      <c r="AM10">
        <v>19125728</v>
      </c>
      <c r="AN10">
        <v>696837</v>
      </c>
      <c r="AO10">
        <v>1776508</v>
      </c>
      <c r="AP10">
        <v>131687</v>
      </c>
      <c r="AQ10">
        <v>96581</v>
      </c>
      <c r="AR10">
        <v>13719</v>
      </c>
      <c r="AS10">
        <v>406873</v>
      </c>
      <c r="AT10">
        <v>272645</v>
      </c>
      <c r="AU10">
        <v>19340</v>
      </c>
      <c r="AV10">
        <v>77773</v>
      </c>
      <c r="AW10">
        <v>45187</v>
      </c>
      <c r="AX10">
        <v>5440</v>
      </c>
      <c r="AY10">
        <v>68351</v>
      </c>
      <c r="AZ10">
        <v>44531</v>
      </c>
      <c r="BA10">
        <v>9588</v>
      </c>
    </row>
    <row r="11" spans="1:5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93848</v>
      </c>
      <c r="S11">
        <v>82738</v>
      </c>
      <c r="T11">
        <v>36331</v>
      </c>
      <c r="U11" t="s">
        <v>73</v>
      </c>
      <c r="V11" t="s">
        <v>73</v>
      </c>
      <c r="W11" t="s">
        <v>73</v>
      </c>
      <c r="X11">
        <v>67400184</v>
      </c>
      <c r="Y11">
        <v>0</v>
      </c>
      <c r="Z11">
        <v>532</v>
      </c>
      <c r="AA11">
        <v>19348485</v>
      </c>
      <c r="AB11">
        <v>4786</v>
      </c>
      <c r="AC11">
        <v>74969</v>
      </c>
      <c r="AD11">
        <v>132736</v>
      </c>
      <c r="AE11">
        <v>8720</v>
      </c>
      <c r="AF11">
        <v>527</v>
      </c>
      <c r="AG11">
        <v>119388</v>
      </c>
      <c r="AH11">
        <v>148</v>
      </c>
      <c r="AI11">
        <v>161</v>
      </c>
      <c r="AJ11">
        <v>67266641</v>
      </c>
      <c r="AK11">
        <v>3180607</v>
      </c>
      <c r="AL11">
        <v>2319857</v>
      </c>
      <c r="AM11">
        <v>18271744</v>
      </c>
      <c r="AN11">
        <v>621755</v>
      </c>
      <c r="AO11">
        <v>1728311</v>
      </c>
      <c r="AP11">
        <v>129407</v>
      </c>
      <c r="AQ11">
        <v>99211</v>
      </c>
      <c r="AR11">
        <v>12214</v>
      </c>
      <c r="AS11">
        <v>378551</v>
      </c>
      <c r="AT11">
        <v>245147</v>
      </c>
      <c r="AU11">
        <v>20984</v>
      </c>
      <c r="AV11">
        <v>76457</v>
      </c>
      <c r="AW11">
        <v>46877</v>
      </c>
      <c r="AX11">
        <v>5183</v>
      </c>
      <c r="AY11">
        <v>59121</v>
      </c>
      <c r="AZ11">
        <v>42289</v>
      </c>
      <c r="BA11">
        <v>9359</v>
      </c>
    </row>
    <row r="12" spans="1:5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59757</v>
      </c>
      <c r="S12">
        <v>61746</v>
      </c>
      <c r="T12">
        <v>19606</v>
      </c>
      <c r="U12" t="s">
        <v>73</v>
      </c>
      <c r="V12" t="s">
        <v>73</v>
      </c>
      <c r="W12" t="s">
        <v>73</v>
      </c>
      <c r="X12">
        <v>65183155</v>
      </c>
      <c r="Y12">
        <v>0</v>
      </c>
      <c r="Z12">
        <v>625</v>
      </c>
      <c r="AA12">
        <v>18602762</v>
      </c>
      <c r="AB12">
        <v>4761</v>
      </c>
      <c r="AC12">
        <v>71889</v>
      </c>
      <c r="AD12">
        <v>116580</v>
      </c>
      <c r="AE12">
        <v>8882</v>
      </c>
      <c r="AF12">
        <v>618</v>
      </c>
      <c r="AG12">
        <v>106369</v>
      </c>
      <c r="AH12">
        <v>291</v>
      </c>
      <c r="AI12">
        <v>219</v>
      </c>
      <c r="AJ12">
        <v>65094102</v>
      </c>
      <c r="AK12">
        <v>3011202</v>
      </c>
      <c r="AL12">
        <v>2409664</v>
      </c>
      <c r="AM12">
        <v>17488674</v>
      </c>
      <c r="AN12">
        <v>543307</v>
      </c>
      <c r="AO12">
        <v>1649467</v>
      </c>
      <c r="AP12">
        <v>120786</v>
      </c>
      <c r="AQ12">
        <v>84832</v>
      </c>
      <c r="AR12">
        <v>15935</v>
      </c>
      <c r="AS12">
        <v>364230</v>
      </c>
      <c r="AT12">
        <v>236991</v>
      </c>
      <c r="AU12">
        <v>22177</v>
      </c>
      <c r="AV12">
        <v>69623</v>
      </c>
      <c r="AW12">
        <v>45872</v>
      </c>
      <c r="AX12">
        <v>5233</v>
      </c>
      <c r="AY12">
        <v>52460</v>
      </c>
      <c r="AZ12">
        <v>36852</v>
      </c>
      <c r="BA12">
        <v>8951</v>
      </c>
    </row>
    <row r="13" spans="1:5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61139</v>
      </c>
      <c r="S13">
        <v>48927</v>
      </c>
      <c r="T13">
        <v>18553</v>
      </c>
      <c r="U13" t="s">
        <v>73</v>
      </c>
      <c r="V13" t="s">
        <v>73</v>
      </c>
      <c r="W13" t="s">
        <v>73</v>
      </c>
      <c r="X13">
        <v>62355855</v>
      </c>
      <c r="Y13">
        <v>0</v>
      </c>
      <c r="Z13">
        <v>348</v>
      </c>
      <c r="AA13">
        <v>18108812</v>
      </c>
      <c r="AB13">
        <v>4838</v>
      </c>
      <c r="AC13">
        <v>69611</v>
      </c>
      <c r="AD13">
        <v>108455</v>
      </c>
      <c r="AE13">
        <v>8495</v>
      </c>
      <c r="AF13">
        <v>729</v>
      </c>
      <c r="AG13">
        <v>97683</v>
      </c>
      <c r="AH13">
        <v>120</v>
      </c>
      <c r="AI13">
        <v>143</v>
      </c>
      <c r="AJ13">
        <v>62240428</v>
      </c>
      <c r="AK13">
        <v>2951595</v>
      </c>
      <c r="AL13">
        <v>1959712</v>
      </c>
      <c r="AM13">
        <v>16899888</v>
      </c>
      <c r="AN13">
        <v>490867</v>
      </c>
      <c r="AO13">
        <v>1412657</v>
      </c>
      <c r="AP13">
        <v>116143</v>
      </c>
      <c r="AQ13">
        <v>83355</v>
      </c>
      <c r="AR13">
        <v>16388</v>
      </c>
      <c r="AS13">
        <v>359701</v>
      </c>
      <c r="AT13">
        <v>228099</v>
      </c>
      <c r="AU13">
        <v>23138</v>
      </c>
      <c r="AV13">
        <v>65233</v>
      </c>
      <c r="AW13">
        <v>41779</v>
      </c>
      <c r="AX13">
        <v>5741</v>
      </c>
      <c r="AY13">
        <v>48032</v>
      </c>
      <c r="AZ13">
        <v>35129</v>
      </c>
      <c r="BA13">
        <v>8464</v>
      </c>
    </row>
    <row r="14" spans="1:5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5034</v>
      </c>
      <c r="S14">
        <v>5584</v>
      </c>
      <c r="T14">
        <v>33535</v>
      </c>
      <c r="U14" t="s">
        <v>73</v>
      </c>
      <c r="V14" t="s">
        <v>73</v>
      </c>
      <c r="W14" t="s">
        <v>73</v>
      </c>
      <c r="X14">
        <v>5614990</v>
      </c>
      <c r="Y14">
        <v>0</v>
      </c>
      <c r="Z14">
        <v>364</v>
      </c>
      <c r="AA14">
        <v>1561198</v>
      </c>
      <c r="AB14">
        <v>441</v>
      </c>
      <c r="AC14">
        <v>73587</v>
      </c>
      <c r="AD14">
        <v>10595</v>
      </c>
      <c r="AE14">
        <v>581</v>
      </c>
      <c r="AF14">
        <v>631</v>
      </c>
      <c r="AG14">
        <v>9551</v>
      </c>
      <c r="AH14">
        <v>26</v>
      </c>
      <c r="AI14">
        <v>135</v>
      </c>
      <c r="AJ14">
        <v>5618216</v>
      </c>
      <c r="AK14">
        <v>310481</v>
      </c>
      <c r="AL14">
        <v>2202250</v>
      </c>
      <c r="AM14">
        <v>1483250</v>
      </c>
      <c r="AN14">
        <v>46257</v>
      </c>
      <c r="AO14">
        <v>1707642</v>
      </c>
      <c r="AP14">
        <v>11389</v>
      </c>
      <c r="AQ14">
        <v>8917</v>
      </c>
      <c r="AR14">
        <v>11346</v>
      </c>
      <c r="AS14">
        <v>30384</v>
      </c>
      <c r="AT14">
        <v>20561</v>
      </c>
      <c r="AU14">
        <v>20179</v>
      </c>
      <c r="AV14">
        <v>6138</v>
      </c>
      <c r="AW14">
        <v>4055</v>
      </c>
      <c r="AX14">
        <v>5154</v>
      </c>
      <c r="AY14">
        <v>4725</v>
      </c>
      <c r="AZ14">
        <v>3348</v>
      </c>
      <c r="BA14">
        <v>9585</v>
      </c>
    </row>
    <row r="15" spans="1:5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7994</v>
      </c>
      <c r="S15">
        <v>3280</v>
      </c>
      <c r="T15">
        <v>36417</v>
      </c>
      <c r="U15" t="s">
        <v>73</v>
      </c>
      <c r="V15" t="s">
        <v>73</v>
      </c>
      <c r="W15" t="s">
        <v>73</v>
      </c>
      <c r="X15">
        <v>5542950</v>
      </c>
      <c r="Y15">
        <v>0</v>
      </c>
      <c r="Z15">
        <v>253</v>
      </c>
      <c r="AA15">
        <v>1491419</v>
      </c>
      <c r="AB15">
        <v>609</v>
      </c>
      <c r="AC15">
        <v>70199</v>
      </c>
      <c r="AD15">
        <v>10358</v>
      </c>
      <c r="AE15">
        <v>923</v>
      </c>
      <c r="AF15">
        <v>610</v>
      </c>
      <c r="AG15">
        <v>9325</v>
      </c>
      <c r="AH15">
        <v>0</v>
      </c>
      <c r="AI15">
        <v>146</v>
      </c>
      <c r="AJ15">
        <v>5540509</v>
      </c>
      <c r="AK15">
        <v>238963</v>
      </c>
      <c r="AL15">
        <v>2312836</v>
      </c>
      <c r="AM15">
        <v>1394916</v>
      </c>
      <c r="AN15">
        <v>45633</v>
      </c>
      <c r="AO15">
        <v>1769197</v>
      </c>
      <c r="AP15">
        <v>10539</v>
      </c>
      <c r="AQ15">
        <v>6488</v>
      </c>
      <c r="AR15">
        <v>12889</v>
      </c>
      <c r="AS15">
        <v>32301</v>
      </c>
      <c r="AT15">
        <v>20151</v>
      </c>
      <c r="AU15">
        <v>20796</v>
      </c>
      <c r="AV15">
        <v>6239</v>
      </c>
      <c r="AW15">
        <v>4045</v>
      </c>
      <c r="AX15">
        <v>5353</v>
      </c>
      <c r="AY15">
        <v>4737</v>
      </c>
      <c r="AZ15">
        <v>3394</v>
      </c>
      <c r="BA15">
        <v>9438</v>
      </c>
    </row>
    <row r="16" spans="1:5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4591</v>
      </c>
      <c r="S16">
        <v>2987</v>
      </c>
      <c r="T16">
        <v>36378</v>
      </c>
      <c r="U16" t="s">
        <v>73</v>
      </c>
      <c r="V16" t="s">
        <v>73</v>
      </c>
      <c r="W16" t="s">
        <v>73</v>
      </c>
      <c r="X16">
        <v>5539621</v>
      </c>
      <c r="Y16">
        <v>0</v>
      </c>
      <c r="Z16">
        <v>732</v>
      </c>
      <c r="AA16">
        <v>1610194</v>
      </c>
      <c r="AB16">
        <v>468</v>
      </c>
      <c r="AC16">
        <v>70437</v>
      </c>
      <c r="AD16">
        <v>9318</v>
      </c>
      <c r="AE16">
        <v>669</v>
      </c>
      <c r="AF16">
        <v>632</v>
      </c>
      <c r="AG16">
        <v>8884</v>
      </c>
      <c r="AH16">
        <v>73</v>
      </c>
      <c r="AI16">
        <v>133</v>
      </c>
      <c r="AJ16">
        <v>5514185</v>
      </c>
      <c r="AK16">
        <v>346600</v>
      </c>
      <c r="AL16">
        <v>2179178</v>
      </c>
      <c r="AM16">
        <v>1504744</v>
      </c>
      <c r="AN16">
        <v>46700</v>
      </c>
      <c r="AO16">
        <v>1765308</v>
      </c>
      <c r="AP16">
        <v>9315</v>
      </c>
      <c r="AQ16">
        <v>6337</v>
      </c>
      <c r="AR16">
        <v>13300</v>
      </c>
      <c r="AS16">
        <v>30154</v>
      </c>
      <c r="AT16">
        <v>20520</v>
      </c>
      <c r="AU16">
        <v>22032</v>
      </c>
      <c r="AV16">
        <v>5435</v>
      </c>
      <c r="AW16">
        <v>3443</v>
      </c>
      <c r="AX16">
        <v>5222</v>
      </c>
      <c r="AY16">
        <v>4266</v>
      </c>
      <c r="AZ16">
        <v>3379</v>
      </c>
      <c r="BA16">
        <v>9008</v>
      </c>
    </row>
    <row r="17" spans="1:5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5230</v>
      </c>
      <c r="S17">
        <v>9241</v>
      </c>
      <c r="T17">
        <v>31099</v>
      </c>
      <c r="U17" t="s">
        <v>73</v>
      </c>
      <c r="V17" t="s">
        <v>73</v>
      </c>
      <c r="W17" t="s">
        <v>73</v>
      </c>
      <c r="X17">
        <v>5471498</v>
      </c>
      <c r="Y17">
        <v>0</v>
      </c>
      <c r="Z17">
        <v>281</v>
      </c>
      <c r="AA17">
        <v>1534083</v>
      </c>
      <c r="AB17">
        <v>295</v>
      </c>
      <c r="AC17">
        <v>73406</v>
      </c>
      <c r="AD17">
        <v>9903</v>
      </c>
      <c r="AE17">
        <v>768</v>
      </c>
      <c r="AF17">
        <v>546</v>
      </c>
      <c r="AG17">
        <v>8742</v>
      </c>
      <c r="AH17">
        <v>88</v>
      </c>
      <c r="AI17">
        <v>153</v>
      </c>
      <c r="AJ17">
        <v>5465388</v>
      </c>
      <c r="AK17">
        <v>209257</v>
      </c>
      <c r="AL17">
        <v>2297992</v>
      </c>
      <c r="AM17">
        <v>1443830</v>
      </c>
      <c r="AN17">
        <v>44311</v>
      </c>
      <c r="AO17">
        <v>1774162</v>
      </c>
      <c r="AP17">
        <v>7809</v>
      </c>
      <c r="AQ17">
        <v>5620</v>
      </c>
      <c r="AR17">
        <v>13809</v>
      </c>
      <c r="AS17">
        <v>31328</v>
      </c>
      <c r="AT17">
        <v>19563</v>
      </c>
      <c r="AU17">
        <v>22198</v>
      </c>
      <c r="AV17">
        <v>5837</v>
      </c>
      <c r="AW17">
        <v>3704</v>
      </c>
      <c r="AX17">
        <v>5218</v>
      </c>
      <c r="AY17">
        <v>4180</v>
      </c>
      <c r="AZ17">
        <v>2929</v>
      </c>
      <c r="BA17">
        <v>9083</v>
      </c>
    </row>
    <row r="18" spans="1:5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4443</v>
      </c>
      <c r="S18">
        <v>6905</v>
      </c>
      <c r="T18">
        <v>27420</v>
      </c>
      <c r="U18" t="s">
        <v>73</v>
      </c>
      <c r="V18" t="s">
        <v>73</v>
      </c>
      <c r="W18" t="s">
        <v>73</v>
      </c>
      <c r="X18">
        <v>5465385</v>
      </c>
      <c r="Y18">
        <v>0</v>
      </c>
      <c r="Z18">
        <v>414</v>
      </c>
      <c r="AA18">
        <v>1612334</v>
      </c>
      <c r="AB18">
        <v>476</v>
      </c>
      <c r="AC18">
        <v>69463</v>
      </c>
      <c r="AD18">
        <v>10923</v>
      </c>
      <c r="AE18">
        <v>757</v>
      </c>
      <c r="AF18">
        <v>518</v>
      </c>
      <c r="AG18">
        <v>8851</v>
      </c>
      <c r="AH18">
        <v>0</v>
      </c>
      <c r="AI18">
        <v>177</v>
      </c>
      <c r="AJ18">
        <v>5463294</v>
      </c>
      <c r="AK18">
        <v>296780</v>
      </c>
      <c r="AL18">
        <v>2231197</v>
      </c>
      <c r="AM18">
        <v>1518621</v>
      </c>
      <c r="AN18">
        <v>51478</v>
      </c>
      <c r="AO18">
        <v>1746029</v>
      </c>
      <c r="AP18">
        <v>10155</v>
      </c>
      <c r="AQ18">
        <v>6915</v>
      </c>
      <c r="AR18">
        <v>13641</v>
      </c>
      <c r="AS18">
        <v>33342</v>
      </c>
      <c r="AT18">
        <v>20807</v>
      </c>
      <c r="AU18">
        <v>22230</v>
      </c>
      <c r="AV18">
        <v>6466</v>
      </c>
      <c r="AW18">
        <v>4306</v>
      </c>
      <c r="AX18">
        <v>5226</v>
      </c>
      <c r="AY18">
        <v>4348</v>
      </c>
      <c r="AZ18">
        <v>2961</v>
      </c>
      <c r="BA18">
        <v>9175</v>
      </c>
    </row>
    <row r="19" spans="1:5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4431</v>
      </c>
      <c r="S19">
        <v>3906</v>
      </c>
      <c r="T19">
        <v>26772</v>
      </c>
      <c r="U19" t="s">
        <v>73</v>
      </c>
      <c r="V19" t="s">
        <v>73</v>
      </c>
      <c r="W19" t="s">
        <v>73</v>
      </c>
      <c r="X19">
        <v>5414565</v>
      </c>
      <c r="Y19">
        <v>0</v>
      </c>
      <c r="Z19">
        <v>1090</v>
      </c>
      <c r="AA19">
        <v>1440741</v>
      </c>
      <c r="AB19">
        <v>344</v>
      </c>
      <c r="AC19">
        <v>72686</v>
      </c>
      <c r="AD19">
        <v>8152</v>
      </c>
      <c r="AE19">
        <v>628</v>
      </c>
      <c r="AF19">
        <v>570</v>
      </c>
      <c r="AG19">
        <v>7566</v>
      </c>
      <c r="AH19">
        <v>0</v>
      </c>
      <c r="AI19">
        <v>171</v>
      </c>
      <c r="AJ19">
        <v>5396630</v>
      </c>
      <c r="AK19">
        <v>196306</v>
      </c>
      <c r="AL19">
        <v>2321537</v>
      </c>
      <c r="AM19">
        <v>1363078</v>
      </c>
      <c r="AN19">
        <v>38282</v>
      </c>
      <c r="AO19">
        <v>1686833</v>
      </c>
      <c r="AP19">
        <v>8617</v>
      </c>
      <c r="AQ19">
        <v>5685</v>
      </c>
      <c r="AR19">
        <v>14084</v>
      </c>
      <c r="AS19">
        <v>24862</v>
      </c>
      <c r="AT19">
        <v>17846</v>
      </c>
      <c r="AU19">
        <v>21933</v>
      </c>
      <c r="AV19">
        <v>5108</v>
      </c>
      <c r="AW19">
        <v>3400</v>
      </c>
      <c r="AX19">
        <v>5291</v>
      </c>
      <c r="AY19">
        <v>3803</v>
      </c>
      <c r="AZ19">
        <v>2591</v>
      </c>
      <c r="BA19">
        <v>9235</v>
      </c>
    </row>
    <row r="20" spans="1:5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5003</v>
      </c>
      <c r="S20">
        <v>6836</v>
      </c>
      <c r="T20">
        <v>24125</v>
      </c>
      <c r="U20" t="s">
        <v>73</v>
      </c>
      <c r="V20" t="s">
        <v>73</v>
      </c>
      <c r="W20" t="s">
        <v>73</v>
      </c>
      <c r="X20">
        <v>5087710</v>
      </c>
      <c r="Y20">
        <v>0</v>
      </c>
      <c r="Z20">
        <v>845</v>
      </c>
      <c r="AA20">
        <v>1516675</v>
      </c>
      <c r="AB20">
        <v>288</v>
      </c>
      <c r="AC20">
        <v>69776</v>
      </c>
      <c r="AD20">
        <v>9316</v>
      </c>
      <c r="AE20">
        <v>640</v>
      </c>
      <c r="AF20">
        <v>553</v>
      </c>
      <c r="AG20">
        <v>9027</v>
      </c>
      <c r="AH20">
        <v>0</v>
      </c>
      <c r="AI20">
        <v>188</v>
      </c>
      <c r="AJ20">
        <v>5079801</v>
      </c>
      <c r="AK20">
        <v>280400</v>
      </c>
      <c r="AL20">
        <v>2247755</v>
      </c>
      <c r="AM20">
        <v>1433142</v>
      </c>
      <c r="AN20">
        <v>55688</v>
      </c>
      <c r="AO20">
        <v>1631104</v>
      </c>
      <c r="AP20">
        <v>9508</v>
      </c>
      <c r="AQ20">
        <v>7065</v>
      </c>
      <c r="AR20">
        <v>14329</v>
      </c>
      <c r="AS20">
        <v>31063</v>
      </c>
      <c r="AT20">
        <v>20762</v>
      </c>
      <c r="AU20">
        <v>21292</v>
      </c>
      <c r="AV20">
        <v>5684</v>
      </c>
      <c r="AW20">
        <v>3884</v>
      </c>
      <c r="AX20">
        <v>5104</v>
      </c>
      <c r="AY20">
        <v>4340</v>
      </c>
      <c r="AZ20">
        <v>2921</v>
      </c>
      <c r="BA20">
        <v>9113</v>
      </c>
    </row>
    <row r="21" spans="1:5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3641</v>
      </c>
      <c r="S21">
        <v>7231</v>
      </c>
      <c r="T21">
        <v>19071</v>
      </c>
      <c r="U21" t="s">
        <v>73</v>
      </c>
      <c r="V21" t="s">
        <v>73</v>
      </c>
      <c r="W21" t="s">
        <v>73</v>
      </c>
      <c r="X21">
        <v>5317771</v>
      </c>
      <c r="Y21">
        <v>0</v>
      </c>
      <c r="Z21">
        <v>544</v>
      </c>
      <c r="AA21">
        <v>1588177</v>
      </c>
      <c r="AB21">
        <v>340</v>
      </c>
      <c r="AC21">
        <v>71204</v>
      </c>
      <c r="AD21">
        <v>10376</v>
      </c>
      <c r="AE21">
        <v>979</v>
      </c>
      <c r="AF21">
        <v>577</v>
      </c>
      <c r="AG21">
        <v>8946</v>
      </c>
      <c r="AH21">
        <v>37</v>
      </c>
      <c r="AI21">
        <v>180</v>
      </c>
      <c r="AJ21">
        <v>5316331</v>
      </c>
      <c r="AK21">
        <v>217608</v>
      </c>
      <c r="AL21">
        <v>2320979</v>
      </c>
      <c r="AM21">
        <v>1475583</v>
      </c>
      <c r="AN21">
        <v>44740</v>
      </c>
      <c r="AO21">
        <v>1718301</v>
      </c>
      <c r="AP21">
        <v>10937</v>
      </c>
      <c r="AQ21">
        <v>7803</v>
      </c>
      <c r="AR21">
        <v>14482</v>
      </c>
      <c r="AS21">
        <v>33264</v>
      </c>
      <c r="AT21">
        <v>20555</v>
      </c>
      <c r="AU21">
        <v>21210</v>
      </c>
      <c r="AV21">
        <v>6189</v>
      </c>
      <c r="AW21">
        <v>4039</v>
      </c>
      <c r="AX21">
        <v>5199</v>
      </c>
      <c r="AY21">
        <v>4338</v>
      </c>
      <c r="AZ21">
        <v>3181</v>
      </c>
      <c r="BA21">
        <v>9101</v>
      </c>
    </row>
    <row r="22" spans="1:5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5554</v>
      </c>
      <c r="S22">
        <v>4098</v>
      </c>
      <c r="T22">
        <v>19108</v>
      </c>
      <c r="U22" t="s">
        <v>73</v>
      </c>
      <c r="V22" t="s">
        <v>73</v>
      </c>
      <c r="W22" t="s">
        <v>73</v>
      </c>
      <c r="X22">
        <v>5302769</v>
      </c>
      <c r="Y22">
        <v>0</v>
      </c>
      <c r="Z22">
        <v>753</v>
      </c>
      <c r="AA22">
        <v>1566019</v>
      </c>
      <c r="AB22">
        <v>380</v>
      </c>
      <c r="AC22">
        <v>72901</v>
      </c>
      <c r="AD22">
        <v>9497</v>
      </c>
      <c r="AE22">
        <v>842</v>
      </c>
      <c r="AF22">
        <v>610</v>
      </c>
      <c r="AG22">
        <v>8855</v>
      </c>
      <c r="AH22">
        <v>0</v>
      </c>
      <c r="AI22">
        <v>179</v>
      </c>
      <c r="AJ22">
        <v>5298600</v>
      </c>
      <c r="AK22">
        <v>189357</v>
      </c>
      <c r="AL22">
        <v>2419945</v>
      </c>
      <c r="AM22">
        <v>1469010</v>
      </c>
      <c r="AN22">
        <v>44086</v>
      </c>
      <c r="AO22">
        <v>1691092</v>
      </c>
      <c r="AP22">
        <v>10565</v>
      </c>
      <c r="AQ22">
        <v>6902</v>
      </c>
      <c r="AR22">
        <v>15469</v>
      </c>
      <c r="AS22">
        <v>31983</v>
      </c>
      <c r="AT22">
        <v>20070</v>
      </c>
      <c r="AU22">
        <v>21579</v>
      </c>
      <c r="AV22">
        <v>5721</v>
      </c>
      <c r="AW22">
        <v>3775</v>
      </c>
      <c r="AX22">
        <v>5273</v>
      </c>
      <c r="AY22">
        <v>4314</v>
      </c>
      <c r="AZ22">
        <v>3083</v>
      </c>
      <c r="BA22">
        <v>9061</v>
      </c>
    </row>
    <row r="23" spans="1:5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2896</v>
      </c>
      <c r="S23">
        <v>1877</v>
      </c>
      <c r="T23">
        <v>19606</v>
      </c>
      <c r="U23" t="s">
        <v>73</v>
      </c>
      <c r="V23" t="s">
        <v>73</v>
      </c>
      <c r="W23" t="s">
        <v>73</v>
      </c>
      <c r="X23">
        <v>5382387</v>
      </c>
      <c r="Y23">
        <v>0</v>
      </c>
      <c r="Z23">
        <v>625</v>
      </c>
      <c r="AA23">
        <v>1507869</v>
      </c>
      <c r="AB23">
        <v>345</v>
      </c>
      <c r="AC23">
        <v>71889</v>
      </c>
      <c r="AD23">
        <v>9312</v>
      </c>
      <c r="AE23">
        <v>703</v>
      </c>
      <c r="AF23">
        <v>618</v>
      </c>
      <c r="AG23">
        <v>7532</v>
      </c>
      <c r="AH23">
        <v>31</v>
      </c>
      <c r="AI23">
        <v>219</v>
      </c>
      <c r="AJ23">
        <v>5368702</v>
      </c>
      <c r="AK23">
        <v>263631</v>
      </c>
      <c r="AL23">
        <v>2409664</v>
      </c>
      <c r="AM23">
        <v>1429967</v>
      </c>
      <c r="AN23">
        <v>37464</v>
      </c>
      <c r="AO23">
        <v>1649467</v>
      </c>
      <c r="AP23">
        <v>10237</v>
      </c>
      <c r="AQ23">
        <v>7083</v>
      </c>
      <c r="AR23">
        <v>15935</v>
      </c>
      <c r="AS23">
        <v>30289</v>
      </c>
      <c r="AT23">
        <v>19270</v>
      </c>
      <c r="AU23">
        <v>22177</v>
      </c>
      <c r="AV23">
        <v>5558</v>
      </c>
      <c r="AW23">
        <v>3712</v>
      </c>
      <c r="AX23">
        <v>5233</v>
      </c>
      <c r="AY23">
        <v>3863</v>
      </c>
      <c r="AZ23">
        <v>2718</v>
      </c>
      <c r="BA23">
        <v>8951</v>
      </c>
    </row>
    <row r="24" spans="1:5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5019</v>
      </c>
      <c r="S24">
        <v>8689</v>
      </c>
      <c r="T24">
        <v>14811</v>
      </c>
      <c r="U24" t="s">
        <v>73</v>
      </c>
      <c r="V24" t="s">
        <v>73</v>
      </c>
      <c r="W24" t="s">
        <v>73</v>
      </c>
      <c r="X24">
        <v>5242985</v>
      </c>
      <c r="Y24">
        <v>0</v>
      </c>
      <c r="Z24">
        <v>1091</v>
      </c>
      <c r="AA24">
        <v>1527056</v>
      </c>
      <c r="AB24">
        <v>558</v>
      </c>
      <c r="AC24">
        <v>79135</v>
      </c>
      <c r="AD24">
        <v>8277</v>
      </c>
      <c r="AE24">
        <v>810</v>
      </c>
      <c r="AF24">
        <v>683</v>
      </c>
      <c r="AG24">
        <v>8199</v>
      </c>
      <c r="AH24">
        <v>0</v>
      </c>
      <c r="AI24">
        <v>212</v>
      </c>
      <c r="AJ24">
        <v>5221236</v>
      </c>
      <c r="AK24">
        <v>213390</v>
      </c>
      <c r="AL24">
        <v>2367840</v>
      </c>
      <c r="AM24">
        <v>1400036</v>
      </c>
      <c r="AN24">
        <v>42407</v>
      </c>
      <c r="AO24">
        <v>1668869</v>
      </c>
      <c r="AP24">
        <v>4979</v>
      </c>
      <c r="AQ24">
        <v>7165</v>
      </c>
      <c r="AR24">
        <v>12334</v>
      </c>
      <c r="AS24">
        <v>26280</v>
      </c>
      <c r="AT24">
        <v>18313</v>
      </c>
      <c r="AU24">
        <v>22044</v>
      </c>
      <c r="AV24">
        <v>5031</v>
      </c>
      <c r="AW24">
        <v>3347</v>
      </c>
      <c r="AX24">
        <v>5551</v>
      </c>
      <c r="AY24">
        <v>4024</v>
      </c>
      <c r="AZ24">
        <v>2717</v>
      </c>
      <c r="BA24">
        <v>9247</v>
      </c>
    </row>
    <row r="25" spans="1:5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4168</v>
      </c>
      <c r="S25">
        <v>2546</v>
      </c>
      <c r="T25">
        <v>15364</v>
      </c>
      <c r="U25" t="s">
        <v>73</v>
      </c>
      <c r="V25" t="s">
        <v>73</v>
      </c>
      <c r="W25" t="s">
        <v>73</v>
      </c>
      <c r="X25">
        <v>4996550</v>
      </c>
      <c r="Y25">
        <v>0</v>
      </c>
      <c r="Z25">
        <v>850</v>
      </c>
      <c r="AA25">
        <v>1385798</v>
      </c>
      <c r="AB25">
        <v>376</v>
      </c>
      <c r="AC25">
        <v>77346</v>
      </c>
      <c r="AD25">
        <v>8469</v>
      </c>
      <c r="AE25">
        <v>595</v>
      </c>
      <c r="AF25">
        <v>701</v>
      </c>
      <c r="AG25">
        <v>8511</v>
      </c>
      <c r="AH25">
        <v>0</v>
      </c>
      <c r="AI25">
        <v>216</v>
      </c>
      <c r="AJ25">
        <v>4994481</v>
      </c>
      <c r="AK25">
        <v>232289</v>
      </c>
      <c r="AL25">
        <v>2428459</v>
      </c>
      <c r="AM25">
        <v>1305827</v>
      </c>
      <c r="AN25">
        <v>39724</v>
      </c>
      <c r="AO25">
        <v>1604411</v>
      </c>
      <c r="AP25">
        <v>8097</v>
      </c>
      <c r="AQ25">
        <v>6414</v>
      </c>
      <c r="AR25">
        <v>11285</v>
      </c>
      <c r="AS25">
        <v>28800</v>
      </c>
      <c r="AT25">
        <v>17983</v>
      </c>
      <c r="AU25">
        <v>21712</v>
      </c>
      <c r="AV25">
        <v>5005</v>
      </c>
      <c r="AW25">
        <v>3461</v>
      </c>
      <c r="AX25">
        <v>5463</v>
      </c>
      <c r="AY25">
        <v>4027</v>
      </c>
      <c r="AZ25">
        <v>3052</v>
      </c>
      <c r="BA25">
        <v>9273</v>
      </c>
    </row>
    <row r="26" spans="1:5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5915</v>
      </c>
      <c r="S26">
        <v>404</v>
      </c>
      <c r="T26">
        <v>19279</v>
      </c>
      <c r="U26" t="s">
        <v>73</v>
      </c>
      <c r="V26" t="s">
        <v>73</v>
      </c>
      <c r="W26" t="s">
        <v>73</v>
      </c>
      <c r="X26">
        <v>5622876</v>
      </c>
      <c r="Y26">
        <v>0</v>
      </c>
      <c r="Z26">
        <v>458</v>
      </c>
      <c r="AA26">
        <v>1569636</v>
      </c>
      <c r="AB26">
        <v>572</v>
      </c>
      <c r="AC26">
        <v>72569</v>
      </c>
      <c r="AD26">
        <v>9281</v>
      </c>
      <c r="AE26">
        <v>496</v>
      </c>
      <c r="AF26">
        <v>684</v>
      </c>
      <c r="AG26">
        <v>8822</v>
      </c>
      <c r="AH26">
        <v>0</v>
      </c>
      <c r="AI26">
        <v>204</v>
      </c>
      <c r="AJ26">
        <v>5618833</v>
      </c>
      <c r="AK26">
        <v>371318</v>
      </c>
      <c r="AL26">
        <v>2333186</v>
      </c>
      <c r="AM26">
        <v>1472459</v>
      </c>
      <c r="AN26">
        <v>37189</v>
      </c>
      <c r="AO26">
        <v>1572170</v>
      </c>
      <c r="AP26">
        <v>10343</v>
      </c>
      <c r="AQ26">
        <v>7244</v>
      </c>
      <c r="AR26">
        <v>11394</v>
      </c>
      <c r="AS26">
        <v>31965</v>
      </c>
      <c r="AT26">
        <v>20500</v>
      </c>
      <c r="AU26">
        <v>21203</v>
      </c>
      <c r="AV26">
        <v>5797</v>
      </c>
      <c r="AW26">
        <v>3839</v>
      </c>
      <c r="AX26">
        <v>5237</v>
      </c>
      <c r="AY26">
        <v>4268</v>
      </c>
      <c r="AZ26">
        <v>3292</v>
      </c>
      <c r="BA26">
        <v>8959</v>
      </c>
    </row>
    <row r="27" spans="1:5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5319</v>
      </c>
      <c r="S27">
        <v>4155</v>
      </c>
      <c r="T27">
        <v>18942</v>
      </c>
      <c r="U27" t="s">
        <v>73</v>
      </c>
      <c r="V27" t="s">
        <v>73</v>
      </c>
      <c r="W27" t="s">
        <v>73</v>
      </c>
      <c r="X27">
        <v>5085030</v>
      </c>
      <c r="Y27">
        <v>0</v>
      </c>
      <c r="Z27">
        <v>1324</v>
      </c>
      <c r="AA27">
        <v>1499598</v>
      </c>
      <c r="AB27">
        <v>473</v>
      </c>
      <c r="AC27">
        <v>75163</v>
      </c>
      <c r="AD27">
        <v>9776</v>
      </c>
      <c r="AE27">
        <v>826</v>
      </c>
      <c r="AF27">
        <v>622</v>
      </c>
      <c r="AG27">
        <v>8809</v>
      </c>
      <c r="AH27">
        <v>0</v>
      </c>
      <c r="AI27">
        <v>219</v>
      </c>
      <c r="AJ27">
        <v>5082620</v>
      </c>
      <c r="AK27">
        <v>194532</v>
      </c>
      <c r="AL27">
        <v>2320517</v>
      </c>
      <c r="AM27">
        <v>1366435</v>
      </c>
      <c r="AN27">
        <v>39540</v>
      </c>
      <c r="AO27">
        <v>1611956</v>
      </c>
      <c r="AP27">
        <v>10281</v>
      </c>
      <c r="AQ27">
        <v>7065</v>
      </c>
      <c r="AR27">
        <v>10771</v>
      </c>
      <c r="AS27">
        <v>31527</v>
      </c>
      <c r="AT27">
        <v>18785</v>
      </c>
      <c r="AU27">
        <v>21786</v>
      </c>
      <c r="AV27">
        <v>5965</v>
      </c>
      <c r="AW27">
        <v>3796</v>
      </c>
      <c r="AX27">
        <v>5378</v>
      </c>
      <c r="AY27">
        <v>4348</v>
      </c>
      <c r="AZ27">
        <v>2992</v>
      </c>
      <c r="BA27">
        <v>9297</v>
      </c>
    </row>
    <row r="28" spans="1:5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6968</v>
      </c>
      <c r="S28">
        <v>2680</v>
      </c>
      <c r="T28">
        <v>22257</v>
      </c>
      <c r="U28" t="s">
        <v>73</v>
      </c>
      <c r="V28" t="s">
        <v>73</v>
      </c>
      <c r="W28" t="s">
        <v>73</v>
      </c>
      <c r="X28">
        <v>5294022</v>
      </c>
      <c r="Y28">
        <v>0</v>
      </c>
      <c r="Z28">
        <v>866</v>
      </c>
      <c r="AA28">
        <v>1522540</v>
      </c>
      <c r="AB28">
        <v>557</v>
      </c>
      <c r="AC28">
        <v>75417</v>
      </c>
      <c r="AD28">
        <v>9771</v>
      </c>
      <c r="AE28">
        <v>876</v>
      </c>
      <c r="AF28">
        <v>648</v>
      </c>
      <c r="AG28">
        <v>8300</v>
      </c>
      <c r="AH28">
        <v>0</v>
      </c>
      <c r="AI28">
        <v>192</v>
      </c>
      <c r="AJ28">
        <v>5287193</v>
      </c>
      <c r="AK28">
        <v>273034</v>
      </c>
      <c r="AL28">
        <v>2301972</v>
      </c>
      <c r="AM28">
        <v>1427455</v>
      </c>
      <c r="AN28">
        <v>37214</v>
      </c>
      <c r="AO28">
        <v>1606823</v>
      </c>
      <c r="AP28">
        <v>10626</v>
      </c>
      <c r="AQ28">
        <v>6934</v>
      </c>
      <c r="AR28">
        <v>12002</v>
      </c>
      <c r="AS28">
        <v>27250</v>
      </c>
      <c r="AT28">
        <v>18434</v>
      </c>
      <c r="AU28">
        <v>20935</v>
      </c>
      <c r="AV28">
        <v>5859</v>
      </c>
      <c r="AW28">
        <v>3397</v>
      </c>
      <c r="AX28">
        <v>5468</v>
      </c>
      <c r="AY28">
        <v>4133</v>
      </c>
      <c r="AZ28">
        <v>3246</v>
      </c>
      <c r="BA28">
        <v>9141</v>
      </c>
    </row>
    <row r="29" spans="1:5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4202</v>
      </c>
      <c r="S29">
        <v>2542</v>
      </c>
      <c r="T29">
        <v>22776</v>
      </c>
      <c r="U29" t="s">
        <v>73</v>
      </c>
      <c r="V29" t="s">
        <v>73</v>
      </c>
      <c r="W29" t="s">
        <v>73</v>
      </c>
      <c r="X29">
        <v>5151136</v>
      </c>
      <c r="Y29">
        <v>0</v>
      </c>
      <c r="Z29">
        <v>1262</v>
      </c>
      <c r="AA29">
        <v>1539868</v>
      </c>
      <c r="AB29">
        <v>622</v>
      </c>
      <c r="AC29">
        <v>78216</v>
      </c>
      <c r="AD29">
        <v>10349</v>
      </c>
      <c r="AE29">
        <v>795</v>
      </c>
      <c r="AF29">
        <v>636</v>
      </c>
      <c r="AG29">
        <v>8468</v>
      </c>
      <c r="AH29">
        <v>30</v>
      </c>
      <c r="AI29">
        <v>186</v>
      </c>
      <c r="AJ29">
        <v>5136078</v>
      </c>
      <c r="AK29">
        <v>263195</v>
      </c>
      <c r="AL29">
        <v>2306348</v>
      </c>
      <c r="AM29">
        <v>1449845</v>
      </c>
      <c r="AN29">
        <v>37600</v>
      </c>
      <c r="AO29">
        <v>1604431</v>
      </c>
      <c r="AP29">
        <v>10046</v>
      </c>
      <c r="AQ29">
        <v>7047</v>
      </c>
      <c r="AR29">
        <v>11722</v>
      </c>
      <c r="AS29">
        <v>31946</v>
      </c>
      <c r="AT29">
        <v>19344</v>
      </c>
      <c r="AU29">
        <v>21101</v>
      </c>
      <c r="AV29">
        <v>6115</v>
      </c>
      <c r="AW29">
        <v>3497</v>
      </c>
      <c r="AX29">
        <v>5525</v>
      </c>
      <c r="AY29">
        <v>4276</v>
      </c>
      <c r="AZ29">
        <v>2945</v>
      </c>
      <c r="BA29">
        <v>9196</v>
      </c>
    </row>
    <row r="30" spans="1:5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6218</v>
      </c>
      <c r="S30">
        <v>6684</v>
      </c>
      <c r="T30">
        <v>21690</v>
      </c>
      <c r="U30" t="s">
        <v>73</v>
      </c>
      <c r="V30" t="s">
        <v>73</v>
      </c>
      <c r="W30" t="s">
        <v>73</v>
      </c>
      <c r="X30">
        <v>5303223</v>
      </c>
      <c r="Y30">
        <v>0</v>
      </c>
      <c r="Z30">
        <v>1250</v>
      </c>
      <c r="AA30">
        <v>1598695</v>
      </c>
      <c r="AB30">
        <v>204</v>
      </c>
      <c r="AC30">
        <v>70027</v>
      </c>
      <c r="AD30">
        <v>8372</v>
      </c>
      <c r="AE30">
        <v>696</v>
      </c>
      <c r="AF30">
        <v>662</v>
      </c>
      <c r="AG30">
        <v>8200</v>
      </c>
      <c r="AH30">
        <v>0</v>
      </c>
      <c r="AI30">
        <v>206</v>
      </c>
      <c r="AJ30">
        <v>5295808</v>
      </c>
      <c r="AK30">
        <v>226586</v>
      </c>
      <c r="AL30">
        <v>2205871</v>
      </c>
      <c r="AM30">
        <v>1504677</v>
      </c>
      <c r="AN30">
        <v>42999</v>
      </c>
      <c r="AO30">
        <v>1554751</v>
      </c>
      <c r="AP30">
        <v>9777</v>
      </c>
      <c r="AQ30">
        <v>6790</v>
      </c>
      <c r="AR30">
        <v>11916</v>
      </c>
      <c r="AS30">
        <v>34927</v>
      </c>
      <c r="AT30">
        <v>20359</v>
      </c>
      <c r="AU30">
        <v>21407</v>
      </c>
      <c r="AV30">
        <v>4968</v>
      </c>
      <c r="AW30">
        <v>3666</v>
      </c>
      <c r="AX30">
        <v>5560</v>
      </c>
      <c r="AY30">
        <v>4072</v>
      </c>
      <c r="AZ30">
        <v>3187</v>
      </c>
      <c r="BA30">
        <v>8870</v>
      </c>
    </row>
    <row r="31" spans="1:5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3572</v>
      </c>
      <c r="S31">
        <v>5168</v>
      </c>
      <c r="T31">
        <v>19062</v>
      </c>
      <c r="U31" t="s">
        <v>73</v>
      </c>
      <c r="V31" t="s">
        <v>73</v>
      </c>
      <c r="W31" t="s">
        <v>73</v>
      </c>
      <c r="X31">
        <v>5119633</v>
      </c>
      <c r="Y31">
        <v>0</v>
      </c>
      <c r="Z31">
        <v>1209</v>
      </c>
      <c r="AA31">
        <v>1502427</v>
      </c>
      <c r="AB31">
        <v>468</v>
      </c>
      <c r="AC31">
        <v>72747</v>
      </c>
      <c r="AD31">
        <v>7088</v>
      </c>
      <c r="AE31">
        <v>572</v>
      </c>
      <c r="AF31">
        <v>630</v>
      </c>
      <c r="AG31">
        <v>5701</v>
      </c>
      <c r="AH31">
        <v>30</v>
      </c>
      <c r="AI31">
        <v>201</v>
      </c>
      <c r="AJ31">
        <v>5109336</v>
      </c>
      <c r="AK31">
        <v>230337</v>
      </c>
      <c r="AL31">
        <v>2140171</v>
      </c>
      <c r="AM31">
        <v>1407004</v>
      </c>
      <c r="AN31">
        <v>35039</v>
      </c>
      <c r="AO31">
        <v>1579741</v>
      </c>
      <c r="AP31">
        <v>10171</v>
      </c>
      <c r="AQ31">
        <v>6807</v>
      </c>
      <c r="AR31">
        <v>12982</v>
      </c>
      <c r="AS31">
        <v>23087</v>
      </c>
      <c r="AT31">
        <v>16244</v>
      </c>
      <c r="AU31">
        <v>22006</v>
      </c>
      <c r="AV31">
        <v>4263</v>
      </c>
      <c r="AW31">
        <v>2818</v>
      </c>
      <c r="AX31">
        <v>5609</v>
      </c>
      <c r="AY31">
        <v>3028</v>
      </c>
      <c r="AZ31">
        <v>2449</v>
      </c>
      <c r="BA31">
        <v>8404</v>
      </c>
    </row>
    <row r="32" spans="1:5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6370</v>
      </c>
      <c r="S32">
        <v>1730</v>
      </c>
      <c r="T32">
        <v>22905</v>
      </c>
      <c r="U32" t="s">
        <v>73</v>
      </c>
      <c r="V32" t="s">
        <v>73</v>
      </c>
      <c r="W32" t="s">
        <v>73</v>
      </c>
      <c r="X32">
        <v>4893992</v>
      </c>
      <c r="Y32">
        <v>0</v>
      </c>
      <c r="Z32">
        <v>965</v>
      </c>
      <c r="AA32">
        <v>1464577</v>
      </c>
      <c r="AB32">
        <v>195</v>
      </c>
      <c r="AC32">
        <v>71062</v>
      </c>
      <c r="AD32">
        <v>9608</v>
      </c>
      <c r="AE32">
        <v>802</v>
      </c>
      <c r="AF32">
        <v>653</v>
      </c>
      <c r="AG32">
        <v>8344</v>
      </c>
      <c r="AH32">
        <v>0</v>
      </c>
      <c r="AI32">
        <v>197</v>
      </c>
      <c r="AJ32">
        <v>4887000</v>
      </c>
      <c r="AK32">
        <v>215903</v>
      </c>
      <c r="AL32">
        <v>2075333</v>
      </c>
      <c r="AM32">
        <v>1374576</v>
      </c>
      <c r="AN32">
        <v>37123</v>
      </c>
      <c r="AO32">
        <v>1476163</v>
      </c>
      <c r="AP32">
        <v>9605</v>
      </c>
      <c r="AQ32">
        <v>7304</v>
      </c>
      <c r="AR32">
        <v>12527</v>
      </c>
      <c r="AS32">
        <v>29967</v>
      </c>
      <c r="AT32">
        <v>19751</v>
      </c>
      <c r="AU32">
        <v>21771</v>
      </c>
      <c r="AV32">
        <v>5890</v>
      </c>
      <c r="AW32">
        <v>3786</v>
      </c>
      <c r="AX32">
        <v>5558</v>
      </c>
      <c r="AY32">
        <v>4031</v>
      </c>
      <c r="AZ32">
        <v>2887</v>
      </c>
      <c r="BA32">
        <v>8404</v>
      </c>
    </row>
    <row r="33" spans="1:5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2761</v>
      </c>
      <c r="S33">
        <v>7044</v>
      </c>
      <c r="T33">
        <v>17450</v>
      </c>
      <c r="U33" t="s">
        <v>73</v>
      </c>
      <c r="V33" t="s">
        <v>73</v>
      </c>
      <c r="W33" t="s">
        <v>73</v>
      </c>
      <c r="X33">
        <v>5362780</v>
      </c>
      <c r="Y33">
        <v>0</v>
      </c>
      <c r="Z33">
        <v>357</v>
      </c>
      <c r="AA33">
        <v>1473110</v>
      </c>
      <c r="AB33">
        <v>288</v>
      </c>
      <c r="AC33">
        <v>71415</v>
      </c>
      <c r="AD33">
        <v>9794</v>
      </c>
      <c r="AE33">
        <v>720</v>
      </c>
      <c r="AF33">
        <v>719</v>
      </c>
      <c r="AG33">
        <v>8503</v>
      </c>
      <c r="AH33">
        <v>30</v>
      </c>
      <c r="AI33">
        <v>200</v>
      </c>
      <c r="AJ33">
        <v>5349275</v>
      </c>
      <c r="AK33">
        <v>211577</v>
      </c>
      <c r="AL33">
        <v>2157063</v>
      </c>
      <c r="AM33">
        <v>1373899</v>
      </c>
      <c r="AN33">
        <v>44086</v>
      </c>
      <c r="AO33">
        <v>1433182</v>
      </c>
      <c r="AP33">
        <v>10158</v>
      </c>
      <c r="AQ33">
        <v>7393</v>
      </c>
      <c r="AR33">
        <v>12528</v>
      </c>
      <c r="AS33">
        <v>33097</v>
      </c>
      <c r="AT33">
        <v>20529</v>
      </c>
      <c r="AU33">
        <v>21712</v>
      </c>
      <c r="AV33">
        <v>5815</v>
      </c>
      <c r="AW33">
        <v>3671</v>
      </c>
      <c r="AX33">
        <v>5592</v>
      </c>
      <c r="AY33">
        <v>4208</v>
      </c>
      <c r="AZ33">
        <v>2873</v>
      </c>
      <c r="BA33">
        <v>8629</v>
      </c>
    </row>
    <row r="34" spans="1:5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6966</v>
      </c>
      <c r="S34">
        <v>2542</v>
      </c>
      <c r="T34">
        <v>20972</v>
      </c>
      <c r="U34" t="s">
        <v>73</v>
      </c>
      <c r="V34" t="s">
        <v>73</v>
      </c>
      <c r="W34" t="s">
        <v>73</v>
      </c>
      <c r="X34">
        <v>5224282</v>
      </c>
      <c r="Y34">
        <v>0</v>
      </c>
      <c r="Z34">
        <v>369</v>
      </c>
      <c r="AA34">
        <v>1535470</v>
      </c>
      <c r="AB34">
        <v>270</v>
      </c>
      <c r="AC34">
        <v>72850</v>
      </c>
      <c r="AD34">
        <v>8679</v>
      </c>
      <c r="AE34">
        <v>638</v>
      </c>
      <c r="AF34">
        <v>718</v>
      </c>
      <c r="AG34">
        <v>8036</v>
      </c>
      <c r="AH34">
        <v>30</v>
      </c>
      <c r="AI34">
        <v>186</v>
      </c>
      <c r="AJ34">
        <v>5206405</v>
      </c>
      <c r="AK34">
        <v>290286</v>
      </c>
      <c r="AL34">
        <v>2024417</v>
      </c>
      <c r="AM34">
        <v>1421602</v>
      </c>
      <c r="AN34">
        <v>41121</v>
      </c>
      <c r="AO34">
        <v>1454539</v>
      </c>
      <c r="AP34">
        <v>11492</v>
      </c>
      <c r="AQ34">
        <v>6638</v>
      </c>
      <c r="AR34">
        <v>14441</v>
      </c>
      <c r="AS34">
        <v>30886</v>
      </c>
      <c r="AT34">
        <v>19089</v>
      </c>
      <c r="AU34">
        <v>22591</v>
      </c>
      <c r="AV34">
        <v>5084</v>
      </c>
      <c r="AW34">
        <v>3253</v>
      </c>
      <c r="AX34">
        <v>5578</v>
      </c>
      <c r="AY34">
        <v>3884</v>
      </c>
      <c r="AZ34">
        <v>2659</v>
      </c>
      <c r="BA34">
        <v>8769</v>
      </c>
    </row>
    <row r="35" spans="1:5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3661</v>
      </c>
      <c r="S35">
        <v>4743</v>
      </c>
      <c r="T35">
        <v>18553</v>
      </c>
      <c r="U35" t="s">
        <v>73</v>
      </c>
      <c r="V35" t="s">
        <v>73</v>
      </c>
      <c r="W35" t="s">
        <v>73</v>
      </c>
      <c r="X35">
        <v>5059346</v>
      </c>
      <c r="Y35">
        <v>0</v>
      </c>
      <c r="Z35">
        <v>348</v>
      </c>
      <c r="AA35">
        <v>1490037</v>
      </c>
      <c r="AB35">
        <v>255</v>
      </c>
      <c r="AC35">
        <v>69611</v>
      </c>
      <c r="AD35">
        <v>8991</v>
      </c>
      <c r="AE35">
        <v>669</v>
      </c>
      <c r="AF35">
        <v>729</v>
      </c>
      <c r="AG35">
        <v>7790</v>
      </c>
      <c r="AH35">
        <v>0</v>
      </c>
      <c r="AI35">
        <v>143</v>
      </c>
      <c r="AJ35">
        <v>5052163</v>
      </c>
      <c r="AK35">
        <v>229148</v>
      </c>
      <c r="AL35">
        <v>1959712</v>
      </c>
      <c r="AM35">
        <v>1396073</v>
      </c>
      <c r="AN35">
        <v>56825</v>
      </c>
      <c r="AO35">
        <v>1412657</v>
      </c>
      <c r="AP35">
        <v>10568</v>
      </c>
      <c r="AQ35">
        <v>6554</v>
      </c>
      <c r="AR35">
        <v>16388</v>
      </c>
      <c r="AS35">
        <v>29969</v>
      </c>
      <c r="AT35">
        <v>18768</v>
      </c>
      <c r="AU35">
        <v>23138</v>
      </c>
      <c r="AV35">
        <v>5441</v>
      </c>
      <c r="AW35">
        <v>3248</v>
      </c>
      <c r="AX35">
        <v>5741</v>
      </c>
      <c r="AY35">
        <v>3733</v>
      </c>
      <c r="AZ35">
        <v>2830</v>
      </c>
      <c r="BA35">
        <v>8464</v>
      </c>
    </row>
    <row r="36" spans="1:5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5006</v>
      </c>
      <c r="S36">
        <v>3579</v>
      </c>
      <c r="T36">
        <v>19091</v>
      </c>
      <c r="U36" t="s">
        <v>73</v>
      </c>
      <c r="V36" t="s">
        <v>73</v>
      </c>
      <c r="W36" t="s">
        <v>73</v>
      </c>
      <c r="X36">
        <v>5230573</v>
      </c>
      <c r="Y36">
        <v>0</v>
      </c>
      <c r="Z36">
        <v>641</v>
      </c>
      <c r="AA36">
        <v>1505348</v>
      </c>
      <c r="AB36">
        <v>156</v>
      </c>
      <c r="AC36">
        <v>71248</v>
      </c>
      <c r="AD36">
        <v>8584</v>
      </c>
      <c r="AE36">
        <v>729</v>
      </c>
      <c r="AF36">
        <v>743</v>
      </c>
      <c r="AG36">
        <v>7544</v>
      </c>
      <c r="AH36">
        <v>7</v>
      </c>
      <c r="AI36">
        <v>144</v>
      </c>
      <c r="AJ36">
        <v>5235134</v>
      </c>
      <c r="AK36">
        <v>192487</v>
      </c>
      <c r="AL36">
        <v>2043164</v>
      </c>
      <c r="AM36">
        <v>1386254</v>
      </c>
      <c r="AN36">
        <v>55370</v>
      </c>
      <c r="AO36">
        <v>1377349</v>
      </c>
      <c r="AP36">
        <v>8936</v>
      </c>
      <c r="AQ36">
        <v>6562</v>
      </c>
      <c r="AR36">
        <v>16734</v>
      </c>
      <c r="AS36">
        <v>28187</v>
      </c>
      <c r="AT36">
        <v>18440</v>
      </c>
      <c r="AU36">
        <v>23690</v>
      </c>
      <c r="AV36">
        <v>5188</v>
      </c>
      <c r="AW36">
        <v>3336</v>
      </c>
      <c r="AX36">
        <v>5667</v>
      </c>
      <c r="AY36">
        <v>3713</v>
      </c>
      <c r="AZ36">
        <v>2671</v>
      </c>
      <c r="BA36">
        <v>8465</v>
      </c>
    </row>
    <row r="37" spans="1:5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2228</v>
      </c>
      <c r="S37">
        <v>6145</v>
      </c>
      <c r="T37">
        <v>14856</v>
      </c>
      <c r="U37" t="s">
        <v>73</v>
      </c>
      <c r="V37" t="s">
        <v>73</v>
      </c>
      <c r="W37" t="s">
        <v>73</v>
      </c>
      <c r="X37">
        <v>4902317</v>
      </c>
      <c r="Y37">
        <v>0</v>
      </c>
      <c r="Z37">
        <v>162</v>
      </c>
      <c r="AA37">
        <v>1470272</v>
      </c>
      <c r="AB37">
        <v>270</v>
      </c>
      <c r="AC37">
        <v>74990</v>
      </c>
      <c r="AD37">
        <v>9107</v>
      </c>
      <c r="AE37">
        <v>581</v>
      </c>
      <c r="AF37">
        <v>701</v>
      </c>
      <c r="AG37">
        <v>7375</v>
      </c>
      <c r="AH37">
        <v>4</v>
      </c>
      <c r="AI37">
        <v>164</v>
      </c>
      <c r="AJ37">
        <v>4908144</v>
      </c>
      <c r="AK37">
        <v>162506</v>
      </c>
      <c r="AL37">
        <v>2160758</v>
      </c>
      <c r="AM37">
        <v>1360448</v>
      </c>
      <c r="AN37">
        <v>66625</v>
      </c>
      <c r="AO37">
        <v>1392635</v>
      </c>
      <c r="AP37">
        <v>10295</v>
      </c>
      <c r="AQ37">
        <v>7345</v>
      </c>
      <c r="AR37">
        <v>16917</v>
      </c>
      <c r="AS37">
        <v>30520</v>
      </c>
      <c r="AT37">
        <v>19403</v>
      </c>
      <c r="AU37">
        <v>23860</v>
      </c>
      <c r="AV37">
        <v>5245</v>
      </c>
      <c r="AW37">
        <v>3030</v>
      </c>
      <c r="AX37">
        <v>5801</v>
      </c>
      <c r="AY37">
        <v>3778</v>
      </c>
      <c r="AZ37">
        <v>2860</v>
      </c>
      <c r="BA37">
        <v>8569</v>
      </c>
    </row>
    <row r="38" spans="1:5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3992</v>
      </c>
      <c r="S38">
        <v>3799</v>
      </c>
      <c r="T38">
        <v>15045</v>
      </c>
      <c r="U38" t="s">
        <v>73</v>
      </c>
      <c r="V38" t="s">
        <v>73</v>
      </c>
      <c r="W38" t="s">
        <v>73</v>
      </c>
      <c r="X38">
        <v>5227316</v>
      </c>
      <c r="Y38">
        <v>0</v>
      </c>
      <c r="Z38">
        <v>68</v>
      </c>
      <c r="AA38">
        <v>1662768</v>
      </c>
      <c r="AB38">
        <v>301</v>
      </c>
      <c r="AC38">
        <v>67950</v>
      </c>
      <c r="AD38">
        <v>10362</v>
      </c>
      <c r="AE38">
        <v>732</v>
      </c>
      <c r="AF38">
        <v>579</v>
      </c>
      <c r="AG38">
        <v>7686</v>
      </c>
      <c r="AH38">
        <v>4</v>
      </c>
      <c r="AI38">
        <v>204</v>
      </c>
      <c r="AJ38">
        <v>5221638</v>
      </c>
      <c r="AK38">
        <v>238484</v>
      </c>
      <c r="AL38">
        <v>2009380</v>
      </c>
      <c r="AM38">
        <v>1573718</v>
      </c>
      <c r="AN38">
        <v>73398</v>
      </c>
      <c r="AO38">
        <v>1374370</v>
      </c>
      <c r="AP38">
        <v>10050</v>
      </c>
      <c r="AQ38">
        <v>8301</v>
      </c>
      <c r="AR38">
        <v>15525</v>
      </c>
      <c r="AS38">
        <v>35610</v>
      </c>
      <c r="AT38">
        <v>22716</v>
      </c>
      <c r="AU38">
        <v>23612</v>
      </c>
      <c r="AV38">
        <v>6197</v>
      </c>
      <c r="AW38">
        <v>3521</v>
      </c>
      <c r="AX38">
        <v>5951</v>
      </c>
      <c r="AY38">
        <v>3959</v>
      </c>
      <c r="AZ38">
        <v>3166</v>
      </c>
      <c r="BA38">
        <v>8435</v>
      </c>
    </row>
    <row r="39" spans="1:53" x14ac:dyDescent="0.4">
      <c r="A39" s="1"/>
      <c r="B39" s="1"/>
    </row>
    <row r="40" spans="1:53" x14ac:dyDescent="0.4">
      <c r="A40" s="1"/>
      <c r="B40" s="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0029F-CB0C-425D-9127-334067893220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110</v>
      </c>
      <c r="D3" t="s">
        <v>110</v>
      </c>
      <c r="E3" t="s">
        <v>110</v>
      </c>
      <c r="F3" t="s">
        <v>112</v>
      </c>
      <c r="G3" t="s">
        <v>112</v>
      </c>
      <c r="H3" t="s">
        <v>112</v>
      </c>
      <c r="I3" t="s">
        <v>114</v>
      </c>
      <c r="J3" t="s">
        <v>114</v>
      </c>
      <c r="K3" t="s">
        <v>114</v>
      </c>
      <c r="L3" t="s">
        <v>116</v>
      </c>
      <c r="M3" t="s">
        <v>116</v>
      </c>
      <c r="N3" t="s">
        <v>116</v>
      </c>
      <c r="O3" t="s">
        <v>118</v>
      </c>
      <c r="P3" t="s">
        <v>118</v>
      </c>
      <c r="Q3" t="s">
        <v>118</v>
      </c>
      <c r="R3" t="s">
        <v>120</v>
      </c>
      <c r="S3" t="s">
        <v>120</v>
      </c>
      <c r="T3" t="s">
        <v>120</v>
      </c>
      <c r="U3" t="s">
        <v>122</v>
      </c>
      <c r="V3" t="s">
        <v>122</v>
      </c>
      <c r="W3" t="s">
        <v>122</v>
      </c>
      <c r="X3" t="s">
        <v>124</v>
      </c>
      <c r="Y3" t="s">
        <v>124</v>
      </c>
      <c r="Z3" t="s">
        <v>124</v>
      </c>
      <c r="AA3" t="s">
        <v>126</v>
      </c>
      <c r="AB3" t="s">
        <v>126</v>
      </c>
      <c r="AC3" t="s">
        <v>126</v>
      </c>
      <c r="AD3" t="s">
        <v>128</v>
      </c>
      <c r="AE3" t="s">
        <v>128</v>
      </c>
      <c r="AF3" t="s">
        <v>128</v>
      </c>
      <c r="AG3" t="s">
        <v>130</v>
      </c>
      <c r="AH3" t="s">
        <v>130</v>
      </c>
      <c r="AI3" t="s">
        <v>130</v>
      </c>
      <c r="AJ3" t="s">
        <v>132</v>
      </c>
      <c r="AK3" t="s">
        <v>132</v>
      </c>
      <c r="AL3" t="s">
        <v>132</v>
      </c>
      <c r="AM3" t="s">
        <v>134</v>
      </c>
      <c r="AN3" t="s">
        <v>134</v>
      </c>
      <c r="AO3" t="s">
        <v>134</v>
      </c>
      <c r="AP3" t="s">
        <v>136</v>
      </c>
      <c r="AQ3" t="s">
        <v>136</v>
      </c>
      <c r="AR3" t="s">
        <v>136</v>
      </c>
      <c r="AS3" t="s">
        <v>138</v>
      </c>
      <c r="AT3" t="s">
        <v>138</v>
      </c>
      <c r="AU3" t="s">
        <v>138</v>
      </c>
      <c r="AV3" t="s">
        <v>140</v>
      </c>
      <c r="AW3" t="s">
        <v>140</v>
      </c>
      <c r="AX3" t="s">
        <v>140</v>
      </c>
      <c r="AY3" t="s">
        <v>142</v>
      </c>
      <c r="AZ3" t="s">
        <v>142</v>
      </c>
      <c r="BA3" t="s">
        <v>142</v>
      </c>
      <c r="BB3" t="s">
        <v>144</v>
      </c>
      <c r="BC3" t="s">
        <v>144</v>
      </c>
      <c r="BD3" t="s">
        <v>144</v>
      </c>
      <c r="BE3" t="s">
        <v>146</v>
      </c>
      <c r="BF3" t="s">
        <v>146</v>
      </c>
      <c r="BG3" t="s">
        <v>146</v>
      </c>
      <c r="BH3" t="s">
        <v>148</v>
      </c>
      <c r="BI3" t="s">
        <v>148</v>
      </c>
      <c r="BJ3" t="s">
        <v>148</v>
      </c>
    </row>
    <row r="4" spans="1:62" x14ac:dyDescent="0.4">
      <c r="A4" s="1"/>
      <c r="B4" s="2" t="s">
        <v>1</v>
      </c>
      <c r="C4" t="s">
        <v>111</v>
      </c>
      <c r="D4" t="s">
        <v>111</v>
      </c>
      <c r="E4" t="s">
        <v>111</v>
      </c>
      <c r="F4" t="s">
        <v>113</v>
      </c>
      <c r="G4" t="s">
        <v>113</v>
      </c>
      <c r="H4" t="s">
        <v>113</v>
      </c>
      <c r="I4" t="s">
        <v>115</v>
      </c>
      <c r="J4" t="s">
        <v>115</v>
      </c>
      <c r="K4" t="s">
        <v>115</v>
      </c>
      <c r="L4" t="s">
        <v>117</v>
      </c>
      <c r="M4" t="s">
        <v>117</v>
      </c>
      <c r="N4" t="s">
        <v>117</v>
      </c>
      <c r="O4" t="s">
        <v>119</v>
      </c>
      <c r="P4" t="s">
        <v>119</v>
      </c>
      <c r="Q4" t="s">
        <v>119</v>
      </c>
      <c r="R4" t="s">
        <v>121</v>
      </c>
      <c r="S4" t="s">
        <v>121</v>
      </c>
      <c r="T4" t="s">
        <v>121</v>
      </c>
      <c r="U4" t="s">
        <v>123</v>
      </c>
      <c r="V4" t="s">
        <v>123</v>
      </c>
      <c r="W4" t="s">
        <v>123</v>
      </c>
      <c r="X4" t="s">
        <v>125</v>
      </c>
      <c r="Y4" t="s">
        <v>125</v>
      </c>
      <c r="Z4" t="s">
        <v>125</v>
      </c>
      <c r="AA4" t="s">
        <v>127</v>
      </c>
      <c r="AB4" t="s">
        <v>127</v>
      </c>
      <c r="AC4" t="s">
        <v>127</v>
      </c>
      <c r="AD4" t="s">
        <v>129</v>
      </c>
      <c r="AE4" t="s">
        <v>129</v>
      </c>
      <c r="AF4" t="s">
        <v>129</v>
      </c>
      <c r="AG4" t="s">
        <v>131</v>
      </c>
      <c r="AH4" t="s">
        <v>131</v>
      </c>
      <c r="AI4" t="s">
        <v>131</v>
      </c>
      <c r="AJ4" t="s">
        <v>133</v>
      </c>
      <c r="AK4" t="s">
        <v>133</v>
      </c>
      <c r="AL4" t="s">
        <v>133</v>
      </c>
      <c r="AM4" t="s">
        <v>135</v>
      </c>
      <c r="AN4" t="s">
        <v>135</v>
      </c>
      <c r="AO4" t="s">
        <v>135</v>
      </c>
      <c r="AP4" t="s">
        <v>137</v>
      </c>
      <c r="AQ4" t="s">
        <v>137</v>
      </c>
      <c r="AR4" t="s">
        <v>137</v>
      </c>
      <c r="AS4" t="s">
        <v>139</v>
      </c>
      <c r="AT4" t="s">
        <v>139</v>
      </c>
      <c r="AU4" t="s">
        <v>139</v>
      </c>
      <c r="AV4" t="s">
        <v>141</v>
      </c>
      <c r="AW4" t="s">
        <v>141</v>
      </c>
      <c r="AX4" t="s">
        <v>141</v>
      </c>
      <c r="AY4" t="s">
        <v>143</v>
      </c>
      <c r="AZ4" t="s">
        <v>143</v>
      </c>
      <c r="BA4" t="s">
        <v>143</v>
      </c>
      <c r="BB4" t="s">
        <v>145</v>
      </c>
      <c r="BC4" t="s">
        <v>145</v>
      </c>
      <c r="BD4" t="s">
        <v>145</v>
      </c>
      <c r="BE4" t="s">
        <v>147</v>
      </c>
      <c r="BF4" t="s">
        <v>147</v>
      </c>
      <c r="BG4" t="s">
        <v>147</v>
      </c>
      <c r="BH4" t="s">
        <v>149</v>
      </c>
      <c r="BI4" t="s">
        <v>149</v>
      </c>
      <c r="BJ4" t="s">
        <v>149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</row>
    <row r="7" spans="1:6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</row>
    <row r="8" spans="1:6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</row>
    <row r="9" spans="1:62" x14ac:dyDescent="0.4">
      <c r="A9" s="1" t="s">
        <v>6</v>
      </c>
      <c r="B9" s="3" t="s">
        <v>7</v>
      </c>
      <c r="C9">
        <v>474941</v>
      </c>
      <c r="D9">
        <v>485754</v>
      </c>
      <c r="E9">
        <v>49280</v>
      </c>
      <c r="F9">
        <v>522860</v>
      </c>
      <c r="G9">
        <v>525392</v>
      </c>
      <c r="H9">
        <v>36680</v>
      </c>
      <c r="I9">
        <v>3574710</v>
      </c>
      <c r="J9">
        <v>3517346</v>
      </c>
      <c r="K9">
        <v>250971</v>
      </c>
      <c r="L9">
        <v>710589</v>
      </c>
      <c r="M9">
        <v>707184</v>
      </c>
      <c r="N9">
        <v>49111</v>
      </c>
      <c r="O9">
        <v>848471</v>
      </c>
      <c r="P9">
        <v>843610</v>
      </c>
      <c r="Q9">
        <v>87806</v>
      </c>
      <c r="R9">
        <v>261869</v>
      </c>
      <c r="S9">
        <v>261700</v>
      </c>
      <c r="T9">
        <v>33902</v>
      </c>
      <c r="U9">
        <v>376383</v>
      </c>
      <c r="V9">
        <v>367695</v>
      </c>
      <c r="W9">
        <v>49221</v>
      </c>
      <c r="X9">
        <v>7327638</v>
      </c>
      <c r="Y9">
        <v>7230339</v>
      </c>
      <c r="Z9">
        <v>577889</v>
      </c>
      <c r="AA9">
        <v>466236</v>
      </c>
      <c r="AB9">
        <v>452728</v>
      </c>
      <c r="AC9">
        <v>61510</v>
      </c>
      <c r="AD9">
        <v>294268</v>
      </c>
      <c r="AE9">
        <v>11913</v>
      </c>
      <c r="AF9">
        <v>6326</v>
      </c>
      <c r="AG9">
        <v>279426</v>
      </c>
      <c r="AH9">
        <v>277365</v>
      </c>
      <c r="AI9">
        <v>13265</v>
      </c>
      <c r="AJ9">
        <v>151792</v>
      </c>
      <c r="AK9">
        <v>181243</v>
      </c>
      <c r="AL9">
        <v>12456</v>
      </c>
      <c r="AM9">
        <v>548387</v>
      </c>
      <c r="AN9">
        <v>517642</v>
      </c>
      <c r="AO9">
        <v>26406</v>
      </c>
      <c r="AP9">
        <v>70212</v>
      </c>
      <c r="AQ9">
        <v>23153</v>
      </c>
      <c r="AR9">
        <v>8694</v>
      </c>
      <c r="AS9">
        <v>607718</v>
      </c>
      <c r="AT9">
        <v>599125</v>
      </c>
      <c r="AU9">
        <v>30525</v>
      </c>
      <c r="AV9">
        <v>8923089</v>
      </c>
      <c r="AW9">
        <v>8776226</v>
      </c>
      <c r="AX9">
        <v>504120</v>
      </c>
      <c r="AY9">
        <v>134224</v>
      </c>
      <c r="AZ9">
        <v>125046</v>
      </c>
      <c r="BA9">
        <v>14027</v>
      </c>
      <c r="BB9">
        <v>1610418</v>
      </c>
      <c r="BC9">
        <v>15410</v>
      </c>
      <c r="BD9">
        <v>41467</v>
      </c>
      <c r="BE9">
        <v>38144269</v>
      </c>
      <c r="BF9">
        <v>19919345</v>
      </c>
      <c r="BG9">
        <v>1212800</v>
      </c>
      <c r="BH9">
        <v>545169</v>
      </c>
      <c r="BI9">
        <v>199129</v>
      </c>
      <c r="BJ9">
        <v>9406</v>
      </c>
    </row>
    <row r="10" spans="1:62" x14ac:dyDescent="0.4">
      <c r="A10" s="1" t="s">
        <v>8</v>
      </c>
      <c r="B10" s="3" t="s">
        <v>9</v>
      </c>
      <c r="C10">
        <v>406694</v>
      </c>
      <c r="D10">
        <v>395198</v>
      </c>
      <c r="E10">
        <v>46658</v>
      </c>
      <c r="F10">
        <v>382946</v>
      </c>
      <c r="G10">
        <v>379980</v>
      </c>
      <c r="H10">
        <v>36065</v>
      </c>
      <c r="I10">
        <v>3644371</v>
      </c>
      <c r="J10">
        <v>3676083</v>
      </c>
      <c r="K10">
        <v>209193</v>
      </c>
      <c r="L10">
        <v>711983</v>
      </c>
      <c r="M10">
        <v>718906</v>
      </c>
      <c r="N10">
        <v>40471</v>
      </c>
      <c r="O10">
        <v>775281</v>
      </c>
      <c r="P10">
        <v>799759</v>
      </c>
      <c r="Q10">
        <v>62687</v>
      </c>
      <c r="R10">
        <v>260256</v>
      </c>
      <c r="S10">
        <v>261038</v>
      </c>
      <c r="T10">
        <v>34325</v>
      </c>
      <c r="U10">
        <v>364439</v>
      </c>
      <c r="V10">
        <v>362863</v>
      </c>
      <c r="W10">
        <v>47626</v>
      </c>
      <c r="X10">
        <v>7279741</v>
      </c>
      <c r="Y10">
        <v>7226157</v>
      </c>
      <c r="Z10">
        <v>584289</v>
      </c>
      <c r="AA10">
        <v>407959</v>
      </c>
      <c r="AB10">
        <v>414264</v>
      </c>
      <c r="AC10">
        <v>51144</v>
      </c>
      <c r="AD10">
        <v>276184</v>
      </c>
      <c r="AE10">
        <v>1282</v>
      </c>
      <c r="AF10">
        <v>4990</v>
      </c>
      <c r="AG10">
        <v>240317</v>
      </c>
      <c r="AH10">
        <v>239299</v>
      </c>
      <c r="AI10">
        <v>13457</v>
      </c>
      <c r="AJ10">
        <v>130463</v>
      </c>
      <c r="AK10">
        <v>155385</v>
      </c>
      <c r="AL10">
        <v>9698</v>
      </c>
      <c r="AM10">
        <v>429265</v>
      </c>
      <c r="AN10">
        <v>410041</v>
      </c>
      <c r="AO10">
        <v>19939</v>
      </c>
      <c r="AP10">
        <v>64345</v>
      </c>
      <c r="AQ10">
        <v>21784</v>
      </c>
      <c r="AR10">
        <v>7317</v>
      </c>
      <c r="AS10">
        <v>515761</v>
      </c>
      <c r="AT10">
        <v>524607</v>
      </c>
      <c r="AU10">
        <v>22641</v>
      </c>
      <c r="AV10">
        <v>9247961</v>
      </c>
      <c r="AW10">
        <v>9254398</v>
      </c>
      <c r="AX10">
        <v>459123</v>
      </c>
      <c r="AY10">
        <v>137600</v>
      </c>
      <c r="AZ10">
        <v>135572</v>
      </c>
      <c r="BA10">
        <v>11963</v>
      </c>
      <c r="BB10">
        <v>1568726</v>
      </c>
      <c r="BC10">
        <v>12875</v>
      </c>
      <c r="BD10">
        <v>36722</v>
      </c>
      <c r="BE10">
        <v>34395228</v>
      </c>
      <c r="BF10">
        <v>18882121</v>
      </c>
      <c r="BG10">
        <v>1102672</v>
      </c>
      <c r="BH10">
        <v>533980</v>
      </c>
      <c r="BI10">
        <v>186225</v>
      </c>
      <c r="BJ10">
        <v>9701</v>
      </c>
    </row>
    <row r="11" spans="1:62" x14ac:dyDescent="0.4">
      <c r="A11" s="1" t="s">
        <v>10</v>
      </c>
      <c r="B11" s="3" t="s">
        <v>11</v>
      </c>
      <c r="C11">
        <v>598507</v>
      </c>
      <c r="D11">
        <v>551812</v>
      </c>
      <c r="E11">
        <v>80247</v>
      </c>
      <c r="F11">
        <v>386417</v>
      </c>
      <c r="G11">
        <v>389256</v>
      </c>
      <c r="H11">
        <v>29518</v>
      </c>
      <c r="I11">
        <v>3415921</v>
      </c>
      <c r="J11">
        <v>3415536</v>
      </c>
      <c r="K11">
        <v>195764</v>
      </c>
      <c r="L11">
        <v>786864</v>
      </c>
      <c r="M11">
        <v>776533</v>
      </c>
      <c r="N11">
        <v>49245</v>
      </c>
      <c r="O11">
        <v>823471</v>
      </c>
      <c r="P11">
        <v>812732</v>
      </c>
      <c r="Q11">
        <v>73078</v>
      </c>
      <c r="R11">
        <v>242350</v>
      </c>
      <c r="S11">
        <v>245502</v>
      </c>
      <c r="T11">
        <v>30552</v>
      </c>
      <c r="U11">
        <v>349352</v>
      </c>
      <c r="V11">
        <v>346117</v>
      </c>
      <c r="W11">
        <v>49876</v>
      </c>
      <c r="X11">
        <v>6954116</v>
      </c>
      <c r="Y11">
        <v>6912849</v>
      </c>
      <c r="Z11">
        <v>586476</v>
      </c>
      <c r="AA11">
        <v>406844</v>
      </c>
      <c r="AB11">
        <v>401355</v>
      </c>
      <c r="AC11">
        <v>51217</v>
      </c>
      <c r="AD11">
        <v>254678</v>
      </c>
      <c r="AE11">
        <v>0</v>
      </c>
      <c r="AF11">
        <v>515</v>
      </c>
      <c r="AG11">
        <v>225746</v>
      </c>
      <c r="AH11">
        <v>225312</v>
      </c>
      <c r="AI11">
        <v>13081</v>
      </c>
      <c r="AJ11">
        <v>117600</v>
      </c>
      <c r="AK11">
        <v>138101</v>
      </c>
      <c r="AL11">
        <v>10083</v>
      </c>
      <c r="AM11">
        <v>413775</v>
      </c>
      <c r="AN11">
        <v>392011</v>
      </c>
      <c r="AO11">
        <v>17765</v>
      </c>
      <c r="AP11">
        <v>63979</v>
      </c>
      <c r="AQ11">
        <v>19147</v>
      </c>
      <c r="AR11">
        <v>6572</v>
      </c>
      <c r="AS11">
        <v>463229</v>
      </c>
      <c r="AT11">
        <v>460328</v>
      </c>
      <c r="AU11">
        <v>26154</v>
      </c>
      <c r="AV11">
        <v>8574354</v>
      </c>
      <c r="AW11">
        <v>8611449</v>
      </c>
      <c r="AX11">
        <v>377281</v>
      </c>
      <c r="AY11">
        <v>123394</v>
      </c>
      <c r="AZ11">
        <v>121286</v>
      </c>
      <c r="BA11">
        <v>6707</v>
      </c>
      <c r="BB11">
        <v>1452917</v>
      </c>
      <c r="BC11">
        <v>10493</v>
      </c>
      <c r="BD11">
        <v>26861</v>
      </c>
      <c r="BE11">
        <v>35052873</v>
      </c>
      <c r="BF11">
        <v>19514593</v>
      </c>
      <c r="BG11">
        <v>1009130</v>
      </c>
      <c r="BH11">
        <v>462383</v>
      </c>
      <c r="BI11">
        <v>178144</v>
      </c>
      <c r="BJ11">
        <v>10002</v>
      </c>
    </row>
    <row r="12" spans="1:62" x14ac:dyDescent="0.4">
      <c r="A12" s="1" t="s">
        <v>12</v>
      </c>
      <c r="B12" s="3" t="s">
        <v>13</v>
      </c>
      <c r="C12">
        <v>507256</v>
      </c>
      <c r="D12">
        <v>514511</v>
      </c>
      <c r="E12">
        <v>61435</v>
      </c>
      <c r="F12">
        <v>392974</v>
      </c>
      <c r="G12">
        <v>387102</v>
      </c>
      <c r="H12">
        <v>32277</v>
      </c>
      <c r="I12">
        <v>3080719</v>
      </c>
      <c r="J12">
        <v>3079430</v>
      </c>
      <c r="K12">
        <v>183935</v>
      </c>
      <c r="L12">
        <v>708716</v>
      </c>
      <c r="M12">
        <v>712525</v>
      </c>
      <c r="N12">
        <v>42246</v>
      </c>
      <c r="O12">
        <v>761729</v>
      </c>
      <c r="P12">
        <v>758386</v>
      </c>
      <c r="Q12">
        <v>75704</v>
      </c>
      <c r="R12">
        <v>236011</v>
      </c>
      <c r="S12">
        <v>232453</v>
      </c>
      <c r="T12">
        <v>35016</v>
      </c>
      <c r="U12">
        <v>305679</v>
      </c>
      <c r="V12">
        <v>307453</v>
      </c>
      <c r="W12">
        <v>42036</v>
      </c>
      <c r="X12">
        <v>6425920</v>
      </c>
      <c r="Y12">
        <v>6442071</v>
      </c>
      <c r="Z12">
        <v>539008</v>
      </c>
      <c r="AA12">
        <v>372255</v>
      </c>
      <c r="AB12">
        <v>367920</v>
      </c>
      <c r="AC12">
        <v>50896</v>
      </c>
      <c r="AD12">
        <v>182920</v>
      </c>
      <c r="AE12">
        <v>0</v>
      </c>
      <c r="AF12">
        <v>375</v>
      </c>
      <c r="AG12">
        <v>203790</v>
      </c>
      <c r="AH12">
        <v>201621</v>
      </c>
      <c r="AI12">
        <v>14444</v>
      </c>
      <c r="AJ12">
        <v>142653</v>
      </c>
      <c r="AK12">
        <v>158548</v>
      </c>
      <c r="AL12">
        <v>13530</v>
      </c>
      <c r="AM12">
        <v>408226</v>
      </c>
      <c r="AN12">
        <v>380899</v>
      </c>
      <c r="AO12">
        <v>23874</v>
      </c>
      <c r="AP12">
        <v>60081</v>
      </c>
      <c r="AQ12">
        <v>16801</v>
      </c>
      <c r="AR12">
        <v>6352</v>
      </c>
      <c r="AS12">
        <v>474280</v>
      </c>
      <c r="AT12">
        <v>472195</v>
      </c>
      <c r="AU12">
        <v>28954</v>
      </c>
      <c r="AV12">
        <v>8254681</v>
      </c>
      <c r="AW12">
        <v>8207532</v>
      </c>
      <c r="AX12">
        <v>380801</v>
      </c>
      <c r="AY12">
        <v>109840</v>
      </c>
      <c r="AZ12">
        <v>110934</v>
      </c>
      <c r="BA12">
        <v>5560</v>
      </c>
      <c r="BB12">
        <v>1515170</v>
      </c>
      <c r="BC12">
        <v>8345</v>
      </c>
      <c r="BD12">
        <v>31581</v>
      </c>
      <c r="BE12">
        <v>34290711</v>
      </c>
      <c r="BF12">
        <v>18987815</v>
      </c>
      <c r="BG12">
        <v>983664</v>
      </c>
      <c r="BH12">
        <v>391756</v>
      </c>
      <c r="BI12">
        <v>165468</v>
      </c>
      <c r="BJ12">
        <v>10474</v>
      </c>
    </row>
    <row r="13" spans="1:62" x14ac:dyDescent="0.4">
      <c r="A13" s="1" t="s">
        <v>14</v>
      </c>
      <c r="B13" s="3" t="s">
        <v>15</v>
      </c>
      <c r="C13">
        <v>456832</v>
      </c>
      <c r="D13">
        <v>452665</v>
      </c>
      <c r="E13">
        <v>54400</v>
      </c>
      <c r="F13">
        <v>409276</v>
      </c>
      <c r="G13">
        <v>399105</v>
      </c>
      <c r="H13">
        <v>33396</v>
      </c>
      <c r="I13">
        <v>2811248</v>
      </c>
      <c r="J13">
        <v>2781693</v>
      </c>
      <c r="K13">
        <v>203902</v>
      </c>
      <c r="L13">
        <v>672621</v>
      </c>
      <c r="M13">
        <v>675627</v>
      </c>
      <c r="N13">
        <v>37753</v>
      </c>
      <c r="O13">
        <v>724039</v>
      </c>
      <c r="P13">
        <v>719166</v>
      </c>
      <c r="Q13">
        <v>80090</v>
      </c>
      <c r="R13">
        <v>224347</v>
      </c>
      <c r="S13">
        <v>233603</v>
      </c>
      <c r="T13">
        <v>25678</v>
      </c>
      <c r="U13">
        <v>297957</v>
      </c>
      <c r="V13">
        <v>290230</v>
      </c>
      <c r="W13">
        <v>47129</v>
      </c>
      <c r="X13">
        <v>6067292</v>
      </c>
      <c r="Y13">
        <v>5936812</v>
      </c>
      <c r="Z13">
        <v>640944</v>
      </c>
      <c r="AA13">
        <v>359791</v>
      </c>
      <c r="AB13">
        <v>361268</v>
      </c>
      <c r="AC13">
        <v>48415</v>
      </c>
      <c r="AD13">
        <v>161988</v>
      </c>
      <c r="AE13">
        <v>0</v>
      </c>
      <c r="AF13">
        <v>98</v>
      </c>
      <c r="AG13">
        <v>193807</v>
      </c>
      <c r="AH13">
        <v>193743</v>
      </c>
      <c r="AI13">
        <v>13308</v>
      </c>
      <c r="AJ13">
        <v>153332</v>
      </c>
      <c r="AK13">
        <v>174862</v>
      </c>
      <c r="AL13">
        <v>10598</v>
      </c>
      <c r="AM13">
        <v>451041</v>
      </c>
      <c r="AN13">
        <v>430339</v>
      </c>
      <c r="AO13">
        <v>22810</v>
      </c>
      <c r="AP13">
        <v>56527</v>
      </c>
      <c r="AQ13">
        <v>14468</v>
      </c>
      <c r="AR13">
        <v>8000</v>
      </c>
      <c r="AS13">
        <v>489892</v>
      </c>
      <c r="AT13">
        <v>493428</v>
      </c>
      <c r="AU13">
        <v>25073</v>
      </c>
      <c r="AV13">
        <v>7869677</v>
      </c>
      <c r="AW13">
        <v>7774315</v>
      </c>
      <c r="AX13">
        <v>414759</v>
      </c>
      <c r="AY13">
        <v>108372</v>
      </c>
      <c r="AZ13">
        <v>107889</v>
      </c>
      <c r="BA13">
        <v>6081</v>
      </c>
      <c r="BB13">
        <v>1620980</v>
      </c>
      <c r="BC13">
        <v>8515</v>
      </c>
      <c r="BD13">
        <v>26317</v>
      </c>
      <c r="BE13">
        <v>33401088</v>
      </c>
      <c r="BF13">
        <v>18042372</v>
      </c>
      <c r="BG13">
        <v>983761</v>
      </c>
      <c r="BH13">
        <v>361346</v>
      </c>
      <c r="BI13">
        <v>147732</v>
      </c>
      <c r="BJ13">
        <v>11965</v>
      </c>
    </row>
    <row r="14" spans="1:62" x14ac:dyDescent="0.4">
      <c r="A14" s="1" t="s">
        <v>16</v>
      </c>
      <c r="B14" s="1" t="s">
        <v>17</v>
      </c>
      <c r="C14">
        <v>59532</v>
      </c>
      <c r="D14">
        <v>29850</v>
      </c>
      <c r="E14">
        <v>86422</v>
      </c>
      <c r="F14">
        <v>29238</v>
      </c>
      <c r="G14">
        <v>31178</v>
      </c>
      <c r="H14">
        <v>24246</v>
      </c>
      <c r="I14">
        <v>297362</v>
      </c>
      <c r="J14">
        <v>301768</v>
      </c>
      <c r="K14">
        <v>200471</v>
      </c>
      <c r="L14">
        <v>52229</v>
      </c>
      <c r="M14">
        <v>68199</v>
      </c>
      <c r="N14">
        <v>47379</v>
      </c>
      <c r="O14">
        <v>79574</v>
      </c>
      <c r="P14">
        <v>75041</v>
      </c>
      <c r="Q14">
        <v>86847</v>
      </c>
      <c r="R14">
        <v>17715</v>
      </c>
      <c r="S14">
        <v>22949</v>
      </c>
      <c r="T14">
        <v>32165</v>
      </c>
      <c r="U14">
        <v>32892</v>
      </c>
      <c r="V14">
        <v>28450</v>
      </c>
      <c r="W14">
        <v>47488</v>
      </c>
      <c r="X14">
        <v>609373</v>
      </c>
      <c r="Y14">
        <v>598246</v>
      </c>
      <c r="Z14">
        <v>607109</v>
      </c>
      <c r="AA14">
        <v>34701</v>
      </c>
      <c r="AB14">
        <v>34221</v>
      </c>
      <c r="AC14">
        <v>55261</v>
      </c>
      <c r="AD14">
        <v>14455</v>
      </c>
      <c r="AE14">
        <v>0</v>
      </c>
      <c r="AF14">
        <v>454</v>
      </c>
      <c r="AG14">
        <v>19404</v>
      </c>
      <c r="AH14">
        <v>18755</v>
      </c>
      <c r="AI14">
        <v>14492</v>
      </c>
      <c r="AJ14">
        <v>15080</v>
      </c>
      <c r="AK14">
        <v>14191</v>
      </c>
      <c r="AL14">
        <v>12034</v>
      </c>
      <c r="AM14">
        <v>40697</v>
      </c>
      <c r="AN14">
        <v>35770</v>
      </c>
      <c r="AO14">
        <v>24696</v>
      </c>
      <c r="AP14">
        <v>5854</v>
      </c>
      <c r="AQ14">
        <v>1662</v>
      </c>
      <c r="AR14">
        <v>8104</v>
      </c>
      <c r="AS14">
        <v>30860</v>
      </c>
      <c r="AT14">
        <v>44071</v>
      </c>
      <c r="AU14">
        <v>22337</v>
      </c>
      <c r="AV14">
        <v>808319</v>
      </c>
      <c r="AW14">
        <v>779134</v>
      </c>
      <c r="AX14">
        <v>487813</v>
      </c>
      <c r="AY14">
        <v>10398</v>
      </c>
      <c r="AZ14">
        <v>11227</v>
      </c>
      <c r="BA14">
        <v>6758</v>
      </c>
      <c r="BB14">
        <v>132650</v>
      </c>
      <c r="BC14">
        <v>651</v>
      </c>
      <c r="BD14">
        <v>23831</v>
      </c>
      <c r="BE14">
        <v>2914626</v>
      </c>
      <c r="BF14">
        <v>1700582</v>
      </c>
      <c r="BG14">
        <v>1084970</v>
      </c>
      <c r="BH14">
        <v>32657</v>
      </c>
      <c r="BI14">
        <v>15117</v>
      </c>
      <c r="BJ14">
        <v>10606</v>
      </c>
    </row>
    <row r="15" spans="1:62" x14ac:dyDescent="0.4">
      <c r="A15" s="1" t="s">
        <v>18</v>
      </c>
      <c r="B15" s="1" t="s">
        <v>19</v>
      </c>
      <c r="C15">
        <v>41434</v>
      </c>
      <c r="D15">
        <v>42634</v>
      </c>
      <c r="E15">
        <v>84068</v>
      </c>
      <c r="F15">
        <v>37194</v>
      </c>
      <c r="G15">
        <v>32603</v>
      </c>
      <c r="H15">
        <v>28546</v>
      </c>
      <c r="I15">
        <v>253006</v>
      </c>
      <c r="J15">
        <v>256764</v>
      </c>
      <c r="K15">
        <v>193756</v>
      </c>
      <c r="L15">
        <v>62531</v>
      </c>
      <c r="M15">
        <v>65454</v>
      </c>
      <c r="N15">
        <v>43058</v>
      </c>
      <c r="O15">
        <v>64692</v>
      </c>
      <c r="P15">
        <v>73045</v>
      </c>
      <c r="Q15">
        <v>78464</v>
      </c>
      <c r="R15">
        <v>20678</v>
      </c>
      <c r="S15">
        <v>18406</v>
      </c>
      <c r="T15">
        <v>34337</v>
      </c>
      <c r="U15">
        <v>23780</v>
      </c>
      <c r="V15">
        <v>25667</v>
      </c>
      <c r="W15">
        <v>44922</v>
      </c>
      <c r="X15">
        <v>599267</v>
      </c>
      <c r="Y15">
        <v>569431</v>
      </c>
      <c r="Z15">
        <v>634051</v>
      </c>
      <c r="AA15">
        <v>31679</v>
      </c>
      <c r="AB15">
        <v>34364</v>
      </c>
      <c r="AC15">
        <v>52142</v>
      </c>
      <c r="AD15">
        <v>16832</v>
      </c>
      <c r="AE15">
        <v>0</v>
      </c>
      <c r="AF15">
        <v>999</v>
      </c>
      <c r="AG15">
        <v>17506</v>
      </c>
      <c r="AH15">
        <v>19632</v>
      </c>
      <c r="AI15">
        <v>12268</v>
      </c>
      <c r="AJ15">
        <v>9865</v>
      </c>
      <c r="AK15">
        <v>13074</v>
      </c>
      <c r="AL15">
        <v>10214</v>
      </c>
      <c r="AM15">
        <v>29124</v>
      </c>
      <c r="AN15">
        <v>30502</v>
      </c>
      <c r="AO15">
        <v>21761</v>
      </c>
      <c r="AP15">
        <v>4215</v>
      </c>
      <c r="AQ15">
        <v>1273</v>
      </c>
      <c r="AR15">
        <v>6582</v>
      </c>
      <c r="AS15">
        <v>42712</v>
      </c>
      <c r="AT15">
        <v>30736</v>
      </c>
      <c r="AU15">
        <v>34421</v>
      </c>
      <c r="AV15">
        <v>693080</v>
      </c>
      <c r="AW15">
        <v>721132</v>
      </c>
      <c r="AX15">
        <v>456557</v>
      </c>
      <c r="AY15">
        <v>9374</v>
      </c>
      <c r="AZ15">
        <v>9479</v>
      </c>
      <c r="BA15">
        <v>5972</v>
      </c>
      <c r="BB15">
        <v>126833</v>
      </c>
      <c r="BC15">
        <v>777</v>
      </c>
      <c r="BD15">
        <v>24535</v>
      </c>
      <c r="BE15">
        <v>2705946</v>
      </c>
      <c r="BF15">
        <v>1520228</v>
      </c>
      <c r="BG15">
        <v>1051369</v>
      </c>
      <c r="BH15">
        <v>36364</v>
      </c>
      <c r="BI15">
        <v>14988</v>
      </c>
      <c r="BJ15">
        <v>12169</v>
      </c>
    </row>
    <row r="16" spans="1:62" x14ac:dyDescent="0.4">
      <c r="A16" s="1" t="s">
        <v>20</v>
      </c>
      <c r="B16" s="1" t="s">
        <v>21</v>
      </c>
      <c r="C16">
        <v>50139</v>
      </c>
      <c r="D16">
        <v>34516</v>
      </c>
      <c r="E16">
        <v>98890</v>
      </c>
      <c r="F16">
        <v>28494</v>
      </c>
      <c r="G16">
        <v>28655</v>
      </c>
      <c r="H16">
        <v>28214</v>
      </c>
      <c r="I16">
        <v>273961</v>
      </c>
      <c r="J16">
        <v>274849</v>
      </c>
      <c r="K16">
        <v>192002</v>
      </c>
      <c r="L16">
        <v>65290</v>
      </c>
      <c r="M16">
        <v>57845</v>
      </c>
      <c r="N16">
        <v>50459</v>
      </c>
      <c r="O16">
        <v>64515</v>
      </c>
      <c r="P16">
        <v>62891</v>
      </c>
      <c r="Q16">
        <v>80022</v>
      </c>
      <c r="R16">
        <v>19565</v>
      </c>
      <c r="S16">
        <v>21762</v>
      </c>
      <c r="T16">
        <v>32104</v>
      </c>
      <c r="U16">
        <v>32935</v>
      </c>
      <c r="V16">
        <v>28079</v>
      </c>
      <c r="W16">
        <v>49298</v>
      </c>
      <c r="X16">
        <v>532193</v>
      </c>
      <c r="Y16">
        <v>545726</v>
      </c>
      <c r="Z16">
        <v>617443</v>
      </c>
      <c r="AA16">
        <v>34920</v>
      </c>
      <c r="AB16">
        <v>32556</v>
      </c>
      <c r="AC16">
        <v>54045</v>
      </c>
      <c r="AD16">
        <v>18995</v>
      </c>
      <c r="AE16">
        <v>0</v>
      </c>
      <c r="AF16">
        <v>717</v>
      </c>
      <c r="AG16">
        <v>17146</v>
      </c>
      <c r="AH16">
        <v>15325</v>
      </c>
      <c r="AI16">
        <v>14015</v>
      </c>
      <c r="AJ16">
        <v>13811</v>
      </c>
      <c r="AK16">
        <v>14041</v>
      </c>
      <c r="AL16">
        <v>11441</v>
      </c>
      <c r="AM16">
        <v>29749</v>
      </c>
      <c r="AN16">
        <v>29523</v>
      </c>
      <c r="AO16">
        <v>20305</v>
      </c>
      <c r="AP16">
        <v>6977</v>
      </c>
      <c r="AQ16">
        <v>1655</v>
      </c>
      <c r="AR16">
        <v>7966</v>
      </c>
      <c r="AS16">
        <v>43375</v>
      </c>
      <c r="AT16">
        <v>49235</v>
      </c>
      <c r="AU16">
        <v>28606</v>
      </c>
      <c r="AV16">
        <v>723750</v>
      </c>
      <c r="AW16">
        <v>705751</v>
      </c>
      <c r="AX16">
        <v>472048</v>
      </c>
      <c r="AY16">
        <v>9781</v>
      </c>
      <c r="AZ16">
        <v>10092</v>
      </c>
      <c r="BA16">
        <v>5678</v>
      </c>
      <c r="BB16">
        <v>130507</v>
      </c>
      <c r="BC16">
        <v>755</v>
      </c>
      <c r="BD16">
        <v>26182</v>
      </c>
      <c r="BE16">
        <v>2962976</v>
      </c>
      <c r="BF16">
        <v>1560422</v>
      </c>
      <c r="BG16">
        <v>1152092</v>
      </c>
      <c r="BH16">
        <v>31266</v>
      </c>
      <c r="BI16">
        <v>13191</v>
      </c>
      <c r="BJ16">
        <v>10393</v>
      </c>
    </row>
    <row r="17" spans="1:62" x14ac:dyDescent="0.4">
      <c r="A17" s="1" t="s">
        <v>22</v>
      </c>
      <c r="B17" s="1" t="s">
        <v>23</v>
      </c>
      <c r="C17">
        <v>37112</v>
      </c>
      <c r="D17">
        <v>56804</v>
      </c>
      <c r="E17">
        <v>77918</v>
      </c>
      <c r="F17">
        <v>25416</v>
      </c>
      <c r="G17">
        <v>28998</v>
      </c>
      <c r="H17">
        <v>24477</v>
      </c>
      <c r="I17">
        <v>258199</v>
      </c>
      <c r="J17">
        <v>257989</v>
      </c>
      <c r="K17">
        <v>191128</v>
      </c>
      <c r="L17">
        <v>61915</v>
      </c>
      <c r="M17">
        <v>60543</v>
      </c>
      <c r="N17">
        <v>51611</v>
      </c>
      <c r="O17">
        <v>72520</v>
      </c>
      <c r="P17">
        <v>65023</v>
      </c>
      <c r="Q17">
        <v>87390</v>
      </c>
      <c r="R17">
        <v>18639</v>
      </c>
      <c r="S17">
        <v>17646</v>
      </c>
      <c r="T17">
        <v>32807</v>
      </c>
      <c r="U17">
        <v>27541</v>
      </c>
      <c r="V17">
        <v>27895</v>
      </c>
      <c r="W17">
        <v>48348</v>
      </c>
      <c r="X17">
        <v>554222</v>
      </c>
      <c r="Y17">
        <v>532812</v>
      </c>
      <c r="Z17">
        <v>636066</v>
      </c>
      <c r="AA17">
        <v>34318</v>
      </c>
      <c r="AB17">
        <v>32969</v>
      </c>
      <c r="AC17">
        <v>54706</v>
      </c>
      <c r="AD17">
        <v>7834</v>
      </c>
      <c r="AE17">
        <v>0</v>
      </c>
      <c r="AF17">
        <v>176</v>
      </c>
      <c r="AG17">
        <v>16477</v>
      </c>
      <c r="AH17">
        <v>15548</v>
      </c>
      <c r="AI17">
        <v>14873</v>
      </c>
      <c r="AJ17">
        <v>11527</v>
      </c>
      <c r="AK17">
        <v>12472</v>
      </c>
      <c r="AL17">
        <v>11902</v>
      </c>
      <c r="AM17">
        <v>40058</v>
      </c>
      <c r="AN17">
        <v>34341</v>
      </c>
      <c r="AO17">
        <v>24607</v>
      </c>
      <c r="AP17">
        <v>3287</v>
      </c>
      <c r="AQ17">
        <v>1600</v>
      </c>
      <c r="AR17">
        <v>6492</v>
      </c>
      <c r="AS17">
        <v>33803</v>
      </c>
      <c r="AT17">
        <v>37948</v>
      </c>
      <c r="AU17">
        <v>24565</v>
      </c>
      <c r="AV17">
        <v>672684</v>
      </c>
      <c r="AW17">
        <v>699364</v>
      </c>
      <c r="AX17">
        <v>439609</v>
      </c>
      <c r="AY17">
        <v>9978</v>
      </c>
      <c r="AZ17">
        <v>10253</v>
      </c>
      <c r="BA17">
        <v>5743</v>
      </c>
      <c r="BB17">
        <v>117852</v>
      </c>
      <c r="BC17">
        <v>776</v>
      </c>
      <c r="BD17">
        <v>25226</v>
      </c>
      <c r="BE17">
        <v>2755606</v>
      </c>
      <c r="BF17">
        <v>1629033</v>
      </c>
      <c r="BG17">
        <v>1052243</v>
      </c>
      <c r="BH17">
        <v>34504</v>
      </c>
      <c r="BI17">
        <v>15889</v>
      </c>
      <c r="BJ17">
        <v>10366</v>
      </c>
    </row>
    <row r="18" spans="1:62" x14ac:dyDescent="0.4">
      <c r="A18" s="1" t="s">
        <v>24</v>
      </c>
      <c r="B18" s="1" t="s">
        <v>25</v>
      </c>
      <c r="C18">
        <v>28699</v>
      </c>
      <c r="D18">
        <v>43666</v>
      </c>
      <c r="E18">
        <v>62105</v>
      </c>
      <c r="F18">
        <v>28225</v>
      </c>
      <c r="G18">
        <v>27803</v>
      </c>
      <c r="H18">
        <v>24898</v>
      </c>
      <c r="I18">
        <v>248671</v>
      </c>
      <c r="J18">
        <v>266267</v>
      </c>
      <c r="K18">
        <v>172968</v>
      </c>
      <c r="L18">
        <v>52901</v>
      </c>
      <c r="M18">
        <v>58936</v>
      </c>
      <c r="N18">
        <v>44965</v>
      </c>
      <c r="O18">
        <v>61346</v>
      </c>
      <c r="P18">
        <v>65489</v>
      </c>
      <c r="Q18">
        <v>83139</v>
      </c>
      <c r="R18">
        <v>13425</v>
      </c>
      <c r="S18">
        <v>19699</v>
      </c>
      <c r="T18">
        <v>26593</v>
      </c>
      <c r="U18">
        <v>31827</v>
      </c>
      <c r="V18">
        <v>27554</v>
      </c>
      <c r="W18">
        <v>52470</v>
      </c>
      <c r="X18">
        <v>495378</v>
      </c>
      <c r="Y18">
        <v>562109</v>
      </c>
      <c r="Z18">
        <v>567719</v>
      </c>
      <c r="AA18">
        <v>32223</v>
      </c>
      <c r="AB18">
        <v>30719</v>
      </c>
      <c r="AC18">
        <v>55712</v>
      </c>
      <c r="AD18">
        <v>11074</v>
      </c>
      <c r="AE18">
        <v>0</v>
      </c>
      <c r="AF18">
        <v>244</v>
      </c>
      <c r="AG18">
        <v>16043</v>
      </c>
      <c r="AH18">
        <v>15869</v>
      </c>
      <c r="AI18">
        <v>15006</v>
      </c>
      <c r="AJ18">
        <v>12019</v>
      </c>
      <c r="AK18">
        <v>13851</v>
      </c>
      <c r="AL18">
        <v>11933</v>
      </c>
      <c r="AM18">
        <v>31155</v>
      </c>
      <c r="AN18">
        <v>31552</v>
      </c>
      <c r="AO18">
        <v>22134</v>
      </c>
      <c r="AP18">
        <v>6242</v>
      </c>
      <c r="AQ18">
        <v>1390</v>
      </c>
      <c r="AR18">
        <v>7420</v>
      </c>
      <c r="AS18">
        <v>47462</v>
      </c>
      <c r="AT18">
        <v>41996</v>
      </c>
      <c r="AU18">
        <v>30058</v>
      </c>
      <c r="AV18">
        <v>690877</v>
      </c>
      <c r="AW18">
        <v>717254</v>
      </c>
      <c r="AX18">
        <v>409973</v>
      </c>
      <c r="AY18">
        <v>8694</v>
      </c>
      <c r="AZ18">
        <v>8521</v>
      </c>
      <c r="BA18">
        <v>5651</v>
      </c>
      <c r="BB18">
        <v>131604</v>
      </c>
      <c r="BC18">
        <v>882</v>
      </c>
      <c r="BD18">
        <v>27240</v>
      </c>
      <c r="BE18">
        <v>3035736</v>
      </c>
      <c r="BF18">
        <v>1753173</v>
      </c>
      <c r="BG18">
        <v>1054357</v>
      </c>
      <c r="BH18">
        <v>33674</v>
      </c>
      <c r="BI18">
        <v>13219</v>
      </c>
      <c r="BJ18">
        <v>10145</v>
      </c>
    </row>
    <row r="19" spans="1:62" x14ac:dyDescent="0.4">
      <c r="A19" s="1" t="s">
        <v>26</v>
      </c>
      <c r="B19" s="1" t="s">
        <v>27</v>
      </c>
      <c r="C19">
        <v>40604</v>
      </c>
      <c r="D19">
        <v>30755</v>
      </c>
      <c r="E19">
        <v>70936</v>
      </c>
      <c r="F19">
        <v>24924</v>
      </c>
      <c r="G19">
        <v>22578</v>
      </c>
      <c r="H19">
        <v>27160</v>
      </c>
      <c r="I19">
        <v>237621</v>
      </c>
      <c r="J19">
        <v>205486</v>
      </c>
      <c r="K19">
        <v>204199</v>
      </c>
      <c r="L19">
        <v>63425</v>
      </c>
      <c r="M19">
        <v>49582</v>
      </c>
      <c r="N19">
        <v>58736</v>
      </c>
      <c r="O19">
        <v>54738</v>
      </c>
      <c r="P19">
        <v>51437</v>
      </c>
      <c r="Q19">
        <v>86430</v>
      </c>
      <c r="R19">
        <v>17110</v>
      </c>
      <c r="S19">
        <v>14968</v>
      </c>
      <c r="T19">
        <v>30051</v>
      </c>
      <c r="U19">
        <v>24891</v>
      </c>
      <c r="V19">
        <v>21896</v>
      </c>
      <c r="W19">
        <v>53549</v>
      </c>
      <c r="X19">
        <v>449308</v>
      </c>
      <c r="Y19">
        <v>454308</v>
      </c>
      <c r="Z19">
        <v>561116</v>
      </c>
      <c r="AA19">
        <v>27883</v>
      </c>
      <c r="AB19">
        <v>24460</v>
      </c>
      <c r="AC19">
        <v>59705</v>
      </c>
      <c r="AD19">
        <v>16980</v>
      </c>
      <c r="AE19">
        <v>0</v>
      </c>
      <c r="AF19">
        <v>1487</v>
      </c>
      <c r="AG19">
        <v>15118</v>
      </c>
      <c r="AH19">
        <v>13931</v>
      </c>
      <c r="AI19">
        <v>16166</v>
      </c>
      <c r="AJ19">
        <v>10708</v>
      </c>
      <c r="AK19">
        <v>13620</v>
      </c>
      <c r="AL19">
        <v>10345</v>
      </c>
      <c r="AM19">
        <v>32015</v>
      </c>
      <c r="AN19">
        <v>28387</v>
      </c>
      <c r="AO19">
        <v>24292</v>
      </c>
      <c r="AP19">
        <v>4157</v>
      </c>
      <c r="AQ19">
        <v>1482</v>
      </c>
      <c r="AR19">
        <v>6430</v>
      </c>
      <c r="AS19">
        <v>32466</v>
      </c>
      <c r="AT19">
        <v>34983</v>
      </c>
      <c r="AU19">
        <v>27551</v>
      </c>
      <c r="AV19">
        <v>639434</v>
      </c>
      <c r="AW19">
        <v>560156</v>
      </c>
      <c r="AX19">
        <v>485913</v>
      </c>
      <c r="AY19">
        <v>8457</v>
      </c>
      <c r="AZ19">
        <v>7287</v>
      </c>
      <c r="BA19">
        <v>7102</v>
      </c>
      <c r="BB19">
        <v>120821</v>
      </c>
      <c r="BC19">
        <v>655</v>
      </c>
      <c r="BD19">
        <v>24620</v>
      </c>
      <c r="BE19">
        <v>2904094</v>
      </c>
      <c r="BF19">
        <v>1518881</v>
      </c>
      <c r="BG19">
        <v>1161970</v>
      </c>
      <c r="BH19">
        <v>32680</v>
      </c>
      <c r="BI19">
        <v>12646</v>
      </c>
      <c r="BJ19">
        <v>10746</v>
      </c>
    </row>
    <row r="20" spans="1:62" x14ac:dyDescent="0.4">
      <c r="A20" s="1" t="s">
        <v>28</v>
      </c>
      <c r="B20" s="1" t="s">
        <v>29</v>
      </c>
      <c r="C20">
        <v>36173</v>
      </c>
      <c r="D20">
        <v>52746</v>
      </c>
      <c r="E20">
        <v>53176</v>
      </c>
      <c r="F20">
        <v>39340</v>
      </c>
      <c r="G20">
        <v>29277</v>
      </c>
      <c r="H20">
        <v>37035</v>
      </c>
      <c r="I20">
        <v>248076</v>
      </c>
      <c r="J20">
        <v>244921</v>
      </c>
      <c r="K20">
        <v>206805</v>
      </c>
      <c r="L20">
        <v>44467</v>
      </c>
      <c r="M20">
        <v>59481</v>
      </c>
      <c r="N20">
        <v>43230</v>
      </c>
      <c r="O20">
        <v>62377</v>
      </c>
      <c r="P20">
        <v>59798</v>
      </c>
      <c r="Q20">
        <v>89001</v>
      </c>
      <c r="R20">
        <v>20581</v>
      </c>
      <c r="S20">
        <v>20960</v>
      </c>
      <c r="T20">
        <v>29593</v>
      </c>
      <c r="U20">
        <v>21612</v>
      </c>
      <c r="V20">
        <v>25425</v>
      </c>
      <c r="W20">
        <v>49152</v>
      </c>
      <c r="X20">
        <v>539902</v>
      </c>
      <c r="Y20">
        <v>524416</v>
      </c>
      <c r="Z20">
        <v>573990</v>
      </c>
      <c r="AA20">
        <v>28134</v>
      </c>
      <c r="AB20">
        <v>28816</v>
      </c>
      <c r="AC20">
        <v>57747</v>
      </c>
      <c r="AD20">
        <v>20123</v>
      </c>
      <c r="AE20">
        <v>0</v>
      </c>
      <c r="AF20">
        <v>1147</v>
      </c>
      <c r="AG20">
        <v>14069</v>
      </c>
      <c r="AH20">
        <v>16635</v>
      </c>
      <c r="AI20">
        <v>13503</v>
      </c>
      <c r="AJ20">
        <v>17725</v>
      </c>
      <c r="AK20">
        <v>13993</v>
      </c>
      <c r="AL20">
        <v>15747</v>
      </c>
      <c r="AM20">
        <v>39681</v>
      </c>
      <c r="AN20">
        <v>35147</v>
      </c>
      <c r="AO20">
        <v>26896</v>
      </c>
      <c r="AP20">
        <v>5512</v>
      </c>
      <c r="AQ20">
        <v>961</v>
      </c>
      <c r="AR20">
        <v>8069</v>
      </c>
      <c r="AS20">
        <v>39957</v>
      </c>
      <c r="AT20">
        <v>43917</v>
      </c>
      <c r="AU20">
        <v>23594</v>
      </c>
      <c r="AV20">
        <v>665925</v>
      </c>
      <c r="AW20">
        <v>705468</v>
      </c>
      <c r="AX20">
        <v>443338</v>
      </c>
      <c r="AY20">
        <v>8995</v>
      </c>
      <c r="AZ20">
        <v>10229</v>
      </c>
      <c r="BA20">
        <v>5387</v>
      </c>
      <c r="BB20">
        <v>119398</v>
      </c>
      <c r="BC20">
        <v>525</v>
      </c>
      <c r="BD20">
        <v>23514</v>
      </c>
      <c r="BE20">
        <v>2733585</v>
      </c>
      <c r="BF20">
        <v>1546450</v>
      </c>
      <c r="BG20">
        <v>1052929</v>
      </c>
      <c r="BH20">
        <v>34353</v>
      </c>
      <c r="BI20">
        <v>13040</v>
      </c>
      <c r="BJ20">
        <v>11645</v>
      </c>
    </row>
    <row r="21" spans="1:62" x14ac:dyDescent="0.4">
      <c r="A21" s="1" t="s">
        <v>30</v>
      </c>
      <c r="B21" s="1" t="s">
        <v>31</v>
      </c>
      <c r="C21">
        <v>33216</v>
      </c>
      <c r="D21">
        <v>35963</v>
      </c>
      <c r="E21">
        <v>49489</v>
      </c>
      <c r="F21">
        <v>41203</v>
      </c>
      <c r="G21">
        <v>42646</v>
      </c>
      <c r="H21">
        <v>35357</v>
      </c>
      <c r="I21">
        <v>248748</v>
      </c>
      <c r="J21">
        <v>263439</v>
      </c>
      <c r="K21">
        <v>191610</v>
      </c>
      <c r="L21">
        <v>62529</v>
      </c>
      <c r="M21">
        <v>54622</v>
      </c>
      <c r="N21">
        <v>50960</v>
      </c>
      <c r="O21">
        <v>57083</v>
      </c>
      <c r="P21">
        <v>61655</v>
      </c>
      <c r="Q21">
        <v>84401</v>
      </c>
      <c r="R21">
        <v>21464</v>
      </c>
      <c r="S21">
        <v>19396</v>
      </c>
      <c r="T21">
        <v>31591</v>
      </c>
      <c r="U21">
        <v>23166</v>
      </c>
      <c r="V21">
        <v>25369</v>
      </c>
      <c r="W21">
        <v>46601</v>
      </c>
      <c r="X21">
        <v>540899</v>
      </c>
      <c r="Y21">
        <v>572167</v>
      </c>
      <c r="Z21">
        <v>540309</v>
      </c>
      <c r="AA21">
        <v>25957</v>
      </c>
      <c r="AB21">
        <v>31242</v>
      </c>
      <c r="AC21">
        <v>52086</v>
      </c>
      <c r="AD21">
        <v>14024</v>
      </c>
      <c r="AE21">
        <v>0</v>
      </c>
      <c r="AF21">
        <v>1000</v>
      </c>
      <c r="AG21">
        <v>15917</v>
      </c>
      <c r="AH21">
        <v>15446</v>
      </c>
      <c r="AI21">
        <v>13909</v>
      </c>
      <c r="AJ21">
        <v>11310</v>
      </c>
      <c r="AK21">
        <v>13636</v>
      </c>
      <c r="AL21">
        <v>15443</v>
      </c>
      <c r="AM21">
        <v>34938</v>
      </c>
      <c r="AN21">
        <v>34347</v>
      </c>
      <c r="AO21">
        <v>25131</v>
      </c>
      <c r="AP21">
        <v>3534</v>
      </c>
      <c r="AQ21">
        <v>1204</v>
      </c>
      <c r="AR21">
        <v>7099</v>
      </c>
      <c r="AS21">
        <v>39075</v>
      </c>
      <c r="AT21">
        <v>34925</v>
      </c>
      <c r="AU21">
        <v>27829</v>
      </c>
      <c r="AV21">
        <v>686728</v>
      </c>
      <c r="AW21">
        <v>703667</v>
      </c>
      <c r="AX21">
        <v>421507</v>
      </c>
      <c r="AY21">
        <v>7671</v>
      </c>
      <c r="AZ21">
        <v>8018</v>
      </c>
      <c r="BA21">
        <v>5064</v>
      </c>
      <c r="BB21">
        <v>138760</v>
      </c>
      <c r="BC21">
        <v>692</v>
      </c>
      <c r="BD21">
        <v>25436</v>
      </c>
      <c r="BE21">
        <v>2767868</v>
      </c>
      <c r="BF21">
        <v>1447122</v>
      </c>
      <c r="BG21">
        <v>1035398</v>
      </c>
      <c r="BH21">
        <v>34303</v>
      </c>
      <c r="BI21">
        <v>15034</v>
      </c>
      <c r="BJ21">
        <v>11004</v>
      </c>
    </row>
    <row r="22" spans="1:62" x14ac:dyDescent="0.4">
      <c r="A22" s="1" t="s">
        <v>32</v>
      </c>
      <c r="B22" s="1" t="s">
        <v>33</v>
      </c>
      <c r="C22">
        <v>34111</v>
      </c>
      <c r="D22">
        <v>25690</v>
      </c>
      <c r="E22">
        <v>56976</v>
      </c>
      <c r="F22">
        <v>42236</v>
      </c>
      <c r="G22">
        <v>42562</v>
      </c>
      <c r="H22">
        <v>34537</v>
      </c>
      <c r="I22">
        <v>247265</v>
      </c>
      <c r="J22">
        <v>250431</v>
      </c>
      <c r="K22">
        <v>187647</v>
      </c>
      <c r="L22">
        <v>55036</v>
      </c>
      <c r="M22">
        <v>55245</v>
      </c>
      <c r="N22">
        <v>50719</v>
      </c>
      <c r="O22">
        <v>41018</v>
      </c>
      <c r="P22">
        <v>52142</v>
      </c>
      <c r="Q22">
        <v>73268</v>
      </c>
      <c r="R22">
        <v>15901</v>
      </c>
      <c r="S22">
        <v>20307</v>
      </c>
      <c r="T22">
        <v>27251</v>
      </c>
      <c r="U22">
        <v>21518</v>
      </c>
      <c r="V22">
        <v>23580</v>
      </c>
      <c r="W22">
        <v>44251</v>
      </c>
      <c r="X22">
        <v>541637</v>
      </c>
      <c r="Y22">
        <v>534914</v>
      </c>
      <c r="Z22">
        <v>544109</v>
      </c>
      <c r="AA22">
        <v>29738</v>
      </c>
      <c r="AB22">
        <v>29267</v>
      </c>
      <c r="AC22">
        <v>52231</v>
      </c>
      <c r="AD22">
        <v>13693</v>
      </c>
      <c r="AE22">
        <v>0</v>
      </c>
      <c r="AF22">
        <v>851</v>
      </c>
      <c r="AG22">
        <v>17257</v>
      </c>
      <c r="AH22">
        <v>15847</v>
      </c>
      <c r="AI22">
        <v>15263</v>
      </c>
      <c r="AJ22">
        <v>10192</v>
      </c>
      <c r="AK22">
        <v>13128</v>
      </c>
      <c r="AL22">
        <v>14256</v>
      </c>
      <c r="AM22">
        <v>33576</v>
      </c>
      <c r="AN22">
        <v>34674</v>
      </c>
      <c r="AO22">
        <v>22042</v>
      </c>
      <c r="AP22">
        <v>4853</v>
      </c>
      <c r="AQ22">
        <v>1304</v>
      </c>
      <c r="AR22">
        <v>6710</v>
      </c>
      <c r="AS22">
        <v>33026</v>
      </c>
      <c r="AT22">
        <v>35740</v>
      </c>
      <c r="AU22">
        <v>25102</v>
      </c>
      <c r="AV22">
        <v>578028</v>
      </c>
      <c r="AW22">
        <v>606093</v>
      </c>
      <c r="AX22">
        <v>390976</v>
      </c>
      <c r="AY22">
        <v>7023</v>
      </c>
      <c r="AZ22">
        <v>7499</v>
      </c>
      <c r="BA22">
        <v>4207</v>
      </c>
      <c r="BB22">
        <v>117010</v>
      </c>
      <c r="BC22">
        <v>548</v>
      </c>
      <c r="BD22">
        <v>25450</v>
      </c>
      <c r="BE22">
        <v>2859587</v>
      </c>
      <c r="BF22">
        <v>1626654</v>
      </c>
      <c r="BG22">
        <v>1002001</v>
      </c>
      <c r="BH22">
        <v>29087</v>
      </c>
      <c r="BI22">
        <v>11203</v>
      </c>
      <c r="BJ22">
        <v>10773</v>
      </c>
    </row>
    <row r="23" spans="1:62" x14ac:dyDescent="0.4">
      <c r="A23" s="1" t="s">
        <v>34</v>
      </c>
      <c r="B23" s="1" t="s">
        <v>35</v>
      </c>
      <c r="C23">
        <v>49808</v>
      </c>
      <c r="D23">
        <v>44677</v>
      </c>
      <c r="E23">
        <v>61435</v>
      </c>
      <c r="F23">
        <v>41256</v>
      </c>
      <c r="G23">
        <v>43202</v>
      </c>
      <c r="H23">
        <v>32277</v>
      </c>
      <c r="I23">
        <v>247772</v>
      </c>
      <c r="J23">
        <v>250369</v>
      </c>
      <c r="K23">
        <v>183935</v>
      </c>
      <c r="L23">
        <v>50428</v>
      </c>
      <c r="M23">
        <v>58829</v>
      </c>
      <c r="N23">
        <v>42246</v>
      </c>
      <c r="O23">
        <v>62780</v>
      </c>
      <c r="P23">
        <v>60328</v>
      </c>
      <c r="Q23">
        <v>75704</v>
      </c>
      <c r="R23">
        <v>24864</v>
      </c>
      <c r="S23">
        <v>17210</v>
      </c>
      <c r="T23">
        <v>35016</v>
      </c>
      <c r="U23">
        <v>21232</v>
      </c>
      <c r="V23">
        <v>23243</v>
      </c>
      <c r="W23">
        <v>42036</v>
      </c>
      <c r="X23">
        <v>492720</v>
      </c>
      <c r="Y23">
        <v>495395</v>
      </c>
      <c r="Z23">
        <v>539008</v>
      </c>
      <c r="AA23">
        <v>27121</v>
      </c>
      <c r="AB23">
        <v>28072</v>
      </c>
      <c r="AC23">
        <v>50896</v>
      </c>
      <c r="AD23">
        <v>15179</v>
      </c>
      <c r="AE23">
        <v>0</v>
      </c>
      <c r="AF23">
        <v>375</v>
      </c>
      <c r="AG23">
        <v>14722</v>
      </c>
      <c r="AH23">
        <v>15471</v>
      </c>
      <c r="AI23">
        <v>14444</v>
      </c>
      <c r="AJ23">
        <v>10640</v>
      </c>
      <c r="AK23">
        <v>13697</v>
      </c>
      <c r="AL23">
        <v>13530</v>
      </c>
      <c r="AM23">
        <v>36363</v>
      </c>
      <c r="AN23">
        <v>32415</v>
      </c>
      <c r="AO23">
        <v>23874</v>
      </c>
      <c r="AP23">
        <v>3900</v>
      </c>
      <c r="AQ23">
        <v>921</v>
      </c>
      <c r="AR23">
        <v>6352</v>
      </c>
      <c r="AS23">
        <v>50131</v>
      </c>
      <c r="AT23">
        <v>46369</v>
      </c>
      <c r="AU23">
        <v>28954</v>
      </c>
      <c r="AV23">
        <v>669095</v>
      </c>
      <c r="AW23">
        <v>674914</v>
      </c>
      <c r="AX23">
        <v>380801</v>
      </c>
      <c r="AY23">
        <v>9517</v>
      </c>
      <c r="AZ23">
        <v>8705</v>
      </c>
      <c r="BA23">
        <v>5560</v>
      </c>
      <c r="BB23">
        <v>135660</v>
      </c>
      <c r="BC23">
        <v>571</v>
      </c>
      <c r="BD23">
        <v>31581</v>
      </c>
      <c r="BE23">
        <v>2894699</v>
      </c>
      <c r="BF23">
        <v>1663377</v>
      </c>
      <c r="BG23">
        <v>983664</v>
      </c>
      <c r="BH23">
        <v>24528</v>
      </c>
      <c r="BI23">
        <v>12116</v>
      </c>
      <c r="BJ23">
        <v>10474</v>
      </c>
    </row>
    <row r="24" spans="1:62" x14ac:dyDescent="0.4">
      <c r="A24" s="1" t="s">
        <v>36</v>
      </c>
      <c r="B24" s="1" t="s">
        <v>37</v>
      </c>
      <c r="C24">
        <v>49487</v>
      </c>
      <c r="D24">
        <v>43751</v>
      </c>
      <c r="E24">
        <v>66425</v>
      </c>
      <c r="F24">
        <v>36428</v>
      </c>
      <c r="G24">
        <v>39458</v>
      </c>
      <c r="H24">
        <v>29082</v>
      </c>
      <c r="I24">
        <v>236867</v>
      </c>
      <c r="J24">
        <v>232729</v>
      </c>
      <c r="K24">
        <v>186827</v>
      </c>
      <c r="L24">
        <v>61595</v>
      </c>
      <c r="M24">
        <v>56503</v>
      </c>
      <c r="N24">
        <v>47286</v>
      </c>
      <c r="O24">
        <v>55630</v>
      </c>
      <c r="P24">
        <v>60183</v>
      </c>
      <c r="Q24">
        <v>71092</v>
      </c>
      <c r="R24">
        <v>19573</v>
      </c>
      <c r="S24">
        <v>22144</v>
      </c>
      <c r="T24">
        <v>32346</v>
      </c>
      <c r="U24">
        <v>26085</v>
      </c>
      <c r="V24">
        <v>22282</v>
      </c>
      <c r="W24">
        <v>45504</v>
      </c>
      <c r="X24">
        <v>473917</v>
      </c>
      <c r="Y24">
        <v>484303</v>
      </c>
      <c r="Z24">
        <v>525788</v>
      </c>
      <c r="AA24">
        <v>30642</v>
      </c>
      <c r="AB24">
        <v>28641</v>
      </c>
      <c r="AC24">
        <v>53123</v>
      </c>
      <c r="AD24">
        <v>17429</v>
      </c>
      <c r="AE24">
        <v>0</v>
      </c>
      <c r="AF24">
        <v>1024</v>
      </c>
      <c r="AG24">
        <v>15427</v>
      </c>
      <c r="AH24">
        <v>15008</v>
      </c>
      <c r="AI24">
        <v>14724</v>
      </c>
      <c r="AJ24">
        <v>13722</v>
      </c>
      <c r="AK24">
        <v>14225</v>
      </c>
      <c r="AL24">
        <v>14435</v>
      </c>
      <c r="AM24">
        <v>36942</v>
      </c>
      <c r="AN24">
        <v>36625</v>
      </c>
      <c r="AO24">
        <v>22465</v>
      </c>
      <c r="AP24">
        <v>2681</v>
      </c>
      <c r="AQ24">
        <v>1184</v>
      </c>
      <c r="AR24">
        <v>4921</v>
      </c>
      <c r="AS24">
        <v>41227</v>
      </c>
      <c r="AT24">
        <v>36950</v>
      </c>
      <c r="AU24">
        <v>33225</v>
      </c>
      <c r="AV24">
        <v>629836</v>
      </c>
      <c r="AW24">
        <v>622810</v>
      </c>
      <c r="AX24">
        <v>384184</v>
      </c>
      <c r="AY24">
        <v>8870</v>
      </c>
      <c r="AZ24">
        <v>9047</v>
      </c>
      <c r="BA24">
        <v>5282</v>
      </c>
      <c r="BB24">
        <v>138060</v>
      </c>
      <c r="BC24">
        <v>641</v>
      </c>
      <c r="BD24">
        <v>20176</v>
      </c>
      <c r="BE24">
        <v>2894962</v>
      </c>
      <c r="BF24">
        <v>1456634</v>
      </c>
      <c r="BG24">
        <v>1096509</v>
      </c>
      <c r="BH24">
        <v>34502</v>
      </c>
      <c r="BI24">
        <v>11800</v>
      </c>
      <c r="BJ24">
        <v>12236</v>
      </c>
    </row>
    <row r="25" spans="1:62" x14ac:dyDescent="0.4">
      <c r="A25" s="1" t="s">
        <v>38</v>
      </c>
      <c r="B25" s="1" t="s">
        <v>39</v>
      </c>
      <c r="C25">
        <v>34126</v>
      </c>
      <c r="D25">
        <v>46470</v>
      </c>
      <c r="E25">
        <v>53204</v>
      </c>
      <c r="F25">
        <v>23334</v>
      </c>
      <c r="G25">
        <v>28690</v>
      </c>
      <c r="H25">
        <v>23673</v>
      </c>
      <c r="I25">
        <v>215195</v>
      </c>
      <c r="J25">
        <v>212179</v>
      </c>
      <c r="K25">
        <v>189091</v>
      </c>
      <c r="L25">
        <v>60547</v>
      </c>
      <c r="M25">
        <v>59705</v>
      </c>
      <c r="N25">
        <v>48063</v>
      </c>
      <c r="O25">
        <v>63347</v>
      </c>
      <c r="P25">
        <v>59003</v>
      </c>
      <c r="Q25">
        <v>75408</v>
      </c>
      <c r="R25">
        <v>19993</v>
      </c>
      <c r="S25">
        <v>17193</v>
      </c>
      <c r="T25">
        <v>35099</v>
      </c>
      <c r="U25">
        <v>22341</v>
      </c>
      <c r="V25">
        <v>23271</v>
      </c>
      <c r="W25">
        <v>44322</v>
      </c>
      <c r="X25">
        <v>496179</v>
      </c>
      <c r="Y25">
        <v>478343</v>
      </c>
      <c r="Z25">
        <v>541490</v>
      </c>
      <c r="AA25">
        <v>27316</v>
      </c>
      <c r="AB25">
        <v>30121</v>
      </c>
      <c r="AC25">
        <v>49962</v>
      </c>
      <c r="AD25">
        <v>13655</v>
      </c>
      <c r="AE25">
        <v>0</v>
      </c>
      <c r="AF25">
        <v>189</v>
      </c>
      <c r="AG25">
        <v>14531</v>
      </c>
      <c r="AH25">
        <v>15960</v>
      </c>
      <c r="AI25">
        <v>13252</v>
      </c>
      <c r="AJ25">
        <v>13629</v>
      </c>
      <c r="AK25">
        <v>15510</v>
      </c>
      <c r="AL25">
        <v>13758</v>
      </c>
      <c r="AM25">
        <v>42799</v>
      </c>
      <c r="AN25">
        <v>36323</v>
      </c>
      <c r="AO25">
        <v>27653</v>
      </c>
      <c r="AP25">
        <v>4340</v>
      </c>
      <c r="AQ25">
        <v>1407</v>
      </c>
      <c r="AR25">
        <v>4389</v>
      </c>
      <c r="AS25">
        <v>35827</v>
      </c>
      <c r="AT25">
        <v>43914</v>
      </c>
      <c r="AU25">
        <v>25154</v>
      </c>
      <c r="AV25">
        <v>636679</v>
      </c>
      <c r="AW25">
        <v>590029</v>
      </c>
      <c r="AX25">
        <v>426281</v>
      </c>
      <c r="AY25">
        <v>9570</v>
      </c>
      <c r="AZ25">
        <v>8629</v>
      </c>
      <c r="BA25">
        <v>6048</v>
      </c>
      <c r="BB25">
        <v>136329</v>
      </c>
      <c r="BC25">
        <v>696</v>
      </c>
      <c r="BD25">
        <v>25901</v>
      </c>
      <c r="BE25">
        <v>2536733</v>
      </c>
      <c r="BF25">
        <v>1455228</v>
      </c>
      <c r="BG25">
        <v>946583</v>
      </c>
      <c r="BH25">
        <v>31530</v>
      </c>
      <c r="BI25">
        <v>11910</v>
      </c>
      <c r="BJ25">
        <v>12301</v>
      </c>
    </row>
    <row r="26" spans="1:62" x14ac:dyDescent="0.4">
      <c r="A26" s="1" t="s">
        <v>40</v>
      </c>
      <c r="B26" s="1" t="s">
        <v>41</v>
      </c>
      <c r="C26">
        <v>45050</v>
      </c>
      <c r="D26">
        <v>32121</v>
      </c>
      <c r="E26">
        <v>64839</v>
      </c>
      <c r="F26">
        <v>30546</v>
      </c>
      <c r="G26">
        <v>32688</v>
      </c>
      <c r="H26">
        <v>21299</v>
      </c>
      <c r="I26">
        <v>253545</v>
      </c>
      <c r="J26">
        <v>264556</v>
      </c>
      <c r="K26">
        <v>177339</v>
      </c>
      <c r="L26">
        <v>54748</v>
      </c>
      <c r="M26">
        <v>58056</v>
      </c>
      <c r="N26">
        <v>44325</v>
      </c>
      <c r="O26">
        <v>74995</v>
      </c>
      <c r="P26">
        <v>66232</v>
      </c>
      <c r="Q26">
        <v>84106</v>
      </c>
      <c r="R26">
        <v>20373</v>
      </c>
      <c r="S26">
        <v>24263</v>
      </c>
      <c r="T26">
        <v>31297</v>
      </c>
      <c r="U26">
        <v>27910</v>
      </c>
      <c r="V26">
        <v>26362</v>
      </c>
      <c r="W26">
        <v>45581</v>
      </c>
      <c r="X26">
        <v>551862</v>
      </c>
      <c r="Y26">
        <v>532145</v>
      </c>
      <c r="Z26">
        <v>559227</v>
      </c>
      <c r="AA26">
        <v>30850</v>
      </c>
      <c r="AB26">
        <v>30394</v>
      </c>
      <c r="AC26">
        <v>50440</v>
      </c>
      <c r="AD26">
        <v>12167</v>
      </c>
      <c r="AE26">
        <v>0</v>
      </c>
      <c r="AF26">
        <v>1282</v>
      </c>
      <c r="AG26">
        <v>19214</v>
      </c>
      <c r="AH26">
        <v>17342</v>
      </c>
      <c r="AI26">
        <v>14970</v>
      </c>
      <c r="AJ26">
        <v>13152</v>
      </c>
      <c r="AK26">
        <v>15554</v>
      </c>
      <c r="AL26">
        <v>12179</v>
      </c>
      <c r="AM26">
        <v>44091</v>
      </c>
      <c r="AN26">
        <v>42044</v>
      </c>
      <c r="AO26">
        <v>28573</v>
      </c>
      <c r="AP26">
        <v>7640</v>
      </c>
      <c r="AQ26">
        <v>1112</v>
      </c>
      <c r="AR26">
        <v>7817</v>
      </c>
      <c r="AS26">
        <v>41371</v>
      </c>
      <c r="AT26">
        <v>42776</v>
      </c>
      <c r="AU26">
        <v>23696</v>
      </c>
      <c r="AV26">
        <v>694660</v>
      </c>
      <c r="AW26">
        <v>713812</v>
      </c>
      <c r="AX26">
        <v>404156</v>
      </c>
      <c r="AY26">
        <v>9577</v>
      </c>
      <c r="AZ26">
        <v>10262</v>
      </c>
      <c r="BA26">
        <v>5494</v>
      </c>
      <c r="BB26">
        <v>152957</v>
      </c>
      <c r="BC26">
        <v>662</v>
      </c>
      <c r="BD26">
        <v>25722</v>
      </c>
      <c r="BE26">
        <v>2980569</v>
      </c>
      <c r="BF26">
        <v>1560555</v>
      </c>
      <c r="BG26">
        <v>1064298</v>
      </c>
      <c r="BH26">
        <v>28122</v>
      </c>
      <c r="BI26">
        <v>12517</v>
      </c>
      <c r="BJ26">
        <v>9718</v>
      </c>
    </row>
    <row r="27" spans="1:62" x14ac:dyDescent="0.4">
      <c r="A27" s="1" t="s">
        <v>42</v>
      </c>
      <c r="B27" s="1" t="s">
        <v>43</v>
      </c>
      <c r="C27">
        <v>49215</v>
      </c>
      <c r="D27">
        <v>42325</v>
      </c>
      <c r="E27">
        <v>70716</v>
      </c>
      <c r="F27">
        <v>24982</v>
      </c>
      <c r="G27">
        <v>21256</v>
      </c>
      <c r="H27">
        <v>24803</v>
      </c>
      <c r="I27">
        <v>226051</v>
      </c>
      <c r="J27">
        <v>225555</v>
      </c>
      <c r="K27">
        <v>176934</v>
      </c>
      <c r="L27">
        <v>55378</v>
      </c>
      <c r="M27">
        <v>49835</v>
      </c>
      <c r="N27">
        <v>49573</v>
      </c>
      <c r="O27">
        <v>59877</v>
      </c>
      <c r="P27">
        <v>65796</v>
      </c>
      <c r="Q27">
        <v>78157</v>
      </c>
      <c r="R27">
        <v>19989</v>
      </c>
      <c r="S27">
        <v>17659</v>
      </c>
      <c r="T27">
        <v>33567</v>
      </c>
      <c r="U27">
        <v>24002</v>
      </c>
      <c r="V27">
        <v>24781</v>
      </c>
      <c r="W27">
        <v>44807</v>
      </c>
      <c r="X27">
        <v>525156</v>
      </c>
      <c r="Y27">
        <v>511404</v>
      </c>
      <c r="Z27">
        <v>570320</v>
      </c>
      <c r="AA27">
        <v>28076</v>
      </c>
      <c r="AB27">
        <v>30037</v>
      </c>
      <c r="AC27">
        <v>48197</v>
      </c>
      <c r="AD27">
        <v>8898</v>
      </c>
      <c r="AE27">
        <v>0</v>
      </c>
      <c r="AF27">
        <v>981</v>
      </c>
      <c r="AG27">
        <v>17572</v>
      </c>
      <c r="AH27">
        <v>17141</v>
      </c>
      <c r="AI27">
        <v>15268</v>
      </c>
      <c r="AJ27">
        <v>11115</v>
      </c>
      <c r="AK27">
        <v>15188</v>
      </c>
      <c r="AL27">
        <v>10565</v>
      </c>
      <c r="AM27">
        <v>37145</v>
      </c>
      <c r="AN27">
        <v>38786</v>
      </c>
      <c r="AO27">
        <v>24268</v>
      </c>
      <c r="AP27">
        <v>5264</v>
      </c>
      <c r="AQ27">
        <v>1325</v>
      </c>
      <c r="AR27">
        <v>8376</v>
      </c>
      <c r="AS27">
        <v>46267</v>
      </c>
      <c r="AT27">
        <v>38272</v>
      </c>
      <c r="AU27">
        <v>31683</v>
      </c>
      <c r="AV27">
        <v>630118</v>
      </c>
      <c r="AW27">
        <v>632727</v>
      </c>
      <c r="AX27">
        <v>396297</v>
      </c>
      <c r="AY27">
        <v>10461</v>
      </c>
      <c r="AZ27">
        <v>9823</v>
      </c>
      <c r="BA27">
        <v>6205</v>
      </c>
      <c r="BB27">
        <v>146022</v>
      </c>
      <c r="BC27">
        <v>811</v>
      </c>
      <c r="BD27">
        <v>24839</v>
      </c>
      <c r="BE27">
        <v>2827776</v>
      </c>
      <c r="BF27">
        <v>1436895</v>
      </c>
      <c r="BG27">
        <v>1121541</v>
      </c>
      <c r="BH27">
        <v>28711</v>
      </c>
      <c r="BI27">
        <v>11562</v>
      </c>
      <c r="BJ27">
        <v>9531</v>
      </c>
    </row>
    <row r="28" spans="1:62" x14ac:dyDescent="0.4">
      <c r="A28" s="1" t="s">
        <v>44</v>
      </c>
      <c r="B28" s="1" t="s">
        <v>45</v>
      </c>
      <c r="C28">
        <v>45133</v>
      </c>
      <c r="D28">
        <v>52825</v>
      </c>
      <c r="E28">
        <v>62164</v>
      </c>
      <c r="F28">
        <v>33841</v>
      </c>
      <c r="G28">
        <v>24086</v>
      </c>
      <c r="H28">
        <v>34511</v>
      </c>
      <c r="I28">
        <v>250202</v>
      </c>
      <c r="J28">
        <v>237910</v>
      </c>
      <c r="K28">
        <v>188166</v>
      </c>
      <c r="L28">
        <v>59332</v>
      </c>
      <c r="M28">
        <v>61729</v>
      </c>
      <c r="N28">
        <v>47008</v>
      </c>
      <c r="O28">
        <v>57701</v>
      </c>
      <c r="P28">
        <v>56938</v>
      </c>
      <c r="Q28">
        <v>78902</v>
      </c>
      <c r="R28">
        <v>19852</v>
      </c>
      <c r="S28">
        <v>20156</v>
      </c>
      <c r="T28">
        <v>33313</v>
      </c>
      <c r="U28">
        <v>26682</v>
      </c>
      <c r="V28">
        <v>23627</v>
      </c>
      <c r="W28">
        <v>47626</v>
      </c>
      <c r="X28">
        <v>510736</v>
      </c>
      <c r="Y28">
        <v>490395</v>
      </c>
      <c r="Z28">
        <v>588169</v>
      </c>
      <c r="AA28">
        <v>30876</v>
      </c>
      <c r="AB28">
        <v>30039</v>
      </c>
      <c r="AC28">
        <v>48533</v>
      </c>
      <c r="AD28">
        <v>17308</v>
      </c>
      <c r="AE28">
        <v>0</v>
      </c>
      <c r="AF28">
        <v>1225</v>
      </c>
      <c r="AG28">
        <v>15613</v>
      </c>
      <c r="AH28">
        <v>15876</v>
      </c>
      <c r="AI28">
        <v>14936</v>
      </c>
      <c r="AJ28">
        <v>11280</v>
      </c>
      <c r="AK28">
        <v>12834</v>
      </c>
      <c r="AL28">
        <v>10508</v>
      </c>
      <c r="AM28">
        <v>32377</v>
      </c>
      <c r="AN28">
        <v>30846</v>
      </c>
      <c r="AO28">
        <v>24068</v>
      </c>
      <c r="AP28">
        <v>4270</v>
      </c>
      <c r="AQ28">
        <v>1069</v>
      </c>
      <c r="AR28">
        <v>8143</v>
      </c>
      <c r="AS28">
        <v>40964</v>
      </c>
      <c r="AT28">
        <v>42822</v>
      </c>
      <c r="AU28">
        <v>29809</v>
      </c>
      <c r="AV28">
        <v>716584</v>
      </c>
      <c r="AW28">
        <v>673105</v>
      </c>
      <c r="AX28">
        <v>434431</v>
      </c>
      <c r="AY28">
        <v>8343</v>
      </c>
      <c r="AZ28">
        <v>8053</v>
      </c>
      <c r="BA28">
        <v>6152</v>
      </c>
      <c r="BB28">
        <v>128642</v>
      </c>
      <c r="BC28">
        <v>638</v>
      </c>
      <c r="BD28">
        <v>25860</v>
      </c>
      <c r="BE28">
        <v>2707744</v>
      </c>
      <c r="BF28">
        <v>1504865</v>
      </c>
      <c r="BG28">
        <v>1076813</v>
      </c>
      <c r="BH28">
        <v>31524</v>
      </c>
      <c r="BI28">
        <v>11194</v>
      </c>
      <c r="BJ28">
        <v>12429</v>
      </c>
    </row>
    <row r="29" spans="1:62" x14ac:dyDescent="0.4">
      <c r="A29" s="1" t="s">
        <v>46</v>
      </c>
      <c r="B29" s="1" t="s">
        <v>47</v>
      </c>
      <c r="C29">
        <v>25611</v>
      </c>
      <c r="D29">
        <v>37734</v>
      </c>
      <c r="E29">
        <v>49077</v>
      </c>
      <c r="F29">
        <v>34391</v>
      </c>
      <c r="G29">
        <v>37453</v>
      </c>
      <c r="H29">
        <v>31357</v>
      </c>
      <c r="I29">
        <v>246163</v>
      </c>
      <c r="J29">
        <v>243927</v>
      </c>
      <c r="K29">
        <v>189831</v>
      </c>
      <c r="L29">
        <v>59951</v>
      </c>
      <c r="M29">
        <v>53649</v>
      </c>
      <c r="N29">
        <v>53304</v>
      </c>
      <c r="O29">
        <v>53467</v>
      </c>
      <c r="P29">
        <v>58677</v>
      </c>
      <c r="Q29">
        <v>73571</v>
      </c>
      <c r="R29">
        <v>20592</v>
      </c>
      <c r="S29">
        <v>19092</v>
      </c>
      <c r="T29">
        <v>34822</v>
      </c>
      <c r="U29">
        <v>23676</v>
      </c>
      <c r="V29">
        <v>25781</v>
      </c>
      <c r="W29">
        <v>45196</v>
      </c>
      <c r="X29">
        <v>544058</v>
      </c>
      <c r="Y29">
        <v>504436</v>
      </c>
      <c r="Z29">
        <v>624483</v>
      </c>
      <c r="AA29">
        <v>32308</v>
      </c>
      <c r="AB29">
        <v>30011</v>
      </c>
      <c r="AC29">
        <v>50902</v>
      </c>
      <c r="AD29">
        <v>11112</v>
      </c>
      <c r="AE29">
        <v>0</v>
      </c>
      <c r="AF29">
        <v>543</v>
      </c>
      <c r="AG29">
        <v>17550</v>
      </c>
      <c r="AH29">
        <v>16916</v>
      </c>
      <c r="AI29">
        <v>15440</v>
      </c>
      <c r="AJ29">
        <v>14542</v>
      </c>
      <c r="AK29">
        <v>15696</v>
      </c>
      <c r="AL29">
        <v>10486</v>
      </c>
      <c r="AM29">
        <v>34243</v>
      </c>
      <c r="AN29">
        <v>34461</v>
      </c>
      <c r="AO29">
        <v>22157</v>
      </c>
      <c r="AP29">
        <v>3412</v>
      </c>
      <c r="AQ29">
        <v>1333</v>
      </c>
      <c r="AR29">
        <v>6150</v>
      </c>
      <c r="AS29">
        <v>35656</v>
      </c>
      <c r="AT29">
        <v>39990</v>
      </c>
      <c r="AU29">
        <v>25319</v>
      </c>
      <c r="AV29">
        <v>598374</v>
      </c>
      <c r="AW29">
        <v>665603</v>
      </c>
      <c r="AX29">
        <v>364074</v>
      </c>
      <c r="AY29">
        <v>9289</v>
      </c>
      <c r="AZ29">
        <v>9494</v>
      </c>
      <c r="BA29">
        <v>5791</v>
      </c>
      <c r="BB29">
        <v>117360</v>
      </c>
      <c r="BC29">
        <v>816</v>
      </c>
      <c r="BD29">
        <v>22037</v>
      </c>
      <c r="BE29">
        <v>2728050</v>
      </c>
      <c r="BF29">
        <v>1483509</v>
      </c>
      <c r="BG29">
        <v>1034442</v>
      </c>
      <c r="BH29">
        <v>29431</v>
      </c>
      <c r="BI29">
        <v>13635</v>
      </c>
      <c r="BJ29">
        <v>13992</v>
      </c>
    </row>
    <row r="30" spans="1:62" x14ac:dyDescent="0.4">
      <c r="A30" s="1" t="s">
        <v>48</v>
      </c>
      <c r="B30" s="1" t="s">
        <v>49</v>
      </c>
      <c r="C30">
        <v>25653</v>
      </c>
      <c r="D30">
        <v>41683</v>
      </c>
      <c r="E30">
        <v>32018</v>
      </c>
      <c r="F30">
        <v>28556</v>
      </c>
      <c r="G30">
        <v>29299</v>
      </c>
      <c r="H30">
        <v>30408</v>
      </c>
      <c r="I30">
        <v>198944</v>
      </c>
      <c r="J30">
        <v>226909</v>
      </c>
      <c r="K30">
        <v>161054</v>
      </c>
      <c r="L30">
        <v>55182</v>
      </c>
      <c r="M30">
        <v>60330</v>
      </c>
      <c r="N30">
        <v>48123</v>
      </c>
      <c r="O30">
        <v>56015</v>
      </c>
      <c r="P30">
        <v>56103</v>
      </c>
      <c r="Q30">
        <v>73465</v>
      </c>
      <c r="R30">
        <v>18222</v>
      </c>
      <c r="S30">
        <v>20701</v>
      </c>
      <c r="T30">
        <v>32334</v>
      </c>
      <c r="U30">
        <v>27902</v>
      </c>
      <c r="V30">
        <v>25212</v>
      </c>
      <c r="W30">
        <v>47637</v>
      </c>
      <c r="X30">
        <v>507156</v>
      </c>
      <c r="Y30">
        <v>538895</v>
      </c>
      <c r="Z30">
        <v>591329</v>
      </c>
      <c r="AA30">
        <v>30632</v>
      </c>
      <c r="AB30">
        <v>33615</v>
      </c>
      <c r="AC30">
        <v>46661</v>
      </c>
      <c r="AD30">
        <v>15201</v>
      </c>
      <c r="AE30">
        <v>0</v>
      </c>
      <c r="AF30">
        <v>316</v>
      </c>
      <c r="AG30">
        <v>14220</v>
      </c>
      <c r="AH30">
        <v>15856</v>
      </c>
      <c r="AI30">
        <v>13668</v>
      </c>
      <c r="AJ30">
        <v>13764</v>
      </c>
      <c r="AK30">
        <v>15753</v>
      </c>
      <c r="AL30">
        <v>9721</v>
      </c>
      <c r="AM30">
        <v>34749</v>
      </c>
      <c r="AN30">
        <v>33775</v>
      </c>
      <c r="AO30">
        <v>21655</v>
      </c>
      <c r="AP30">
        <v>4520</v>
      </c>
      <c r="AQ30">
        <v>1160</v>
      </c>
      <c r="AR30">
        <v>6579</v>
      </c>
      <c r="AS30">
        <v>40291</v>
      </c>
      <c r="AT30">
        <v>36550</v>
      </c>
      <c r="AU30">
        <v>29058</v>
      </c>
      <c r="AV30">
        <v>673417</v>
      </c>
      <c r="AW30">
        <v>664532</v>
      </c>
      <c r="AX30">
        <v>366218</v>
      </c>
      <c r="AY30">
        <v>9049</v>
      </c>
      <c r="AZ30">
        <v>8989</v>
      </c>
      <c r="BA30">
        <v>5703</v>
      </c>
      <c r="BB30">
        <v>138696</v>
      </c>
      <c r="BC30">
        <v>801</v>
      </c>
      <c r="BD30">
        <v>25791</v>
      </c>
      <c r="BE30">
        <v>2962855</v>
      </c>
      <c r="BF30">
        <v>1575312</v>
      </c>
      <c r="BG30">
        <v>1095604</v>
      </c>
      <c r="BH30">
        <v>25049</v>
      </c>
      <c r="BI30">
        <v>13490</v>
      </c>
      <c r="BJ30">
        <v>12540</v>
      </c>
    </row>
    <row r="31" spans="1:62" x14ac:dyDescent="0.4">
      <c r="A31" s="1" t="s">
        <v>50</v>
      </c>
      <c r="B31" s="1" t="s">
        <v>51</v>
      </c>
      <c r="C31">
        <v>31917</v>
      </c>
      <c r="D31">
        <v>25277</v>
      </c>
      <c r="E31">
        <v>37941</v>
      </c>
      <c r="F31">
        <v>38669</v>
      </c>
      <c r="G31">
        <v>32208</v>
      </c>
      <c r="H31">
        <v>35874</v>
      </c>
      <c r="I31">
        <v>226832</v>
      </c>
      <c r="J31">
        <v>201599</v>
      </c>
      <c r="K31">
        <v>185839</v>
      </c>
      <c r="L31">
        <v>48076</v>
      </c>
      <c r="M31">
        <v>49452</v>
      </c>
      <c r="N31">
        <v>46656</v>
      </c>
      <c r="O31">
        <v>53465</v>
      </c>
      <c r="P31">
        <v>53428</v>
      </c>
      <c r="Q31">
        <v>73492</v>
      </c>
      <c r="R31">
        <v>14722</v>
      </c>
      <c r="S31">
        <v>16120</v>
      </c>
      <c r="T31">
        <v>31116</v>
      </c>
      <c r="U31">
        <v>21138</v>
      </c>
      <c r="V31">
        <v>20866</v>
      </c>
      <c r="W31">
        <v>47867</v>
      </c>
      <c r="X31">
        <v>431971</v>
      </c>
      <c r="Y31">
        <v>416362</v>
      </c>
      <c r="Z31">
        <v>603774</v>
      </c>
      <c r="AA31">
        <v>31733</v>
      </c>
      <c r="AB31">
        <v>25018</v>
      </c>
      <c r="AC31">
        <v>52925</v>
      </c>
      <c r="AD31">
        <v>16942</v>
      </c>
      <c r="AE31">
        <v>0</v>
      </c>
      <c r="AF31">
        <v>392</v>
      </c>
      <c r="AG31">
        <v>15778</v>
      </c>
      <c r="AH31">
        <v>14095</v>
      </c>
      <c r="AI31">
        <v>15291</v>
      </c>
      <c r="AJ31">
        <v>13348</v>
      </c>
      <c r="AK31">
        <v>13449</v>
      </c>
      <c r="AL31">
        <v>11305</v>
      </c>
      <c r="AM31">
        <v>32153</v>
      </c>
      <c r="AN31">
        <v>30356</v>
      </c>
      <c r="AO31">
        <v>21590</v>
      </c>
      <c r="AP31">
        <v>4399</v>
      </c>
      <c r="AQ31">
        <v>920</v>
      </c>
      <c r="AR31">
        <v>6552</v>
      </c>
      <c r="AS31">
        <v>39527</v>
      </c>
      <c r="AT31">
        <v>42069</v>
      </c>
      <c r="AU31">
        <v>26507</v>
      </c>
      <c r="AV31">
        <v>636517</v>
      </c>
      <c r="AW31">
        <v>610721</v>
      </c>
      <c r="AX31">
        <v>388385</v>
      </c>
      <c r="AY31">
        <v>8113</v>
      </c>
      <c r="AZ31">
        <v>7753</v>
      </c>
      <c r="BA31">
        <v>5943</v>
      </c>
      <c r="BB31">
        <v>136488</v>
      </c>
      <c r="BC31">
        <v>651</v>
      </c>
      <c r="BD31">
        <v>26753</v>
      </c>
      <c r="BE31">
        <v>2867143</v>
      </c>
      <c r="BF31">
        <v>1560646</v>
      </c>
      <c r="BG31">
        <v>1043354</v>
      </c>
      <c r="BH31">
        <v>28381</v>
      </c>
      <c r="BI31">
        <v>12334</v>
      </c>
      <c r="BJ31">
        <v>11269</v>
      </c>
    </row>
    <row r="32" spans="1:62" x14ac:dyDescent="0.4">
      <c r="A32" s="1" t="s">
        <v>52</v>
      </c>
      <c r="B32" s="1" t="s">
        <v>53</v>
      </c>
      <c r="C32">
        <v>32802</v>
      </c>
      <c r="D32">
        <v>24516</v>
      </c>
      <c r="E32">
        <v>45361</v>
      </c>
      <c r="F32">
        <v>39431</v>
      </c>
      <c r="G32">
        <v>36368</v>
      </c>
      <c r="H32">
        <v>36186</v>
      </c>
      <c r="I32">
        <v>217477</v>
      </c>
      <c r="J32">
        <v>224627</v>
      </c>
      <c r="K32">
        <v>177490</v>
      </c>
      <c r="L32">
        <v>51157</v>
      </c>
      <c r="M32">
        <v>56819</v>
      </c>
      <c r="N32">
        <v>40942</v>
      </c>
      <c r="O32">
        <v>54793</v>
      </c>
      <c r="P32">
        <v>57426</v>
      </c>
      <c r="Q32">
        <v>70852</v>
      </c>
      <c r="R32">
        <v>20820</v>
      </c>
      <c r="S32">
        <v>21388</v>
      </c>
      <c r="T32">
        <v>30656</v>
      </c>
      <c r="U32">
        <v>23382</v>
      </c>
      <c r="V32">
        <v>25543</v>
      </c>
      <c r="W32">
        <v>45666</v>
      </c>
      <c r="X32">
        <v>502721</v>
      </c>
      <c r="Y32">
        <v>518364</v>
      </c>
      <c r="Z32">
        <v>586773</v>
      </c>
      <c r="AA32">
        <v>26183</v>
      </c>
      <c r="AB32">
        <v>31147</v>
      </c>
      <c r="AC32">
        <v>48792</v>
      </c>
      <c r="AD32">
        <v>9100</v>
      </c>
      <c r="AE32">
        <v>0</v>
      </c>
      <c r="AF32">
        <v>1108</v>
      </c>
      <c r="AG32">
        <v>14249</v>
      </c>
      <c r="AH32">
        <v>15964</v>
      </c>
      <c r="AI32">
        <v>13491</v>
      </c>
      <c r="AJ32">
        <v>13927</v>
      </c>
      <c r="AK32">
        <v>16268</v>
      </c>
      <c r="AL32">
        <v>10601</v>
      </c>
      <c r="AM32">
        <v>37105</v>
      </c>
      <c r="AN32">
        <v>32367</v>
      </c>
      <c r="AO32">
        <v>24328</v>
      </c>
      <c r="AP32">
        <v>5300</v>
      </c>
      <c r="AQ32">
        <v>1431</v>
      </c>
      <c r="AR32">
        <v>7505</v>
      </c>
      <c r="AS32">
        <v>34287</v>
      </c>
      <c r="AT32">
        <v>37857</v>
      </c>
      <c r="AU32">
        <v>22915</v>
      </c>
      <c r="AV32">
        <v>641171</v>
      </c>
      <c r="AW32">
        <v>653862</v>
      </c>
      <c r="AX32">
        <v>369751</v>
      </c>
      <c r="AY32">
        <v>8579</v>
      </c>
      <c r="AZ32">
        <v>8898</v>
      </c>
      <c r="BA32">
        <v>5502</v>
      </c>
      <c r="BB32">
        <v>143371</v>
      </c>
      <c r="BC32">
        <v>790</v>
      </c>
      <c r="BD32">
        <v>23722</v>
      </c>
      <c r="BE32">
        <v>2615302</v>
      </c>
      <c r="BF32">
        <v>1436461</v>
      </c>
      <c r="BG32">
        <v>1028721</v>
      </c>
      <c r="BH32">
        <v>32277</v>
      </c>
      <c r="BI32">
        <v>12496</v>
      </c>
      <c r="BJ32">
        <v>11146</v>
      </c>
    </row>
    <row r="33" spans="1:62" x14ac:dyDescent="0.4">
      <c r="A33" s="1" t="s">
        <v>54</v>
      </c>
      <c r="B33" s="1" t="s">
        <v>55</v>
      </c>
      <c r="C33">
        <v>37894</v>
      </c>
      <c r="D33">
        <v>34346</v>
      </c>
      <c r="E33">
        <v>47850</v>
      </c>
      <c r="F33">
        <v>46817</v>
      </c>
      <c r="G33">
        <v>37284</v>
      </c>
      <c r="H33">
        <v>44258</v>
      </c>
      <c r="I33">
        <v>225946</v>
      </c>
      <c r="J33">
        <v>218583</v>
      </c>
      <c r="K33">
        <v>184335</v>
      </c>
      <c r="L33">
        <v>53056</v>
      </c>
      <c r="M33">
        <v>55934</v>
      </c>
      <c r="N33">
        <v>37982</v>
      </c>
      <c r="O33">
        <v>72615</v>
      </c>
      <c r="P33">
        <v>64513</v>
      </c>
      <c r="Q33">
        <v>78933</v>
      </c>
      <c r="R33">
        <v>16536</v>
      </c>
      <c r="S33">
        <v>17910</v>
      </c>
      <c r="T33">
        <v>29045</v>
      </c>
      <c r="U33">
        <v>21476</v>
      </c>
      <c r="V33">
        <v>25167</v>
      </c>
      <c r="W33">
        <v>41746</v>
      </c>
      <c r="X33">
        <v>557356</v>
      </c>
      <c r="Y33">
        <v>535640</v>
      </c>
      <c r="Z33">
        <v>605871</v>
      </c>
      <c r="AA33">
        <v>30422</v>
      </c>
      <c r="AB33">
        <v>32180</v>
      </c>
      <c r="AC33">
        <v>46694</v>
      </c>
      <c r="AD33">
        <v>11343</v>
      </c>
      <c r="AE33">
        <v>0</v>
      </c>
      <c r="AF33">
        <v>799</v>
      </c>
      <c r="AG33">
        <v>17207</v>
      </c>
      <c r="AH33">
        <v>16793</v>
      </c>
      <c r="AI33">
        <v>13781</v>
      </c>
      <c r="AJ33">
        <v>10396</v>
      </c>
      <c r="AK33">
        <v>13165</v>
      </c>
      <c r="AL33">
        <v>9813</v>
      </c>
      <c r="AM33">
        <v>38366</v>
      </c>
      <c r="AN33">
        <v>32864</v>
      </c>
      <c r="AO33">
        <v>27637</v>
      </c>
      <c r="AP33">
        <v>5588</v>
      </c>
      <c r="AQ33">
        <v>1231</v>
      </c>
      <c r="AR33">
        <v>8061</v>
      </c>
      <c r="AS33">
        <v>45411</v>
      </c>
      <c r="AT33">
        <v>31927</v>
      </c>
      <c r="AU33">
        <v>36391</v>
      </c>
      <c r="AV33">
        <v>661040</v>
      </c>
      <c r="AW33">
        <v>642286</v>
      </c>
      <c r="AX33">
        <v>381334</v>
      </c>
      <c r="AY33">
        <v>10793</v>
      </c>
      <c r="AZ33">
        <v>9892</v>
      </c>
      <c r="BA33">
        <v>6568</v>
      </c>
      <c r="BB33">
        <v>149785</v>
      </c>
      <c r="BC33">
        <v>767</v>
      </c>
      <c r="BD33">
        <v>28535</v>
      </c>
      <c r="BE33">
        <v>2765131</v>
      </c>
      <c r="BF33">
        <v>1473315</v>
      </c>
      <c r="BG33">
        <v>1096299</v>
      </c>
      <c r="BH33">
        <v>32451</v>
      </c>
      <c r="BI33">
        <v>13476</v>
      </c>
      <c r="BJ33">
        <v>11445</v>
      </c>
    </row>
    <row r="34" spans="1:62" x14ac:dyDescent="0.4">
      <c r="A34" s="1" t="s">
        <v>56</v>
      </c>
      <c r="B34" s="1" t="s">
        <v>57</v>
      </c>
      <c r="C34">
        <v>37172</v>
      </c>
      <c r="D34">
        <v>26415</v>
      </c>
      <c r="E34">
        <v>57761</v>
      </c>
      <c r="F34">
        <v>36481</v>
      </c>
      <c r="G34">
        <v>46407</v>
      </c>
      <c r="H34">
        <v>32728</v>
      </c>
      <c r="I34">
        <v>257391</v>
      </c>
      <c r="J34">
        <v>235798</v>
      </c>
      <c r="K34">
        <v>205213</v>
      </c>
      <c r="L34">
        <v>67524</v>
      </c>
      <c r="M34">
        <v>56467</v>
      </c>
      <c r="N34">
        <v>48937</v>
      </c>
      <c r="O34">
        <v>54798</v>
      </c>
      <c r="P34">
        <v>62329</v>
      </c>
      <c r="Q34">
        <v>71388</v>
      </c>
      <c r="R34">
        <v>18522</v>
      </c>
      <c r="S34">
        <v>19026</v>
      </c>
      <c r="T34">
        <v>28487</v>
      </c>
      <c r="U34">
        <v>23802</v>
      </c>
      <c r="V34">
        <v>22946</v>
      </c>
      <c r="W34">
        <v>41811</v>
      </c>
      <c r="X34">
        <v>512519</v>
      </c>
      <c r="Y34">
        <v>473078</v>
      </c>
      <c r="Z34">
        <v>641287</v>
      </c>
      <c r="AA34">
        <v>34197</v>
      </c>
      <c r="AB34">
        <v>28684</v>
      </c>
      <c r="AC34">
        <v>51534</v>
      </c>
      <c r="AD34">
        <v>10567</v>
      </c>
      <c r="AE34">
        <v>0</v>
      </c>
      <c r="AF34">
        <v>596</v>
      </c>
      <c r="AG34">
        <v>16168</v>
      </c>
      <c r="AH34">
        <v>16196</v>
      </c>
      <c r="AI34">
        <v>13710</v>
      </c>
      <c r="AJ34">
        <v>11454</v>
      </c>
      <c r="AK34">
        <v>12455</v>
      </c>
      <c r="AL34">
        <v>12610</v>
      </c>
      <c r="AM34">
        <v>40333</v>
      </c>
      <c r="AN34">
        <v>39715</v>
      </c>
      <c r="AO34">
        <v>24283</v>
      </c>
      <c r="AP34">
        <v>3003</v>
      </c>
      <c r="AQ34">
        <v>1240</v>
      </c>
      <c r="AR34">
        <v>6425</v>
      </c>
      <c r="AS34">
        <v>39705</v>
      </c>
      <c r="AT34">
        <v>53845</v>
      </c>
      <c r="AU34">
        <v>22249</v>
      </c>
      <c r="AV34">
        <v>682772</v>
      </c>
      <c r="AW34">
        <v>651757</v>
      </c>
      <c r="AX34">
        <v>405221</v>
      </c>
      <c r="AY34">
        <v>7827</v>
      </c>
      <c r="AZ34">
        <v>8873</v>
      </c>
      <c r="BA34">
        <v>5686</v>
      </c>
      <c r="BB34">
        <v>120808</v>
      </c>
      <c r="BC34">
        <v>648</v>
      </c>
      <c r="BD34">
        <v>26053</v>
      </c>
      <c r="BE34">
        <v>2776403</v>
      </c>
      <c r="BF34">
        <v>1527141</v>
      </c>
      <c r="BG34">
        <v>1040453</v>
      </c>
      <c r="BH34">
        <v>27489</v>
      </c>
      <c r="BI34">
        <v>9713</v>
      </c>
      <c r="BJ34">
        <v>13003</v>
      </c>
    </row>
    <row r="35" spans="1:62" x14ac:dyDescent="0.4">
      <c r="A35" s="1" t="s">
        <v>58</v>
      </c>
      <c r="B35" s="1" t="s">
        <v>59</v>
      </c>
      <c r="C35">
        <v>42772</v>
      </c>
      <c r="D35">
        <v>45202</v>
      </c>
      <c r="E35">
        <v>54400</v>
      </c>
      <c r="F35">
        <v>35800</v>
      </c>
      <c r="G35">
        <v>33908</v>
      </c>
      <c r="H35">
        <v>33396</v>
      </c>
      <c r="I35">
        <v>256635</v>
      </c>
      <c r="J35">
        <v>257321</v>
      </c>
      <c r="K35">
        <v>203902</v>
      </c>
      <c r="L35">
        <v>46075</v>
      </c>
      <c r="M35">
        <v>57148</v>
      </c>
      <c r="N35">
        <v>37753</v>
      </c>
      <c r="O35">
        <v>67336</v>
      </c>
      <c r="P35">
        <v>58538</v>
      </c>
      <c r="Q35">
        <v>80090</v>
      </c>
      <c r="R35">
        <v>15153</v>
      </c>
      <c r="S35">
        <v>17951</v>
      </c>
      <c r="T35">
        <v>25678</v>
      </c>
      <c r="U35">
        <v>29561</v>
      </c>
      <c r="V35">
        <v>24392</v>
      </c>
      <c r="W35">
        <v>47129</v>
      </c>
      <c r="X35">
        <v>453661</v>
      </c>
      <c r="Y35">
        <v>453447</v>
      </c>
      <c r="Z35">
        <v>640944</v>
      </c>
      <c r="AA35">
        <v>26556</v>
      </c>
      <c r="AB35">
        <v>31381</v>
      </c>
      <c r="AC35">
        <v>48415</v>
      </c>
      <c r="AD35">
        <v>18266</v>
      </c>
      <c r="AE35">
        <v>0</v>
      </c>
      <c r="AF35">
        <v>98</v>
      </c>
      <c r="AG35">
        <v>16278</v>
      </c>
      <c r="AH35">
        <v>16596</v>
      </c>
      <c r="AI35">
        <v>13308</v>
      </c>
      <c r="AJ35">
        <v>13003</v>
      </c>
      <c r="AK35">
        <v>14765</v>
      </c>
      <c r="AL35">
        <v>10598</v>
      </c>
      <c r="AM35">
        <v>40738</v>
      </c>
      <c r="AN35">
        <v>42177</v>
      </c>
      <c r="AO35">
        <v>22810</v>
      </c>
      <c r="AP35">
        <v>6110</v>
      </c>
      <c r="AQ35">
        <v>1056</v>
      </c>
      <c r="AR35">
        <v>8000</v>
      </c>
      <c r="AS35">
        <v>49359</v>
      </c>
      <c r="AT35">
        <v>46456</v>
      </c>
      <c r="AU35">
        <v>25073</v>
      </c>
      <c r="AV35">
        <v>668509</v>
      </c>
      <c r="AW35">
        <v>653071</v>
      </c>
      <c r="AX35">
        <v>414759</v>
      </c>
      <c r="AY35">
        <v>7901</v>
      </c>
      <c r="AZ35">
        <v>8176</v>
      </c>
      <c r="BA35">
        <v>6081</v>
      </c>
      <c r="BB35">
        <v>112462</v>
      </c>
      <c r="BC35">
        <v>594</v>
      </c>
      <c r="BD35">
        <v>26317</v>
      </c>
      <c r="BE35">
        <v>2738420</v>
      </c>
      <c r="BF35">
        <v>1571811</v>
      </c>
      <c r="BG35">
        <v>983761</v>
      </c>
      <c r="BH35">
        <v>31879</v>
      </c>
      <c r="BI35">
        <v>13605</v>
      </c>
      <c r="BJ35">
        <v>11965</v>
      </c>
    </row>
    <row r="36" spans="1:62" x14ac:dyDescent="0.4">
      <c r="A36" s="1" t="s">
        <v>60</v>
      </c>
      <c r="B36" s="1" t="s">
        <v>61</v>
      </c>
      <c r="C36">
        <v>27836</v>
      </c>
      <c r="D36">
        <v>47461</v>
      </c>
      <c r="E36">
        <v>33924</v>
      </c>
      <c r="F36">
        <v>34936</v>
      </c>
      <c r="G36">
        <v>34207</v>
      </c>
      <c r="H36">
        <v>32323</v>
      </c>
      <c r="I36">
        <v>247854</v>
      </c>
      <c r="J36">
        <v>244797</v>
      </c>
      <c r="K36">
        <v>206582</v>
      </c>
      <c r="L36">
        <v>60693</v>
      </c>
      <c r="M36">
        <v>52057</v>
      </c>
      <c r="N36">
        <v>46289</v>
      </c>
      <c r="O36">
        <v>59891</v>
      </c>
      <c r="P36">
        <v>58617</v>
      </c>
      <c r="Q36">
        <v>81263</v>
      </c>
      <c r="R36">
        <v>24944</v>
      </c>
      <c r="S36">
        <v>20320</v>
      </c>
      <c r="T36">
        <v>30417</v>
      </c>
      <c r="U36">
        <v>23602</v>
      </c>
      <c r="V36">
        <v>23904</v>
      </c>
      <c r="W36">
        <v>46566</v>
      </c>
      <c r="X36">
        <v>434144</v>
      </c>
      <c r="Y36">
        <v>442331</v>
      </c>
      <c r="Z36">
        <v>628981</v>
      </c>
      <c r="AA36">
        <v>29476</v>
      </c>
      <c r="AB36">
        <v>28938</v>
      </c>
      <c r="AC36">
        <v>47604</v>
      </c>
      <c r="AD36">
        <v>12889</v>
      </c>
      <c r="AE36">
        <v>0</v>
      </c>
      <c r="AF36">
        <v>705</v>
      </c>
      <c r="AG36">
        <v>16224</v>
      </c>
      <c r="AH36">
        <v>15636</v>
      </c>
      <c r="AI36">
        <v>13833</v>
      </c>
      <c r="AJ36">
        <v>12443</v>
      </c>
      <c r="AK36">
        <v>14674</v>
      </c>
      <c r="AL36">
        <v>11373</v>
      </c>
      <c r="AM36">
        <v>42447</v>
      </c>
      <c r="AN36">
        <v>35977</v>
      </c>
      <c r="AO36">
        <v>26026</v>
      </c>
      <c r="AP36">
        <v>5085</v>
      </c>
      <c r="AQ36">
        <v>1284</v>
      </c>
      <c r="AR36">
        <v>8239</v>
      </c>
      <c r="AS36">
        <v>38616</v>
      </c>
      <c r="AT36">
        <v>43485</v>
      </c>
      <c r="AU36">
        <v>20184</v>
      </c>
      <c r="AV36">
        <v>634051</v>
      </c>
      <c r="AW36">
        <v>641703</v>
      </c>
      <c r="AX36">
        <v>399667</v>
      </c>
      <c r="AY36">
        <v>10309</v>
      </c>
      <c r="AZ36">
        <v>9636</v>
      </c>
      <c r="BA36">
        <v>6386</v>
      </c>
      <c r="BB36">
        <v>128054</v>
      </c>
      <c r="BC36">
        <v>537</v>
      </c>
      <c r="BD36">
        <v>19970</v>
      </c>
      <c r="BE36">
        <v>2818842</v>
      </c>
      <c r="BF36">
        <v>1438606</v>
      </c>
      <c r="BG36">
        <v>1071976</v>
      </c>
      <c r="BH36">
        <v>26040</v>
      </c>
      <c r="BI36">
        <v>13352</v>
      </c>
      <c r="BJ36">
        <v>8996</v>
      </c>
    </row>
    <row r="37" spans="1:62" x14ac:dyDescent="0.4">
      <c r="A37" s="1" t="s">
        <v>62</v>
      </c>
      <c r="B37" s="1" t="s">
        <v>63</v>
      </c>
      <c r="C37">
        <v>21961</v>
      </c>
      <c r="D37">
        <v>16500</v>
      </c>
      <c r="E37">
        <v>38043</v>
      </c>
      <c r="F37">
        <v>25763</v>
      </c>
      <c r="G37">
        <v>28002</v>
      </c>
      <c r="H37">
        <v>28745</v>
      </c>
      <c r="I37">
        <v>213614</v>
      </c>
      <c r="J37">
        <v>228790</v>
      </c>
      <c r="K37">
        <v>190764</v>
      </c>
      <c r="L37">
        <v>53031</v>
      </c>
      <c r="M37">
        <v>56450</v>
      </c>
      <c r="N37">
        <v>42836</v>
      </c>
      <c r="O37">
        <v>56266</v>
      </c>
      <c r="P37">
        <v>52810</v>
      </c>
      <c r="Q37">
        <v>84678</v>
      </c>
      <c r="R37">
        <v>17937</v>
      </c>
      <c r="S37">
        <v>17939</v>
      </c>
      <c r="T37">
        <v>30448</v>
      </c>
      <c r="U37">
        <v>24642</v>
      </c>
      <c r="V37">
        <v>22811</v>
      </c>
      <c r="W37">
        <v>47974</v>
      </c>
      <c r="X37">
        <v>427920</v>
      </c>
      <c r="Y37">
        <v>448223</v>
      </c>
      <c r="Z37">
        <v>605870</v>
      </c>
      <c r="AA37">
        <v>25864</v>
      </c>
      <c r="AB37">
        <v>27469</v>
      </c>
      <c r="AC37">
        <v>46622</v>
      </c>
      <c r="AD37">
        <v>16441</v>
      </c>
      <c r="AE37">
        <v>0</v>
      </c>
      <c r="AF37">
        <v>792</v>
      </c>
      <c r="AG37">
        <v>17351</v>
      </c>
      <c r="AH37">
        <v>17440</v>
      </c>
      <c r="AI37">
        <v>13695</v>
      </c>
      <c r="AJ37">
        <v>13825</v>
      </c>
      <c r="AK37">
        <v>12754</v>
      </c>
      <c r="AL37">
        <v>14137</v>
      </c>
      <c r="AM37">
        <v>37454</v>
      </c>
      <c r="AN37">
        <v>37086</v>
      </c>
      <c r="AO37">
        <v>24457</v>
      </c>
      <c r="AP37">
        <v>5150</v>
      </c>
      <c r="AQ37">
        <v>1296</v>
      </c>
      <c r="AR37">
        <v>7990</v>
      </c>
      <c r="AS37">
        <v>32756</v>
      </c>
      <c r="AT37">
        <v>35367</v>
      </c>
      <c r="AU37">
        <v>17560</v>
      </c>
      <c r="AV37">
        <v>639636</v>
      </c>
      <c r="AW37">
        <v>638466</v>
      </c>
      <c r="AX37">
        <v>393269</v>
      </c>
      <c r="AY37">
        <v>9680</v>
      </c>
      <c r="AZ37">
        <v>9087</v>
      </c>
      <c r="BA37">
        <v>7023</v>
      </c>
      <c r="BB37">
        <v>119574</v>
      </c>
      <c r="BC37">
        <v>666</v>
      </c>
      <c r="BD37">
        <v>28173</v>
      </c>
      <c r="BE37">
        <v>2536670</v>
      </c>
      <c r="BF37">
        <v>1365287</v>
      </c>
      <c r="BG37">
        <v>1022324</v>
      </c>
      <c r="BH37">
        <v>25791</v>
      </c>
      <c r="BI37">
        <v>11109</v>
      </c>
      <c r="BJ37">
        <v>10059</v>
      </c>
    </row>
    <row r="38" spans="1:62" x14ac:dyDescent="0.4">
      <c r="A38" s="1" t="s">
        <v>64</v>
      </c>
      <c r="B38" s="1" t="s">
        <v>65</v>
      </c>
      <c r="C38">
        <v>55966</v>
      </c>
      <c r="D38">
        <v>42934</v>
      </c>
      <c r="E38">
        <v>50137</v>
      </c>
      <c r="F38">
        <v>25926</v>
      </c>
      <c r="G38">
        <v>31784</v>
      </c>
      <c r="H38">
        <v>22280</v>
      </c>
      <c r="I38">
        <v>279150</v>
      </c>
      <c r="J38">
        <v>257821</v>
      </c>
      <c r="K38">
        <v>211246</v>
      </c>
      <c r="L38">
        <v>58188</v>
      </c>
      <c r="M38">
        <v>56362</v>
      </c>
      <c r="N38">
        <v>44623</v>
      </c>
      <c r="O38">
        <v>58591</v>
      </c>
      <c r="P38">
        <v>64199</v>
      </c>
      <c r="Q38">
        <v>79055</v>
      </c>
      <c r="R38">
        <v>19968</v>
      </c>
      <c r="S38">
        <v>21612</v>
      </c>
      <c r="T38">
        <v>29020</v>
      </c>
      <c r="U38">
        <v>22729</v>
      </c>
      <c r="V38">
        <v>26879</v>
      </c>
      <c r="W38">
        <v>43401</v>
      </c>
      <c r="X38">
        <v>528539</v>
      </c>
      <c r="Y38">
        <v>528387</v>
      </c>
      <c r="Z38">
        <v>606057</v>
      </c>
      <c r="AA38">
        <v>33188</v>
      </c>
      <c r="AB38">
        <v>32011</v>
      </c>
      <c r="AC38">
        <v>46491</v>
      </c>
      <c r="AD38">
        <v>18352</v>
      </c>
      <c r="AE38">
        <v>0</v>
      </c>
      <c r="AF38">
        <v>464</v>
      </c>
      <c r="AG38">
        <v>16617</v>
      </c>
      <c r="AH38">
        <v>16883</v>
      </c>
      <c r="AI38">
        <v>13193</v>
      </c>
      <c r="AJ38">
        <v>11816</v>
      </c>
      <c r="AK38">
        <v>15435</v>
      </c>
      <c r="AL38">
        <v>11978</v>
      </c>
      <c r="AM38">
        <v>49956</v>
      </c>
      <c r="AN38">
        <v>42723</v>
      </c>
      <c r="AO38">
        <v>29998</v>
      </c>
      <c r="AP38">
        <v>5314</v>
      </c>
      <c r="AQ38">
        <v>1215</v>
      </c>
      <c r="AR38">
        <v>8762</v>
      </c>
      <c r="AS38">
        <v>39165</v>
      </c>
      <c r="AT38">
        <v>42012</v>
      </c>
      <c r="AU38">
        <v>14633</v>
      </c>
      <c r="AV38">
        <v>729057</v>
      </c>
      <c r="AW38">
        <v>721069</v>
      </c>
      <c r="AX38">
        <v>394921</v>
      </c>
      <c r="AY38">
        <v>11173</v>
      </c>
      <c r="AZ38">
        <v>10345</v>
      </c>
      <c r="BA38">
        <v>7456</v>
      </c>
      <c r="BB38">
        <v>123361</v>
      </c>
      <c r="BC38">
        <v>797</v>
      </c>
      <c r="BD38">
        <v>15260</v>
      </c>
      <c r="BE38">
        <v>2839395</v>
      </c>
      <c r="BF38">
        <v>1575012</v>
      </c>
      <c r="BG38">
        <v>1045303</v>
      </c>
      <c r="BH38">
        <v>30201</v>
      </c>
      <c r="BI38">
        <v>10365</v>
      </c>
      <c r="BJ38">
        <v>11054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C361E-0A7E-443F-B4C5-D71DFB42816F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150</v>
      </c>
      <c r="D3" t="s">
        <v>150</v>
      </c>
      <c r="E3" t="s">
        <v>150</v>
      </c>
      <c r="F3" t="s">
        <v>152</v>
      </c>
      <c r="G3" t="s">
        <v>152</v>
      </c>
      <c r="H3" t="s">
        <v>152</v>
      </c>
      <c r="I3" t="s">
        <v>154</v>
      </c>
      <c r="J3" t="s">
        <v>154</v>
      </c>
      <c r="K3" t="s">
        <v>154</v>
      </c>
      <c r="L3" t="s">
        <v>156</v>
      </c>
      <c r="M3" t="s">
        <v>156</v>
      </c>
      <c r="N3" t="s">
        <v>156</v>
      </c>
      <c r="O3" t="s">
        <v>158</v>
      </c>
      <c r="P3" t="s">
        <v>158</v>
      </c>
      <c r="Q3" t="s">
        <v>158</v>
      </c>
      <c r="R3" t="s">
        <v>160</v>
      </c>
      <c r="S3" t="s">
        <v>160</v>
      </c>
      <c r="T3" t="s">
        <v>160</v>
      </c>
      <c r="U3" t="s">
        <v>162</v>
      </c>
      <c r="V3" t="s">
        <v>162</v>
      </c>
      <c r="W3" t="s">
        <v>162</v>
      </c>
      <c r="X3" t="s">
        <v>164</v>
      </c>
      <c r="Y3" t="s">
        <v>164</v>
      </c>
      <c r="Z3" t="s">
        <v>164</v>
      </c>
      <c r="AA3" t="s">
        <v>166</v>
      </c>
      <c r="AB3" t="s">
        <v>166</v>
      </c>
      <c r="AC3" t="s">
        <v>166</v>
      </c>
      <c r="AD3" t="s">
        <v>168</v>
      </c>
      <c r="AE3" t="s">
        <v>168</v>
      </c>
      <c r="AF3" t="s">
        <v>168</v>
      </c>
    </row>
    <row r="4" spans="1:32" x14ac:dyDescent="0.4">
      <c r="A4" s="1"/>
      <c r="B4" s="2" t="s">
        <v>1</v>
      </c>
      <c r="C4" t="s">
        <v>151</v>
      </c>
      <c r="D4" t="s">
        <v>151</v>
      </c>
      <c r="E4" t="s">
        <v>151</v>
      </c>
      <c r="F4" t="s">
        <v>153</v>
      </c>
      <c r="G4" t="s">
        <v>153</v>
      </c>
      <c r="H4" t="s">
        <v>153</v>
      </c>
      <c r="I4" t="s">
        <v>155</v>
      </c>
      <c r="J4" t="s">
        <v>155</v>
      </c>
      <c r="K4" t="s">
        <v>155</v>
      </c>
      <c r="L4" t="s">
        <v>157</v>
      </c>
      <c r="M4" t="s">
        <v>157</v>
      </c>
      <c r="N4" t="s">
        <v>157</v>
      </c>
      <c r="O4" t="s">
        <v>159</v>
      </c>
      <c r="P4" t="s">
        <v>159</v>
      </c>
      <c r="Q4" t="s">
        <v>159</v>
      </c>
      <c r="R4" t="s">
        <v>161</v>
      </c>
      <c r="S4" t="s">
        <v>161</v>
      </c>
      <c r="T4" t="s">
        <v>161</v>
      </c>
      <c r="U4" t="s">
        <v>163</v>
      </c>
      <c r="V4" t="s">
        <v>163</v>
      </c>
      <c r="W4" t="s">
        <v>163</v>
      </c>
      <c r="X4" t="s">
        <v>165</v>
      </c>
      <c r="Y4" t="s">
        <v>165</v>
      </c>
      <c r="Z4" t="s">
        <v>165</v>
      </c>
      <c r="AA4" t="s">
        <v>167</v>
      </c>
      <c r="AB4" t="s">
        <v>167</v>
      </c>
      <c r="AC4" t="s">
        <v>167</v>
      </c>
      <c r="AD4" t="s">
        <v>169</v>
      </c>
      <c r="AE4" t="s">
        <v>169</v>
      </c>
      <c r="AF4" t="s">
        <v>169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138497</v>
      </c>
      <c r="D9">
        <v>138046</v>
      </c>
      <c r="E9">
        <v>161041</v>
      </c>
      <c r="F9">
        <v>16668972</v>
      </c>
      <c r="G9">
        <v>6244929</v>
      </c>
      <c r="H9">
        <v>413558</v>
      </c>
      <c r="I9">
        <v>1388284</v>
      </c>
      <c r="J9">
        <v>1386358</v>
      </c>
      <c r="K9">
        <v>55200</v>
      </c>
      <c r="L9">
        <v>641617</v>
      </c>
      <c r="M9">
        <v>658968</v>
      </c>
      <c r="N9">
        <v>33301</v>
      </c>
      <c r="O9">
        <v>740332</v>
      </c>
      <c r="P9">
        <v>734136</v>
      </c>
      <c r="Q9">
        <v>56522</v>
      </c>
      <c r="R9">
        <v>8145675</v>
      </c>
      <c r="S9">
        <v>7909058</v>
      </c>
      <c r="T9">
        <v>525040</v>
      </c>
      <c r="U9">
        <v>1583994</v>
      </c>
      <c r="V9">
        <v>1537191</v>
      </c>
      <c r="W9">
        <v>93076</v>
      </c>
      <c r="X9">
        <v>1142297</v>
      </c>
      <c r="Y9">
        <v>1101042</v>
      </c>
      <c r="Z9">
        <v>207269</v>
      </c>
      <c r="AA9">
        <v>10353</v>
      </c>
      <c r="AB9">
        <v>9530</v>
      </c>
      <c r="AC9">
        <v>941</v>
      </c>
      <c r="AD9">
        <v>403960</v>
      </c>
      <c r="AE9">
        <v>400172</v>
      </c>
      <c r="AF9">
        <v>21150</v>
      </c>
    </row>
    <row r="10" spans="1:32" x14ac:dyDescent="0.4">
      <c r="A10" s="1" t="s">
        <v>8</v>
      </c>
      <c r="B10" s="3" t="s">
        <v>9</v>
      </c>
      <c r="C10">
        <v>137361</v>
      </c>
      <c r="D10">
        <v>193514</v>
      </c>
      <c r="E10">
        <v>102400</v>
      </c>
      <c r="F10">
        <v>14440866</v>
      </c>
      <c r="G10">
        <v>5459420</v>
      </c>
      <c r="H10">
        <v>369613</v>
      </c>
      <c r="I10">
        <v>1349244</v>
      </c>
      <c r="J10">
        <v>1354037</v>
      </c>
      <c r="K10">
        <v>49924</v>
      </c>
      <c r="L10">
        <v>592777</v>
      </c>
      <c r="M10">
        <v>592012</v>
      </c>
      <c r="N10">
        <v>33933</v>
      </c>
      <c r="O10">
        <v>673422</v>
      </c>
      <c r="P10">
        <v>685881</v>
      </c>
      <c r="Q10">
        <v>43352</v>
      </c>
      <c r="R10">
        <v>7201197</v>
      </c>
      <c r="S10">
        <v>7125002</v>
      </c>
      <c r="T10">
        <v>458041</v>
      </c>
      <c r="U10">
        <v>1166768</v>
      </c>
      <c r="V10">
        <v>1165809</v>
      </c>
      <c r="W10">
        <v>73307</v>
      </c>
      <c r="X10">
        <v>1142665</v>
      </c>
      <c r="Y10">
        <v>1074576</v>
      </c>
      <c r="Z10">
        <v>275739</v>
      </c>
      <c r="AA10">
        <v>10835</v>
      </c>
      <c r="AB10">
        <v>9730</v>
      </c>
      <c r="AC10">
        <v>821</v>
      </c>
      <c r="AD10">
        <v>394818</v>
      </c>
      <c r="AE10">
        <v>393541</v>
      </c>
      <c r="AF10">
        <v>20918</v>
      </c>
    </row>
    <row r="11" spans="1:32" x14ac:dyDescent="0.4">
      <c r="A11" s="1" t="s">
        <v>10</v>
      </c>
      <c r="B11" s="3" t="s">
        <v>11</v>
      </c>
      <c r="C11">
        <v>125465</v>
      </c>
      <c r="D11">
        <v>167085</v>
      </c>
      <c r="E11">
        <v>57999</v>
      </c>
      <c r="F11">
        <v>14025528</v>
      </c>
      <c r="G11">
        <v>5237436</v>
      </c>
      <c r="H11">
        <v>342886</v>
      </c>
      <c r="I11">
        <v>1264938</v>
      </c>
      <c r="J11">
        <v>1259595</v>
      </c>
      <c r="K11">
        <v>54138</v>
      </c>
      <c r="L11">
        <v>508880</v>
      </c>
      <c r="M11">
        <v>510175</v>
      </c>
      <c r="N11">
        <v>32874</v>
      </c>
      <c r="O11">
        <v>587759</v>
      </c>
      <c r="P11">
        <v>589547</v>
      </c>
      <c r="Q11">
        <v>41313</v>
      </c>
      <c r="R11">
        <v>7397376</v>
      </c>
      <c r="S11">
        <v>7313622</v>
      </c>
      <c r="T11">
        <v>425257</v>
      </c>
      <c r="U11">
        <v>1142080</v>
      </c>
      <c r="V11">
        <v>1128068</v>
      </c>
      <c r="W11">
        <v>69621</v>
      </c>
      <c r="X11">
        <v>1018929</v>
      </c>
      <c r="Y11">
        <v>977631</v>
      </c>
      <c r="Z11">
        <v>304553</v>
      </c>
      <c r="AA11">
        <v>7230</v>
      </c>
      <c r="AB11">
        <v>6390</v>
      </c>
      <c r="AC11">
        <v>673</v>
      </c>
      <c r="AD11">
        <v>361044</v>
      </c>
      <c r="AE11">
        <v>353708</v>
      </c>
      <c r="AF11">
        <v>22070</v>
      </c>
    </row>
    <row r="12" spans="1:32" x14ac:dyDescent="0.4">
      <c r="A12" s="1" t="s">
        <v>12</v>
      </c>
      <c r="B12" s="3" t="s">
        <v>13</v>
      </c>
      <c r="C12">
        <v>136965</v>
      </c>
      <c r="D12">
        <v>131933</v>
      </c>
      <c r="E12">
        <v>60899</v>
      </c>
      <c r="F12">
        <v>13914911</v>
      </c>
      <c r="G12">
        <v>5212578</v>
      </c>
      <c r="H12">
        <v>340650</v>
      </c>
      <c r="I12">
        <v>1308088</v>
      </c>
      <c r="J12">
        <v>1299743</v>
      </c>
      <c r="K12">
        <v>62167</v>
      </c>
      <c r="L12">
        <v>567285</v>
      </c>
      <c r="M12">
        <v>570822</v>
      </c>
      <c r="N12">
        <v>29492</v>
      </c>
      <c r="O12">
        <v>646163</v>
      </c>
      <c r="P12">
        <v>643602</v>
      </c>
      <c r="Q12">
        <v>43609</v>
      </c>
      <c r="R12">
        <v>7000935</v>
      </c>
      <c r="S12">
        <v>6883320</v>
      </c>
      <c r="T12">
        <v>426054</v>
      </c>
      <c r="U12">
        <v>1158094</v>
      </c>
      <c r="V12">
        <v>1141377</v>
      </c>
      <c r="W12">
        <v>69842</v>
      </c>
      <c r="X12">
        <v>1045572</v>
      </c>
      <c r="Y12">
        <v>996436</v>
      </c>
      <c r="Z12">
        <v>337843</v>
      </c>
      <c r="AA12" t="s">
        <v>73</v>
      </c>
      <c r="AB12" t="s">
        <v>73</v>
      </c>
      <c r="AC12" t="s">
        <v>73</v>
      </c>
      <c r="AD12">
        <v>332160</v>
      </c>
      <c r="AE12">
        <v>335118</v>
      </c>
      <c r="AF12">
        <v>18070</v>
      </c>
    </row>
    <row r="13" spans="1:32" x14ac:dyDescent="0.4">
      <c r="A13" s="1" t="s">
        <v>14</v>
      </c>
      <c r="B13" s="3" t="s">
        <v>15</v>
      </c>
      <c r="C13">
        <v>115187</v>
      </c>
      <c r="D13">
        <v>110544</v>
      </c>
      <c r="E13">
        <v>63871</v>
      </c>
      <c r="F13">
        <v>13916329</v>
      </c>
      <c r="G13">
        <v>5019621</v>
      </c>
      <c r="H13">
        <v>366638</v>
      </c>
      <c r="I13">
        <v>1418181</v>
      </c>
      <c r="J13">
        <v>1408174</v>
      </c>
      <c r="K13">
        <v>71791</v>
      </c>
      <c r="L13">
        <v>581777</v>
      </c>
      <c r="M13">
        <v>574514</v>
      </c>
      <c r="N13">
        <v>37012</v>
      </c>
      <c r="O13">
        <v>636172</v>
      </c>
      <c r="P13">
        <v>630256</v>
      </c>
      <c r="Q13">
        <v>49574</v>
      </c>
      <c r="R13">
        <v>6933111</v>
      </c>
      <c r="S13">
        <v>6739278</v>
      </c>
      <c r="T13">
        <v>481148</v>
      </c>
      <c r="U13">
        <v>1081753</v>
      </c>
      <c r="V13">
        <v>1061748</v>
      </c>
      <c r="W13">
        <v>67753</v>
      </c>
      <c r="X13">
        <v>931142</v>
      </c>
      <c r="Y13">
        <v>895561</v>
      </c>
      <c r="Z13">
        <v>357579</v>
      </c>
      <c r="AA13" t="s">
        <v>73</v>
      </c>
      <c r="AB13" t="s">
        <v>73</v>
      </c>
      <c r="AC13" t="s">
        <v>73</v>
      </c>
      <c r="AD13">
        <v>290411</v>
      </c>
      <c r="AE13">
        <v>291205</v>
      </c>
      <c r="AF13">
        <v>17178</v>
      </c>
    </row>
    <row r="14" spans="1:32" x14ac:dyDescent="0.4">
      <c r="A14" s="1" t="s">
        <v>16</v>
      </c>
      <c r="B14" s="1" t="s">
        <v>17</v>
      </c>
      <c r="C14">
        <v>12700</v>
      </c>
      <c r="D14">
        <v>13353</v>
      </c>
      <c r="E14">
        <v>59080</v>
      </c>
      <c r="F14">
        <v>1197480</v>
      </c>
      <c r="G14">
        <v>500283</v>
      </c>
      <c r="H14">
        <v>384322</v>
      </c>
      <c r="I14">
        <v>113387</v>
      </c>
      <c r="J14">
        <v>112883</v>
      </c>
      <c r="K14">
        <v>69777</v>
      </c>
      <c r="L14">
        <v>45340</v>
      </c>
      <c r="M14">
        <v>46419</v>
      </c>
      <c r="N14">
        <v>34459</v>
      </c>
      <c r="O14">
        <v>49854</v>
      </c>
      <c r="P14">
        <v>59259</v>
      </c>
      <c r="Q14">
        <v>37528</v>
      </c>
      <c r="R14">
        <v>628088</v>
      </c>
      <c r="S14">
        <v>610206</v>
      </c>
      <c r="T14">
        <v>486768</v>
      </c>
      <c r="U14">
        <v>105868</v>
      </c>
      <c r="V14">
        <v>101691</v>
      </c>
      <c r="W14">
        <v>73301</v>
      </c>
      <c r="X14">
        <v>90789</v>
      </c>
      <c r="Y14">
        <v>93167</v>
      </c>
      <c r="Z14">
        <v>317249</v>
      </c>
      <c r="AA14">
        <v>522</v>
      </c>
      <c r="AB14">
        <v>745</v>
      </c>
      <c r="AC14">
        <v>363</v>
      </c>
      <c r="AD14">
        <v>28817</v>
      </c>
      <c r="AE14">
        <v>29077</v>
      </c>
      <c r="AF14">
        <v>20473</v>
      </c>
    </row>
    <row r="15" spans="1:32" x14ac:dyDescent="0.4">
      <c r="A15" s="1" t="s">
        <v>18</v>
      </c>
      <c r="B15" s="1" t="s">
        <v>19</v>
      </c>
      <c r="C15">
        <v>13800</v>
      </c>
      <c r="D15">
        <v>12733</v>
      </c>
      <c r="E15">
        <v>59962</v>
      </c>
      <c r="F15">
        <v>1089789</v>
      </c>
      <c r="G15">
        <v>406637</v>
      </c>
      <c r="H15">
        <v>385426</v>
      </c>
      <c r="I15">
        <v>104858</v>
      </c>
      <c r="J15">
        <v>97226</v>
      </c>
      <c r="K15">
        <v>77394</v>
      </c>
      <c r="L15">
        <v>49208</v>
      </c>
      <c r="M15">
        <v>48046</v>
      </c>
      <c r="N15">
        <v>35632</v>
      </c>
      <c r="O15">
        <v>54713</v>
      </c>
      <c r="P15">
        <v>49374</v>
      </c>
      <c r="Q15">
        <v>42873</v>
      </c>
      <c r="R15">
        <v>561429</v>
      </c>
      <c r="S15">
        <v>545892</v>
      </c>
      <c r="T15">
        <v>491245</v>
      </c>
      <c r="U15">
        <v>87571</v>
      </c>
      <c r="V15">
        <v>86353</v>
      </c>
      <c r="W15">
        <v>72981</v>
      </c>
      <c r="X15">
        <v>97310</v>
      </c>
      <c r="Y15">
        <v>80490</v>
      </c>
      <c r="Z15">
        <v>331719</v>
      </c>
      <c r="AA15">
        <v>177</v>
      </c>
      <c r="AB15">
        <v>78</v>
      </c>
      <c r="AC15">
        <v>404</v>
      </c>
      <c r="AD15">
        <v>29462</v>
      </c>
      <c r="AE15">
        <v>29680</v>
      </c>
      <c r="AF15">
        <v>20222</v>
      </c>
    </row>
    <row r="16" spans="1:32" x14ac:dyDescent="0.4">
      <c r="A16" s="1" t="s">
        <v>20</v>
      </c>
      <c r="B16" s="1" t="s">
        <v>21</v>
      </c>
      <c r="C16">
        <v>11711</v>
      </c>
      <c r="D16">
        <v>11572</v>
      </c>
      <c r="E16">
        <v>59950</v>
      </c>
      <c r="F16">
        <v>1164465</v>
      </c>
      <c r="G16">
        <v>436599</v>
      </c>
      <c r="H16">
        <v>378822</v>
      </c>
      <c r="I16">
        <v>115563</v>
      </c>
      <c r="J16">
        <v>115633</v>
      </c>
      <c r="K16">
        <v>77270</v>
      </c>
      <c r="L16">
        <v>48290</v>
      </c>
      <c r="M16">
        <v>45234</v>
      </c>
      <c r="N16">
        <v>38713</v>
      </c>
      <c r="O16">
        <v>58188</v>
      </c>
      <c r="P16">
        <v>45306</v>
      </c>
      <c r="Q16">
        <v>55754</v>
      </c>
      <c r="R16">
        <v>582328</v>
      </c>
      <c r="S16">
        <v>581589</v>
      </c>
      <c r="T16">
        <v>484750</v>
      </c>
      <c r="U16">
        <v>102120</v>
      </c>
      <c r="V16">
        <v>104134</v>
      </c>
      <c r="W16">
        <v>69636</v>
      </c>
      <c r="X16">
        <v>97788</v>
      </c>
      <c r="Y16">
        <v>92170</v>
      </c>
      <c r="Z16">
        <v>336739</v>
      </c>
      <c r="AA16">
        <v>421</v>
      </c>
      <c r="AB16">
        <v>285</v>
      </c>
      <c r="AC16">
        <v>467</v>
      </c>
      <c r="AD16">
        <v>28795</v>
      </c>
      <c r="AE16">
        <v>28614</v>
      </c>
      <c r="AF16">
        <v>20362</v>
      </c>
    </row>
    <row r="17" spans="1:32" x14ac:dyDescent="0.4">
      <c r="A17" s="1" t="s">
        <v>22</v>
      </c>
      <c r="B17" s="1" t="s">
        <v>23</v>
      </c>
      <c r="C17">
        <v>10975</v>
      </c>
      <c r="D17">
        <v>10518</v>
      </c>
      <c r="E17">
        <v>60285</v>
      </c>
      <c r="F17">
        <v>1125721</v>
      </c>
      <c r="G17">
        <v>396952</v>
      </c>
      <c r="H17">
        <v>395742</v>
      </c>
      <c r="I17">
        <v>106573</v>
      </c>
      <c r="J17">
        <v>111572</v>
      </c>
      <c r="K17">
        <v>72229</v>
      </c>
      <c r="L17">
        <v>46691</v>
      </c>
      <c r="M17">
        <v>51175</v>
      </c>
      <c r="N17">
        <v>34236</v>
      </c>
      <c r="O17">
        <v>44817</v>
      </c>
      <c r="P17">
        <v>50709</v>
      </c>
      <c r="Q17">
        <v>49840</v>
      </c>
      <c r="R17">
        <v>570583</v>
      </c>
      <c r="S17">
        <v>583947</v>
      </c>
      <c r="T17">
        <v>463993</v>
      </c>
      <c r="U17">
        <v>97057</v>
      </c>
      <c r="V17">
        <v>95551</v>
      </c>
      <c r="W17">
        <v>69974</v>
      </c>
      <c r="X17">
        <v>84973</v>
      </c>
      <c r="Y17">
        <v>84246</v>
      </c>
      <c r="Z17">
        <v>337057</v>
      </c>
      <c r="AA17">
        <v>455</v>
      </c>
      <c r="AB17">
        <v>421</v>
      </c>
      <c r="AC17">
        <v>459</v>
      </c>
      <c r="AD17">
        <v>27353</v>
      </c>
      <c r="AE17">
        <v>27824</v>
      </c>
      <c r="AF17">
        <v>20234</v>
      </c>
    </row>
    <row r="18" spans="1:32" x14ac:dyDescent="0.4">
      <c r="A18" s="1" t="s">
        <v>24</v>
      </c>
      <c r="B18" s="1" t="s">
        <v>25</v>
      </c>
      <c r="C18">
        <v>10213</v>
      </c>
      <c r="D18">
        <v>10967</v>
      </c>
      <c r="E18">
        <v>59244</v>
      </c>
      <c r="F18">
        <v>1178998</v>
      </c>
      <c r="G18">
        <v>478472</v>
      </c>
      <c r="H18">
        <v>388716</v>
      </c>
      <c r="I18">
        <v>108134</v>
      </c>
      <c r="J18">
        <v>121510</v>
      </c>
      <c r="K18">
        <v>58779</v>
      </c>
      <c r="L18">
        <v>45793</v>
      </c>
      <c r="M18">
        <v>47226</v>
      </c>
      <c r="N18">
        <v>32816</v>
      </c>
      <c r="O18">
        <v>49673</v>
      </c>
      <c r="P18">
        <v>58398</v>
      </c>
      <c r="Q18">
        <v>41125</v>
      </c>
      <c r="R18">
        <v>565455</v>
      </c>
      <c r="S18">
        <v>587290</v>
      </c>
      <c r="T18">
        <v>433456</v>
      </c>
      <c r="U18">
        <v>94246</v>
      </c>
      <c r="V18">
        <v>99626</v>
      </c>
      <c r="W18">
        <v>63682</v>
      </c>
      <c r="X18">
        <v>93676</v>
      </c>
      <c r="Y18">
        <v>98364</v>
      </c>
      <c r="Z18">
        <v>331022</v>
      </c>
      <c r="AA18">
        <v>395</v>
      </c>
      <c r="AB18">
        <v>281</v>
      </c>
      <c r="AC18">
        <v>565</v>
      </c>
      <c r="AD18">
        <v>28604</v>
      </c>
      <c r="AE18">
        <v>29207</v>
      </c>
      <c r="AF18">
        <v>19603</v>
      </c>
    </row>
    <row r="19" spans="1:32" x14ac:dyDescent="0.4">
      <c r="A19" s="1" t="s">
        <v>26</v>
      </c>
      <c r="B19" s="1" t="s">
        <v>27</v>
      </c>
      <c r="C19">
        <v>9388</v>
      </c>
      <c r="D19">
        <v>8222</v>
      </c>
      <c r="E19">
        <v>60176</v>
      </c>
      <c r="F19">
        <v>1161579</v>
      </c>
      <c r="G19">
        <v>383699</v>
      </c>
      <c r="H19">
        <v>453832</v>
      </c>
      <c r="I19">
        <v>99832</v>
      </c>
      <c r="J19">
        <v>90219</v>
      </c>
      <c r="K19">
        <v>68340</v>
      </c>
      <c r="L19">
        <v>47639</v>
      </c>
      <c r="M19">
        <v>41439</v>
      </c>
      <c r="N19">
        <v>39007</v>
      </c>
      <c r="O19">
        <v>55733</v>
      </c>
      <c r="P19">
        <v>42500</v>
      </c>
      <c r="Q19">
        <v>54357</v>
      </c>
      <c r="R19">
        <v>546676</v>
      </c>
      <c r="S19">
        <v>469212</v>
      </c>
      <c r="T19">
        <v>501930</v>
      </c>
      <c r="U19">
        <v>108961</v>
      </c>
      <c r="V19">
        <v>80911</v>
      </c>
      <c r="W19">
        <v>90480</v>
      </c>
      <c r="X19">
        <v>82548</v>
      </c>
      <c r="Y19">
        <v>74012</v>
      </c>
      <c r="Z19">
        <v>338722</v>
      </c>
      <c r="AA19">
        <v>626</v>
      </c>
      <c r="AB19">
        <v>392</v>
      </c>
      <c r="AC19">
        <v>751</v>
      </c>
      <c r="AD19">
        <v>25485</v>
      </c>
      <c r="AE19">
        <v>25423</v>
      </c>
      <c r="AF19">
        <v>19516</v>
      </c>
    </row>
    <row r="20" spans="1:32" x14ac:dyDescent="0.4">
      <c r="A20" s="1" t="s">
        <v>28</v>
      </c>
      <c r="B20" s="1" t="s">
        <v>29</v>
      </c>
      <c r="C20">
        <v>9837</v>
      </c>
      <c r="D20">
        <v>10066</v>
      </c>
      <c r="E20">
        <v>59824</v>
      </c>
      <c r="F20">
        <v>1195172</v>
      </c>
      <c r="G20">
        <v>512456</v>
      </c>
      <c r="H20">
        <v>394840</v>
      </c>
      <c r="I20">
        <v>105556</v>
      </c>
      <c r="J20">
        <v>110482</v>
      </c>
      <c r="K20">
        <v>63392</v>
      </c>
      <c r="L20">
        <v>47706</v>
      </c>
      <c r="M20">
        <v>53054</v>
      </c>
      <c r="N20">
        <v>33662</v>
      </c>
      <c r="O20">
        <v>52385</v>
      </c>
      <c r="P20">
        <v>66155</v>
      </c>
      <c r="Q20">
        <v>40585</v>
      </c>
      <c r="R20">
        <v>612877</v>
      </c>
      <c r="S20">
        <v>609524</v>
      </c>
      <c r="T20">
        <v>495399</v>
      </c>
      <c r="U20">
        <v>96608</v>
      </c>
      <c r="V20">
        <v>103916</v>
      </c>
      <c r="W20">
        <v>82035</v>
      </c>
      <c r="X20">
        <v>91958</v>
      </c>
      <c r="Y20">
        <v>89095</v>
      </c>
      <c r="Z20">
        <v>339885</v>
      </c>
      <c r="AA20">
        <v>666</v>
      </c>
      <c r="AB20">
        <v>509</v>
      </c>
      <c r="AC20">
        <v>814</v>
      </c>
      <c r="AD20">
        <v>29046</v>
      </c>
      <c r="AE20">
        <v>28872</v>
      </c>
      <c r="AF20">
        <v>19589</v>
      </c>
    </row>
    <row r="21" spans="1:32" x14ac:dyDescent="0.4">
      <c r="A21" s="1" t="s">
        <v>30</v>
      </c>
      <c r="B21" s="1" t="s">
        <v>31</v>
      </c>
      <c r="C21">
        <v>11268</v>
      </c>
      <c r="D21">
        <v>10063</v>
      </c>
      <c r="E21">
        <v>60876</v>
      </c>
      <c r="F21">
        <v>1202540</v>
      </c>
      <c r="G21">
        <v>434605</v>
      </c>
      <c r="H21">
        <v>400982</v>
      </c>
      <c r="I21">
        <v>115880</v>
      </c>
      <c r="J21">
        <v>114236</v>
      </c>
      <c r="K21">
        <v>64991</v>
      </c>
      <c r="L21">
        <v>45750</v>
      </c>
      <c r="M21">
        <v>45507</v>
      </c>
      <c r="N21">
        <v>33923</v>
      </c>
      <c r="O21">
        <v>57860</v>
      </c>
      <c r="P21">
        <v>52637</v>
      </c>
      <c r="Q21">
        <v>45808</v>
      </c>
      <c r="R21">
        <v>617919</v>
      </c>
      <c r="S21">
        <v>607061</v>
      </c>
      <c r="T21">
        <v>495258</v>
      </c>
      <c r="U21">
        <v>91228</v>
      </c>
      <c r="V21">
        <v>97969</v>
      </c>
      <c r="W21">
        <v>73878</v>
      </c>
      <c r="X21">
        <v>75011</v>
      </c>
      <c r="Y21">
        <v>77069</v>
      </c>
      <c r="Z21">
        <v>335956</v>
      </c>
      <c r="AA21" t="s">
        <v>73</v>
      </c>
      <c r="AB21" t="s">
        <v>73</v>
      </c>
      <c r="AC21" t="s">
        <v>73</v>
      </c>
      <c r="AD21">
        <v>28323</v>
      </c>
      <c r="AE21">
        <v>30300</v>
      </c>
      <c r="AF21">
        <v>17700</v>
      </c>
    </row>
    <row r="22" spans="1:32" x14ac:dyDescent="0.4">
      <c r="A22" s="1" t="s">
        <v>32</v>
      </c>
      <c r="B22" s="1" t="s">
        <v>33</v>
      </c>
      <c r="C22">
        <v>9001</v>
      </c>
      <c r="D22">
        <v>9232</v>
      </c>
      <c r="E22">
        <v>60282</v>
      </c>
      <c r="F22">
        <v>1141606</v>
      </c>
      <c r="G22">
        <v>415020</v>
      </c>
      <c r="H22">
        <v>389265</v>
      </c>
      <c r="I22">
        <v>109508</v>
      </c>
      <c r="J22">
        <v>114176</v>
      </c>
      <c r="K22">
        <v>60305</v>
      </c>
      <c r="L22">
        <v>48945</v>
      </c>
      <c r="M22">
        <v>47944</v>
      </c>
      <c r="N22">
        <v>34917</v>
      </c>
      <c r="O22">
        <v>58733</v>
      </c>
      <c r="P22">
        <v>61960</v>
      </c>
      <c r="Q22">
        <v>42508</v>
      </c>
      <c r="R22">
        <v>567964</v>
      </c>
      <c r="S22">
        <v>596714</v>
      </c>
      <c r="T22">
        <v>456599</v>
      </c>
      <c r="U22">
        <v>91139</v>
      </c>
      <c r="V22">
        <v>99761</v>
      </c>
      <c r="W22">
        <v>64050</v>
      </c>
      <c r="X22">
        <v>74866</v>
      </c>
      <c r="Y22">
        <v>74476</v>
      </c>
      <c r="Z22">
        <v>334941</v>
      </c>
      <c r="AA22" t="s">
        <v>73</v>
      </c>
      <c r="AB22" t="s">
        <v>73</v>
      </c>
      <c r="AC22" t="s">
        <v>73</v>
      </c>
      <c r="AD22">
        <v>27891</v>
      </c>
      <c r="AE22">
        <v>27444</v>
      </c>
      <c r="AF22">
        <v>18161</v>
      </c>
    </row>
    <row r="23" spans="1:32" x14ac:dyDescent="0.4">
      <c r="A23" s="1" t="s">
        <v>34</v>
      </c>
      <c r="B23" s="1" t="s">
        <v>35</v>
      </c>
      <c r="C23">
        <v>9909</v>
      </c>
      <c r="D23">
        <v>9114</v>
      </c>
      <c r="E23">
        <v>60899</v>
      </c>
      <c r="F23">
        <v>1092398</v>
      </c>
      <c r="G23">
        <v>427345</v>
      </c>
      <c r="H23">
        <v>340650</v>
      </c>
      <c r="I23">
        <v>123082</v>
      </c>
      <c r="J23">
        <v>121268</v>
      </c>
      <c r="K23">
        <v>62167</v>
      </c>
      <c r="L23">
        <v>53431</v>
      </c>
      <c r="M23">
        <v>58884</v>
      </c>
      <c r="N23">
        <v>29492</v>
      </c>
      <c r="O23">
        <v>58112</v>
      </c>
      <c r="P23">
        <v>57007</v>
      </c>
      <c r="Q23">
        <v>43609</v>
      </c>
      <c r="R23">
        <v>556046</v>
      </c>
      <c r="S23">
        <v>576560</v>
      </c>
      <c r="T23">
        <v>426054</v>
      </c>
      <c r="U23">
        <v>103488</v>
      </c>
      <c r="V23">
        <v>95543</v>
      </c>
      <c r="W23">
        <v>69842</v>
      </c>
      <c r="X23">
        <v>76915</v>
      </c>
      <c r="Y23">
        <v>73116</v>
      </c>
      <c r="Z23">
        <v>337843</v>
      </c>
      <c r="AA23" t="s">
        <v>73</v>
      </c>
      <c r="AB23" t="s">
        <v>73</v>
      </c>
      <c r="AC23" t="s">
        <v>73</v>
      </c>
      <c r="AD23">
        <v>23619</v>
      </c>
      <c r="AE23">
        <v>23682</v>
      </c>
      <c r="AF23">
        <v>18070</v>
      </c>
    </row>
    <row r="24" spans="1:32" x14ac:dyDescent="0.4">
      <c r="A24" s="1" t="s">
        <v>36</v>
      </c>
      <c r="B24" s="1" t="s">
        <v>37</v>
      </c>
      <c r="C24">
        <v>9911</v>
      </c>
      <c r="D24">
        <v>9529</v>
      </c>
      <c r="E24">
        <v>61158</v>
      </c>
      <c r="F24">
        <v>1228943</v>
      </c>
      <c r="G24">
        <v>424051</v>
      </c>
      <c r="H24">
        <v>364204</v>
      </c>
      <c r="I24">
        <v>124484</v>
      </c>
      <c r="J24">
        <v>111942</v>
      </c>
      <c r="K24">
        <v>74678</v>
      </c>
      <c r="L24">
        <v>49085</v>
      </c>
      <c r="M24">
        <v>49086</v>
      </c>
      <c r="N24">
        <v>29493</v>
      </c>
      <c r="O24">
        <v>58061</v>
      </c>
      <c r="P24">
        <v>56935</v>
      </c>
      <c r="Q24">
        <v>44728</v>
      </c>
      <c r="R24">
        <v>606914</v>
      </c>
      <c r="S24">
        <v>567938</v>
      </c>
      <c r="T24">
        <v>454166</v>
      </c>
      <c r="U24">
        <v>89851</v>
      </c>
      <c r="V24">
        <v>89630</v>
      </c>
      <c r="W24">
        <v>68835</v>
      </c>
      <c r="X24">
        <v>74223</v>
      </c>
      <c r="Y24">
        <v>76323</v>
      </c>
      <c r="Z24">
        <v>334088</v>
      </c>
      <c r="AA24" t="s">
        <v>73</v>
      </c>
      <c r="AB24" t="s">
        <v>73</v>
      </c>
      <c r="AC24" t="s">
        <v>73</v>
      </c>
      <c r="AD24">
        <v>24528</v>
      </c>
      <c r="AE24">
        <v>24485</v>
      </c>
      <c r="AF24">
        <v>18114</v>
      </c>
    </row>
    <row r="25" spans="1:32" x14ac:dyDescent="0.4">
      <c r="A25" s="1" t="s">
        <v>38</v>
      </c>
      <c r="B25" s="1" t="s">
        <v>39</v>
      </c>
      <c r="C25">
        <v>9215</v>
      </c>
      <c r="D25">
        <v>9442</v>
      </c>
      <c r="E25">
        <v>60770</v>
      </c>
      <c r="F25">
        <v>1095166</v>
      </c>
      <c r="G25">
        <v>430858</v>
      </c>
      <c r="H25">
        <v>351438</v>
      </c>
      <c r="I25">
        <v>107229</v>
      </c>
      <c r="J25">
        <v>122718</v>
      </c>
      <c r="K25">
        <v>59234</v>
      </c>
      <c r="L25">
        <v>41712</v>
      </c>
      <c r="M25">
        <v>44215</v>
      </c>
      <c r="N25">
        <v>26955</v>
      </c>
      <c r="O25">
        <v>49762</v>
      </c>
      <c r="P25">
        <v>56872</v>
      </c>
      <c r="Q25">
        <v>37616</v>
      </c>
      <c r="R25">
        <v>559658</v>
      </c>
      <c r="S25">
        <v>565882</v>
      </c>
      <c r="T25">
        <v>438684</v>
      </c>
      <c r="U25">
        <v>67309</v>
      </c>
      <c r="V25">
        <v>78362</v>
      </c>
      <c r="W25">
        <v>56403</v>
      </c>
      <c r="X25">
        <v>81326</v>
      </c>
      <c r="Y25">
        <v>74817</v>
      </c>
      <c r="Z25">
        <v>338793</v>
      </c>
      <c r="AA25" t="s">
        <v>73</v>
      </c>
      <c r="AB25" t="s">
        <v>73</v>
      </c>
      <c r="AC25" t="s">
        <v>73</v>
      </c>
      <c r="AD25">
        <v>21333</v>
      </c>
      <c r="AE25">
        <v>21546</v>
      </c>
      <c r="AF25">
        <v>17895</v>
      </c>
    </row>
    <row r="26" spans="1:32" x14ac:dyDescent="0.4">
      <c r="A26" s="1" t="s">
        <v>40</v>
      </c>
      <c r="B26" s="1" t="s">
        <v>41</v>
      </c>
      <c r="C26">
        <v>11018</v>
      </c>
      <c r="D26">
        <v>9828</v>
      </c>
      <c r="E26">
        <v>61835</v>
      </c>
      <c r="F26">
        <v>1204067</v>
      </c>
      <c r="G26">
        <v>450163</v>
      </c>
      <c r="H26">
        <v>348299</v>
      </c>
      <c r="I26">
        <v>131474</v>
      </c>
      <c r="J26">
        <v>127307</v>
      </c>
      <c r="K26">
        <v>63355</v>
      </c>
      <c r="L26">
        <v>51012</v>
      </c>
      <c r="M26">
        <v>51258</v>
      </c>
      <c r="N26">
        <v>26751</v>
      </c>
      <c r="O26">
        <v>53115</v>
      </c>
      <c r="P26">
        <v>54410</v>
      </c>
      <c r="Q26">
        <v>36316</v>
      </c>
      <c r="R26">
        <v>611061</v>
      </c>
      <c r="S26">
        <v>608251</v>
      </c>
      <c r="T26">
        <v>427986</v>
      </c>
      <c r="U26">
        <v>82213</v>
      </c>
      <c r="V26">
        <v>80430</v>
      </c>
      <c r="W26">
        <v>56646</v>
      </c>
      <c r="X26">
        <v>79317</v>
      </c>
      <c r="Y26">
        <v>82085</v>
      </c>
      <c r="Z26">
        <v>335059</v>
      </c>
      <c r="AA26" t="s">
        <v>73</v>
      </c>
      <c r="AB26" t="s">
        <v>73</v>
      </c>
      <c r="AC26" t="s">
        <v>73</v>
      </c>
      <c r="AD26">
        <v>23665</v>
      </c>
      <c r="AE26">
        <v>23716</v>
      </c>
      <c r="AF26">
        <v>17985</v>
      </c>
    </row>
    <row r="27" spans="1:32" x14ac:dyDescent="0.4">
      <c r="A27" s="1" t="s">
        <v>42</v>
      </c>
      <c r="B27" s="1" t="s">
        <v>43</v>
      </c>
      <c r="C27">
        <v>8465</v>
      </c>
      <c r="D27">
        <v>8629</v>
      </c>
      <c r="E27">
        <v>61538</v>
      </c>
      <c r="F27">
        <v>1184507</v>
      </c>
      <c r="G27">
        <v>391710</v>
      </c>
      <c r="H27">
        <v>393753</v>
      </c>
      <c r="I27">
        <v>125022</v>
      </c>
      <c r="J27">
        <v>116854</v>
      </c>
      <c r="K27">
        <v>71463</v>
      </c>
      <c r="L27">
        <v>53087</v>
      </c>
      <c r="M27">
        <v>46192</v>
      </c>
      <c r="N27">
        <v>33689</v>
      </c>
      <c r="O27">
        <v>53032</v>
      </c>
      <c r="P27">
        <v>45492</v>
      </c>
      <c r="Q27">
        <v>43853</v>
      </c>
      <c r="R27">
        <v>570117</v>
      </c>
      <c r="S27">
        <v>538022</v>
      </c>
      <c r="T27">
        <v>446098</v>
      </c>
      <c r="U27">
        <v>83594</v>
      </c>
      <c r="V27">
        <v>76917</v>
      </c>
      <c r="W27">
        <v>60650</v>
      </c>
      <c r="X27">
        <v>72608</v>
      </c>
      <c r="Y27">
        <v>67613</v>
      </c>
      <c r="Z27">
        <v>338321</v>
      </c>
      <c r="AA27" t="s">
        <v>73</v>
      </c>
      <c r="AB27" t="s">
        <v>73</v>
      </c>
      <c r="AC27" t="s">
        <v>73</v>
      </c>
      <c r="AD27">
        <v>25125</v>
      </c>
      <c r="AE27">
        <v>25009</v>
      </c>
      <c r="AF27">
        <v>18112</v>
      </c>
    </row>
    <row r="28" spans="1:32" x14ac:dyDescent="0.4">
      <c r="A28" s="1" t="s">
        <v>44</v>
      </c>
      <c r="B28" s="1" t="s">
        <v>45</v>
      </c>
      <c r="C28">
        <v>9121</v>
      </c>
      <c r="D28">
        <v>9299</v>
      </c>
      <c r="E28">
        <v>61272</v>
      </c>
      <c r="F28">
        <v>1201049</v>
      </c>
      <c r="G28">
        <v>445135</v>
      </c>
      <c r="H28">
        <v>382116</v>
      </c>
      <c r="I28">
        <v>118821</v>
      </c>
      <c r="J28">
        <v>108221</v>
      </c>
      <c r="K28">
        <v>82027</v>
      </c>
      <c r="L28">
        <v>49044</v>
      </c>
      <c r="M28">
        <v>44139</v>
      </c>
      <c r="N28">
        <v>38635</v>
      </c>
      <c r="O28">
        <v>54528</v>
      </c>
      <c r="P28">
        <v>54129</v>
      </c>
      <c r="Q28">
        <v>44250</v>
      </c>
      <c r="R28">
        <v>584418</v>
      </c>
      <c r="S28">
        <v>545535</v>
      </c>
      <c r="T28">
        <v>473345</v>
      </c>
      <c r="U28">
        <v>106884</v>
      </c>
      <c r="V28">
        <v>97339</v>
      </c>
      <c r="W28">
        <v>68376</v>
      </c>
      <c r="X28">
        <v>82337</v>
      </c>
      <c r="Y28">
        <v>82621</v>
      </c>
      <c r="Z28">
        <v>336910</v>
      </c>
      <c r="AA28" t="s">
        <v>73</v>
      </c>
      <c r="AB28" t="s">
        <v>73</v>
      </c>
      <c r="AC28" t="s">
        <v>73</v>
      </c>
      <c r="AD28">
        <v>23463</v>
      </c>
      <c r="AE28">
        <v>23657</v>
      </c>
      <c r="AF28">
        <v>18075</v>
      </c>
    </row>
    <row r="29" spans="1:32" x14ac:dyDescent="0.4">
      <c r="A29" s="1" t="s">
        <v>46</v>
      </c>
      <c r="B29" s="1" t="s">
        <v>47</v>
      </c>
      <c r="C29">
        <v>10279</v>
      </c>
      <c r="D29">
        <v>9210</v>
      </c>
      <c r="E29">
        <v>62237</v>
      </c>
      <c r="F29">
        <v>1171459</v>
      </c>
      <c r="G29">
        <v>401601</v>
      </c>
      <c r="H29">
        <v>381176</v>
      </c>
      <c r="I29">
        <v>108783</v>
      </c>
      <c r="J29">
        <v>121621</v>
      </c>
      <c r="K29">
        <v>69179</v>
      </c>
      <c r="L29">
        <v>46918</v>
      </c>
      <c r="M29">
        <v>51435</v>
      </c>
      <c r="N29">
        <v>34121</v>
      </c>
      <c r="O29">
        <v>56737</v>
      </c>
      <c r="P29">
        <v>54746</v>
      </c>
      <c r="Q29">
        <v>46238</v>
      </c>
      <c r="R29">
        <v>582614</v>
      </c>
      <c r="S29">
        <v>582794</v>
      </c>
      <c r="T29">
        <v>462206</v>
      </c>
      <c r="U29">
        <v>106517</v>
      </c>
      <c r="V29">
        <v>105566</v>
      </c>
      <c r="W29">
        <v>67210</v>
      </c>
      <c r="X29">
        <v>82197</v>
      </c>
      <c r="Y29">
        <v>82899</v>
      </c>
      <c r="Z29">
        <v>334676</v>
      </c>
      <c r="AA29" t="s">
        <v>73</v>
      </c>
      <c r="AB29" t="s">
        <v>73</v>
      </c>
      <c r="AC29" t="s">
        <v>73</v>
      </c>
      <c r="AD29">
        <v>24766</v>
      </c>
      <c r="AE29">
        <v>24474</v>
      </c>
      <c r="AF29">
        <v>18370</v>
      </c>
    </row>
    <row r="30" spans="1:32" x14ac:dyDescent="0.4">
      <c r="A30" s="1" t="s">
        <v>48</v>
      </c>
      <c r="B30" s="1" t="s">
        <v>49</v>
      </c>
      <c r="C30">
        <v>9231</v>
      </c>
      <c r="D30">
        <v>9759</v>
      </c>
      <c r="E30">
        <v>61545</v>
      </c>
      <c r="F30">
        <v>1157430</v>
      </c>
      <c r="G30">
        <v>439760</v>
      </c>
      <c r="H30">
        <v>371369</v>
      </c>
      <c r="I30">
        <v>120127</v>
      </c>
      <c r="J30">
        <v>116144</v>
      </c>
      <c r="K30">
        <v>73161</v>
      </c>
      <c r="L30">
        <v>42363</v>
      </c>
      <c r="M30">
        <v>50779</v>
      </c>
      <c r="N30">
        <v>25763</v>
      </c>
      <c r="O30">
        <v>53102</v>
      </c>
      <c r="P30">
        <v>56225</v>
      </c>
      <c r="Q30">
        <v>43114</v>
      </c>
      <c r="R30">
        <v>590826</v>
      </c>
      <c r="S30">
        <v>572562</v>
      </c>
      <c r="T30">
        <v>468532</v>
      </c>
      <c r="U30">
        <v>97929</v>
      </c>
      <c r="V30">
        <v>92821</v>
      </c>
      <c r="W30">
        <v>70525</v>
      </c>
      <c r="X30">
        <v>82163</v>
      </c>
      <c r="Y30">
        <v>74141</v>
      </c>
      <c r="Z30">
        <v>340942</v>
      </c>
      <c r="AA30" t="s">
        <v>73</v>
      </c>
      <c r="AB30" t="s">
        <v>73</v>
      </c>
      <c r="AC30" t="s">
        <v>73</v>
      </c>
      <c r="AD30">
        <v>26784</v>
      </c>
      <c r="AE30">
        <v>27501</v>
      </c>
      <c r="AF30">
        <v>17700</v>
      </c>
    </row>
    <row r="31" spans="1:32" x14ac:dyDescent="0.4">
      <c r="A31" s="1" t="s">
        <v>50</v>
      </c>
      <c r="B31" s="1" t="s">
        <v>51</v>
      </c>
      <c r="C31">
        <v>7778</v>
      </c>
      <c r="D31">
        <v>7889</v>
      </c>
      <c r="E31">
        <v>61328</v>
      </c>
      <c r="F31">
        <v>1195007</v>
      </c>
      <c r="G31">
        <v>426250</v>
      </c>
      <c r="H31">
        <v>411353</v>
      </c>
      <c r="I31">
        <v>118361</v>
      </c>
      <c r="J31">
        <v>113244</v>
      </c>
      <c r="K31">
        <v>78026</v>
      </c>
      <c r="L31">
        <v>48259</v>
      </c>
      <c r="M31">
        <v>45450</v>
      </c>
      <c r="N31">
        <v>28593</v>
      </c>
      <c r="O31">
        <v>49104</v>
      </c>
      <c r="P31">
        <v>47807</v>
      </c>
      <c r="Q31">
        <v>44404</v>
      </c>
      <c r="R31">
        <v>556977</v>
      </c>
      <c r="S31">
        <v>532282</v>
      </c>
      <c r="T31">
        <v>483421</v>
      </c>
      <c r="U31">
        <v>92280</v>
      </c>
      <c r="V31">
        <v>87221</v>
      </c>
      <c r="W31">
        <v>73927</v>
      </c>
      <c r="X31">
        <v>75457</v>
      </c>
      <c r="Y31">
        <v>71359</v>
      </c>
      <c r="Z31">
        <v>345000</v>
      </c>
      <c r="AA31" t="s">
        <v>73</v>
      </c>
      <c r="AB31" t="s">
        <v>73</v>
      </c>
      <c r="AC31" t="s">
        <v>73</v>
      </c>
      <c r="AD31">
        <v>21563</v>
      </c>
      <c r="AE31">
        <v>21701</v>
      </c>
      <c r="AF31">
        <v>17400</v>
      </c>
    </row>
    <row r="32" spans="1:32" x14ac:dyDescent="0.4">
      <c r="A32" s="1" t="s">
        <v>52</v>
      </c>
      <c r="B32" s="1" t="s">
        <v>53</v>
      </c>
      <c r="C32">
        <v>10216</v>
      </c>
      <c r="D32">
        <v>9262</v>
      </c>
      <c r="E32">
        <v>62131</v>
      </c>
      <c r="F32">
        <v>1132683</v>
      </c>
      <c r="G32">
        <v>419822</v>
      </c>
      <c r="H32">
        <v>369971</v>
      </c>
      <c r="I32">
        <v>125687</v>
      </c>
      <c r="J32">
        <v>118195</v>
      </c>
      <c r="K32">
        <v>85614</v>
      </c>
      <c r="L32">
        <v>53262</v>
      </c>
      <c r="M32">
        <v>47326</v>
      </c>
      <c r="N32">
        <v>34512</v>
      </c>
      <c r="O32">
        <v>48557</v>
      </c>
      <c r="P32">
        <v>49039</v>
      </c>
      <c r="Q32">
        <v>43905</v>
      </c>
      <c r="R32">
        <v>585894</v>
      </c>
      <c r="S32">
        <v>575078</v>
      </c>
      <c r="T32">
        <v>483125</v>
      </c>
      <c r="U32">
        <v>100858</v>
      </c>
      <c r="V32">
        <v>88440</v>
      </c>
      <c r="W32">
        <v>84340</v>
      </c>
      <c r="X32">
        <v>86421</v>
      </c>
      <c r="Y32">
        <v>75080</v>
      </c>
      <c r="Z32">
        <v>354670</v>
      </c>
      <c r="AA32" t="s">
        <v>73</v>
      </c>
      <c r="AB32" t="s">
        <v>73</v>
      </c>
      <c r="AC32" t="s">
        <v>73</v>
      </c>
      <c r="AD32">
        <v>26174</v>
      </c>
      <c r="AE32">
        <v>25603</v>
      </c>
      <c r="AF32">
        <v>17952</v>
      </c>
    </row>
    <row r="33" spans="1:32" x14ac:dyDescent="0.4">
      <c r="A33" s="1" t="s">
        <v>54</v>
      </c>
      <c r="B33" s="1" t="s">
        <v>55</v>
      </c>
      <c r="C33">
        <v>9670</v>
      </c>
      <c r="D33">
        <v>9833</v>
      </c>
      <c r="E33">
        <v>61800</v>
      </c>
      <c r="F33">
        <v>1118189</v>
      </c>
      <c r="G33">
        <v>391977</v>
      </c>
      <c r="H33">
        <v>393184</v>
      </c>
      <c r="I33">
        <v>120704</v>
      </c>
      <c r="J33">
        <v>121636</v>
      </c>
      <c r="K33">
        <v>84692</v>
      </c>
      <c r="L33">
        <v>45075</v>
      </c>
      <c r="M33">
        <v>43373</v>
      </c>
      <c r="N33">
        <v>36228</v>
      </c>
      <c r="O33">
        <v>47147</v>
      </c>
      <c r="P33">
        <v>42976</v>
      </c>
      <c r="Q33">
        <v>48074</v>
      </c>
      <c r="R33">
        <v>584885</v>
      </c>
      <c r="S33">
        <v>547687</v>
      </c>
      <c r="T33">
        <v>509228</v>
      </c>
      <c r="U33">
        <v>76273</v>
      </c>
      <c r="V33">
        <v>86123</v>
      </c>
      <c r="W33">
        <v>72288</v>
      </c>
      <c r="X33">
        <v>71254</v>
      </c>
      <c r="Y33">
        <v>66522</v>
      </c>
      <c r="Z33">
        <v>357949</v>
      </c>
      <c r="AA33" t="s">
        <v>73</v>
      </c>
      <c r="AB33" t="s">
        <v>73</v>
      </c>
      <c r="AC33" t="s">
        <v>73</v>
      </c>
      <c r="AD33">
        <v>28117</v>
      </c>
      <c r="AE33">
        <v>27981</v>
      </c>
      <c r="AF33">
        <v>17784</v>
      </c>
    </row>
    <row r="34" spans="1:32" x14ac:dyDescent="0.4">
      <c r="A34" s="1" t="s">
        <v>56</v>
      </c>
      <c r="B34" s="1" t="s">
        <v>57</v>
      </c>
      <c r="C34">
        <v>10187</v>
      </c>
      <c r="D34">
        <v>8558</v>
      </c>
      <c r="E34">
        <v>63283</v>
      </c>
      <c r="F34">
        <v>1129894</v>
      </c>
      <c r="G34">
        <v>398255</v>
      </c>
      <c r="H34">
        <v>403206</v>
      </c>
      <c r="I34">
        <v>106043</v>
      </c>
      <c r="J34">
        <v>106188</v>
      </c>
      <c r="K34">
        <v>84575</v>
      </c>
      <c r="L34">
        <v>47606</v>
      </c>
      <c r="M34">
        <v>43259</v>
      </c>
      <c r="N34">
        <v>40619</v>
      </c>
      <c r="O34">
        <v>52117</v>
      </c>
      <c r="P34">
        <v>54392</v>
      </c>
      <c r="Q34">
        <v>45815</v>
      </c>
      <c r="R34">
        <v>542598</v>
      </c>
      <c r="S34">
        <v>590205</v>
      </c>
      <c r="T34">
        <v>450134</v>
      </c>
      <c r="U34">
        <v>83937</v>
      </c>
      <c r="V34">
        <v>95170</v>
      </c>
      <c r="W34">
        <v>59108</v>
      </c>
      <c r="X34">
        <v>64044</v>
      </c>
      <c r="Y34">
        <v>71884</v>
      </c>
      <c r="Z34">
        <v>349041</v>
      </c>
      <c r="AA34" t="s">
        <v>73</v>
      </c>
      <c r="AB34" t="s">
        <v>73</v>
      </c>
      <c r="AC34" t="s">
        <v>73</v>
      </c>
      <c r="AD34">
        <v>23169</v>
      </c>
      <c r="AE34">
        <v>23425</v>
      </c>
      <c r="AF34">
        <v>17490</v>
      </c>
    </row>
    <row r="35" spans="1:32" x14ac:dyDescent="0.4">
      <c r="A35" s="1" t="s">
        <v>58</v>
      </c>
      <c r="B35" s="1" t="s">
        <v>59</v>
      </c>
      <c r="C35">
        <v>10096</v>
      </c>
      <c r="D35">
        <v>9306</v>
      </c>
      <c r="E35">
        <v>63871</v>
      </c>
      <c r="F35">
        <v>1097935</v>
      </c>
      <c r="G35">
        <v>400039</v>
      </c>
      <c r="H35">
        <v>366638</v>
      </c>
      <c r="I35">
        <v>111446</v>
      </c>
      <c r="J35">
        <v>124104</v>
      </c>
      <c r="K35">
        <v>71791</v>
      </c>
      <c r="L35">
        <v>54354</v>
      </c>
      <c r="M35">
        <v>58002</v>
      </c>
      <c r="N35">
        <v>37012</v>
      </c>
      <c r="O35">
        <v>60910</v>
      </c>
      <c r="P35">
        <v>57233</v>
      </c>
      <c r="Q35">
        <v>49574</v>
      </c>
      <c r="R35">
        <v>557149</v>
      </c>
      <c r="S35">
        <v>513042</v>
      </c>
      <c r="T35">
        <v>481148</v>
      </c>
      <c r="U35">
        <v>94108</v>
      </c>
      <c r="V35">
        <v>83729</v>
      </c>
      <c r="W35">
        <v>67753</v>
      </c>
      <c r="X35">
        <v>79795</v>
      </c>
      <c r="Y35">
        <v>70217</v>
      </c>
      <c r="Z35">
        <v>357579</v>
      </c>
      <c r="AA35" t="s">
        <v>73</v>
      </c>
      <c r="AB35" t="s">
        <v>73</v>
      </c>
      <c r="AC35" t="s">
        <v>73</v>
      </c>
      <c r="AD35">
        <v>21724</v>
      </c>
      <c r="AE35">
        <v>22107</v>
      </c>
      <c r="AF35">
        <v>17178</v>
      </c>
    </row>
    <row r="36" spans="1:32" x14ac:dyDescent="0.4">
      <c r="A36" s="1" t="s">
        <v>60</v>
      </c>
      <c r="B36" s="1" t="s">
        <v>61</v>
      </c>
      <c r="C36">
        <v>7840</v>
      </c>
      <c r="D36">
        <v>8428</v>
      </c>
      <c r="E36">
        <v>63234</v>
      </c>
      <c r="F36">
        <v>1208106</v>
      </c>
      <c r="G36">
        <v>422585</v>
      </c>
      <c r="H36">
        <v>398387</v>
      </c>
      <c r="I36">
        <v>105081</v>
      </c>
      <c r="J36">
        <v>93419</v>
      </c>
      <c r="K36">
        <v>83394</v>
      </c>
      <c r="L36">
        <v>55351</v>
      </c>
      <c r="M36">
        <v>43086</v>
      </c>
      <c r="N36">
        <v>49290</v>
      </c>
      <c r="O36">
        <v>52594</v>
      </c>
      <c r="P36">
        <v>49734</v>
      </c>
      <c r="Q36">
        <v>52426</v>
      </c>
      <c r="R36">
        <v>579307</v>
      </c>
      <c r="S36">
        <v>571005</v>
      </c>
      <c r="T36">
        <v>478241</v>
      </c>
      <c r="U36">
        <v>87438</v>
      </c>
      <c r="V36">
        <v>83417</v>
      </c>
      <c r="W36">
        <v>70165</v>
      </c>
      <c r="X36">
        <v>68108</v>
      </c>
      <c r="Y36">
        <v>68966</v>
      </c>
      <c r="Z36">
        <v>355776</v>
      </c>
      <c r="AA36" t="s">
        <v>73</v>
      </c>
      <c r="AB36" t="s">
        <v>73</v>
      </c>
      <c r="AC36" t="s">
        <v>73</v>
      </c>
      <c r="AD36">
        <v>22768</v>
      </c>
      <c r="AE36">
        <v>22176</v>
      </c>
      <c r="AF36">
        <v>18236</v>
      </c>
    </row>
    <row r="37" spans="1:32" x14ac:dyDescent="0.4">
      <c r="A37" s="1" t="s">
        <v>62</v>
      </c>
      <c r="B37" s="1" t="s">
        <v>63</v>
      </c>
      <c r="C37">
        <v>9435</v>
      </c>
      <c r="D37">
        <v>8052</v>
      </c>
      <c r="E37">
        <v>64531</v>
      </c>
      <c r="F37">
        <v>1102865</v>
      </c>
      <c r="G37">
        <v>382165</v>
      </c>
      <c r="H37">
        <v>410658</v>
      </c>
      <c r="I37">
        <v>100406</v>
      </c>
      <c r="J37">
        <v>103453</v>
      </c>
      <c r="K37">
        <v>80367</v>
      </c>
      <c r="L37">
        <v>43860</v>
      </c>
      <c r="M37">
        <v>51603</v>
      </c>
      <c r="N37">
        <v>41535</v>
      </c>
      <c r="O37">
        <v>44785</v>
      </c>
      <c r="P37">
        <v>50053</v>
      </c>
      <c r="Q37">
        <v>47122</v>
      </c>
      <c r="R37">
        <v>572332</v>
      </c>
      <c r="S37">
        <v>543657</v>
      </c>
      <c r="T37">
        <v>494411</v>
      </c>
      <c r="U37">
        <v>80230</v>
      </c>
      <c r="V37">
        <v>81910</v>
      </c>
      <c r="W37">
        <v>67007</v>
      </c>
      <c r="X37">
        <v>88324</v>
      </c>
      <c r="Y37">
        <v>75467</v>
      </c>
      <c r="Z37">
        <v>367612</v>
      </c>
      <c r="AA37" t="s">
        <v>73</v>
      </c>
      <c r="AB37" t="s">
        <v>73</v>
      </c>
      <c r="AC37" t="s">
        <v>73</v>
      </c>
      <c r="AD37">
        <v>21778</v>
      </c>
      <c r="AE37">
        <v>21748</v>
      </c>
      <c r="AF37">
        <v>18281</v>
      </c>
    </row>
    <row r="38" spans="1:32" x14ac:dyDescent="0.4">
      <c r="A38" s="1" t="s">
        <v>64</v>
      </c>
      <c r="B38" s="1" t="s">
        <v>65</v>
      </c>
      <c r="C38">
        <v>9796</v>
      </c>
      <c r="D38">
        <v>9856</v>
      </c>
      <c r="E38">
        <v>64248</v>
      </c>
      <c r="F38">
        <v>1199549</v>
      </c>
      <c r="G38">
        <v>442799</v>
      </c>
      <c r="H38">
        <v>372528</v>
      </c>
      <c r="I38">
        <v>127254</v>
      </c>
      <c r="J38">
        <v>142392</v>
      </c>
      <c r="K38">
        <v>65099</v>
      </c>
      <c r="L38">
        <v>43204</v>
      </c>
      <c r="M38">
        <v>50349</v>
      </c>
      <c r="N38">
        <v>34387</v>
      </c>
      <c r="O38">
        <v>46608</v>
      </c>
      <c r="P38">
        <v>51880</v>
      </c>
      <c r="Q38">
        <v>41804</v>
      </c>
      <c r="R38">
        <v>651674</v>
      </c>
      <c r="S38">
        <v>657689</v>
      </c>
      <c r="T38">
        <v>475987</v>
      </c>
      <c r="U38">
        <v>86491</v>
      </c>
      <c r="V38">
        <v>94370</v>
      </c>
      <c r="W38">
        <v>56806</v>
      </c>
      <c r="X38">
        <v>73318</v>
      </c>
      <c r="Y38">
        <v>81673</v>
      </c>
      <c r="Z38">
        <v>357658</v>
      </c>
      <c r="AA38" t="s">
        <v>73</v>
      </c>
      <c r="AB38" t="s">
        <v>73</v>
      </c>
      <c r="AC38" t="s">
        <v>73</v>
      </c>
      <c r="AD38">
        <v>24618</v>
      </c>
      <c r="AE38">
        <v>26546</v>
      </c>
      <c r="AF38">
        <v>18027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B8E05-7DF5-4E00-80DF-ACE570E9A95A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</v>
      </c>
      <c r="D3" t="s">
        <v>170</v>
      </c>
      <c r="E3" t="s">
        <v>170</v>
      </c>
      <c r="F3" t="s">
        <v>172</v>
      </c>
      <c r="G3" t="s">
        <v>172</v>
      </c>
      <c r="H3" t="s">
        <v>172</v>
      </c>
      <c r="I3" t="s">
        <v>174</v>
      </c>
      <c r="J3" t="s">
        <v>174</v>
      </c>
      <c r="K3" t="s">
        <v>174</v>
      </c>
      <c r="L3" t="s">
        <v>176</v>
      </c>
      <c r="M3" t="s">
        <v>176</v>
      </c>
      <c r="N3" t="s">
        <v>176</v>
      </c>
      <c r="O3" t="s">
        <v>178</v>
      </c>
      <c r="P3" t="s">
        <v>178</v>
      </c>
      <c r="Q3" t="s">
        <v>178</v>
      </c>
      <c r="R3" t="s">
        <v>180</v>
      </c>
      <c r="S3" t="s">
        <v>180</v>
      </c>
      <c r="T3" t="s">
        <v>180</v>
      </c>
      <c r="U3" t="s">
        <v>182</v>
      </c>
      <c r="V3" t="s">
        <v>182</v>
      </c>
      <c r="W3" t="s">
        <v>182</v>
      </c>
      <c r="X3" t="s">
        <v>184</v>
      </c>
      <c r="Y3" t="s">
        <v>184</v>
      </c>
      <c r="Z3" t="s">
        <v>184</v>
      </c>
      <c r="AA3" t="s">
        <v>186</v>
      </c>
      <c r="AB3" t="s">
        <v>186</v>
      </c>
      <c r="AC3" t="s">
        <v>186</v>
      </c>
      <c r="AD3" t="s">
        <v>188</v>
      </c>
      <c r="AE3" t="s">
        <v>188</v>
      </c>
      <c r="AF3" t="s">
        <v>188</v>
      </c>
    </row>
    <row r="4" spans="1:32" x14ac:dyDescent="0.4">
      <c r="A4" s="1"/>
      <c r="B4" s="2" t="s">
        <v>1</v>
      </c>
      <c r="C4" t="s">
        <v>171</v>
      </c>
      <c r="D4" t="s">
        <v>171</v>
      </c>
      <c r="E4" t="s">
        <v>171</v>
      </c>
      <c r="F4" t="s">
        <v>173</v>
      </c>
      <c r="G4" t="s">
        <v>173</v>
      </c>
      <c r="H4" t="s">
        <v>173</v>
      </c>
      <c r="I4" t="s">
        <v>175</v>
      </c>
      <c r="J4" t="s">
        <v>175</v>
      </c>
      <c r="K4" t="s">
        <v>175</v>
      </c>
      <c r="L4" t="s">
        <v>177</v>
      </c>
      <c r="M4" t="s">
        <v>177</v>
      </c>
      <c r="N4" t="s">
        <v>177</v>
      </c>
      <c r="O4" t="s">
        <v>179</v>
      </c>
      <c r="P4" t="s">
        <v>179</v>
      </c>
      <c r="Q4" t="s">
        <v>179</v>
      </c>
      <c r="R4" t="s">
        <v>181</v>
      </c>
      <c r="S4" t="s">
        <v>181</v>
      </c>
      <c r="T4" t="s">
        <v>181</v>
      </c>
      <c r="U4" t="s">
        <v>183</v>
      </c>
      <c r="V4" t="s">
        <v>183</v>
      </c>
      <c r="W4" t="s">
        <v>183</v>
      </c>
      <c r="X4" t="s">
        <v>185</v>
      </c>
      <c r="Y4" t="s">
        <v>185</v>
      </c>
      <c r="Z4" t="s">
        <v>185</v>
      </c>
      <c r="AA4" t="s">
        <v>187</v>
      </c>
      <c r="AB4" t="s">
        <v>187</v>
      </c>
      <c r="AC4" t="s">
        <v>187</v>
      </c>
      <c r="AD4" t="s">
        <v>189</v>
      </c>
      <c r="AE4" t="s">
        <v>189</v>
      </c>
      <c r="AF4" t="s">
        <v>189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278898</v>
      </c>
      <c r="D9">
        <v>275401</v>
      </c>
      <c r="E9">
        <v>18345</v>
      </c>
      <c r="F9">
        <v>6065226</v>
      </c>
      <c r="G9">
        <v>5720224</v>
      </c>
      <c r="H9">
        <v>263452</v>
      </c>
      <c r="I9">
        <v>856955</v>
      </c>
      <c r="J9">
        <v>64192</v>
      </c>
      <c r="K9">
        <v>46707</v>
      </c>
      <c r="L9">
        <v>3846183</v>
      </c>
      <c r="M9">
        <v>3761210</v>
      </c>
      <c r="N9">
        <v>225014</v>
      </c>
      <c r="O9">
        <v>1081675</v>
      </c>
      <c r="P9">
        <v>888804</v>
      </c>
      <c r="Q9">
        <v>76373</v>
      </c>
      <c r="R9">
        <v>6422384</v>
      </c>
      <c r="S9">
        <v>2804914</v>
      </c>
      <c r="T9">
        <v>172658</v>
      </c>
      <c r="U9">
        <v>18551321</v>
      </c>
      <c r="V9">
        <v>13514745</v>
      </c>
      <c r="W9">
        <v>802549</v>
      </c>
      <c r="X9">
        <v>315092</v>
      </c>
      <c r="Y9">
        <v>302689</v>
      </c>
      <c r="Z9">
        <v>22497</v>
      </c>
      <c r="AA9">
        <v>2960160</v>
      </c>
      <c r="AB9">
        <v>2648085</v>
      </c>
      <c r="AC9">
        <v>170986</v>
      </c>
      <c r="AD9">
        <v>13789</v>
      </c>
      <c r="AE9">
        <v>18990</v>
      </c>
      <c r="AF9">
        <v>1200</v>
      </c>
    </row>
    <row r="10" spans="1:32" x14ac:dyDescent="0.4">
      <c r="A10" s="1" t="s">
        <v>8</v>
      </c>
      <c r="B10" s="3" t="s">
        <v>9</v>
      </c>
      <c r="C10">
        <v>293422</v>
      </c>
      <c r="D10">
        <v>299016</v>
      </c>
      <c r="E10">
        <v>12542</v>
      </c>
      <c r="F10">
        <v>5401742</v>
      </c>
      <c r="G10">
        <v>5162618</v>
      </c>
      <c r="H10">
        <v>234924</v>
      </c>
      <c r="I10">
        <v>1019267</v>
      </c>
      <c r="J10">
        <v>37879</v>
      </c>
      <c r="K10">
        <v>54386</v>
      </c>
      <c r="L10">
        <v>3386987</v>
      </c>
      <c r="M10">
        <v>3342977</v>
      </c>
      <c r="N10">
        <v>191825</v>
      </c>
      <c r="O10">
        <v>1083496</v>
      </c>
      <c r="P10">
        <v>957022</v>
      </c>
      <c r="Q10">
        <v>69111</v>
      </c>
      <c r="R10">
        <v>5701276</v>
      </c>
      <c r="S10">
        <v>2399054</v>
      </c>
      <c r="T10">
        <v>161547</v>
      </c>
      <c r="U10">
        <v>16886190</v>
      </c>
      <c r="V10">
        <v>12198566</v>
      </c>
      <c r="W10">
        <v>724335</v>
      </c>
      <c r="X10">
        <v>280635</v>
      </c>
      <c r="Y10">
        <v>271587</v>
      </c>
      <c r="Z10">
        <v>24332</v>
      </c>
      <c r="AA10">
        <v>2695217</v>
      </c>
      <c r="AB10">
        <v>2429100</v>
      </c>
      <c r="AC10">
        <v>169521</v>
      </c>
      <c r="AD10">
        <v>17287</v>
      </c>
      <c r="AE10">
        <v>18776</v>
      </c>
      <c r="AF10">
        <v>1815</v>
      </c>
    </row>
    <row r="11" spans="1:32" x14ac:dyDescent="0.4">
      <c r="A11" s="1" t="s">
        <v>10</v>
      </c>
      <c r="B11" s="3" t="s">
        <v>11</v>
      </c>
      <c r="C11">
        <v>232299</v>
      </c>
      <c r="D11">
        <v>236466</v>
      </c>
      <c r="E11">
        <v>8292</v>
      </c>
      <c r="F11">
        <v>5089014</v>
      </c>
      <c r="G11">
        <v>4913005</v>
      </c>
      <c r="H11">
        <v>200173</v>
      </c>
      <c r="I11">
        <v>930232</v>
      </c>
      <c r="J11">
        <v>28100</v>
      </c>
      <c r="K11">
        <v>46164</v>
      </c>
      <c r="L11">
        <v>3120799</v>
      </c>
      <c r="M11">
        <v>3069080</v>
      </c>
      <c r="N11">
        <v>165914</v>
      </c>
      <c r="O11">
        <v>1021303</v>
      </c>
      <c r="P11">
        <v>828418</v>
      </c>
      <c r="Q11">
        <v>78726</v>
      </c>
      <c r="R11">
        <v>5477902</v>
      </c>
      <c r="S11">
        <v>2221822</v>
      </c>
      <c r="T11">
        <v>125074</v>
      </c>
      <c r="U11">
        <v>15871549</v>
      </c>
      <c r="V11">
        <v>11296891</v>
      </c>
      <c r="W11">
        <v>624343</v>
      </c>
      <c r="X11">
        <v>193957</v>
      </c>
      <c r="Y11">
        <v>197660</v>
      </c>
      <c r="Z11">
        <v>16291</v>
      </c>
      <c r="AA11">
        <v>2523715</v>
      </c>
      <c r="AB11">
        <v>2298066</v>
      </c>
      <c r="AC11">
        <v>125444</v>
      </c>
      <c r="AD11">
        <v>15591</v>
      </c>
      <c r="AE11">
        <v>16123</v>
      </c>
      <c r="AF11">
        <v>1325</v>
      </c>
    </row>
    <row r="12" spans="1:32" x14ac:dyDescent="0.4">
      <c r="A12" s="1" t="s">
        <v>12</v>
      </c>
      <c r="B12" s="3" t="s">
        <v>13</v>
      </c>
      <c r="C12">
        <v>214940</v>
      </c>
      <c r="D12">
        <v>214962</v>
      </c>
      <c r="E12">
        <v>8520</v>
      </c>
      <c r="F12">
        <v>4726174</v>
      </c>
      <c r="G12">
        <v>4498086</v>
      </c>
      <c r="H12">
        <v>191063</v>
      </c>
      <c r="I12">
        <v>935109</v>
      </c>
      <c r="J12">
        <v>27661</v>
      </c>
      <c r="K12">
        <v>45692</v>
      </c>
      <c r="L12">
        <v>3072755</v>
      </c>
      <c r="M12">
        <v>3010562</v>
      </c>
      <c r="N12">
        <v>153817</v>
      </c>
      <c r="O12">
        <v>992366</v>
      </c>
      <c r="P12">
        <v>885580</v>
      </c>
      <c r="Q12">
        <v>56430</v>
      </c>
      <c r="R12">
        <v>5621354</v>
      </c>
      <c r="S12">
        <v>2067911</v>
      </c>
      <c r="T12">
        <v>124685</v>
      </c>
      <c r="U12">
        <v>15562698</v>
      </c>
      <c r="V12">
        <v>10704762</v>
      </c>
      <c r="W12">
        <v>580207</v>
      </c>
      <c r="X12">
        <v>159888</v>
      </c>
      <c r="Y12">
        <v>157197</v>
      </c>
      <c r="Z12">
        <v>18745</v>
      </c>
      <c r="AA12">
        <v>2518533</v>
      </c>
      <c r="AB12">
        <v>2225702</v>
      </c>
      <c r="AC12">
        <v>116099</v>
      </c>
      <c r="AD12">
        <v>17011</v>
      </c>
      <c r="AE12">
        <v>16786</v>
      </c>
      <c r="AF12">
        <v>1401</v>
      </c>
    </row>
    <row r="13" spans="1:32" x14ac:dyDescent="0.4">
      <c r="A13" s="1" t="s">
        <v>14</v>
      </c>
      <c r="B13" s="3" t="s">
        <v>15</v>
      </c>
      <c r="C13">
        <v>267571</v>
      </c>
      <c r="D13">
        <v>267059</v>
      </c>
      <c r="E13">
        <v>9204</v>
      </c>
      <c r="F13">
        <v>4658547</v>
      </c>
      <c r="G13">
        <v>4431928</v>
      </c>
      <c r="H13">
        <v>178231</v>
      </c>
      <c r="I13">
        <v>985041</v>
      </c>
      <c r="J13">
        <v>26155</v>
      </c>
      <c r="K13">
        <v>51144</v>
      </c>
      <c r="L13">
        <v>3050730</v>
      </c>
      <c r="M13">
        <v>2974433</v>
      </c>
      <c r="N13">
        <v>153924</v>
      </c>
      <c r="O13">
        <v>979792</v>
      </c>
      <c r="P13">
        <v>879369</v>
      </c>
      <c r="Q13">
        <v>61191</v>
      </c>
      <c r="R13">
        <v>5419850</v>
      </c>
      <c r="S13">
        <v>1978214</v>
      </c>
      <c r="T13">
        <v>128135</v>
      </c>
      <c r="U13">
        <v>15361531</v>
      </c>
      <c r="V13">
        <v>10557158</v>
      </c>
      <c r="W13">
        <v>581829</v>
      </c>
      <c r="X13">
        <v>148700</v>
      </c>
      <c r="Y13">
        <v>145921</v>
      </c>
      <c r="Z13">
        <v>19299</v>
      </c>
      <c r="AA13">
        <v>2525724</v>
      </c>
      <c r="AB13">
        <v>2253375</v>
      </c>
      <c r="AC13">
        <v>131924</v>
      </c>
      <c r="AD13">
        <v>17515</v>
      </c>
      <c r="AE13">
        <v>17552</v>
      </c>
      <c r="AF13">
        <v>1363</v>
      </c>
    </row>
    <row r="14" spans="1:32" x14ac:dyDescent="0.4">
      <c r="A14" s="1" t="s">
        <v>16</v>
      </c>
      <c r="B14" s="1" t="s">
        <v>17</v>
      </c>
      <c r="C14">
        <v>15573</v>
      </c>
      <c r="D14">
        <v>15699</v>
      </c>
      <c r="E14">
        <v>8389</v>
      </c>
      <c r="F14">
        <v>413013</v>
      </c>
      <c r="G14">
        <v>394239</v>
      </c>
      <c r="H14">
        <v>211199</v>
      </c>
      <c r="I14">
        <v>63627</v>
      </c>
      <c r="J14">
        <v>2586</v>
      </c>
      <c r="K14">
        <v>44036</v>
      </c>
      <c r="L14">
        <v>260820</v>
      </c>
      <c r="M14">
        <v>264050</v>
      </c>
      <c r="N14">
        <v>172519</v>
      </c>
      <c r="O14">
        <v>89137</v>
      </c>
      <c r="P14">
        <v>86764</v>
      </c>
      <c r="Q14">
        <v>62638</v>
      </c>
      <c r="R14">
        <v>468733</v>
      </c>
      <c r="S14">
        <v>180416</v>
      </c>
      <c r="T14">
        <v>139818</v>
      </c>
      <c r="U14">
        <v>1310903</v>
      </c>
      <c r="V14">
        <v>943754</v>
      </c>
      <c r="W14">
        <v>638599</v>
      </c>
      <c r="X14">
        <v>13163</v>
      </c>
      <c r="Y14">
        <v>13331</v>
      </c>
      <c r="Z14">
        <v>16715</v>
      </c>
      <c r="AA14">
        <v>214861</v>
      </c>
      <c r="AB14">
        <v>205643</v>
      </c>
      <c r="AC14">
        <v>131716</v>
      </c>
      <c r="AD14">
        <v>1259</v>
      </c>
      <c r="AE14">
        <v>1330</v>
      </c>
      <c r="AF14">
        <v>1055</v>
      </c>
    </row>
    <row r="15" spans="1:32" x14ac:dyDescent="0.4">
      <c r="A15" s="1" t="s">
        <v>18</v>
      </c>
      <c r="B15" s="1" t="s">
        <v>19</v>
      </c>
      <c r="C15">
        <v>17998</v>
      </c>
      <c r="D15">
        <v>17174</v>
      </c>
      <c r="E15">
        <v>9228</v>
      </c>
      <c r="F15">
        <v>344918</v>
      </c>
      <c r="G15">
        <v>346855</v>
      </c>
      <c r="H15">
        <v>188507</v>
      </c>
      <c r="I15">
        <v>80634</v>
      </c>
      <c r="J15">
        <v>3232</v>
      </c>
      <c r="K15">
        <v>43494</v>
      </c>
      <c r="L15">
        <v>238726</v>
      </c>
      <c r="M15">
        <v>245052</v>
      </c>
      <c r="N15">
        <v>159747</v>
      </c>
      <c r="O15">
        <v>96806</v>
      </c>
      <c r="P15">
        <v>80005</v>
      </c>
      <c r="Q15">
        <v>70078</v>
      </c>
      <c r="R15">
        <v>437849</v>
      </c>
      <c r="S15">
        <v>161776</v>
      </c>
      <c r="T15">
        <v>136187</v>
      </c>
      <c r="U15">
        <v>1216931</v>
      </c>
      <c r="V15">
        <v>854094</v>
      </c>
      <c r="W15">
        <v>607241</v>
      </c>
      <c r="X15">
        <v>13694</v>
      </c>
      <c r="Y15">
        <v>12910</v>
      </c>
      <c r="Z15">
        <v>17493</v>
      </c>
      <c r="AA15">
        <v>200262</v>
      </c>
      <c r="AB15">
        <v>163851</v>
      </c>
      <c r="AC15">
        <v>138429</v>
      </c>
      <c r="AD15">
        <v>1206</v>
      </c>
      <c r="AE15">
        <v>1276</v>
      </c>
      <c r="AF15">
        <v>1071</v>
      </c>
    </row>
    <row r="16" spans="1:32" x14ac:dyDescent="0.4">
      <c r="A16" s="1" t="s">
        <v>20</v>
      </c>
      <c r="B16" s="1" t="s">
        <v>21</v>
      </c>
      <c r="C16">
        <v>19251</v>
      </c>
      <c r="D16">
        <v>19223</v>
      </c>
      <c r="E16">
        <v>9280</v>
      </c>
      <c r="F16">
        <v>409384</v>
      </c>
      <c r="G16">
        <v>380880</v>
      </c>
      <c r="H16">
        <v>198452</v>
      </c>
      <c r="I16">
        <v>87970</v>
      </c>
      <c r="J16">
        <v>1160</v>
      </c>
      <c r="K16">
        <v>38747</v>
      </c>
      <c r="L16">
        <v>265602</v>
      </c>
      <c r="M16">
        <v>254601</v>
      </c>
      <c r="N16">
        <v>163957</v>
      </c>
      <c r="O16">
        <v>85648</v>
      </c>
      <c r="P16">
        <v>62797</v>
      </c>
      <c r="Q16">
        <v>80519</v>
      </c>
      <c r="R16">
        <v>462790</v>
      </c>
      <c r="S16">
        <v>166857</v>
      </c>
      <c r="T16">
        <v>136411</v>
      </c>
      <c r="U16">
        <v>1330645</v>
      </c>
      <c r="V16">
        <v>885518</v>
      </c>
      <c r="W16">
        <v>627366</v>
      </c>
      <c r="X16">
        <v>13966</v>
      </c>
      <c r="Y16">
        <v>13146</v>
      </c>
      <c r="Z16">
        <v>18195</v>
      </c>
      <c r="AA16">
        <v>208560</v>
      </c>
      <c r="AB16">
        <v>174512</v>
      </c>
      <c r="AC16">
        <v>150477</v>
      </c>
      <c r="AD16">
        <v>1461</v>
      </c>
      <c r="AE16">
        <v>1369</v>
      </c>
      <c r="AF16">
        <v>1196</v>
      </c>
    </row>
    <row r="17" spans="1:32" x14ac:dyDescent="0.4">
      <c r="A17" s="1" t="s">
        <v>22</v>
      </c>
      <c r="B17" s="1" t="s">
        <v>23</v>
      </c>
      <c r="C17">
        <v>18792</v>
      </c>
      <c r="D17">
        <v>15780</v>
      </c>
      <c r="E17">
        <v>12342</v>
      </c>
      <c r="F17">
        <v>389241</v>
      </c>
      <c r="G17">
        <v>368570</v>
      </c>
      <c r="H17">
        <v>197062</v>
      </c>
      <c r="I17">
        <v>62698</v>
      </c>
      <c r="J17">
        <v>2034</v>
      </c>
      <c r="K17">
        <v>41039</v>
      </c>
      <c r="L17">
        <v>242077</v>
      </c>
      <c r="M17">
        <v>243788</v>
      </c>
      <c r="N17">
        <v>156880</v>
      </c>
      <c r="O17">
        <v>91152</v>
      </c>
      <c r="P17">
        <v>94506</v>
      </c>
      <c r="Q17">
        <v>66555</v>
      </c>
      <c r="R17">
        <v>479508</v>
      </c>
      <c r="S17">
        <v>177086</v>
      </c>
      <c r="T17">
        <v>141948</v>
      </c>
      <c r="U17">
        <v>1283468</v>
      </c>
      <c r="V17">
        <v>901764</v>
      </c>
      <c r="W17">
        <v>615826</v>
      </c>
      <c r="X17">
        <v>13786</v>
      </c>
      <c r="Y17">
        <v>13692</v>
      </c>
      <c r="Z17">
        <v>18284</v>
      </c>
      <c r="AA17">
        <v>210683</v>
      </c>
      <c r="AB17">
        <v>189796</v>
      </c>
      <c r="AC17">
        <v>144287</v>
      </c>
      <c r="AD17">
        <v>1328</v>
      </c>
      <c r="AE17">
        <v>1375</v>
      </c>
      <c r="AF17">
        <v>1405</v>
      </c>
    </row>
    <row r="18" spans="1:32" x14ac:dyDescent="0.4">
      <c r="A18" s="1" t="s">
        <v>24</v>
      </c>
      <c r="B18" s="1" t="s">
        <v>25</v>
      </c>
      <c r="C18">
        <v>19206</v>
      </c>
      <c r="D18">
        <v>18998</v>
      </c>
      <c r="E18">
        <v>12578</v>
      </c>
      <c r="F18">
        <v>418604</v>
      </c>
      <c r="G18">
        <v>406666</v>
      </c>
      <c r="H18">
        <v>189250</v>
      </c>
      <c r="I18">
        <v>93645</v>
      </c>
      <c r="J18">
        <v>2538</v>
      </c>
      <c r="K18">
        <v>37737</v>
      </c>
      <c r="L18">
        <v>269889</v>
      </c>
      <c r="M18">
        <v>258905</v>
      </c>
      <c r="N18">
        <v>162344</v>
      </c>
      <c r="O18">
        <v>76684</v>
      </c>
      <c r="P18">
        <v>55166</v>
      </c>
      <c r="Q18">
        <v>72938</v>
      </c>
      <c r="R18">
        <v>500236</v>
      </c>
      <c r="S18">
        <v>211213</v>
      </c>
      <c r="T18">
        <v>137262</v>
      </c>
      <c r="U18">
        <v>1378264</v>
      </c>
      <c r="V18">
        <v>953486</v>
      </c>
      <c r="W18">
        <v>612109</v>
      </c>
      <c r="X18">
        <v>14421</v>
      </c>
      <c r="Y18">
        <v>14296</v>
      </c>
      <c r="Z18">
        <v>18397</v>
      </c>
      <c r="AA18">
        <v>204620</v>
      </c>
      <c r="AB18">
        <v>187495</v>
      </c>
      <c r="AC18">
        <v>134851</v>
      </c>
      <c r="AD18">
        <v>1618</v>
      </c>
      <c r="AE18">
        <v>1553</v>
      </c>
      <c r="AF18">
        <v>1351</v>
      </c>
    </row>
    <row r="19" spans="1:32" x14ac:dyDescent="0.4">
      <c r="A19" s="1" t="s">
        <v>26</v>
      </c>
      <c r="B19" s="1" t="s">
        <v>27</v>
      </c>
      <c r="C19">
        <v>8622</v>
      </c>
      <c r="D19">
        <v>11302</v>
      </c>
      <c r="E19">
        <v>9912</v>
      </c>
      <c r="F19">
        <v>361863</v>
      </c>
      <c r="G19">
        <v>313281</v>
      </c>
      <c r="H19">
        <v>219323</v>
      </c>
      <c r="I19">
        <v>71805</v>
      </c>
      <c r="J19">
        <v>2800</v>
      </c>
      <c r="K19">
        <v>42738</v>
      </c>
      <c r="L19">
        <v>251236</v>
      </c>
      <c r="M19">
        <v>220375</v>
      </c>
      <c r="N19">
        <v>187142</v>
      </c>
      <c r="O19">
        <v>64472</v>
      </c>
      <c r="P19">
        <v>55450</v>
      </c>
      <c r="Q19">
        <v>64791</v>
      </c>
      <c r="R19">
        <v>459149</v>
      </c>
      <c r="S19">
        <v>145820</v>
      </c>
      <c r="T19">
        <v>147262</v>
      </c>
      <c r="U19">
        <v>1217147</v>
      </c>
      <c r="V19">
        <v>749028</v>
      </c>
      <c r="W19">
        <v>671168</v>
      </c>
      <c r="X19">
        <v>10504</v>
      </c>
      <c r="Y19">
        <v>10838</v>
      </c>
      <c r="Z19">
        <v>18130</v>
      </c>
      <c r="AA19">
        <v>217922</v>
      </c>
      <c r="AB19">
        <v>163217</v>
      </c>
      <c r="AC19">
        <v>164564</v>
      </c>
      <c r="AD19">
        <v>1484</v>
      </c>
      <c r="AE19">
        <v>1316</v>
      </c>
      <c r="AF19">
        <v>1368</v>
      </c>
    </row>
    <row r="20" spans="1:32" x14ac:dyDescent="0.4">
      <c r="A20" s="1" t="s">
        <v>28</v>
      </c>
      <c r="B20" s="1" t="s">
        <v>29</v>
      </c>
      <c r="C20">
        <v>23231</v>
      </c>
      <c r="D20">
        <v>19574</v>
      </c>
      <c r="E20">
        <v>13607</v>
      </c>
      <c r="F20">
        <v>431103</v>
      </c>
      <c r="G20">
        <v>414755</v>
      </c>
      <c r="H20">
        <v>210368</v>
      </c>
      <c r="I20">
        <v>70927</v>
      </c>
      <c r="J20">
        <v>2672</v>
      </c>
      <c r="K20">
        <v>50419</v>
      </c>
      <c r="L20">
        <v>264247</v>
      </c>
      <c r="M20">
        <v>276884</v>
      </c>
      <c r="N20">
        <v>168674</v>
      </c>
      <c r="O20">
        <v>80063</v>
      </c>
      <c r="P20">
        <v>69926</v>
      </c>
      <c r="Q20">
        <v>60781</v>
      </c>
      <c r="R20">
        <v>452524</v>
      </c>
      <c r="S20">
        <v>171275</v>
      </c>
      <c r="T20">
        <v>144036</v>
      </c>
      <c r="U20">
        <v>1322095</v>
      </c>
      <c r="V20">
        <v>955086</v>
      </c>
      <c r="W20">
        <v>647885</v>
      </c>
      <c r="X20">
        <v>12939</v>
      </c>
      <c r="Y20">
        <v>13024</v>
      </c>
      <c r="Z20">
        <v>17858</v>
      </c>
      <c r="AA20">
        <v>215396</v>
      </c>
      <c r="AB20">
        <v>205338</v>
      </c>
      <c r="AC20">
        <v>151814</v>
      </c>
      <c r="AD20">
        <v>1625</v>
      </c>
      <c r="AE20">
        <v>1454</v>
      </c>
      <c r="AF20">
        <v>1573</v>
      </c>
    </row>
    <row r="21" spans="1:32" x14ac:dyDescent="0.4">
      <c r="A21" s="1" t="s">
        <v>30</v>
      </c>
      <c r="B21" s="1" t="s">
        <v>31</v>
      </c>
      <c r="C21">
        <v>29017</v>
      </c>
      <c r="D21">
        <v>20478</v>
      </c>
      <c r="E21">
        <v>22153</v>
      </c>
      <c r="F21">
        <v>380527</v>
      </c>
      <c r="G21">
        <v>394896</v>
      </c>
      <c r="H21">
        <v>177913</v>
      </c>
      <c r="I21">
        <v>95249</v>
      </c>
      <c r="J21">
        <v>3030</v>
      </c>
      <c r="K21">
        <v>46541</v>
      </c>
      <c r="L21">
        <v>253445</v>
      </c>
      <c r="M21">
        <v>267364</v>
      </c>
      <c r="N21">
        <v>148628</v>
      </c>
      <c r="O21">
        <v>71063</v>
      </c>
      <c r="P21">
        <v>56738</v>
      </c>
      <c r="Q21">
        <v>69120</v>
      </c>
      <c r="R21">
        <v>466791</v>
      </c>
      <c r="S21">
        <v>175919</v>
      </c>
      <c r="T21">
        <v>126945</v>
      </c>
      <c r="U21">
        <v>1296092</v>
      </c>
      <c r="V21">
        <v>918425</v>
      </c>
      <c r="W21">
        <v>591300</v>
      </c>
      <c r="X21">
        <v>13684</v>
      </c>
      <c r="Y21">
        <v>13601</v>
      </c>
      <c r="Z21">
        <v>17660</v>
      </c>
      <c r="AA21">
        <v>208594</v>
      </c>
      <c r="AB21">
        <v>198001</v>
      </c>
      <c r="AC21">
        <v>139078</v>
      </c>
      <c r="AD21">
        <v>1729</v>
      </c>
      <c r="AE21">
        <v>1660</v>
      </c>
      <c r="AF21">
        <v>1645</v>
      </c>
    </row>
    <row r="22" spans="1:32" x14ac:dyDescent="0.4">
      <c r="A22" s="1" t="s">
        <v>32</v>
      </c>
      <c r="B22" s="1" t="s">
        <v>33</v>
      </c>
      <c r="C22">
        <v>16503</v>
      </c>
      <c r="D22">
        <v>14738</v>
      </c>
      <c r="E22">
        <v>23931</v>
      </c>
      <c r="F22">
        <v>413907</v>
      </c>
      <c r="G22">
        <v>381771</v>
      </c>
      <c r="H22">
        <v>191537</v>
      </c>
      <c r="I22">
        <v>69289</v>
      </c>
      <c r="J22">
        <v>2188</v>
      </c>
      <c r="K22">
        <v>43026</v>
      </c>
      <c r="L22">
        <v>254907</v>
      </c>
      <c r="M22">
        <v>230132</v>
      </c>
      <c r="N22">
        <v>166490</v>
      </c>
      <c r="O22">
        <v>74321</v>
      </c>
      <c r="P22">
        <v>71702</v>
      </c>
      <c r="Q22">
        <v>63071</v>
      </c>
      <c r="R22">
        <v>462009</v>
      </c>
      <c r="S22">
        <v>185098</v>
      </c>
      <c r="T22">
        <v>116086</v>
      </c>
      <c r="U22">
        <v>1290936</v>
      </c>
      <c r="V22">
        <v>885629</v>
      </c>
      <c r="W22">
        <v>604141</v>
      </c>
      <c r="X22">
        <v>14205</v>
      </c>
      <c r="Y22">
        <v>13734</v>
      </c>
      <c r="Z22">
        <v>18123</v>
      </c>
      <c r="AA22">
        <v>209335</v>
      </c>
      <c r="AB22">
        <v>193879</v>
      </c>
      <c r="AC22">
        <v>134887</v>
      </c>
      <c r="AD22">
        <v>1608</v>
      </c>
      <c r="AE22">
        <v>1797</v>
      </c>
      <c r="AF22">
        <v>1444</v>
      </c>
    </row>
    <row r="23" spans="1:32" x14ac:dyDescent="0.4">
      <c r="A23" s="1" t="s">
        <v>34</v>
      </c>
      <c r="B23" s="1" t="s">
        <v>35</v>
      </c>
      <c r="C23">
        <v>14485</v>
      </c>
      <c r="D23">
        <v>29902</v>
      </c>
      <c r="E23">
        <v>8520</v>
      </c>
      <c r="F23">
        <v>396445</v>
      </c>
      <c r="G23">
        <v>378414</v>
      </c>
      <c r="H23">
        <v>191063</v>
      </c>
      <c r="I23">
        <v>74592</v>
      </c>
      <c r="J23">
        <v>1887</v>
      </c>
      <c r="K23">
        <v>45692</v>
      </c>
      <c r="L23">
        <v>255325</v>
      </c>
      <c r="M23">
        <v>261413</v>
      </c>
      <c r="N23">
        <v>153817</v>
      </c>
      <c r="O23">
        <v>86352</v>
      </c>
      <c r="P23">
        <v>84149</v>
      </c>
      <c r="Q23">
        <v>56430</v>
      </c>
      <c r="R23">
        <v>448602</v>
      </c>
      <c r="S23">
        <v>162194</v>
      </c>
      <c r="T23">
        <v>124685</v>
      </c>
      <c r="U23">
        <v>1275801</v>
      </c>
      <c r="V23">
        <v>917959</v>
      </c>
      <c r="W23">
        <v>580207</v>
      </c>
      <c r="X23">
        <v>13866</v>
      </c>
      <c r="Y23">
        <v>13226</v>
      </c>
      <c r="Z23">
        <v>18745</v>
      </c>
      <c r="AA23">
        <v>185220</v>
      </c>
      <c r="AB23">
        <v>178786</v>
      </c>
      <c r="AC23">
        <v>116099</v>
      </c>
      <c r="AD23">
        <v>1413</v>
      </c>
      <c r="AE23">
        <v>1427</v>
      </c>
      <c r="AF23">
        <v>1401</v>
      </c>
    </row>
    <row r="24" spans="1:32" x14ac:dyDescent="0.4">
      <c r="A24" s="1" t="s">
        <v>36</v>
      </c>
      <c r="B24" s="1" t="s">
        <v>37</v>
      </c>
      <c r="C24">
        <v>19227</v>
      </c>
      <c r="D24">
        <v>15853</v>
      </c>
      <c r="E24">
        <v>11915</v>
      </c>
      <c r="F24">
        <v>373507</v>
      </c>
      <c r="G24">
        <v>347075</v>
      </c>
      <c r="H24">
        <v>197868</v>
      </c>
      <c r="I24">
        <v>104147</v>
      </c>
      <c r="J24">
        <v>2448</v>
      </c>
      <c r="K24">
        <v>46013</v>
      </c>
      <c r="L24">
        <v>258054</v>
      </c>
      <c r="M24">
        <v>235195</v>
      </c>
      <c r="N24">
        <v>170628</v>
      </c>
      <c r="O24">
        <v>84975</v>
      </c>
      <c r="P24">
        <v>68501</v>
      </c>
      <c r="Q24">
        <v>66058</v>
      </c>
      <c r="R24">
        <v>458867</v>
      </c>
      <c r="S24">
        <v>167799</v>
      </c>
      <c r="T24">
        <v>131546</v>
      </c>
      <c r="U24">
        <v>1298777</v>
      </c>
      <c r="V24">
        <v>836871</v>
      </c>
      <c r="W24">
        <v>624028</v>
      </c>
      <c r="X24">
        <v>12426</v>
      </c>
      <c r="Y24">
        <v>13039</v>
      </c>
      <c r="Z24">
        <v>18108</v>
      </c>
      <c r="AA24">
        <v>207950</v>
      </c>
      <c r="AB24">
        <v>175514</v>
      </c>
      <c r="AC24">
        <v>125318</v>
      </c>
      <c r="AD24">
        <v>1474</v>
      </c>
      <c r="AE24">
        <v>1639</v>
      </c>
      <c r="AF24">
        <v>1208</v>
      </c>
    </row>
    <row r="25" spans="1:32" x14ac:dyDescent="0.4">
      <c r="A25" s="1" t="s">
        <v>38</v>
      </c>
      <c r="B25" s="1" t="s">
        <v>39</v>
      </c>
      <c r="C25">
        <v>31888</v>
      </c>
      <c r="D25">
        <v>21170</v>
      </c>
      <c r="E25">
        <v>22660</v>
      </c>
      <c r="F25">
        <v>375328</v>
      </c>
      <c r="G25">
        <v>368607</v>
      </c>
      <c r="H25">
        <v>181568</v>
      </c>
      <c r="I25">
        <v>67610</v>
      </c>
      <c r="J25">
        <v>2243</v>
      </c>
      <c r="K25">
        <v>40151</v>
      </c>
      <c r="L25">
        <v>229827</v>
      </c>
      <c r="M25">
        <v>234816</v>
      </c>
      <c r="N25">
        <v>159705</v>
      </c>
      <c r="O25">
        <v>76071</v>
      </c>
      <c r="P25">
        <v>77033</v>
      </c>
      <c r="Q25">
        <v>59765</v>
      </c>
      <c r="R25">
        <v>437312</v>
      </c>
      <c r="S25">
        <v>155581</v>
      </c>
      <c r="T25">
        <v>127119</v>
      </c>
      <c r="U25">
        <v>1218036</v>
      </c>
      <c r="V25">
        <v>859450</v>
      </c>
      <c r="W25">
        <v>590968</v>
      </c>
      <c r="X25">
        <v>12604</v>
      </c>
      <c r="Y25">
        <v>12335</v>
      </c>
      <c r="Z25">
        <v>18246</v>
      </c>
      <c r="AA25">
        <v>204483</v>
      </c>
      <c r="AB25">
        <v>172593</v>
      </c>
      <c r="AC25">
        <v>136492</v>
      </c>
      <c r="AD25">
        <v>1229</v>
      </c>
      <c r="AE25">
        <v>1416</v>
      </c>
      <c r="AF25">
        <v>966</v>
      </c>
    </row>
    <row r="26" spans="1:32" x14ac:dyDescent="0.4">
      <c r="A26" s="1" t="s">
        <v>40</v>
      </c>
      <c r="B26" s="1" t="s">
        <v>41</v>
      </c>
      <c r="C26">
        <v>19950</v>
      </c>
      <c r="D26">
        <v>17316</v>
      </c>
      <c r="E26">
        <v>25298</v>
      </c>
      <c r="F26">
        <v>407844</v>
      </c>
      <c r="G26">
        <v>382383</v>
      </c>
      <c r="H26">
        <v>187829</v>
      </c>
      <c r="I26">
        <v>72862</v>
      </c>
      <c r="J26">
        <v>2450</v>
      </c>
      <c r="K26">
        <v>39137</v>
      </c>
      <c r="L26">
        <v>264539</v>
      </c>
      <c r="M26">
        <v>253628</v>
      </c>
      <c r="N26">
        <v>163790</v>
      </c>
      <c r="O26">
        <v>74302</v>
      </c>
      <c r="P26">
        <v>68109</v>
      </c>
      <c r="Q26">
        <v>61474</v>
      </c>
      <c r="R26">
        <v>439060</v>
      </c>
      <c r="S26">
        <v>168630</v>
      </c>
      <c r="T26">
        <v>124598</v>
      </c>
      <c r="U26">
        <v>1278557</v>
      </c>
      <c r="V26">
        <v>892516</v>
      </c>
      <c r="W26">
        <v>602126</v>
      </c>
      <c r="X26">
        <v>11986</v>
      </c>
      <c r="Y26">
        <v>12315</v>
      </c>
      <c r="Z26">
        <v>17787</v>
      </c>
      <c r="AA26">
        <v>207224</v>
      </c>
      <c r="AB26">
        <v>200868</v>
      </c>
      <c r="AC26">
        <v>118844</v>
      </c>
      <c r="AD26">
        <v>1430</v>
      </c>
      <c r="AE26">
        <v>1374</v>
      </c>
      <c r="AF26">
        <v>1113</v>
      </c>
    </row>
    <row r="27" spans="1:32" x14ac:dyDescent="0.4">
      <c r="A27" s="1" t="s">
        <v>42</v>
      </c>
      <c r="B27" s="1" t="s">
        <v>43</v>
      </c>
      <c r="C27">
        <v>17623</v>
      </c>
      <c r="D27">
        <v>32732</v>
      </c>
      <c r="E27">
        <v>10205</v>
      </c>
      <c r="F27">
        <v>369920</v>
      </c>
      <c r="G27">
        <v>363096</v>
      </c>
      <c r="H27">
        <v>172717</v>
      </c>
      <c r="I27">
        <v>96146</v>
      </c>
      <c r="J27">
        <v>3292</v>
      </c>
      <c r="K27">
        <v>46924</v>
      </c>
      <c r="L27">
        <v>248092</v>
      </c>
      <c r="M27">
        <v>253253</v>
      </c>
      <c r="N27">
        <v>152897</v>
      </c>
      <c r="O27">
        <v>66710</v>
      </c>
      <c r="P27">
        <v>64309</v>
      </c>
      <c r="Q27">
        <v>59131</v>
      </c>
      <c r="R27">
        <v>444565</v>
      </c>
      <c r="S27">
        <v>163545</v>
      </c>
      <c r="T27">
        <v>127369</v>
      </c>
      <c r="U27">
        <v>1243056</v>
      </c>
      <c r="V27">
        <v>880227</v>
      </c>
      <c r="W27">
        <v>569243</v>
      </c>
      <c r="X27">
        <v>13060</v>
      </c>
      <c r="Y27">
        <v>12220</v>
      </c>
      <c r="Z27">
        <v>18523</v>
      </c>
      <c r="AA27">
        <v>196046</v>
      </c>
      <c r="AB27">
        <v>153424</v>
      </c>
      <c r="AC27">
        <v>137303</v>
      </c>
      <c r="AD27">
        <v>1529</v>
      </c>
      <c r="AE27">
        <v>1504</v>
      </c>
      <c r="AF27">
        <v>1084</v>
      </c>
    </row>
    <row r="28" spans="1:32" x14ac:dyDescent="0.4">
      <c r="A28" s="1" t="s">
        <v>44</v>
      </c>
      <c r="B28" s="1" t="s">
        <v>45</v>
      </c>
      <c r="C28">
        <v>20014</v>
      </c>
      <c r="D28">
        <v>19652</v>
      </c>
      <c r="E28">
        <v>10577</v>
      </c>
      <c r="F28">
        <v>392227</v>
      </c>
      <c r="G28">
        <v>365782</v>
      </c>
      <c r="H28">
        <v>182024</v>
      </c>
      <c r="I28">
        <v>75703</v>
      </c>
      <c r="J28">
        <v>1249</v>
      </c>
      <c r="K28">
        <v>42291</v>
      </c>
      <c r="L28">
        <v>249128</v>
      </c>
      <c r="M28">
        <v>245176</v>
      </c>
      <c r="N28">
        <v>150987</v>
      </c>
      <c r="O28">
        <v>80157</v>
      </c>
      <c r="P28">
        <v>70987</v>
      </c>
      <c r="Q28">
        <v>61515</v>
      </c>
      <c r="R28">
        <v>472848</v>
      </c>
      <c r="S28">
        <v>170079</v>
      </c>
      <c r="T28">
        <v>133901</v>
      </c>
      <c r="U28">
        <v>1290077</v>
      </c>
      <c r="V28">
        <v>872925</v>
      </c>
      <c r="W28">
        <v>581295</v>
      </c>
      <c r="X28">
        <v>11794</v>
      </c>
      <c r="Y28">
        <v>12055</v>
      </c>
      <c r="Z28">
        <v>18259</v>
      </c>
      <c r="AA28">
        <v>218968</v>
      </c>
      <c r="AB28">
        <v>196386</v>
      </c>
      <c r="AC28">
        <v>146246</v>
      </c>
      <c r="AD28">
        <v>1448</v>
      </c>
      <c r="AE28">
        <v>1290</v>
      </c>
      <c r="AF28">
        <v>1264</v>
      </c>
    </row>
    <row r="29" spans="1:32" x14ac:dyDescent="0.4">
      <c r="A29" s="1" t="s">
        <v>46</v>
      </c>
      <c r="B29" s="1" t="s">
        <v>47</v>
      </c>
      <c r="C29">
        <v>21696</v>
      </c>
      <c r="D29">
        <v>23222</v>
      </c>
      <c r="E29">
        <v>9037</v>
      </c>
      <c r="F29">
        <v>411970</v>
      </c>
      <c r="G29">
        <v>403102</v>
      </c>
      <c r="H29">
        <v>172284</v>
      </c>
      <c r="I29">
        <v>81171</v>
      </c>
      <c r="J29">
        <v>2212</v>
      </c>
      <c r="K29">
        <v>42622</v>
      </c>
      <c r="L29">
        <v>249687</v>
      </c>
      <c r="M29">
        <v>250203</v>
      </c>
      <c r="N29">
        <v>143989</v>
      </c>
      <c r="O29">
        <v>72158</v>
      </c>
      <c r="P29">
        <v>59749</v>
      </c>
      <c r="Q29">
        <v>65596</v>
      </c>
      <c r="R29">
        <v>429226</v>
      </c>
      <c r="S29">
        <v>175263</v>
      </c>
      <c r="T29">
        <v>118952</v>
      </c>
      <c r="U29">
        <v>1265908</v>
      </c>
      <c r="V29">
        <v>913751</v>
      </c>
      <c r="W29">
        <v>552480</v>
      </c>
      <c r="X29">
        <v>12419</v>
      </c>
      <c r="Y29">
        <v>11749</v>
      </c>
      <c r="Z29">
        <v>18603</v>
      </c>
      <c r="AA29">
        <v>210918</v>
      </c>
      <c r="AB29">
        <v>202516</v>
      </c>
      <c r="AC29">
        <v>135303</v>
      </c>
      <c r="AD29">
        <v>1576</v>
      </c>
      <c r="AE29">
        <v>1595</v>
      </c>
      <c r="AF29">
        <v>1190</v>
      </c>
    </row>
    <row r="30" spans="1:32" x14ac:dyDescent="0.4">
      <c r="A30" s="1" t="s">
        <v>48</v>
      </c>
      <c r="B30" s="1" t="s">
        <v>49</v>
      </c>
      <c r="C30">
        <v>39399</v>
      </c>
      <c r="D30">
        <v>22010</v>
      </c>
      <c r="E30">
        <v>26452</v>
      </c>
      <c r="F30">
        <v>426936</v>
      </c>
      <c r="G30">
        <v>398074</v>
      </c>
      <c r="H30">
        <v>174945</v>
      </c>
      <c r="I30">
        <v>84105</v>
      </c>
      <c r="J30">
        <v>1988</v>
      </c>
      <c r="K30">
        <v>44121</v>
      </c>
      <c r="L30">
        <v>263466</v>
      </c>
      <c r="M30">
        <v>257460</v>
      </c>
      <c r="N30">
        <v>143295</v>
      </c>
      <c r="O30">
        <v>80857</v>
      </c>
      <c r="P30">
        <v>64518</v>
      </c>
      <c r="Q30">
        <v>70032</v>
      </c>
      <c r="R30">
        <v>476398</v>
      </c>
      <c r="S30">
        <v>162231</v>
      </c>
      <c r="T30">
        <v>134554</v>
      </c>
      <c r="U30">
        <v>1371161</v>
      </c>
      <c r="V30">
        <v>906281</v>
      </c>
      <c r="W30">
        <v>593399</v>
      </c>
      <c r="X30">
        <v>13079</v>
      </c>
      <c r="Y30">
        <v>13013</v>
      </c>
      <c r="Z30">
        <v>18456</v>
      </c>
      <c r="AA30">
        <v>216673</v>
      </c>
      <c r="AB30">
        <v>193586</v>
      </c>
      <c r="AC30">
        <v>136323</v>
      </c>
      <c r="AD30">
        <v>1373</v>
      </c>
      <c r="AE30">
        <v>1464</v>
      </c>
      <c r="AF30">
        <v>1182</v>
      </c>
    </row>
    <row r="31" spans="1:32" x14ac:dyDescent="0.4">
      <c r="A31" s="1" t="s">
        <v>50</v>
      </c>
      <c r="B31" s="1" t="s">
        <v>51</v>
      </c>
      <c r="C31">
        <v>14409</v>
      </c>
      <c r="D31">
        <v>17966</v>
      </c>
      <c r="E31">
        <v>22921</v>
      </c>
      <c r="F31">
        <v>341854</v>
      </c>
      <c r="G31">
        <v>320606</v>
      </c>
      <c r="H31">
        <v>180388</v>
      </c>
      <c r="I31">
        <v>86613</v>
      </c>
      <c r="J31">
        <v>1268</v>
      </c>
      <c r="K31">
        <v>39455</v>
      </c>
      <c r="L31">
        <v>240363</v>
      </c>
      <c r="M31">
        <v>231094</v>
      </c>
      <c r="N31">
        <v>146518</v>
      </c>
      <c r="O31">
        <v>93557</v>
      </c>
      <c r="P31">
        <v>78748</v>
      </c>
      <c r="Q31">
        <v>72826</v>
      </c>
      <c r="R31">
        <v>461629</v>
      </c>
      <c r="S31">
        <v>160015</v>
      </c>
      <c r="T31">
        <v>122787</v>
      </c>
      <c r="U31">
        <v>1238425</v>
      </c>
      <c r="V31">
        <v>809697</v>
      </c>
      <c r="W31">
        <v>584895</v>
      </c>
      <c r="X31">
        <v>10734</v>
      </c>
      <c r="Y31">
        <v>10552</v>
      </c>
      <c r="Z31">
        <v>18320</v>
      </c>
      <c r="AA31">
        <v>226296</v>
      </c>
      <c r="AB31">
        <v>193997</v>
      </c>
      <c r="AC31">
        <v>150024</v>
      </c>
      <c r="AD31">
        <v>1291</v>
      </c>
      <c r="AE31">
        <v>1290</v>
      </c>
      <c r="AF31">
        <v>1169</v>
      </c>
    </row>
    <row r="32" spans="1:32" x14ac:dyDescent="0.4">
      <c r="A32" s="1" t="s">
        <v>52</v>
      </c>
      <c r="B32" s="1" t="s">
        <v>53</v>
      </c>
      <c r="C32">
        <v>31202</v>
      </c>
      <c r="D32">
        <v>31875</v>
      </c>
      <c r="E32">
        <v>22235</v>
      </c>
      <c r="F32">
        <v>410924</v>
      </c>
      <c r="G32">
        <v>397510</v>
      </c>
      <c r="H32">
        <v>176035</v>
      </c>
      <c r="I32">
        <v>75361</v>
      </c>
      <c r="J32">
        <v>2448</v>
      </c>
      <c r="K32">
        <v>41560</v>
      </c>
      <c r="L32">
        <v>263983</v>
      </c>
      <c r="M32">
        <v>261065</v>
      </c>
      <c r="N32">
        <v>142724</v>
      </c>
      <c r="O32">
        <v>97148</v>
      </c>
      <c r="P32">
        <v>96826</v>
      </c>
      <c r="Q32">
        <v>68100</v>
      </c>
      <c r="R32">
        <v>470958</v>
      </c>
      <c r="S32">
        <v>171025</v>
      </c>
      <c r="T32">
        <v>136908</v>
      </c>
      <c r="U32">
        <v>1349576</v>
      </c>
      <c r="V32">
        <v>960749</v>
      </c>
      <c r="W32">
        <v>587562</v>
      </c>
      <c r="X32">
        <v>13236</v>
      </c>
      <c r="Y32">
        <v>11980</v>
      </c>
      <c r="Z32">
        <v>19177</v>
      </c>
      <c r="AA32">
        <v>220269</v>
      </c>
      <c r="AB32">
        <v>208683</v>
      </c>
      <c r="AC32">
        <v>139040</v>
      </c>
      <c r="AD32">
        <v>1408</v>
      </c>
      <c r="AE32">
        <v>1572</v>
      </c>
      <c r="AF32">
        <v>1222</v>
      </c>
    </row>
    <row r="33" spans="1:32" x14ac:dyDescent="0.4">
      <c r="A33" s="1" t="s">
        <v>54</v>
      </c>
      <c r="B33" s="1" t="s">
        <v>55</v>
      </c>
      <c r="C33">
        <v>17292</v>
      </c>
      <c r="D33">
        <v>16139</v>
      </c>
      <c r="E33">
        <v>23392</v>
      </c>
      <c r="F33">
        <v>380912</v>
      </c>
      <c r="G33">
        <v>374413</v>
      </c>
      <c r="H33">
        <v>164846</v>
      </c>
      <c r="I33">
        <v>80049</v>
      </c>
      <c r="J33">
        <v>2612</v>
      </c>
      <c r="K33">
        <v>44159</v>
      </c>
      <c r="L33">
        <v>249802</v>
      </c>
      <c r="M33">
        <v>248943</v>
      </c>
      <c r="N33">
        <v>136876</v>
      </c>
      <c r="O33">
        <v>97676</v>
      </c>
      <c r="P33">
        <v>71611</v>
      </c>
      <c r="Q33">
        <v>85985</v>
      </c>
      <c r="R33">
        <v>433490</v>
      </c>
      <c r="S33">
        <v>158526</v>
      </c>
      <c r="T33">
        <v>130746</v>
      </c>
      <c r="U33">
        <v>1259221</v>
      </c>
      <c r="V33">
        <v>872244</v>
      </c>
      <c r="W33">
        <v>586004</v>
      </c>
      <c r="X33">
        <v>14320</v>
      </c>
      <c r="Y33">
        <v>12990</v>
      </c>
      <c r="Z33">
        <v>20315</v>
      </c>
      <c r="AA33">
        <v>207206</v>
      </c>
      <c r="AB33">
        <v>173951</v>
      </c>
      <c r="AC33">
        <v>145385</v>
      </c>
      <c r="AD33">
        <v>1607</v>
      </c>
      <c r="AE33">
        <v>1469</v>
      </c>
      <c r="AF33">
        <v>999</v>
      </c>
    </row>
    <row r="34" spans="1:32" x14ac:dyDescent="0.4">
      <c r="A34" s="1" t="s">
        <v>56</v>
      </c>
      <c r="B34" s="1" t="s">
        <v>57</v>
      </c>
      <c r="C34">
        <v>19962</v>
      </c>
      <c r="D34">
        <v>34193</v>
      </c>
      <c r="E34">
        <v>9204</v>
      </c>
      <c r="F34">
        <v>382403</v>
      </c>
      <c r="G34">
        <v>354844</v>
      </c>
      <c r="H34">
        <v>170538</v>
      </c>
      <c r="I34">
        <v>81794</v>
      </c>
      <c r="J34">
        <v>1796</v>
      </c>
      <c r="K34">
        <v>40574</v>
      </c>
      <c r="L34">
        <v>256534</v>
      </c>
      <c r="M34">
        <v>250606</v>
      </c>
      <c r="N34">
        <v>135897</v>
      </c>
      <c r="O34">
        <v>76316</v>
      </c>
      <c r="P34">
        <v>81392</v>
      </c>
      <c r="Q34">
        <v>70056</v>
      </c>
      <c r="R34">
        <v>437032</v>
      </c>
      <c r="S34">
        <v>169763</v>
      </c>
      <c r="T34">
        <v>121037</v>
      </c>
      <c r="U34">
        <v>1254041</v>
      </c>
      <c r="V34">
        <v>892594</v>
      </c>
      <c r="W34">
        <v>547306</v>
      </c>
      <c r="X34">
        <v>12003</v>
      </c>
      <c r="Y34">
        <v>11717</v>
      </c>
      <c r="Z34">
        <v>20352</v>
      </c>
      <c r="AA34">
        <v>207639</v>
      </c>
      <c r="AB34">
        <v>199119</v>
      </c>
      <c r="AC34">
        <v>135065</v>
      </c>
      <c r="AD34">
        <v>1488</v>
      </c>
      <c r="AE34">
        <v>1411</v>
      </c>
      <c r="AF34">
        <v>1155</v>
      </c>
    </row>
    <row r="35" spans="1:32" x14ac:dyDescent="0.4">
      <c r="A35" s="1" t="s">
        <v>58</v>
      </c>
      <c r="B35" s="1" t="s">
        <v>59</v>
      </c>
      <c r="C35">
        <v>14909</v>
      </c>
      <c r="D35">
        <v>14931</v>
      </c>
      <c r="E35">
        <v>9204</v>
      </c>
      <c r="F35">
        <v>384722</v>
      </c>
      <c r="G35">
        <v>356436</v>
      </c>
      <c r="H35">
        <v>178231</v>
      </c>
      <c r="I35">
        <v>79480</v>
      </c>
      <c r="J35">
        <v>2149</v>
      </c>
      <c r="K35">
        <v>51144</v>
      </c>
      <c r="L35">
        <v>277255</v>
      </c>
      <c r="M35">
        <v>252994</v>
      </c>
      <c r="N35">
        <v>153924</v>
      </c>
      <c r="O35">
        <v>79865</v>
      </c>
      <c r="P35">
        <v>77586</v>
      </c>
      <c r="Q35">
        <v>61191</v>
      </c>
      <c r="R35">
        <v>458465</v>
      </c>
      <c r="S35">
        <v>155757</v>
      </c>
      <c r="T35">
        <v>128135</v>
      </c>
      <c r="U35">
        <v>1294696</v>
      </c>
      <c r="V35">
        <v>859853</v>
      </c>
      <c r="W35">
        <v>581829</v>
      </c>
      <c r="X35">
        <v>11039</v>
      </c>
      <c r="Y35">
        <v>11956</v>
      </c>
      <c r="Z35">
        <v>19299</v>
      </c>
      <c r="AA35">
        <v>202052</v>
      </c>
      <c r="AB35">
        <v>182738</v>
      </c>
      <c r="AC35">
        <v>131924</v>
      </c>
      <c r="AD35">
        <v>1662</v>
      </c>
      <c r="AE35">
        <v>1528</v>
      </c>
      <c r="AF35">
        <v>1363</v>
      </c>
    </row>
    <row r="36" spans="1:32" x14ac:dyDescent="0.4">
      <c r="A36" s="1" t="s">
        <v>60</v>
      </c>
      <c r="B36" s="1" t="s">
        <v>61</v>
      </c>
      <c r="C36">
        <v>28070</v>
      </c>
      <c r="D36">
        <v>18315</v>
      </c>
      <c r="E36">
        <v>18960</v>
      </c>
      <c r="F36">
        <v>372156</v>
      </c>
      <c r="G36">
        <v>358656</v>
      </c>
      <c r="H36">
        <v>173563</v>
      </c>
      <c r="I36">
        <v>80951</v>
      </c>
      <c r="J36">
        <v>1974</v>
      </c>
      <c r="K36">
        <v>48281</v>
      </c>
      <c r="L36">
        <v>247664</v>
      </c>
      <c r="M36">
        <v>248735</v>
      </c>
      <c r="N36">
        <v>146967</v>
      </c>
      <c r="O36">
        <v>86073</v>
      </c>
      <c r="P36">
        <v>57692</v>
      </c>
      <c r="Q36">
        <v>74754</v>
      </c>
      <c r="R36">
        <v>459973</v>
      </c>
      <c r="S36">
        <v>170551</v>
      </c>
      <c r="T36">
        <v>135192</v>
      </c>
      <c r="U36">
        <v>1274887</v>
      </c>
      <c r="V36">
        <v>855923</v>
      </c>
      <c r="W36">
        <v>597717</v>
      </c>
      <c r="X36">
        <v>11820</v>
      </c>
      <c r="Y36">
        <v>11840</v>
      </c>
      <c r="Z36">
        <v>19330</v>
      </c>
      <c r="AA36">
        <v>211103</v>
      </c>
      <c r="AB36">
        <v>172933</v>
      </c>
      <c r="AC36">
        <v>143345</v>
      </c>
      <c r="AD36">
        <v>1506</v>
      </c>
      <c r="AE36">
        <v>1691</v>
      </c>
      <c r="AF36">
        <v>1193</v>
      </c>
    </row>
    <row r="37" spans="1:32" x14ac:dyDescent="0.4">
      <c r="A37" s="1" t="s">
        <v>62</v>
      </c>
      <c r="B37" s="1" t="s">
        <v>63</v>
      </c>
      <c r="C37">
        <v>37268</v>
      </c>
      <c r="D37">
        <v>30803</v>
      </c>
      <c r="E37">
        <v>25409</v>
      </c>
      <c r="F37">
        <v>395596</v>
      </c>
      <c r="G37">
        <v>373359</v>
      </c>
      <c r="H37">
        <v>174996</v>
      </c>
      <c r="I37">
        <v>77928</v>
      </c>
      <c r="J37">
        <v>2054</v>
      </c>
      <c r="K37">
        <v>46678</v>
      </c>
      <c r="L37">
        <v>251223</v>
      </c>
      <c r="M37">
        <v>238669</v>
      </c>
      <c r="N37">
        <v>153064</v>
      </c>
      <c r="O37">
        <v>68421</v>
      </c>
      <c r="P37">
        <v>68292</v>
      </c>
      <c r="Q37">
        <v>63244</v>
      </c>
      <c r="R37">
        <v>444807</v>
      </c>
      <c r="S37">
        <v>160058</v>
      </c>
      <c r="T37">
        <v>130301</v>
      </c>
      <c r="U37">
        <v>1275243</v>
      </c>
      <c r="V37">
        <v>873235</v>
      </c>
      <c r="W37">
        <v>593692</v>
      </c>
      <c r="X37">
        <v>11135</v>
      </c>
      <c r="Y37">
        <v>11740</v>
      </c>
      <c r="Z37">
        <v>18476</v>
      </c>
      <c r="AA37">
        <v>210673</v>
      </c>
      <c r="AB37">
        <v>193659</v>
      </c>
      <c r="AC37">
        <v>137381</v>
      </c>
      <c r="AD37">
        <v>1417</v>
      </c>
      <c r="AE37">
        <v>1524</v>
      </c>
      <c r="AF37">
        <v>1129</v>
      </c>
    </row>
    <row r="38" spans="1:32" x14ac:dyDescent="0.4">
      <c r="A38" s="1" t="s">
        <v>64</v>
      </c>
      <c r="B38" s="1" t="s">
        <v>65</v>
      </c>
      <c r="C38">
        <v>24956</v>
      </c>
      <c r="D38">
        <v>40655</v>
      </c>
      <c r="E38">
        <v>9640</v>
      </c>
      <c r="F38">
        <v>448762</v>
      </c>
      <c r="G38">
        <v>431223</v>
      </c>
      <c r="H38">
        <v>168768</v>
      </c>
      <c r="I38">
        <v>70289</v>
      </c>
      <c r="J38">
        <v>2205</v>
      </c>
      <c r="K38">
        <v>43337</v>
      </c>
      <c r="L38">
        <v>277356</v>
      </c>
      <c r="M38">
        <v>282419</v>
      </c>
      <c r="N38">
        <v>141128</v>
      </c>
      <c r="O38">
        <v>84159</v>
      </c>
      <c r="P38">
        <v>77602</v>
      </c>
      <c r="Q38">
        <v>58370</v>
      </c>
      <c r="R38">
        <v>458350</v>
      </c>
      <c r="S38">
        <v>161382</v>
      </c>
      <c r="T38">
        <v>118293</v>
      </c>
      <c r="U38">
        <v>1363872</v>
      </c>
      <c r="V38">
        <v>995486</v>
      </c>
      <c r="W38">
        <v>539536</v>
      </c>
      <c r="X38">
        <v>12478</v>
      </c>
      <c r="Y38">
        <v>12087</v>
      </c>
      <c r="Z38">
        <v>18652</v>
      </c>
      <c r="AA38">
        <v>230006</v>
      </c>
      <c r="AB38">
        <v>210978</v>
      </c>
      <c r="AC38">
        <v>126015</v>
      </c>
      <c r="AD38">
        <v>1668</v>
      </c>
      <c r="AE38">
        <v>1502</v>
      </c>
      <c r="AF38">
        <v>1256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56DD7-1820-4384-9A2D-49C2D5556A2C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190</v>
      </c>
      <c r="D3" t="s">
        <v>190</v>
      </c>
      <c r="E3" t="s">
        <v>190</v>
      </c>
      <c r="F3" t="s">
        <v>192</v>
      </c>
      <c r="G3" t="s">
        <v>192</v>
      </c>
      <c r="H3" t="s">
        <v>192</v>
      </c>
      <c r="I3" t="s">
        <v>194</v>
      </c>
      <c r="J3" t="s">
        <v>194</v>
      </c>
      <c r="K3" t="s">
        <v>194</v>
      </c>
      <c r="L3" t="s">
        <v>196</v>
      </c>
      <c r="M3" t="s">
        <v>196</v>
      </c>
      <c r="N3" t="s">
        <v>196</v>
      </c>
      <c r="O3" t="s">
        <v>198</v>
      </c>
      <c r="P3" t="s">
        <v>198</v>
      </c>
      <c r="Q3" t="s">
        <v>198</v>
      </c>
    </row>
    <row r="4" spans="1:17" x14ac:dyDescent="0.4">
      <c r="A4" s="1"/>
      <c r="B4" s="2" t="s">
        <v>1</v>
      </c>
      <c r="C4" t="s">
        <v>191</v>
      </c>
      <c r="D4" t="s">
        <v>191</v>
      </c>
      <c r="E4" t="s">
        <v>191</v>
      </c>
      <c r="F4" t="s">
        <v>193</v>
      </c>
      <c r="G4" t="s">
        <v>193</v>
      </c>
      <c r="H4" t="s">
        <v>193</v>
      </c>
      <c r="I4" t="s">
        <v>195</v>
      </c>
      <c r="J4" t="s">
        <v>195</v>
      </c>
      <c r="K4" t="s">
        <v>195</v>
      </c>
      <c r="L4" t="s">
        <v>197</v>
      </c>
      <c r="M4" t="s">
        <v>197</v>
      </c>
      <c r="N4" t="s">
        <v>197</v>
      </c>
      <c r="O4" t="s">
        <v>199</v>
      </c>
      <c r="P4" t="s">
        <v>199</v>
      </c>
      <c r="Q4" t="s">
        <v>199</v>
      </c>
    </row>
    <row r="5" spans="1:1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</row>
    <row r="7" spans="1:1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</row>
    <row r="8" spans="1:1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</row>
    <row r="9" spans="1:17" x14ac:dyDescent="0.4">
      <c r="A9" s="1" t="s">
        <v>6</v>
      </c>
      <c r="B9" s="3" t="s">
        <v>7</v>
      </c>
      <c r="C9">
        <v>3619970</v>
      </c>
      <c r="D9">
        <v>3079899</v>
      </c>
      <c r="E9">
        <v>287333</v>
      </c>
      <c r="F9">
        <v>239854</v>
      </c>
      <c r="G9">
        <v>236645</v>
      </c>
      <c r="H9">
        <v>7342</v>
      </c>
      <c r="I9">
        <v>464000</v>
      </c>
      <c r="J9">
        <v>368636</v>
      </c>
      <c r="K9">
        <v>26954</v>
      </c>
      <c r="L9">
        <v>1087514</v>
      </c>
      <c r="M9">
        <v>876053</v>
      </c>
      <c r="N9">
        <v>94459</v>
      </c>
      <c r="O9">
        <v>151740</v>
      </c>
      <c r="P9">
        <v>138102</v>
      </c>
      <c r="Q9">
        <v>10740</v>
      </c>
    </row>
    <row r="10" spans="1:17" x14ac:dyDescent="0.4">
      <c r="A10" s="1" t="s">
        <v>8</v>
      </c>
      <c r="B10" s="3" t="s">
        <v>9</v>
      </c>
      <c r="C10">
        <v>3524783</v>
      </c>
      <c r="D10">
        <v>3054635</v>
      </c>
      <c r="E10">
        <v>275336</v>
      </c>
      <c r="F10">
        <v>226976</v>
      </c>
      <c r="G10">
        <v>225442</v>
      </c>
      <c r="H10">
        <v>6827</v>
      </c>
      <c r="I10">
        <v>422009</v>
      </c>
      <c r="J10">
        <v>390092</v>
      </c>
      <c r="K10">
        <v>34703</v>
      </c>
      <c r="L10">
        <v>1132624</v>
      </c>
      <c r="M10">
        <v>951197</v>
      </c>
      <c r="N10">
        <v>100368</v>
      </c>
      <c r="O10">
        <v>131697</v>
      </c>
      <c r="P10">
        <v>122006</v>
      </c>
      <c r="Q10">
        <v>9320</v>
      </c>
    </row>
    <row r="11" spans="1:17" x14ac:dyDescent="0.4">
      <c r="A11" s="1" t="s">
        <v>10</v>
      </c>
      <c r="B11" s="3" t="s">
        <v>11</v>
      </c>
      <c r="C11">
        <v>3204401</v>
      </c>
      <c r="D11">
        <v>2796799</v>
      </c>
      <c r="E11">
        <v>270962</v>
      </c>
      <c r="F11">
        <v>227762</v>
      </c>
      <c r="G11">
        <v>226497</v>
      </c>
      <c r="H11">
        <v>6525</v>
      </c>
      <c r="I11">
        <v>369973</v>
      </c>
      <c r="J11">
        <v>348968</v>
      </c>
      <c r="K11">
        <v>27595</v>
      </c>
      <c r="L11">
        <v>1145005</v>
      </c>
      <c r="M11">
        <v>1009716</v>
      </c>
      <c r="N11">
        <v>78424</v>
      </c>
      <c r="O11">
        <v>123133</v>
      </c>
      <c r="P11">
        <v>114597</v>
      </c>
      <c r="Q11">
        <v>9376</v>
      </c>
    </row>
    <row r="12" spans="1:17" x14ac:dyDescent="0.4">
      <c r="A12" s="1" t="s">
        <v>12</v>
      </c>
      <c r="B12" s="3" t="s">
        <v>13</v>
      </c>
      <c r="C12">
        <v>3070061</v>
      </c>
      <c r="D12">
        <v>2659418</v>
      </c>
      <c r="E12">
        <v>260723</v>
      </c>
      <c r="F12">
        <v>216770</v>
      </c>
      <c r="G12">
        <v>215074</v>
      </c>
      <c r="H12">
        <v>6557</v>
      </c>
      <c r="I12">
        <v>386666</v>
      </c>
      <c r="J12">
        <v>358768</v>
      </c>
      <c r="K12">
        <v>26780</v>
      </c>
      <c r="L12">
        <v>1073310</v>
      </c>
      <c r="M12">
        <v>917965</v>
      </c>
      <c r="N12">
        <v>81184</v>
      </c>
      <c r="O12">
        <v>106422</v>
      </c>
      <c r="P12">
        <v>99550</v>
      </c>
      <c r="Q12">
        <v>8023</v>
      </c>
    </row>
    <row r="13" spans="1:17" x14ac:dyDescent="0.4">
      <c r="A13" s="1" t="s">
        <v>14</v>
      </c>
      <c r="B13" s="3" t="s">
        <v>15</v>
      </c>
      <c r="C13">
        <v>2973488</v>
      </c>
      <c r="D13">
        <v>2527707</v>
      </c>
      <c r="E13">
        <v>259594</v>
      </c>
      <c r="F13">
        <v>212909</v>
      </c>
      <c r="G13">
        <v>211981</v>
      </c>
      <c r="H13">
        <v>6310</v>
      </c>
      <c r="I13">
        <v>373784</v>
      </c>
      <c r="J13">
        <v>354641</v>
      </c>
      <c r="K13">
        <v>29596</v>
      </c>
      <c r="L13">
        <v>1032339</v>
      </c>
      <c r="M13">
        <v>885500</v>
      </c>
      <c r="N13">
        <v>81099</v>
      </c>
      <c r="O13">
        <v>112435</v>
      </c>
      <c r="P13">
        <v>103382</v>
      </c>
      <c r="Q13">
        <v>8071</v>
      </c>
    </row>
    <row r="14" spans="1:17" x14ac:dyDescent="0.4">
      <c r="A14" s="1" t="s">
        <v>16</v>
      </c>
      <c r="B14" s="1" t="s">
        <v>17</v>
      </c>
      <c r="C14">
        <v>267924</v>
      </c>
      <c r="D14">
        <v>245566</v>
      </c>
      <c r="E14">
        <v>262878</v>
      </c>
      <c r="F14">
        <v>18259</v>
      </c>
      <c r="G14">
        <v>18370</v>
      </c>
      <c r="H14">
        <v>6264</v>
      </c>
      <c r="I14">
        <v>33858</v>
      </c>
      <c r="J14">
        <v>33571</v>
      </c>
      <c r="K14">
        <v>28120</v>
      </c>
      <c r="L14">
        <v>83805</v>
      </c>
      <c r="M14">
        <v>104103</v>
      </c>
      <c r="N14">
        <v>75249</v>
      </c>
      <c r="O14">
        <v>9114</v>
      </c>
      <c r="P14">
        <v>9089</v>
      </c>
      <c r="Q14">
        <v>9960</v>
      </c>
    </row>
    <row r="15" spans="1:17" x14ac:dyDescent="0.4">
      <c r="A15" s="1" t="s">
        <v>18</v>
      </c>
      <c r="B15" s="1" t="s">
        <v>19</v>
      </c>
      <c r="C15">
        <v>258854</v>
      </c>
      <c r="D15">
        <v>217629</v>
      </c>
      <c r="E15">
        <v>267740</v>
      </c>
      <c r="F15">
        <v>18096</v>
      </c>
      <c r="G15">
        <v>17609</v>
      </c>
      <c r="H15">
        <v>6535</v>
      </c>
      <c r="I15">
        <v>34872</v>
      </c>
      <c r="J15">
        <v>32690</v>
      </c>
      <c r="K15">
        <v>27773</v>
      </c>
      <c r="L15">
        <v>82918</v>
      </c>
      <c r="M15">
        <v>66954</v>
      </c>
      <c r="N15">
        <v>77444</v>
      </c>
      <c r="O15">
        <v>8590</v>
      </c>
      <c r="P15">
        <v>9451</v>
      </c>
      <c r="Q15">
        <v>8439</v>
      </c>
    </row>
    <row r="16" spans="1:17" x14ac:dyDescent="0.4">
      <c r="A16" s="1" t="s">
        <v>20</v>
      </c>
      <c r="B16" s="1" t="s">
        <v>21</v>
      </c>
      <c r="C16">
        <v>258558</v>
      </c>
      <c r="D16">
        <v>215399</v>
      </c>
      <c r="E16">
        <v>272979</v>
      </c>
      <c r="F16">
        <v>16786</v>
      </c>
      <c r="G16">
        <v>16543</v>
      </c>
      <c r="H16">
        <v>6697</v>
      </c>
      <c r="I16">
        <v>31333</v>
      </c>
      <c r="J16">
        <v>28517</v>
      </c>
      <c r="K16">
        <v>28267</v>
      </c>
      <c r="L16">
        <v>85027</v>
      </c>
      <c r="M16">
        <v>65130</v>
      </c>
      <c r="N16">
        <v>82289</v>
      </c>
      <c r="O16">
        <v>9016</v>
      </c>
      <c r="P16">
        <v>7291</v>
      </c>
      <c r="Q16">
        <v>9537</v>
      </c>
    </row>
    <row r="17" spans="1:17" x14ac:dyDescent="0.4">
      <c r="A17" s="1" t="s">
        <v>22</v>
      </c>
      <c r="B17" s="1" t="s">
        <v>23</v>
      </c>
      <c r="C17">
        <v>253448</v>
      </c>
      <c r="D17">
        <v>222606</v>
      </c>
      <c r="E17">
        <v>270694</v>
      </c>
      <c r="F17">
        <v>18283</v>
      </c>
      <c r="G17">
        <v>18251</v>
      </c>
      <c r="H17">
        <v>6548</v>
      </c>
      <c r="I17">
        <v>30673</v>
      </c>
      <c r="J17">
        <v>29196</v>
      </c>
      <c r="K17">
        <v>27166</v>
      </c>
      <c r="L17">
        <v>77316</v>
      </c>
      <c r="M17">
        <v>56686</v>
      </c>
      <c r="N17">
        <v>91008</v>
      </c>
      <c r="O17">
        <v>9489</v>
      </c>
      <c r="P17">
        <v>7718</v>
      </c>
      <c r="Q17">
        <v>10657</v>
      </c>
    </row>
    <row r="18" spans="1:17" x14ac:dyDescent="0.4">
      <c r="A18" s="1" t="s">
        <v>24</v>
      </c>
      <c r="B18" s="1" t="s">
        <v>25</v>
      </c>
      <c r="C18">
        <v>266321</v>
      </c>
      <c r="D18">
        <v>235541</v>
      </c>
      <c r="E18">
        <v>265521</v>
      </c>
      <c r="F18">
        <v>19314</v>
      </c>
      <c r="G18">
        <v>19270</v>
      </c>
      <c r="H18">
        <v>6438</v>
      </c>
      <c r="I18">
        <v>34092</v>
      </c>
      <c r="J18">
        <v>32661</v>
      </c>
      <c r="K18">
        <v>25976</v>
      </c>
      <c r="L18">
        <v>100217</v>
      </c>
      <c r="M18">
        <v>94623</v>
      </c>
      <c r="N18">
        <v>84869</v>
      </c>
      <c r="O18">
        <v>9315</v>
      </c>
      <c r="P18">
        <v>8330</v>
      </c>
      <c r="Q18">
        <v>10695</v>
      </c>
    </row>
    <row r="19" spans="1:17" x14ac:dyDescent="0.4">
      <c r="A19" s="1" t="s">
        <v>26</v>
      </c>
      <c r="B19" s="1" t="s">
        <v>27</v>
      </c>
      <c r="C19">
        <v>227034</v>
      </c>
      <c r="D19">
        <v>177824</v>
      </c>
      <c r="E19">
        <v>282809</v>
      </c>
      <c r="F19">
        <v>15501</v>
      </c>
      <c r="G19">
        <v>15056</v>
      </c>
      <c r="H19">
        <v>6719</v>
      </c>
      <c r="I19">
        <v>28144</v>
      </c>
      <c r="J19">
        <v>24136</v>
      </c>
      <c r="K19">
        <v>28339</v>
      </c>
      <c r="L19">
        <v>79833</v>
      </c>
      <c r="M19">
        <v>63192</v>
      </c>
      <c r="N19">
        <v>90698</v>
      </c>
      <c r="O19">
        <v>7498</v>
      </c>
      <c r="P19">
        <v>8151</v>
      </c>
      <c r="Q19">
        <v>9708</v>
      </c>
    </row>
    <row r="20" spans="1:17" x14ac:dyDescent="0.4">
      <c r="A20" s="1" t="s">
        <v>28</v>
      </c>
      <c r="B20" s="1" t="s">
        <v>29</v>
      </c>
      <c r="C20">
        <v>250320</v>
      </c>
      <c r="D20">
        <v>230175</v>
      </c>
      <c r="E20">
        <v>265531</v>
      </c>
      <c r="F20">
        <v>18529</v>
      </c>
      <c r="G20">
        <v>18731</v>
      </c>
      <c r="H20">
        <v>6379</v>
      </c>
      <c r="I20">
        <v>33742</v>
      </c>
      <c r="J20">
        <v>31587</v>
      </c>
      <c r="K20">
        <v>28685</v>
      </c>
      <c r="L20">
        <v>89180</v>
      </c>
      <c r="M20">
        <v>84841</v>
      </c>
      <c r="N20">
        <v>82197</v>
      </c>
      <c r="O20">
        <v>8111</v>
      </c>
      <c r="P20">
        <v>9559</v>
      </c>
      <c r="Q20">
        <v>7716</v>
      </c>
    </row>
    <row r="21" spans="1:17" x14ac:dyDescent="0.4">
      <c r="A21" s="1" t="s">
        <v>30</v>
      </c>
      <c r="B21" s="1" t="s">
        <v>31</v>
      </c>
      <c r="C21">
        <v>275530</v>
      </c>
      <c r="D21">
        <v>234299</v>
      </c>
      <c r="E21">
        <v>270304</v>
      </c>
      <c r="F21">
        <v>19526</v>
      </c>
      <c r="G21">
        <v>19313</v>
      </c>
      <c r="H21">
        <v>6459</v>
      </c>
      <c r="I21">
        <v>34105</v>
      </c>
      <c r="J21">
        <v>32716</v>
      </c>
      <c r="K21">
        <v>27079</v>
      </c>
      <c r="L21">
        <v>103218</v>
      </c>
      <c r="M21">
        <v>64725</v>
      </c>
      <c r="N21">
        <v>108584</v>
      </c>
      <c r="O21">
        <v>9046</v>
      </c>
      <c r="P21">
        <v>8088</v>
      </c>
      <c r="Q21">
        <v>7577</v>
      </c>
    </row>
    <row r="22" spans="1:17" x14ac:dyDescent="0.4">
      <c r="A22" s="1" t="s">
        <v>32</v>
      </c>
      <c r="B22" s="1" t="s">
        <v>33</v>
      </c>
      <c r="C22">
        <v>244125</v>
      </c>
      <c r="D22">
        <v>221587</v>
      </c>
      <c r="E22">
        <v>260359</v>
      </c>
      <c r="F22">
        <v>18927</v>
      </c>
      <c r="G22">
        <v>18636</v>
      </c>
      <c r="H22">
        <v>6607</v>
      </c>
      <c r="I22">
        <v>29676</v>
      </c>
      <c r="J22">
        <v>28879</v>
      </c>
      <c r="K22">
        <v>25227</v>
      </c>
      <c r="L22">
        <v>87517</v>
      </c>
      <c r="M22">
        <v>97490</v>
      </c>
      <c r="N22">
        <v>88975</v>
      </c>
      <c r="O22">
        <v>8795</v>
      </c>
      <c r="P22">
        <v>7822</v>
      </c>
      <c r="Q22">
        <v>7844</v>
      </c>
    </row>
    <row r="23" spans="1:17" x14ac:dyDescent="0.4">
      <c r="A23" s="1" t="s">
        <v>34</v>
      </c>
      <c r="B23" s="1" t="s">
        <v>35</v>
      </c>
      <c r="C23">
        <v>241532</v>
      </c>
      <c r="D23">
        <v>206963</v>
      </c>
      <c r="E23">
        <v>260723</v>
      </c>
      <c r="F23">
        <v>17786</v>
      </c>
      <c r="G23">
        <v>17769</v>
      </c>
      <c r="H23">
        <v>6557</v>
      </c>
      <c r="I23">
        <v>31856</v>
      </c>
      <c r="J23">
        <v>27802</v>
      </c>
      <c r="K23">
        <v>26780</v>
      </c>
      <c r="L23">
        <v>86629</v>
      </c>
      <c r="M23">
        <v>81392</v>
      </c>
      <c r="N23">
        <v>81184</v>
      </c>
      <c r="O23">
        <v>8637</v>
      </c>
      <c r="P23">
        <v>7752</v>
      </c>
      <c r="Q23">
        <v>8023</v>
      </c>
    </row>
    <row r="24" spans="1:17" x14ac:dyDescent="0.4">
      <c r="A24" s="1" t="s">
        <v>36</v>
      </c>
      <c r="B24" s="1" t="s">
        <v>37</v>
      </c>
      <c r="C24">
        <v>262274</v>
      </c>
      <c r="D24">
        <v>212872</v>
      </c>
      <c r="E24">
        <v>271316</v>
      </c>
      <c r="F24">
        <v>16975</v>
      </c>
      <c r="G24">
        <v>17319</v>
      </c>
      <c r="H24">
        <v>6121</v>
      </c>
      <c r="I24">
        <v>32803</v>
      </c>
      <c r="J24">
        <v>30160</v>
      </c>
      <c r="K24">
        <v>27769</v>
      </c>
      <c r="L24">
        <v>83121</v>
      </c>
      <c r="M24">
        <v>69292</v>
      </c>
      <c r="N24">
        <v>84774</v>
      </c>
      <c r="O24">
        <v>8821</v>
      </c>
      <c r="P24">
        <v>8621</v>
      </c>
      <c r="Q24">
        <v>7556</v>
      </c>
    </row>
    <row r="25" spans="1:17" x14ac:dyDescent="0.4">
      <c r="A25" s="1" t="s">
        <v>38</v>
      </c>
      <c r="B25" s="1" t="s">
        <v>39</v>
      </c>
      <c r="C25">
        <v>247764</v>
      </c>
      <c r="D25">
        <v>211314</v>
      </c>
      <c r="E25">
        <v>268361</v>
      </c>
      <c r="F25">
        <v>18201</v>
      </c>
      <c r="G25">
        <v>17928</v>
      </c>
      <c r="H25">
        <v>6306</v>
      </c>
      <c r="I25">
        <v>32453</v>
      </c>
      <c r="J25">
        <v>30864</v>
      </c>
      <c r="K25">
        <v>28145</v>
      </c>
      <c r="L25">
        <v>88659</v>
      </c>
      <c r="M25">
        <v>80653</v>
      </c>
      <c r="N25">
        <v>80396</v>
      </c>
      <c r="O25">
        <v>9778</v>
      </c>
      <c r="P25">
        <v>8238</v>
      </c>
      <c r="Q25">
        <v>8180</v>
      </c>
    </row>
    <row r="26" spans="1:17" x14ac:dyDescent="0.4">
      <c r="A26" s="1" t="s">
        <v>40</v>
      </c>
      <c r="B26" s="1" t="s">
        <v>41</v>
      </c>
      <c r="C26">
        <v>249495</v>
      </c>
      <c r="D26">
        <v>229200</v>
      </c>
      <c r="E26">
        <v>247117</v>
      </c>
      <c r="F26">
        <v>18364</v>
      </c>
      <c r="G26">
        <v>18339</v>
      </c>
      <c r="H26">
        <v>6161</v>
      </c>
      <c r="I26">
        <v>37237</v>
      </c>
      <c r="J26">
        <v>33901</v>
      </c>
      <c r="K26">
        <v>30018</v>
      </c>
      <c r="L26">
        <v>93105</v>
      </c>
      <c r="M26">
        <v>83985</v>
      </c>
      <c r="N26">
        <v>76477</v>
      </c>
      <c r="O26">
        <v>9803</v>
      </c>
      <c r="P26">
        <v>9874</v>
      </c>
      <c r="Q26">
        <v>7497</v>
      </c>
    </row>
    <row r="27" spans="1:17" x14ac:dyDescent="0.4">
      <c r="A27" s="1" t="s">
        <v>42</v>
      </c>
      <c r="B27" s="1" t="s">
        <v>43</v>
      </c>
      <c r="C27">
        <v>249186</v>
      </c>
      <c r="D27">
        <v>204443</v>
      </c>
      <c r="E27">
        <v>252568</v>
      </c>
      <c r="F27">
        <v>17921</v>
      </c>
      <c r="G27">
        <v>17585</v>
      </c>
      <c r="H27">
        <v>6443</v>
      </c>
      <c r="I27">
        <v>33110</v>
      </c>
      <c r="J27">
        <v>32397</v>
      </c>
      <c r="K27">
        <v>29225</v>
      </c>
      <c r="L27">
        <v>85817</v>
      </c>
      <c r="M27">
        <v>68300</v>
      </c>
      <c r="N27">
        <v>82694</v>
      </c>
      <c r="O27">
        <v>9346</v>
      </c>
      <c r="P27">
        <v>8815</v>
      </c>
      <c r="Q27">
        <v>7243</v>
      </c>
    </row>
    <row r="28" spans="1:17" x14ac:dyDescent="0.4">
      <c r="A28" s="1" t="s">
        <v>44</v>
      </c>
      <c r="B28" s="1" t="s">
        <v>45</v>
      </c>
      <c r="C28">
        <v>229955</v>
      </c>
      <c r="D28">
        <v>200293</v>
      </c>
      <c r="E28">
        <v>250675</v>
      </c>
      <c r="F28">
        <v>16567</v>
      </c>
      <c r="G28">
        <v>16833</v>
      </c>
      <c r="H28">
        <v>6074</v>
      </c>
      <c r="I28">
        <v>28348</v>
      </c>
      <c r="J28">
        <v>28404</v>
      </c>
      <c r="K28">
        <v>28072</v>
      </c>
      <c r="L28">
        <v>87422</v>
      </c>
      <c r="M28">
        <v>70798</v>
      </c>
      <c r="N28">
        <v>88488</v>
      </c>
      <c r="O28">
        <v>9391</v>
      </c>
      <c r="P28">
        <v>7621</v>
      </c>
      <c r="Q28">
        <v>8535</v>
      </c>
    </row>
    <row r="29" spans="1:17" x14ac:dyDescent="0.4">
      <c r="A29" s="1" t="s">
        <v>46</v>
      </c>
      <c r="B29" s="1" t="s">
        <v>47</v>
      </c>
      <c r="C29">
        <v>246669</v>
      </c>
      <c r="D29">
        <v>211757</v>
      </c>
      <c r="E29">
        <v>251571</v>
      </c>
      <c r="F29">
        <v>18549</v>
      </c>
      <c r="G29">
        <v>18675</v>
      </c>
      <c r="H29">
        <v>5847</v>
      </c>
      <c r="I29">
        <v>30119</v>
      </c>
      <c r="J29">
        <v>27874</v>
      </c>
      <c r="K29">
        <v>28910</v>
      </c>
      <c r="L29">
        <v>83947</v>
      </c>
      <c r="M29">
        <v>73298</v>
      </c>
      <c r="N29">
        <v>86756</v>
      </c>
      <c r="O29">
        <v>9724</v>
      </c>
      <c r="P29">
        <v>9581</v>
      </c>
      <c r="Q29">
        <v>7709</v>
      </c>
    </row>
    <row r="30" spans="1:17" x14ac:dyDescent="0.4">
      <c r="A30" s="1" t="s">
        <v>48</v>
      </c>
      <c r="B30" s="1" t="s">
        <v>49</v>
      </c>
      <c r="C30">
        <v>251892</v>
      </c>
      <c r="D30">
        <v>216565</v>
      </c>
      <c r="E30">
        <v>251273</v>
      </c>
      <c r="F30">
        <v>18735</v>
      </c>
      <c r="G30">
        <v>18647</v>
      </c>
      <c r="H30">
        <v>5817</v>
      </c>
      <c r="I30">
        <v>28447</v>
      </c>
      <c r="J30">
        <v>28715</v>
      </c>
      <c r="K30">
        <v>27156</v>
      </c>
      <c r="L30">
        <v>83858</v>
      </c>
      <c r="M30">
        <v>65156</v>
      </c>
      <c r="N30">
        <v>92156</v>
      </c>
      <c r="O30">
        <v>8396</v>
      </c>
      <c r="P30">
        <v>8373</v>
      </c>
      <c r="Q30">
        <v>6867</v>
      </c>
    </row>
    <row r="31" spans="1:17" x14ac:dyDescent="0.4">
      <c r="A31" s="1" t="s">
        <v>50</v>
      </c>
      <c r="B31" s="1" t="s">
        <v>51</v>
      </c>
      <c r="C31">
        <v>214507</v>
      </c>
      <c r="D31">
        <v>179893</v>
      </c>
      <c r="E31">
        <v>254590</v>
      </c>
      <c r="F31">
        <v>14342</v>
      </c>
      <c r="G31">
        <v>14324</v>
      </c>
      <c r="H31">
        <v>5760</v>
      </c>
      <c r="I31">
        <v>25712</v>
      </c>
      <c r="J31">
        <v>24206</v>
      </c>
      <c r="K31">
        <v>27373</v>
      </c>
      <c r="L31">
        <v>94238</v>
      </c>
      <c r="M31">
        <v>83345</v>
      </c>
      <c r="N31">
        <v>88397</v>
      </c>
      <c r="O31">
        <v>8460</v>
      </c>
      <c r="P31">
        <v>7379</v>
      </c>
      <c r="Q31">
        <v>7190</v>
      </c>
    </row>
    <row r="32" spans="1:17" x14ac:dyDescent="0.4">
      <c r="A32" s="1" t="s">
        <v>52</v>
      </c>
      <c r="B32" s="1" t="s">
        <v>53</v>
      </c>
      <c r="C32">
        <v>263047</v>
      </c>
      <c r="D32">
        <v>220955</v>
      </c>
      <c r="E32">
        <v>257050</v>
      </c>
      <c r="F32">
        <v>18214</v>
      </c>
      <c r="G32">
        <v>18328</v>
      </c>
      <c r="H32">
        <v>5436</v>
      </c>
      <c r="I32">
        <v>33451</v>
      </c>
      <c r="J32">
        <v>30021</v>
      </c>
      <c r="K32">
        <v>29411</v>
      </c>
      <c r="L32">
        <v>80812</v>
      </c>
      <c r="M32">
        <v>79761</v>
      </c>
      <c r="N32">
        <v>77315</v>
      </c>
      <c r="O32">
        <v>9342</v>
      </c>
      <c r="P32">
        <v>8679</v>
      </c>
      <c r="Q32">
        <v>7270</v>
      </c>
    </row>
    <row r="33" spans="1:17" x14ac:dyDescent="0.4">
      <c r="A33" s="1" t="s">
        <v>54</v>
      </c>
      <c r="B33" s="1" t="s">
        <v>55</v>
      </c>
      <c r="C33">
        <v>272224</v>
      </c>
      <c r="D33">
        <v>225699</v>
      </c>
      <c r="E33">
        <v>262113</v>
      </c>
      <c r="F33">
        <v>19360</v>
      </c>
      <c r="G33">
        <v>18737</v>
      </c>
      <c r="H33">
        <v>5975</v>
      </c>
      <c r="I33">
        <v>33368</v>
      </c>
      <c r="J33">
        <v>30473</v>
      </c>
      <c r="K33">
        <v>31250</v>
      </c>
      <c r="L33">
        <v>83490</v>
      </c>
      <c r="M33">
        <v>69907</v>
      </c>
      <c r="N33">
        <v>77172</v>
      </c>
      <c r="O33">
        <v>10031</v>
      </c>
      <c r="P33">
        <v>9521</v>
      </c>
      <c r="Q33">
        <v>6829</v>
      </c>
    </row>
    <row r="34" spans="1:17" x14ac:dyDescent="0.4">
      <c r="A34" s="1" t="s">
        <v>56</v>
      </c>
      <c r="B34" s="1" t="s">
        <v>57</v>
      </c>
      <c r="C34">
        <v>240445</v>
      </c>
      <c r="D34">
        <v>208682</v>
      </c>
      <c r="E34">
        <v>254884</v>
      </c>
      <c r="F34">
        <v>18127</v>
      </c>
      <c r="G34">
        <v>17947</v>
      </c>
      <c r="H34">
        <v>6019</v>
      </c>
      <c r="I34">
        <v>30062</v>
      </c>
      <c r="J34">
        <v>29630</v>
      </c>
      <c r="K34">
        <v>30242</v>
      </c>
      <c r="L34">
        <v>80623</v>
      </c>
      <c r="M34">
        <v>61255</v>
      </c>
      <c r="N34">
        <v>85155</v>
      </c>
      <c r="O34">
        <v>9468</v>
      </c>
      <c r="P34">
        <v>8049</v>
      </c>
      <c r="Q34">
        <v>7613</v>
      </c>
    </row>
    <row r="35" spans="1:17" x14ac:dyDescent="0.4">
      <c r="A35" s="1" t="s">
        <v>58</v>
      </c>
      <c r="B35" s="1" t="s">
        <v>59</v>
      </c>
      <c r="C35">
        <v>246030</v>
      </c>
      <c r="D35">
        <v>206034</v>
      </c>
      <c r="E35">
        <v>259594</v>
      </c>
      <c r="F35">
        <v>17554</v>
      </c>
      <c r="G35">
        <v>17319</v>
      </c>
      <c r="H35">
        <v>6310</v>
      </c>
      <c r="I35">
        <v>28674</v>
      </c>
      <c r="J35">
        <v>27996</v>
      </c>
      <c r="K35">
        <v>29596</v>
      </c>
      <c r="L35">
        <v>87247</v>
      </c>
      <c r="M35">
        <v>79750</v>
      </c>
      <c r="N35">
        <v>81099</v>
      </c>
      <c r="O35">
        <v>9875</v>
      </c>
      <c r="P35">
        <v>8631</v>
      </c>
      <c r="Q35">
        <v>8071</v>
      </c>
    </row>
    <row r="36" spans="1:17" x14ac:dyDescent="0.4">
      <c r="A36" s="1" t="s">
        <v>60</v>
      </c>
      <c r="B36" s="1" t="s">
        <v>61</v>
      </c>
      <c r="C36">
        <v>239425</v>
      </c>
      <c r="D36">
        <v>204782</v>
      </c>
      <c r="E36">
        <v>257836</v>
      </c>
      <c r="F36">
        <v>16646</v>
      </c>
      <c r="G36">
        <v>16787</v>
      </c>
      <c r="H36">
        <v>6090</v>
      </c>
      <c r="I36">
        <v>29715</v>
      </c>
      <c r="J36">
        <v>29478</v>
      </c>
      <c r="K36">
        <v>28530</v>
      </c>
      <c r="L36">
        <v>84760</v>
      </c>
      <c r="M36">
        <v>60928</v>
      </c>
      <c r="N36">
        <v>91929</v>
      </c>
      <c r="O36">
        <v>8637</v>
      </c>
      <c r="P36">
        <v>8110</v>
      </c>
      <c r="Q36">
        <v>7937</v>
      </c>
    </row>
    <row r="37" spans="1:17" x14ac:dyDescent="0.4">
      <c r="A37" s="1" t="s">
        <v>62</v>
      </c>
      <c r="B37" s="1" t="s">
        <v>63</v>
      </c>
      <c r="C37">
        <v>235399</v>
      </c>
      <c r="D37">
        <v>208018</v>
      </c>
      <c r="E37">
        <v>250360</v>
      </c>
      <c r="F37">
        <v>18057</v>
      </c>
      <c r="G37">
        <v>17965</v>
      </c>
      <c r="H37">
        <v>6022</v>
      </c>
      <c r="I37">
        <v>27997</v>
      </c>
      <c r="J37">
        <v>25403</v>
      </c>
      <c r="K37">
        <v>29643</v>
      </c>
      <c r="L37">
        <v>79370</v>
      </c>
      <c r="M37">
        <v>88545</v>
      </c>
      <c r="N37">
        <v>70740</v>
      </c>
      <c r="O37">
        <v>9626</v>
      </c>
      <c r="P37">
        <v>9327</v>
      </c>
      <c r="Q37">
        <v>7565</v>
      </c>
    </row>
    <row r="38" spans="1:17" x14ac:dyDescent="0.4">
      <c r="A38" s="1" t="s">
        <v>64</v>
      </c>
      <c r="B38" s="1" t="s">
        <v>65</v>
      </c>
      <c r="C38">
        <v>255575</v>
      </c>
      <c r="D38">
        <v>223979</v>
      </c>
      <c r="E38">
        <v>239548</v>
      </c>
      <c r="F38">
        <v>19089</v>
      </c>
      <c r="G38">
        <v>18937</v>
      </c>
      <c r="H38">
        <v>5976</v>
      </c>
      <c r="I38">
        <v>31331</v>
      </c>
      <c r="J38">
        <v>30280</v>
      </c>
      <c r="K38">
        <v>34795</v>
      </c>
      <c r="L38">
        <v>87185</v>
      </c>
      <c r="M38">
        <v>90560</v>
      </c>
      <c r="N38">
        <v>54308</v>
      </c>
      <c r="O38">
        <v>9324</v>
      </c>
      <c r="P38">
        <v>9359</v>
      </c>
      <c r="Q38">
        <v>6736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873D4-0D74-412D-9D36-6B1AE5CFB4CB}">
  <dimension ref="A1:BY40"/>
  <sheetViews>
    <sheetView workbookViewId="0">
      <selection activeCell="C9" sqref="C9"/>
    </sheetView>
  </sheetViews>
  <sheetFormatPr defaultColWidth="15.62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200</v>
      </c>
      <c r="D3" t="s">
        <v>200</v>
      </c>
      <c r="E3" t="s">
        <v>200</v>
      </c>
      <c r="F3" t="s">
        <v>202</v>
      </c>
      <c r="G3" t="s">
        <v>202</v>
      </c>
      <c r="H3" t="s">
        <v>202</v>
      </c>
      <c r="I3" t="s">
        <v>204</v>
      </c>
      <c r="J3" t="s">
        <v>204</v>
      </c>
      <c r="K3" t="s">
        <v>204</v>
      </c>
      <c r="L3" t="s">
        <v>206</v>
      </c>
      <c r="M3" t="s">
        <v>206</v>
      </c>
      <c r="N3" t="s">
        <v>206</v>
      </c>
      <c r="O3" t="s">
        <v>208</v>
      </c>
      <c r="P3" t="s">
        <v>208</v>
      </c>
      <c r="Q3" t="s">
        <v>208</v>
      </c>
      <c r="R3" t="s">
        <v>210</v>
      </c>
      <c r="S3" t="s">
        <v>210</v>
      </c>
      <c r="T3" t="s">
        <v>210</v>
      </c>
      <c r="U3" t="s">
        <v>212</v>
      </c>
      <c r="V3" t="s">
        <v>212</v>
      </c>
      <c r="W3" t="s">
        <v>212</v>
      </c>
      <c r="X3" t="s">
        <v>214</v>
      </c>
      <c r="Y3" t="s">
        <v>214</v>
      </c>
      <c r="Z3" t="s">
        <v>214</v>
      </c>
      <c r="AA3" t="s">
        <v>216</v>
      </c>
      <c r="AB3" t="s">
        <v>216</v>
      </c>
      <c r="AC3" t="s">
        <v>216</v>
      </c>
      <c r="AD3" t="s">
        <v>218</v>
      </c>
      <c r="AE3" t="s">
        <v>218</v>
      </c>
      <c r="AF3" t="s">
        <v>218</v>
      </c>
      <c r="AG3" t="s">
        <v>220</v>
      </c>
      <c r="AH3" t="s">
        <v>220</v>
      </c>
      <c r="AI3" t="s">
        <v>220</v>
      </c>
      <c r="AJ3" t="s">
        <v>222</v>
      </c>
      <c r="AK3" t="s">
        <v>222</v>
      </c>
      <c r="AL3" t="s">
        <v>222</v>
      </c>
      <c r="AM3" t="s">
        <v>224</v>
      </c>
      <c r="AN3" t="s">
        <v>224</v>
      </c>
      <c r="AO3" t="s">
        <v>224</v>
      </c>
      <c r="AP3" t="s">
        <v>226</v>
      </c>
      <c r="AQ3" t="s">
        <v>226</v>
      </c>
      <c r="AR3" t="s">
        <v>226</v>
      </c>
      <c r="AS3" t="s">
        <v>228</v>
      </c>
      <c r="AT3" t="s">
        <v>228</v>
      </c>
      <c r="AU3" t="s">
        <v>228</v>
      </c>
      <c r="AV3" t="s">
        <v>230</v>
      </c>
      <c r="AW3" t="s">
        <v>230</v>
      </c>
      <c r="AX3" t="s">
        <v>230</v>
      </c>
      <c r="AY3" t="s">
        <v>232</v>
      </c>
      <c r="AZ3" t="s">
        <v>232</v>
      </c>
      <c r="BA3" t="s">
        <v>232</v>
      </c>
      <c r="BB3" t="s">
        <v>234</v>
      </c>
      <c r="BC3" t="s">
        <v>234</v>
      </c>
      <c r="BD3" t="s">
        <v>234</v>
      </c>
      <c r="BE3" t="s">
        <v>236</v>
      </c>
      <c r="BF3" t="s">
        <v>236</v>
      </c>
      <c r="BG3" t="s">
        <v>236</v>
      </c>
      <c r="BH3" t="s">
        <v>238</v>
      </c>
      <c r="BI3" t="s">
        <v>238</v>
      </c>
      <c r="BJ3" t="s">
        <v>238</v>
      </c>
      <c r="BK3" t="s">
        <v>240</v>
      </c>
      <c r="BL3" t="s">
        <v>240</v>
      </c>
      <c r="BM3" t="s">
        <v>240</v>
      </c>
      <c r="BN3" t="s">
        <v>242</v>
      </c>
      <c r="BO3" t="s">
        <v>242</v>
      </c>
      <c r="BP3" t="s">
        <v>242</v>
      </c>
      <c r="BQ3" t="s">
        <v>244</v>
      </c>
      <c r="BR3" t="s">
        <v>244</v>
      </c>
      <c r="BS3" t="s">
        <v>244</v>
      </c>
      <c r="BT3" t="s">
        <v>246</v>
      </c>
      <c r="BU3" t="s">
        <v>246</v>
      </c>
      <c r="BV3" t="s">
        <v>246</v>
      </c>
      <c r="BW3" t="s">
        <v>248</v>
      </c>
      <c r="BX3" t="s">
        <v>248</v>
      </c>
      <c r="BY3" t="s">
        <v>248</v>
      </c>
    </row>
    <row r="4" spans="1:77" x14ac:dyDescent="0.4">
      <c r="A4" s="1"/>
      <c r="B4" s="2" t="s">
        <v>1</v>
      </c>
      <c r="C4" t="s">
        <v>201</v>
      </c>
      <c r="D4" t="s">
        <v>201</v>
      </c>
      <c r="E4" t="s">
        <v>201</v>
      </c>
      <c r="F4" t="s">
        <v>203</v>
      </c>
      <c r="G4" t="s">
        <v>203</v>
      </c>
      <c r="H4" t="s">
        <v>203</v>
      </c>
      <c r="I4" t="s">
        <v>205</v>
      </c>
      <c r="J4" t="s">
        <v>205</v>
      </c>
      <c r="K4" t="s">
        <v>205</v>
      </c>
      <c r="L4" t="s">
        <v>207</v>
      </c>
      <c r="M4" t="s">
        <v>207</v>
      </c>
      <c r="N4" t="s">
        <v>207</v>
      </c>
      <c r="O4" t="s">
        <v>209</v>
      </c>
      <c r="P4" t="s">
        <v>209</v>
      </c>
      <c r="Q4" t="s">
        <v>209</v>
      </c>
      <c r="R4" t="s">
        <v>211</v>
      </c>
      <c r="S4" t="s">
        <v>211</v>
      </c>
      <c r="T4" t="s">
        <v>211</v>
      </c>
      <c r="U4" t="s">
        <v>213</v>
      </c>
      <c r="V4" t="s">
        <v>213</v>
      </c>
      <c r="W4" t="s">
        <v>213</v>
      </c>
      <c r="X4" t="s">
        <v>215</v>
      </c>
      <c r="Y4" t="s">
        <v>215</v>
      </c>
      <c r="Z4" t="s">
        <v>215</v>
      </c>
      <c r="AA4" t="s">
        <v>217</v>
      </c>
      <c r="AB4" t="s">
        <v>217</v>
      </c>
      <c r="AC4" t="s">
        <v>217</v>
      </c>
      <c r="AD4" t="s">
        <v>219</v>
      </c>
      <c r="AE4" t="s">
        <v>219</v>
      </c>
      <c r="AF4" t="s">
        <v>219</v>
      </c>
      <c r="AG4" t="s">
        <v>221</v>
      </c>
      <c r="AH4" t="s">
        <v>221</v>
      </c>
      <c r="AI4" t="s">
        <v>221</v>
      </c>
      <c r="AJ4" t="s">
        <v>223</v>
      </c>
      <c r="AK4" t="s">
        <v>223</v>
      </c>
      <c r="AL4" t="s">
        <v>223</v>
      </c>
      <c r="AM4" t="s">
        <v>225</v>
      </c>
      <c r="AN4" t="s">
        <v>225</v>
      </c>
      <c r="AO4" t="s">
        <v>225</v>
      </c>
      <c r="AP4" t="s">
        <v>227</v>
      </c>
      <c r="AQ4" t="s">
        <v>227</v>
      </c>
      <c r="AR4" t="s">
        <v>227</v>
      </c>
      <c r="AS4" t="s">
        <v>229</v>
      </c>
      <c r="AT4" t="s">
        <v>229</v>
      </c>
      <c r="AU4" t="s">
        <v>229</v>
      </c>
      <c r="AV4" t="s">
        <v>231</v>
      </c>
      <c r="AW4" t="s">
        <v>231</v>
      </c>
      <c r="AX4" t="s">
        <v>231</v>
      </c>
      <c r="AY4" t="s">
        <v>233</v>
      </c>
      <c r="AZ4" t="s">
        <v>233</v>
      </c>
      <c r="BA4" t="s">
        <v>233</v>
      </c>
      <c r="BB4" t="s">
        <v>235</v>
      </c>
      <c r="BC4" t="s">
        <v>235</v>
      </c>
      <c r="BD4" t="s">
        <v>235</v>
      </c>
      <c r="BE4" t="s">
        <v>237</v>
      </c>
      <c r="BF4" t="s">
        <v>237</v>
      </c>
      <c r="BG4" t="s">
        <v>237</v>
      </c>
      <c r="BH4" t="s">
        <v>239</v>
      </c>
      <c r="BI4" t="s">
        <v>239</v>
      </c>
      <c r="BJ4" t="s">
        <v>239</v>
      </c>
      <c r="BK4" t="s">
        <v>241</v>
      </c>
      <c r="BL4" t="s">
        <v>241</v>
      </c>
      <c r="BM4" t="s">
        <v>241</v>
      </c>
      <c r="BN4" t="s">
        <v>243</v>
      </c>
      <c r="BO4" t="s">
        <v>243</v>
      </c>
      <c r="BP4" t="s">
        <v>243</v>
      </c>
      <c r="BQ4" t="s">
        <v>245</v>
      </c>
      <c r="BR4" t="s">
        <v>245</v>
      </c>
      <c r="BS4" t="s">
        <v>245</v>
      </c>
      <c r="BT4" t="s">
        <v>247</v>
      </c>
      <c r="BU4" t="s">
        <v>247</v>
      </c>
      <c r="BV4" t="s">
        <v>247</v>
      </c>
      <c r="BW4" t="s">
        <v>249</v>
      </c>
      <c r="BX4" t="s">
        <v>249</v>
      </c>
      <c r="BY4" t="s">
        <v>249</v>
      </c>
    </row>
    <row r="5" spans="1:7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  <c r="BK5" t="s">
        <v>69</v>
      </c>
      <c r="BL5" t="s">
        <v>74</v>
      </c>
      <c r="BM5" t="s">
        <v>76</v>
      </c>
      <c r="BN5" t="s">
        <v>69</v>
      </c>
      <c r="BO5" t="s">
        <v>74</v>
      </c>
      <c r="BP5" t="s">
        <v>76</v>
      </c>
      <c r="BQ5" t="s">
        <v>69</v>
      </c>
      <c r="BR5" t="s">
        <v>74</v>
      </c>
      <c r="BS5" t="s">
        <v>76</v>
      </c>
      <c r="BT5" t="s">
        <v>69</v>
      </c>
      <c r="BU5" t="s">
        <v>74</v>
      </c>
      <c r="BV5" t="s">
        <v>76</v>
      </c>
      <c r="BW5" t="s">
        <v>69</v>
      </c>
      <c r="BX5" t="s">
        <v>74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  <c r="BK6" t="s">
        <v>72</v>
      </c>
      <c r="BL6" t="s">
        <v>75</v>
      </c>
      <c r="BM6" t="s">
        <v>77</v>
      </c>
      <c r="BN6" t="s">
        <v>72</v>
      </c>
      <c r="BO6" t="s">
        <v>75</v>
      </c>
      <c r="BP6" t="s">
        <v>77</v>
      </c>
      <c r="BQ6" t="s">
        <v>72</v>
      </c>
      <c r="BR6" t="s">
        <v>75</v>
      </c>
      <c r="BS6" t="s">
        <v>77</v>
      </c>
      <c r="BT6" t="s">
        <v>72</v>
      </c>
      <c r="BU6" t="s">
        <v>75</v>
      </c>
      <c r="BV6" t="s">
        <v>77</v>
      </c>
      <c r="BW6" t="s">
        <v>72</v>
      </c>
      <c r="BX6" t="s">
        <v>75</v>
      </c>
      <c r="BY6" t="s">
        <v>77</v>
      </c>
    </row>
    <row r="7" spans="1:7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70</v>
      </c>
      <c r="BV7" t="s">
        <v>70</v>
      </c>
      <c r="BW7" t="s">
        <v>70</v>
      </c>
      <c r="BX7" t="s">
        <v>70</v>
      </c>
      <c r="BY7" t="s">
        <v>70</v>
      </c>
    </row>
    <row r="8" spans="1:7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70</v>
      </c>
      <c r="BU8" t="s">
        <v>70</v>
      </c>
      <c r="BV8" t="s">
        <v>70</v>
      </c>
      <c r="BW8" t="s">
        <v>70</v>
      </c>
      <c r="BX8" t="s">
        <v>70</v>
      </c>
      <c r="BY8" t="s">
        <v>70</v>
      </c>
    </row>
    <row r="9" spans="1:77" x14ac:dyDescent="0.4">
      <c r="A9" s="1" t="s">
        <v>6</v>
      </c>
      <c r="B9" s="3" t="s">
        <v>7</v>
      </c>
      <c r="C9">
        <v>110065</v>
      </c>
      <c r="D9">
        <v>111996</v>
      </c>
      <c r="E9">
        <v>17171</v>
      </c>
      <c r="F9">
        <v>277000</v>
      </c>
      <c r="G9">
        <v>171636</v>
      </c>
      <c r="H9">
        <v>10956</v>
      </c>
      <c r="I9">
        <v>187846</v>
      </c>
      <c r="J9">
        <v>186606</v>
      </c>
      <c r="K9">
        <v>3678</v>
      </c>
      <c r="L9">
        <v>270665</v>
      </c>
      <c r="M9">
        <v>134719</v>
      </c>
      <c r="N9">
        <v>7405</v>
      </c>
      <c r="O9">
        <v>109568</v>
      </c>
      <c r="P9">
        <v>0</v>
      </c>
      <c r="Q9">
        <v>3102</v>
      </c>
      <c r="R9">
        <v>63053</v>
      </c>
      <c r="S9">
        <v>54176</v>
      </c>
      <c r="T9">
        <v>10021</v>
      </c>
      <c r="U9">
        <v>73204</v>
      </c>
      <c r="V9">
        <v>27208</v>
      </c>
      <c r="W9">
        <v>3587</v>
      </c>
      <c r="X9">
        <v>627036</v>
      </c>
      <c r="Y9">
        <v>604979</v>
      </c>
      <c r="Z9">
        <v>37168</v>
      </c>
      <c r="AA9">
        <v>39860</v>
      </c>
      <c r="AB9">
        <v>11210</v>
      </c>
      <c r="AC9">
        <v>839</v>
      </c>
      <c r="AD9">
        <v>34916</v>
      </c>
      <c r="AE9">
        <v>34353</v>
      </c>
      <c r="AF9">
        <v>2485</v>
      </c>
      <c r="AG9">
        <v>88627</v>
      </c>
      <c r="AH9">
        <v>87553</v>
      </c>
      <c r="AI9">
        <v>5055</v>
      </c>
      <c r="AJ9">
        <v>824800</v>
      </c>
      <c r="AK9">
        <v>808867</v>
      </c>
      <c r="AL9">
        <v>13861</v>
      </c>
      <c r="AM9">
        <v>458211</v>
      </c>
      <c r="AN9">
        <v>402351</v>
      </c>
      <c r="AO9">
        <v>9283</v>
      </c>
      <c r="AP9">
        <v>223620</v>
      </c>
      <c r="AQ9">
        <v>225539</v>
      </c>
      <c r="AR9">
        <v>59833</v>
      </c>
      <c r="AS9">
        <v>268484</v>
      </c>
      <c r="AT9">
        <v>194958</v>
      </c>
      <c r="AU9">
        <v>32080</v>
      </c>
      <c r="AV9">
        <v>189725</v>
      </c>
      <c r="AW9">
        <v>115656</v>
      </c>
      <c r="AX9">
        <v>10481</v>
      </c>
      <c r="AY9">
        <v>28657</v>
      </c>
      <c r="AZ9">
        <v>28597</v>
      </c>
      <c r="BA9">
        <v>3981</v>
      </c>
      <c r="BB9">
        <v>16516</v>
      </c>
      <c r="BC9">
        <v>16391</v>
      </c>
      <c r="BD9">
        <v>2708</v>
      </c>
      <c r="BE9">
        <v>116908</v>
      </c>
      <c r="BF9">
        <v>116321</v>
      </c>
      <c r="BG9">
        <v>7256</v>
      </c>
      <c r="BH9">
        <v>18002</v>
      </c>
      <c r="BI9">
        <v>17757</v>
      </c>
      <c r="BJ9">
        <v>2106</v>
      </c>
      <c r="BK9">
        <v>190627</v>
      </c>
      <c r="BL9">
        <v>190809</v>
      </c>
      <c r="BM9">
        <v>11875</v>
      </c>
      <c r="BN9">
        <v>338482</v>
      </c>
      <c r="BO9">
        <v>338611</v>
      </c>
      <c r="BP9">
        <v>3116</v>
      </c>
      <c r="BQ9">
        <v>121713</v>
      </c>
      <c r="BR9">
        <v>119098</v>
      </c>
      <c r="BS9">
        <v>3110</v>
      </c>
      <c r="BT9">
        <v>195001</v>
      </c>
      <c r="BU9">
        <v>183523</v>
      </c>
      <c r="BV9">
        <v>19042</v>
      </c>
      <c r="BW9">
        <v>56758</v>
      </c>
      <c r="BX9">
        <v>56077</v>
      </c>
      <c r="BY9">
        <v>9931</v>
      </c>
    </row>
    <row r="10" spans="1:77" x14ac:dyDescent="0.4">
      <c r="A10" s="1" t="s">
        <v>8</v>
      </c>
      <c r="B10" s="3" t="s">
        <v>9</v>
      </c>
      <c r="C10">
        <v>104293</v>
      </c>
      <c r="D10">
        <v>109011</v>
      </c>
      <c r="E10">
        <v>15630</v>
      </c>
      <c r="F10">
        <v>265379</v>
      </c>
      <c r="G10">
        <v>161628</v>
      </c>
      <c r="H10">
        <v>11178</v>
      </c>
      <c r="I10">
        <v>171220</v>
      </c>
      <c r="J10">
        <v>168738</v>
      </c>
      <c r="K10">
        <v>4655</v>
      </c>
      <c r="L10">
        <v>254871</v>
      </c>
      <c r="M10">
        <v>127335</v>
      </c>
      <c r="N10">
        <v>7479</v>
      </c>
      <c r="O10">
        <v>108466</v>
      </c>
      <c r="P10">
        <v>0</v>
      </c>
      <c r="Q10">
        <v>3329</v>
      </c>
      <c r="R10">
        <v>56769</v>
      </c>
      <c r="S10">
        <v>48391</v>
      </c>
      <c r="T10">
        <v>9353</v>
      </c>
      <c r="U10">
        <v>67702</v>
      </c>
      <c r="V10">
        <v>24382</v>
      </c>
      <c r="W10">
        <v>3218</v>
      </c>
      <c r="X10">
        <v>579882</v>
      </c>
      <c r="Y10">
        <v>564853</v>
      </c>
      <c r="Z10">
        <v>38091</v>
      </c>
      <c r="AA10">
        <v>35568</v>
      </c>
      <c r="AB10">
        <v>10288</v>
      </c>
      <c r="AC10">
        <v>588</v>
      </c>
      <c r="AD10">
        <v>29783</v>
      </c>
      <c r="AE10">
        <v>29568</v>
      </c>
      <c r="AF10">
        <v>2656</v>
      </c>
      <c r="AG10">
        <v>81276</v>
      </c>
      <c r="AH10">
        <v>80155</v>
      </c>
      <c r="AI10">
        <v>4915</v>
      </c>
      <c r="AJ10">
        <v>747374</v>
      </c>
      <c r="AK10">
        <v>732570</v>
      </c>
      <c r="AL10">
        <v>14544</v>
      </c>
      <c r="AM10">
        <v>413958</v>
      </c>
      <c r="AN10">
        <v>364730</v>
      </c>
      <c r="AO10">
        <v>8893</v>
      </c>
      <c r="AP10">
        <v>205021</v>
      </c>
      <c r="AQ10">
        <v>207839</v>
      </c>
      <c r="AR10">
        <v>60488</v>
      </c>
      <c r="AS10">
        <v>255212</v>
      </c>
      <c r="AT10">
        <v>176257</v>
      </c>
      <c r="AU10">
        <v>34930</v>
      </c>
      <c r="AV10">
        <v>178742</v>
      </c>
      <c r="AW10">
        <v>102320</v>
      </c>
      <c r="AX10">
        <v>12309</v>
      </c>
      <c r="AY10">
        <v>25797</v>
      </c>
      <c r="AZ10">
        <v>25269</v>
      </c>
      <c r="BA10">
        <v>4463</v>
      </c>
      <c r="BB10">
        <v>17972</v>
      </c>
      <c r="BC10">
        <v>17554</v>
      </c>
      <c r="BD10">
        <v>3145</v>
      </c>
      <c r="BE10">
        <v>108561</v>
      </c>
      <c r="BF10">
        <v>106917</v>
      </c>
      <c r="BG10">
        <v>7745</v>
      </c>
      <c r="BH10">
        <v>18864</v>
      </c>
      <c r="BI10">
        <v>17991</v>
      </c>
      <c r="BJ10">
        <v>2698</v>
      </c>
      <c r="BK10">
        <v>189692</v>
      </c>
      <c r="BL10">
        <v>185933</v>
      </c>
      <c r="BM10">
        <v>14011</v>
      </c>
      <c r="BN10">
        <v>318086</v>
      </c>
      <c r="BO10">
        <v>317989</v>
      </c>
      <c r="BP10">
        <v>3214</v>
      </c>
      <c r="BQ10">
        <v>121019</v>
      </c>
      <c r="BR10">
        <v>118690</v>
      </c>
      <c r="BS10">
        <v>3367</v>
      </c>
      <c r="BT10">
        <v>186799</v>
      </c>
      <c r="BU10">
        <v>172526</v>
      </c>
      <c r="BV10">
        <v>21665</v>
      </c>
      <c r="BW10">
        <v>57454</v>
      </c>
      <c r="BX10">
        <v>56248</v>
      </c>
      <c r="BY10">
        <v>11168</v>
      </c>
    </row>
    <row r="11" spans="1:77" x14ac:dyDescent="0.4">
      <c r="A11" s="1" t="s">
        <v>10</v>
      </c>
      <c r="B11" s="3" t="s">
        <v>11</v>
      </c>
      <c r="C11">
        <v>90717</v>
      </c>
      <c r="D11">
        <v>94178</v>
      </c>
      <c r="E11">
        <v>14659</v>
      </c>
      <c r="F11">
        <v>251548</v>
      </c>
      <c r="G11">
        <v>163770</v>
      </c>
      <c r="H11">
        <v>8632</v>
      </c>
      <c r="I11">
        <v>180793</v>
      </c>
      <c r="J11">
        <v>179103</v>
      </c>
      <c r="K11">
        <v>5264</v>
      </c>
      <c r="L11">
        <v>238891</v>
      </c>
      <c r="M11">
        <v>119649</v>
      </c>
      <c r="N11">
        <v>7341</v>
      </c>
      <c r="O11">
        <v>106150</v>
      </c>
      <c r="P11">
        <v>0</v>
      </c>
      <c r="Q11">
        <v>2735</v>
      </c>
      <c r="R11">
        <v>55285</v>
      </c>
      <c r="S11">
        <v>46323</v>
      </c>
      <c r="T11">
        <v>9245</v>
      </c>
      <c r="U11">
        <v>58261</v>
      </c>
      <c r="V11">
        <v>20419</v>
      </c>
      <c r="W11">
        <v>2973</v>
      </c>
      <c r="X11">
        <v>524376</v>
      </c>
      <c r="Y11">
        <v>507562</v>
      </c>
      <c r="Z11">
        <v>37471</v>
      </c>
      <c r="AA11">
        <v>34929</v>
      </c>
      <c r="AB11">
        <v>9740</v>
      </c>
      <c r="AC11">
        <v>729</v>
      </c>
      <c r="AD11">
        <v>28082</v>
      </c>
      <c r="AE11">
        <v>27990</v>
      </c>
      <c r="AF11">
        <v>2690</v>
      </c>
      <c r="AG11">
        <v>69471</v>
      </c>
      <c r="AH11">
        <v>68523</v>
      </c>
      <c r="AI11">
        <v>4608</v>
      </c>
      <c r="AJ11">
        <v>761413</v>
      </c>
      <c r="AK11">
        <v>751932</v>
      </c>
      <c r="AL11">
        <v>13867</v>
      </c>
      <c r="AM11">
        <v>416588</v>
      </c>
      <c r="AN11">
        <v>371229</v>
      </c>
      <c r="AO11">
        <v>8908</v>
      </c>
      <c r="AP11">
        <v>192658</v>
      </c>
      <c r="AQ11">
        <v>186374</v>
      </c>
      <c r="AR11">
        <v>69634</v>
      </c>
      <c r="AS11">
        <v>234247</v>
      </c>
      <c r="AT11">
        <v>159885</v>
      </c>
      <c r="AU11">
        <v>38088</v>
      </c>
      <c r="AV11">
        <v>161926</v>
      </c>
      <c r="AW11">
        <v>91998</v>
      </c>
      <c r="AX11">
        <v>11619</v>
      </c>
      <c r="AY11">
        <v>25416</v>
      </c>
      <c r="AZ11">
        <v>24861</v>
      </c>
      <c r="BA11">
        <v>4206</v>
      </c>
      <c r="BB11">
        <v>12509</v>
      </c>
      <c r="BC11">
        <v>12484</v>
      </c>
      <c r="BD11">
        <v>2823</v>
      </c>
      <c r="BE11">
        <v>102796</v>
      </c>
      <c r="BF11">
        <v>101439</v>
      </c>
      <c r="BG11">
        <v>8239</v>
      </c>
      <c r="BH11">
        <v>16176</v>
      </c>
      <c r="BI11">
        <v>16189</v>
      </c>
      <c r="BJ11">
        <v>2506</v>
      </c>
      <c r="BK11">
        <v>181496</v>
      </c>
      <c r="BL11">
        <v>179987</v>
      </c>
      <c r="BM11">
        <v>13436</v>
      </c>
      <c r="BN11">
        <v>305834</v>
      </c>
      <c r="BO11">
        <v>305565</v>
      </c>
      <c r="BP11">
        <v>3564</v>
      </c>
      <c r="BQ11">
        <v>112735</v>
      </c>
      <c r="BR11">
        <v>110543</v>
      </c>
      <c r="BS11">
        <v>3596</v>
      </c>
      <c r="BT11">
        <v>178625</v>
      </c>
      <c r="BU11">
        <v>159526</v>
      </c>
      <c r="BV11">
        <v>21415</v>
      </c>
      <c r="BW11">
        <v>54033</v>
      </c>
      <c r="BX11">
        <v>52658</v>
      </c>
      <c r="BY11">
        <v>11991</v>
      </c>
    </row>
    <row r="12" spans="1:77" x14ac:dyDescent="0.4">
      <c r="A12" s="1" t="s">
        <v>12</v>
      </c>
      <c r="B12" s="3" t="s">
        <v>13</v>
      </c>
      <c r="C12">
        <v>84212</v>
      </c>
      <c r="D12">
        <v>87919</v>
      </c>
      <c r="E12">
        <v>15111</v>
      </c>
      <c r="F12">
        <v>236485</v>
      </c>
      <c r="G12">
        <v>150678</v>
      </c>
      <c r="H12">
        <v>7498</v>
      </c>
      <c r="I12">
        <v>176981</v>
      </c>
      <c r="J12">
        <v>175841</v>
      </c>
      <c r="K12">
        <v>5156</v>
      </c>
      <c r="L12">
        <v>220498</v>
      </c>
      <c r="M12">
        <v>111388</v>
      </c>
      <c r="N12">
        <v>7404</v>
      </c>
      <c r="O12">
        <v>94346</v>
      </c>
      <c r="P12">
        <v>0</v>
      </c>
      <c r="Q12">
        <v>2666</v>
      </c>
      <c r="R12">
        <v>55163</v>
      </c>
      <c r="S12">
        <v>46896</v>
      </c>
      <c r="T12">
        <v>8465</v>
      </c>
      <c r="U12">
        <v>52420</v>
      </c>
      <c r="V12">
        <v>18227</v>
      </c>
      <c r="W12">
        <v>2740</v>
      </c>
      <c r="X12">
        <v>492124</v>
      </c>
      <c r="Y12">
        <v>480474</v>
      </c>
      <c r="Z12">
        <v>35031</v>
      </c>
      <c r="AA12">
        <v>32953</v>
      </c>
      <c r="AB12">
        <v>9689</v>
      </c>
      <c r="AC12">
        <v>695</v>
      </c>
      <c r="AD12">
        <v>26606</v>
      </c>
      <c r="AE12">
        <v>26774</v>
      </c>
      <c r="AF12">
        <v>2431</v>
      </c>
      <c r="AG12">
        <v>69933</v>
      </c>
      <c r="AH12">
        <v>69247</v>
      </c>
      <c r="AI12">
        <v>4470</v>
      </c>
      <c r="AJ12">
        <v>691451</v>
      </c>
      <c r="AK12">
        <v>682793</v>
      </c>
      <c r="AL12">
        <v>14070</v>
      </c>
      <c r="AM12">
        <v>389546</v>
      </c>
      <c r="AN12">
        <v>346693</v>
      </c>
      <c r="AO12">
        <v>8927</v>
      </c>
      <c r="AP12">
        <v>171057</v>
      </c>
      <c r="AQ12">
        <v>180561</v>
      </c>
      <c r="AR12">
        <v>63088</v>
      </c>
      <c r="AS12">
        <v>212452</v>
      </c>
      <c r="AT12">
        <v>146903</v>
      </c>
      <c r="AU12">
        <v>35110</v>
      </c>
      <c r="AV12">
        <v>148545</v>
      </c>
      <c r="AW12">
        <v>80619</v>
      </c>
      <c r="AX12">
        <v>11304</v>
      </c>
      <c r="AY12">
        <v>24997</v>
      </c>
      <c r="AZ12">
        <v>25360</v>
      </c>
      <c r="BA12">
        <v>3790</v>
      </c>
      <c r="BB12">
        <v>10952</v>
      </c>
      <c r="BC12">
        <v>11128</v>
      </c>
      <c r="BD12">
        <v>2387</v>
      </c>
      <c r="BE12">
        <v>97014</v>
      </c>
      <c r="BF12">
        <v>97108</v>
      </c>
      <c r="BG12">
        <v>7324</v>
      </c>
      <c r="BH12">
        <v>15705</v>
      </c>
      <c r="BI12">
        <v>15614</v>
      </c>
      <c r="BJ12">
        <v>2249</v>
      </c>
      <c r="BK12">
        <v>170136</v>
      </c>
      <c r="BL12">
        <v>165386</v>
      </c>
      <c r="BM12">
        <v>16400</v>
      </c>
      <c r="BN12">
        <v>313740</v>
      </c>
      <c r="BO12">
        <v>313521</v>
      </c>
      <c r="BP12">
        <v>3785</v>
      </c>
      <c r="BQ12">
        <v>113947</v>
      </c>
      <c r="BR12">
        <v>112305</v>
      </c>
      <c r="BS12">
        <v>3368</v>
      </c>
      <c r="BT12">
        <v>154242</v>
      </c>
      <c r="BU12">
        <v>141000</v>
      </c>
      <c r="BV12">
        <v>15136</v>
      </c>
      <c r="BW12">
        <v>46082</v>
      </c>
      <c r="BX12">
        <v>45900</v>
      </c>
      <c r="BY12">
        <v>10187</v>
      </c>
    </row>
    <row r="13" spans="1:77" x14ac:dyDescent="0.4">
      <c r="A13" s="1" t="s">
        <v>14</v>
      </c>
      <c r="B13" s="3" t="s">
        <v>15</v>
      </c>
      <c r="C13">
        <v>80074</v>
      </c>
      <c r="D13">
        <v>83951</v>
      </c>
      <c r="E13">
        <v>14415</v>
      </c>
      <c r="F13">
        <v>232374</v>
      </c>
      <c r="G13">
        <v>143170</v>
      </c>
      <c r="H13">
        <v>6402</v>
      </c>
      <c r="I13">
        <v>174598</v>
      </c>
      <c r="J13">
        <v>173970</v>
      </c>
      <c r="K13">
        <v>4765</v>
      </c>
      <c r="L13">
        <v>219217</v>
      </c>
      <c r="M13">
        <v>123096</v>
      </c>
      <c r="N13">
        <v>7225</v>
      </c>
      <c r="O13">
        <v>93113</v>
      </c>
      <c r="P13">
        <v>0</v>
      </c>
      <c r="Q13">
        <v>2741</v>
      </c>
      <c r="R13">
        <v>55689</v>
      </c>
      <c r="S13">
        <v>45968</v>
      </c>
      <c r="T13">
        <v>8922</v>
      </c>
      <c r="U13">
        <v>52499</v>
      </c>
      <c r="V13">
        <v>18082</v>
      </c>
      <c r="W13">
        <v>2604</v>
      </c>
      <c r="X13">
        <v>491322</v>
      </c>
      <c r="Y13">
        <v>477686</v>
      </c>
      <c r="Z13">
        <v>34012</v>
      </c>
      <c r="AA13">
        <v>30503</v>
      </c>
      <c r="AB13">
        <v>8979</v>
      </c>
      <c r="AC13">
        <v>710</v>
      </c>
      <c r="AD13">
        <v>27568</v>
      </c>
      <c r="AE13">
        <v>27431</v>
      </c>
      <c r="AF13">
        <v>2485</v>
      </c>
      <c r="AG13">
        <v>70033</v>
      </c>
      <c r="AH13">
        <v>69494</v>
      </c>
      <c r="AI13">
        <v>4433</v>
      </c>
      <c r="AJ13">
        <v>702255</v>
      </c>
      <c r="AK13">
        <v>694066</v>
      </c>
      <c r="AL13">
        <v>13705</v>
      </c>
      <c r="AM13">
        <v>391387</v>
      </c>
      <c r="AN13">
        <v>345780</v>
      </c>
      <c r="AO13">
        <v>9780</v>
      </c>
      <c r="AP13">
        <v>181295</v>
      </c>
      <c r="AQ13">
        <v>187579</v>
      </c>
      <c r="AR13">
        <v>72768</v>
      </c>
      <c r="AS13">
        <v>211836</v>
      </c>
      <c r="AT13">
        <v>140955</v>
      </c>
      <c r="AU13">
        <v>36490</v>
      </c>
      <c r="AV13">
        <v>147862</v>
      </c>
      <c r="AW13">
        <v>78966</v>
      </c>
      <c r="AX13">
        <v>11401</v>
      </c>
      <c r="AY13">
        <v>23663</v>
      </c>
      <c r="AZ13">
        <v>23533</v>
      </c>
      <c r="BA13">
        <v>3862</v>
      </c>
      <c r="BB13">
        <v>9984</v>
      </c>
      <c r="BC13">
        <v>9851</v>
      </c>
      <c r="BD13">
        <v>2535</v>
      </c>
      <c r="BE13">
        <v>89888</v>
      </c>
      <c r="BF13">
        <v>88383</v>
      </c>
      <c r="BG13">
        <v>8024</v>
      </c>
      <c r="BH13">
        <v>14839</v>
      </c>
      <c r="BI13">
        <v>14527</v>
      </c>
      <c r="BJ13">
        <v>2219</v>
      </c>
      <c r="BK13">
        <v>161406</v>
      </c>
      <c r="BL13">
        <v>162657</v>
      </c>
      <c r="BM13">
        <v>13361</v>
      </c>
      <c r="BN13">
        <v>306312</v>
      </c>
      <c r="BO13">
        <v>306572</v>
      </c>
      <c r="BP13">
        <v>3532</v>
      </c>
      <c r="BQ13">
        <v>113279</v>
      </c>
      <c r="BR13">
        <v>112946</v>
      </c>
      <c r="BS13">
        <v>3202</v>
      </c>
      <c r="BT13">
        <v>148917</v>
      </c>
      <c r="BU13">
        <v>136735</v>
      </c>
      <c r="BV13">
        <v>11163</v>
      </c>
      <c r="BW13">
        <v>45650</v>
      </c>
      <c r="BX13">
        <v>44932</v>
      </c>
      <c r="BY13">
        <v>10804</v>
      </c>
    </row>
    <row r="14" spans="1:77" x14ac:dyDescent="0.4">
      <c r="A14" s="1" t="s">
        <v>16</v>
      </c>
      <c r="B14" s="1" t="s">
        <v>17</v>
      </c>
      <c r="C14">
        <v>6852</v>
      </c>
      <c r="D14">
        <v>7526</v>
      </c>
      <c r="E14">
        <v>14054</v>
      </c>
      <c r="F14">
        <v>20558</v>
      </c>
      <c r="G14">
        <v>13637</v>
      </c>
      <c r="H14">
        <v>7845</v>
      </c>
      <c r="I14">
        <v>14326</v>
      </c>
      <c r="J14">
        <v>14605</v>
      </c>
      <c r="K14">
        <v>5014</v>
      </c>
      <c r="L14">
        <v>19057</v>
      </c>
      <c r="M14">
        <v>9196</v>
      </c>
      <c r="N14">
        <v>7069</v>
      </c>
      <c r="O14">
        <v>8196</v>
      </c>
      <c r="P14">
        <v>0</v>
      </c>
      <c r="Q14">
        <v>2581</v>
      </c>
      <c r="R14">
        <v>4436</v>
      </c>
      <c r="S14">
        <v>3877</v>
      </c>
      <c r="T14">
        <v>8170</v>
      </c>
      <c r="U14">
        <v>4962</v>
      </c>
      <c r="V14">
        <v>1619</v>
      </c>
      <c r="W14">
        <v>2836</v>
      </c>
      <c r="X14">
        <v>41344</v>
      </c>
      <c r="Y14">
        <v>39800</v>
      </c>
      <c r="Z14">
        <v>37347</v>
      </c>
      <c r="AA14">
        <v>2626</v>
      </c>
      <c r="AB14">
        <v>845</v>
      </c>
      <c r="AC14">
        <v>644</v>
      </c>
      <c r="AD14">
        <v>2072</v>
      </c>
      <c r="AE14">
        <v>2118</v>
      </c>
      <c r="AF14">
        <v>2416</v>
      </c>
      <c r="AG14">
        <v>5908</v>
      </c>
      <c r="AH14">
        <v>5786</v>
      </c>
      <c r="AI14">
        <v>4428</v>
      </c>
      <c r="AJ14">
        <v>56954</v>
      </c>
      <c r="AK14">
        <v>56319</v>
      </c>
      <c r="AL14">
        <v>13700</v>
      </c>
      <c r="AM14">
        <v>32200</v>
      </c>
      <c r="AN14">
        <v>28627</v>
      </c>
      <c r="AO14">
        <v>9862</v>
      </c>
      <c r="AP14">
        <v>13888</v>
      </c>
      <c r="AQ14">
        <v>21230</v>
      </c>
      <c r="AR14">
        <v>64037</v>
      </c>
      <c r="AS14">
        <v>19179</v>
      </c>
      <c r="AT14">
        <v>13245</v>
      </c>
      <c r="AU14">
        <v>36576</v>
      </c>
      <c r="AV14">
        <v>13482</v>
      </c>
      <c r="AW14">
        <v>7035</v>
      </c>
      <c r="AX14">
        <v>11052</v>
      </c>
      <c r="AY14">
        <v>2116</v>
      </c>
      <c r="AZ14">
        <v>2278</v>
      </c>
      <c r="BA14">
        <v>4026</v>
      </c>
      <c r="BB14">
        <v>848</v>
      </c>
      <c r="BC14">
        <v>871</v>
      </c>
      <c r="BD14">
        <v>2389</v>
      </c>
      <c r="BE14">
        <v>8053</v>
      </c>
      <c r="BF14">
        <v>7996</v>
      </c>
      <c r="BG14">
        <v>8515</v>
      </c>
      <c r="BH14">
        <v>1316</v>
      </c>
      <c r="BI14">
        <v>1324</v>
      </c>
      <c r="BJ14">
        <v>2387</v>
      </c>
      <c r="BK14">
        <v>15378</v>
      </c>
      <c r="BL14">
        <v>15993</v>
      </c>
      <c r="BM14">
        <v>11807</v>
      </c>
      <c r="BN14">
        <v>26252</v>
      </c>
      <c r="BO14">
        <v>26286</v>
      </c>
      <c r="BP14">
        <v>3621</v>
      </c>
      <c r="BQ14">
        <v>8946</v>
      </c>
      <c r="BR14">
        <v>8877</v>
      </c>
      <c r="BS14">
        <v>3721</v>
      </c>
      <c r="BT14">
        <v>13644</v>
      </c>
      <c r="BU14">
        <v>11927</v>
      </c>
      <c r="BV14">
        <v>20321</v>
      </c>
      <c r="BW14">
        <v>3716</v>
      </c>
      <c r="BX14">
        <v>4069</v>
      </c>
      <c r="BY14">
        <v>9608</v>
      </c>
    </row>
    <row r="15" spans="1:77" x14ac:dyDescent="0.4">
      <c r="A15" s="1" t="s">
        <v>18</v>
      </c>
      <c r="B15" s="1" t="s">
        <v>19</v>
      </c>
      <c r="C15">
        <v>7755</v>
      </c>
      <c r="D15">
        <v>7969</v>
      </c>
      <c r="E15">
        <v>14348</v>
      </c>
      <c r="F15">
        <v>20073</v>
      </c>
      <c r="G15">
        <v>12929</v>
      </c>
      <c r="H15">
        <v>7574</v>
      </c>
      <c r="I15">
        <v>14406</v>
      </c>
      <c r="J15">
        <v>14182</v>
      </c>
      <c r="K15">
        <v>5228</v>
      </c>
      <c r="L15">
        <v>19067</v>
      </c>
      <c r="M15">
        <v>9560</v>
      </c>
      <c r="N15">
        <v>7306</v>
      </c>
      <c r="O15">
        <v>7836</v>
      </c>
      <c r="P15">
        <v>0</v>
      </c>
      <c r="Q15">
        <v>2980</v>
      </c>
      <c r="R15">
        <v>4122</v>
      </c>
      <c r="S15">
        <v>4613</v>
      </c>
      <c r="T15">
        <v>6924</v>
      </c>
      <c r="U15">
        <v>4309</v>
      </c>
      <c r="V15">
        <v>1535</v>
      </c>
      <c r="W15">
        <v>2807</v>
      </c>
      <c r="X15">
        <v>42487</v>
      </c>
      <c r="Y15">
        <v>41457</v>
      </c>
      <c r="Z15">
        <v>37441</v>
      </c>
      <c r="AA15">
        <v>2809</v>
      </c>
      <c r="AB15">
        <v>861</v>
      </c>
      <c r="AC15">
        <v>650</v>
      </c>
      <c r="AD15">
        <v>2258</v>
      </c>
      <c r="AE15">
        <v>2379</v>
      </c>
      <c r="AF15">
        <v>2283</v>
      </c>
      <c r="AG15">
        <v>6408</v>
      </c>
      <c r="AH15">
        <v>6135</v>
      </c>
      <c r="AI15">
        <v>4628</v>
      </c>
      <c r="AJ15">
        <v>57012</v>
      </c>
      <c r="AK15">
        <v>56699</v>
      </c>
      <c r="AL15">
        <v>13613</v>
      </c>
      <c r="AM15">
        <v>32882</v>
      </c>
      <c r="AN15">
        <v>29549</v>
      </c>
      <c r="AO15">
        <v>9007</v>
      </c>
      <c r="AP15">
        <v>14851</v>
      </c>
      <c r="AQ15">
        <v>10915</v>
      </c>
      <c r="AR15">
        <v>68115</v>
      </c>
      <c r="AS15">
        <v>18770</v>
      </c>
      <c r="AT15">
        <v>13051</v>
      </c>
      <c r="AU15">
        <v>36581</v>
      </c>
      <c r="AV15">
        <v>13453</v>
      </c>
      <c r="AW15">
        <v>7289</v>
      </c>
      <c r="AX15">
        <v>11480</v>
      </c>
      <c r="AY15">
        <v>2365</v>
      </c>
      <c r="AZ15">
        <v>2235</v>
      </c>
      <c r="BA15">
        <v>4165</v>
      </c>
      <c r="BB15">
        <v>863</v>
      </c>
      <c r="BC15">
        <v>802</v>
      </c>
      <c r="BD15">
        <v>2450</v>
      </c>
      <c r="BE15">
        <v>8141</v>
      </c>
      <c r="BF15">
        <v>8581</v>
      </c>
      <c r="BG15">
        <v>8024</v>
      </c>
      <c r="BH15">
        <v>1353</v>
      </c>
      <c r="BI15">
        <v>1353</v>
      </c>
      <c r="BJ15">
        <v>2354</v>
      </c>
      <c r="BK15">
        <v>13881</v>
      </c>
      <c r="BL15">
        <v>13332</v>
      </c>
      <c r="BM15">
        <v>12212</v>
      </c>
      <c r="BN15">
        <v>27639</v>
      </c>
      <c r="BO15">
        <v>27531</v>
      </c>
      <c r="BP15">
        <v>3729</v>
      </c>
      <c r="BQ15">
        <v>10179</v>
      </c>
      <c r="BR15">
        <v>10035</v>
      </c>
      <c r="BS15">
        <v>3686</v>
      </c>
      <c r="BT15">
        <v>13242</v>
      </c>
      <c r="BU15">
        <v>12110</v>
      </c>
      <c r="BV15">
        <v>20233</v>
      </c>
      <c r="BW15">
        <v>4055</v>
      </c>
      <c r="BX15">
        <v>3453</v>
      </c>
      <c r="BY15">
        <v>10200</v>
      </c>
    </row>
    <row r="16" spans="1:77" x14ac:dyDescent="0.4">
      <c r="A16" s="1" t="s">
        <v>20</v>
      </c>
      <c r="B16" s="1" t="s">
        <v>21</v>
      </c>
      <c r="C16">
        <v>6878</v>
      </c>
      <c r="D16">
        <v>7361</v>
      </c>
      <c r="E16">
        <v>14247</v>
      </c>
      <c r="F16">
        <v>19697</v>
      </c>
      <c r="G16">
        <v>12269</v>
      </c>
      <c r="H16">
        <v>7756</v>
      </c>
      <c r="I16">
        <v>14242</v>
      </c>
      <c r="J16">
        <v>14130</v>
      </c>
      <c r="K16">
        <v>5273</v>
      </c>
      <c r="L16">
        <v>18065</v>
      </c>
      <c r="M16">
        <v>9157</v>
      </c>
      <c r="N16">
        <v>7075</v>
      </c>
      <c r="O16">
        <v>7915</v>
      </c>
      <c r="P16">
        <v>0</v>
      </c>
      <c r="Q16">
        <v>3176</v>
      </c>
      <c r="R16">
        <v>4621</v>
      </c>
      <c r="S16">
        <v>3925</v>
      </c>
      <c r="T16">
        <v>6866</v>
      </c>
      <c r="U16">
        <v>4620</v>
      </c>
      <c r="V16">
        <v>1584</v>
      </c>
      <c r="W16">
        <v>2743</v>
      </c>
      <c r="X16">
        <v>38591</v>
      </c>
      <c r="Y16">
        <v>39165</v>
      </c>
      <c r="Z16">
        <v>35859</v>
      </c>
      <c r="AA16">
        <v>2639</v>
      </c>
      <c r="AB16">
        <v>834</v>
      </c>
      <c r="AC16">
        <v>661</v>
      </c>
      <c r="AD16">
        <v>2026</v>
      </c>
      <c r="AE16">
        <v>2058</v>
      </c>
      <c r="AF16">
        <v>2249</v>
      </c>
      <c r="AG16">
        <v>5600</v>
      </c>
      <c r="AH16">
        <v>5854</v>
      </c>
      <c r="AI16">
        <v>4308</v>
      </c>
      <c r="AJ16">
        <v>53917</v>
      </c>
      <c r="AK16">
        <v>53104</v>
      </c>
      <c r="AL16">
        <v>13760</v>
      </c>
      <c r="AM16">
        <v>29644</v>
      </c>
      <c r="AN16">
        <v>26578</v>
      </c>
      <c r="AO16">
        <v>9122</v>
      </c>
      <c r="AP16">
        <v>13346</v>
      </c>
      <c r="AQ16">
        <v>12625</v>
      </c>
      <c r="AR16">
        <v>69019</v>
      </c>
      <c r="AS16">
        <v>16557</v>
      </c>
      <c r="AT16">
        <v>12293</v>
      </c>
      <c r="AU16">
        <v>35764</v>
      </c>
      <c r="AV16">
        <v>11234</v>
      </c>
      <c r="AW16">
        <v>6650</v>
      </c>
      <c r="AX16">
        <v>11021</v>
      </c>
      <c r="AY16">
        <v>1871</v>
      </c>
      <c r="AZ16">
        <v>2032</v>
      </c>
      <c r="BA16">
        <v>3999</v>
      </c>
      <c r="BB16">
        <v>768</v>
      </c>
      <c r="BC16">
        <v>823</v>
      </c>
      <c r="BD16">
        <v>2395</v>
      </c>
      <c r="BE16">
        <v>8501</v>
      </c>
      <c r="BF16">
        <v>8075</v>
      </c>
      <c r="BG16">
        <v>8358</v>
      </c>
      <c r="BH16">
        <v>1316</v>
      </c>
      <c r="BI16">
        <v>1318</v>
      </c>
      <c r="BJ16">
        <v>2333</v>
      </c>
      <c r="BK16">
        <v>14163</v>
      </c>
      <c r="BL16">
        <v>13791</v>
      </c>
      <c r="BM16">
        <v>12403</v>
      </c>
      <c r="BN16">
        <v>23869</v>
      </c>
      <c r="BO16">
        <v>23823</v>
      </c>
      <c r="BP16">
        <v>3775</v>
      </c>
      <c r="BQ16">
        <v>9371</v>
      </c>
      <c r="BR16">
        <v>9247</v>
      </c>
      <c r="BS16">
        <v>3614</v>
      </c>
      <c r="BT16">
        <v>12062</v>
      </c>
      <c r="BU16">
        <v>11353</v>
      </c>
      <c r="BV16">
        <v>19709</v>
      </c>
      <c r="BW16">
        <v>3687</v>
      </c>
      <c r="BX16">
        <v>3915</v>
      </c>
      <c r="BY16">
        <v>9950</v>
      </c>
    </row>
    <row r="17" spans="1:77" x14ac:dyDescent="0.4">
      <c r="A17" s="1" t="s">
        <v>22</v>
      </c>
      <c r="B17" s="1" t="s">
        <v>23</v>
      </c>
      <c r="C17">
        <v>7581</v>
      </c>
      <c r="D17">
        <v>8446</v>
      </c>
      <c r="E17">
        <v>13767</v>
      </c>
      <c r="F17">
        <v>19530</v>
      </c>
      <c r="G17">
        <v>12768</v>
      </c>
      <c r="H17">
        <v>7233</v>
      </c>
      <c r="I17">
        <v>14639</v>
      </c>
      <c r="J17">
        <v>14210</v>
      </c>
      <c r="K17">
        <v>5604</v>
      </c>
      <c r="L17">
        <v>18886</v>
      </c>
      <c r="M17">
        <v>9265</v>
      </c>
      <c r="N17">
        <v>7228</v>
      </c>
      <c r="O17">
        <v>8718</v>
      </c>
      <c r="P17">
        <v>0</v>
      </c>
      <c r="Q17">
        <v>3478</v>
      </c>
      <c r="R17">
        <v>5665</v>
      </c>
      <c r="S17">
        <v>4126</v>
      </c>
      <c r="T17">
        <v>7651</v>
      </c>
      <c r="U17">
        <v>4770</v>
      </c>
      <c r="V17">
        <v>1547</v>
      </c>
      <c r="W17">
        <v>2612</v>
      </c>
      <c r="X17">
        <v>43257</v>
      </c>
      <c r="Y17">
        <v>41626</v>
      </c>
      <c r="Z17">
        <v>36096</v>
      </c>
      <c r="AA17">
        <v>3096</v>
      </c>
      <c r="AB17">
        <v>808</v>
      </c>
      <c r="AC17">
        <v>728</v>
      </c>
      <c r="AD17">
        <v>2125</v>
      </c>
      <c r="AE17">
        <v>2135</v>
      </c>
      <c r="AF17">
        <v>2232</v>
      </c>
      <c r="AG17">
        <v>5967</v>
      </c>
      <c r="AH17">
        <v>5766</v>
      </c>
      <c r="AI17">
        <v>4429</v>
      </c>
      <c r="AJ17">
        <v>58453</v>
      </c>
      <c r="AK17">
        <v>57245</v>
      </c>
      <c r="AL17">
        <v>14245</v>
      </c>
      <c r="AM17">
        <v>32744</v>
      </c>
      <c r="AN17">
        <v>29656</v>
      </c>
      <c r="AO17">
        <v>9240</v>
      </c>
      <c r="AP17">
        <v>14144</v>
      </c>
      <c r="AQ17">
        <v>12766</v>
      </c>
      <c r="AR17">
        <v>70547</v>
      </c>
      <c r="AS17">
        <v>18456</v>
      </c>
      <c r="AT17">
        <v>12852</v>
      </c>
      <c r="AU17">
        <v>35549</v>
      </c>
      <c r="AV17">
        <v>12793</v>
      </c>
      <c r="AW17">
        <v>7175</v>
      </c>
      <c r="AX17">
        <v>10724</v>
      </c>
      <c r="AY17">
        <v>2279</v>
      </c>
      <c r="AZ17">
        <v>2096</v>
      </c>
      <c r="BA17">
        <v>4138</v>
      </c>
      <c r="BB17">
        <v>866</v>
      </c>
      <c r="BC17">
        <v>780</v>
      </c>
      <c r="BD17">
        <v>2483</v>
      </c>
      <c r="BE17">
        <v>7826</v>
      </c>
      <c r="BF17">
        <v>7926</v>
      </c>
      <c r="BG17">
        <v>8233</v>
      </c>
      <c r="BH17">
        <v>1327</v>
      </c>
      <c r="BI17">
        <v>1324</v>
      </c>
      <c r="BJ17">
        <v>2319</v>
      </c>
      <c r="BK17">
        <v>15079</v>
      </c>
      <c r="BL17">
        <v>13789</v>
      </c>
      <c r="BM17">
        <v>13535</v>
      </c>
      <c r="BN17">
        <v>23309</v>
      </c>
      <c r="BO17">
        <v>23385</v>
      </c>
      <c r="BP17">
        <v>3699</v>
      </c>
      <c r="BQ17">
        <v>9091</v>
      </c>
      <c r="BR17">
        <v>9017</v>
      </c>
      <c r="BS17">
        <v>3528</v>
      </c>
      <c r="BT17">
        <v>12401</v>
      </c>
      <c r="BU17">
        <v>11516</v>
      </c>
      <c r="BV17">
        <v>19639</v>
      </c>
      <c r="BW17">
        <v>3490</v>
      </c>
      <c r="BX17">
        <v>3546</v>
      </c>
      <c r="BY17">
        <v>9863</v>
      </c>
    </row>
    <row r="18" spans="1:77" x14ac:dyDescent="0.4">
      <c r="A18" s="1" t="s">
        <v>24</v>
      </c>
      <c r="B18" s="1" t="s">
        <v>25</v>
      </c>
      <c r="C18">
        <v>7567</v>
      </c>
      <c r="D18">
        <v>7767</v>
      </c>
      <c r="E18">
        <v>13921</v>
      </c>
      <c r="F18">
        <v>20565</v>
      </c>
      <c r="G18">
        <v>12668</v>
      </c>
      <c r="H18">
        <v>7539</v>
      </c>
      <c r="I18">
        <v>16684</v>
      </c>
      <c r="J18">
        <v>16276</v>
      </c>
      <c r="K18">
        <v>5934</v>
      </c>
      <c r="L18">
        <v>20059</v>
      </c>
      <c r="M18">
        <v>9532</v>
      </c>
      <c r="N18">
        <v>7508</v>
      </c>
      <c r="O18">
        <v>8348</v>
      </c>
      <c r="P18">
        <v>0</v>
      </c>
      <c r="Q18">
        <v>2770</v>
      </c>
      <c r="R18">
        <v>5429</v>
      </c>
      <c r="S18">
        <v>3658</v>
      </c>
      <c r="T18">
        <v>8668</v>
      </c>
      <c r="U18">
        <v>4943</v>
      </c>
      <c r="V18">
        <v>1687</v>
      </c>
      <c r="W18">
        <v>2551</v>
      </c>
      <c r="X18">
        <v>43953</v>
      </c>
      <c r="Y18">
        <v>43320</v>
      </c>
      <c r="Z18">
        <v>35460</v>
      </c>
      <c r="AA18">
        <v>3031</v>
      </c>
      <c r="AB18">
        <v>948</v>
      </c>
      <c r="AC18">
        <v>677</v>
      </c>
      <c r="AD18">
        <v>2319</v>
      </c>
      <c r="AE18">
        <v>2302</v>
      </c>
      <c r="AF18">
        <v>2241</v>
      </c>
      <c r="AG18">
        <v>6491</v>
      </c>
      <c r="AH18">
        <v>6304</v>
      </c>
      <c r="AI18">
        <v>4450</v>
      </c>
      <c r="AJ18">
        <v>64179</v>
      </c>
      <c r="AK18">
        <v>62908</v>
      </c>
      <c r="AL18">
        <v>15058</v>
      </c>
      <c r="AM18">
        <v>35410</v>
      </c>
      <c r="AN18">
        <v>31540</v>
      </c>
      <c r="AO18">
        <v>9431</v>
      </c>
      <c r="AP18">
        <v>15723</v>
      </c>
      <c r="AQ18">
        <v>14059</v>
      </c>
      <c r="AR18">
        <v>72354</v>
      </c>
      <c r="AS18">
        <v>18992</v>
      </c>
      <c r="AT18">
        <v>12901</v>
      </c>
      <c r="AU18">
        <v>35557</v>
      </c>
      <c r="AV18">
        <v>13201</v>
      </c>
      <c r="AW18">
        <v>7103</v>
      </c>
      <c r="AX18">
        <v>10763</v>
      </c>
      <c r="AY18">
        <v>2341</v>
      </c>
      <c r="AZ18">
        <v>2051</v>
      </c>
      <c r="BA18">
        <v>4449</v>
      </c>
      <c r="BB18">
        <v>864</v>
      </c>
      <c r="BC18">
        <v>936</v>
      </c>
      <c r="BD18">
        <v>2412</v>
      </c>
      <c r="BE18">
        <v>8334</v>
      </c>
      <c r="BF18">
        <v>8523</v>
      </c>
      <c r="BG18">
        <v>7998</v>
      </c>
      <c r="BH18">
        <v>1356</v>
      </c>
      <c r="BI18">
        <v>1354</v>
      </c>
      <c r="BJ18">
        <v>2300</v>
      </c>
      <c r="BK18">
        <v>16292</v>
      </c>
      <c r="BL18">
        <v>14064</v>
      </c>
      <c r="BM18">
        <v>15605</v>
      </c>
      <c r="BN18">
        <v>27923</v>
      </c>
      <c r="BO18">
        <v>27762</v>
      </c>
      <c r="BP18">
        <v>3860</v>
      </c>
      <c r="BQ18">
        <v>10382</v>
      </c>
      <c r="BR18">
        <v>10249</v>
      </c>
      <c r="BS18">
        <v>3528</v>
      </c>
      <c r="BT18">
        <v>13382</v>
      </c>
      <c r="BU18">
        <v>11893</v>
      </c>
      <c r="BV18">
        <v>19344</v>
      </c>
      <c r="BW18">
        <v>3610</v>
      </c>
      <c r="BX18">
        <v>3703</v>
      </c>
      <c r="BY18">
        <v>9737</v>
      </c>
    </row>
    <row r="19" spans="1:77" x14ac:dyDescent="0.4">
      <c r="A19" s="1" t="s">
        <v>26</v>
      </c>
      <c r="B19" s="1" t="s">
        <v>27</v>
      </c>
      <c r="C19">
        <v>6000</v>
      </c>
      <c r="D19">
        <v>6020</v>
      </c>
      <c r="E19">
        <v>14313</v>
      </c>
      <c r="F19">
        <v>16886</v>
      </c>
      <c r="G19">
        <v>10899</v>
      </c>
      <c r="H19">
        <v>7077</v>
      </c>
      <c r="I19">
        <v>12200</v>
      </c>
      <c r="J19">
        <v>12389</v>
      </c>
      <c r="K19">
        <v>5679</v>
      </c>
      <c r="L19">
        <v>15387</v>
      </c>
      <c r="M19">
        <v>8159</v>
      </c>
      <c r="N19">
        <v>6911</v>
      </c>
      <c r="O19">
        <v>7062</v>
      </c>
      <c r="P19">
        <v>0</v>
      </c>
      <c r="Q19">
        <v>3256</v>
      </c>
      <c r="R19">
        <v>3361</v>
      </c>
      <c r="S19">
        <v>3419</v>
      </c>
      <c r="T19">
        <v>7855</v>
      </c>
      <c r="U19">
        <v>3853</v>
      </c>
      <c r="V19">
        <v>1298</v>
      </c>
      <c r="W19">
        <v>2781</v>
      </c>
      <c r="X19">
        <v>36100</v>
      </c>
      <c r="Y19">
        <v>34238</v>
      </c>
      <c r="Z19">
        <v>36223</v>
      </c>
      <c r="AA19">
        <v>2234</v>
      </c>
      <c r="AB19">
        <v>700</v>
      </c>
      <c r="AC19">
        <v>742</v>
      </c>
      <c r="AD19">
        <v>1828</v>
      </c>
      <c r="AE19">
        <v>2005</v>
      </c>
      <c r="AF19">
        <v>2060</v>
      </c>
      <c r="AG19">
        <v>5068</v>
      </c>
      <c r="AH19">
        <v>5157</v>
      </c>
      <c r="AI19">
        <v>4372</v>
      </c>
      <c r="AJ19">
        <v>48753</v>
      </c>
      <c r="AK19">
        <v>49544</v>
      </c>
      <c r="AL19">
        <v>13567</v>
      </c>
      <c r="AM19">
        <v>27284</v>
      </c>
      <c r="AN19">
        <v>25223</v>
      </c>
      <c r="AO19">
        <v>8681</v>
      </c>
      <c r="AP19">
        <v>10543</v>
      </c>
      <c r="AQ19">
        <v>13202</v>
      </c>
      <c r="AR19">
        <v>69892</v>
      </c>
      <c r="AS19">
        <v>14592</v>
      </c>
      <c r="AT19">
        <v>10353</v>
      </c>
      <c r="AU19">
        <v>35215</v>
      </c>
      <c r="AV19">
        <v>9913</v>
      </c>
      <c r="AW19">
        <v>5679</v>
      </c>
      <c r="AX19">
        <v>10482</v>
      </c>
      <c r="AY19">
        <v>1694</v>
      </c>
      <c r="AZ19">
        <v>1869</v>
      </c>
      <c r="BA19">
        <v>4284</v>
      </c>
      <c r="BB19">
        <v>668</v>
      </c>
      <c r="BC19">
        <v>680</v>
      </c>
      <c r="BD19">
        <v>2401</v>
      </c>
      <c r="BE19">
        <v>7423</v>
      </c>
      <c r="BF19">
        <v>7324</v>
      </c>
      <c r="BG19">
        <v>8048</v>
      </c>
      <c r="BH19">
        <v>1196</v>
      </c>
      <c r="BI19">
        <v>1128</v>
      </c>
      <c r="BJ19">
        <v>2347</v>
      </c>
      <c r="BK19">
        <v>11582</v>
      </c>
      <c r="BL19">
        <v>11556</v>
      </c>
      <c r="BM19">
        <v>15492</v>
      </c>
      <c r="BN19">
        <v>23931</v>
      </c>
      <c r="BO19">
        <v>23986</v>
      </c>
      <c r="BP19">
        <v>3805</v>
      </c>
      <c r="BQ19">
        <v>8725</v>
      </c>
      <c r="BR19">
        <v>8532</v>
      </c>
      <c r="BS19">
        <v>3546</v>
      </c>
      <c r="BT19">
        <v>12959</v>
      </c>
      <c r="BU19">
        <v>12031</v>
      </c>
      <c r="BV19">
        <v>19186</v>
      </c>
      <c r="BW19">
        <v>3176</v>
      </c>
      <c r="BX19">
        <v>3148</v>
      </c>
      <c r="BY19">
        <v>9728</v>
      </c>
    </row>
    <row r="20" spans="1:77" x14ac:dyDescent="0.4">
      <c r="A20" s="1" t="s">
        <v>28</v>
      </c>
      <c r="B20" s="1" t="s">
        <v>29</v>
      </c>
      <c r="C20">
        <v>7071</v>
      </c>
      <c r="D20">
        <v>7074</v>
      </c>
      <c r="E20">
        <v>14611</v>
      </c>
      <c r="F20">
        <v>19592</v>
      </c>
      <c r="G20">
        <v>12890</v>
      </c>
      <c r="H20">
        <v>6846</v>
      </c>
      <c r="I20">
        <v>15587</v>
      </c>
      <c r="J20">
        <v>15454</v>
      </c>
      <c r="K20">
        <v>5680</v>
      </c>
      <c r="L20">
        <v>18749</v>
      </c>
      <c r="M20">
        <v>9493</v>
      </c>
      <c r="N20">
        <v>7016</v>
      </c>
      <c r="O20">
        <v>6805</v>
      </c>
      <c r="P20">
        <v>0</v>
      </c>
      <c r="Q20">
        <v>2357</v>
      </c>
      <c r="R20">
        <v>5397</v>
      </c>
      <c r="S20">
        <v>3362</v>
      </c>
      <c r="T20">
        <v>9137</v>
      </c>
      <c r="U20">
        <v>4367</v>
      </c>
      <c r="V20">
        <v>1353</v>
      </c>
      <c r="W20">
        <v>2958</v>
      </c>
      <c r="X20">
        <v>42608</v>
      </c>
      <c r="Y20">
        <v>41952</v>
      </c>
      <c r="Z20">
        <v>35585</v>
      </c>
      <c r="AA20">
        <v>2289</v>
      </c>
      <c r="AB20">
        <v>673</v>
      </c>
      <c r="AC20">
        <v>669</v>
      </c>
      <c r="AD20">
        <v>2461</v>
      </c>
      <c r="AE20">
        <v>2314</v>
      </c>
      <c r="AF20">
        <v>2197</v>
      </c>
      <c r="AG20">
        <v>6196</v>
      </c>
      <c r="AH20">
        <v>6190</v>
      </c>
      <c r="AI20">
        <v>4351</v>
      </c>
      <c r="AJ20">
        <v>59564</v>
      </c>
      <c r="AK20">
        <v>58404</v>
      </c>
      <c r="AL20">
        <v>14108</v>
      </c>
      <c r="AM20">
        <v>33737</v>
      </c>
      <c r="AN20">
        <v>29941</v>
      </c>
      <c r="AO20">
        <v>9363</v>
      </c>
      <c r="AP20">
        <v>14889</v>
      </c>
      <c r="AQ20">
        <v>17520</v>
      </c>
      <c r="AR20">
        <v>67617</v>
      </c>
      <c r="AS20">
        <v>17933</v>
      </c>
      <c r="AT20">
        <v>12867</v>
      </c>
      <c r="AU20">
        <v>34059</v>
      </c>
      <c r="AV20">
        <v>12827</v>
      </c>
      <c r="AW20">
        <v>6803</v>
      </c>
      <c r="AX20">
        <v>10235</v>
      </c>
      <c r="AY20">
        <v>1649</v>
      </c>
      <c r="AZ20">
        <v>2063</v>
      </c>
      <c r="BA20">
        <v>3856</v>
      </c>
      <c r="BB20">
        <v>1134</v>
      </c>
      <c r="BC20">
        <v>1097</v>
      </c>
      <c r="BD20">
        <v>2439</v>
      </c>
      <c r="BE20">
        <v>8178</v>
      </c>
      <c r="BF20">
        <v>8072</v>
      </c>
      <c r="BG20">
        <v>8112</v>
      </c>
      <c r="BH20">
        <v>1238</v>
      </c>
      <c r="BI20">
        <v>1264</v>
      </c>
      <c r="BJ20">
        <v>2302</v>
      </c>
      <c r="BK20">
        <v>14151</v>
      </c>
      <c r="BL20">
        <v>13751</v>
      </c>
      <c r="BM20">
        <v>15772</v>
      </c>
      <c r="BN20">
        <v>26790</v>
      </c>
      <c r="BO20">
        <v>26767</v>
      </c>
      <c r="BP20">
        <v>3828</v>
      </c>
      <c r="BQ20">
        <v>9518</v>
      </c>
      <c r="BR20">
        <v>9416</v>
      </c>
      <c r="BS20">
        <v>3557</v>
      </c>
      <c r="BT20">
        <v>12769</v>
      </c>
      <c r="BU20">
        <v>11701</v>
      </c>
      <c r="BV20">
        <v>18954</v>
      </c>
      <c r="BW20">
        <v>3659</v>
      </c>
      <c r="BX20">
        <v>3526</v>
      </c>
      <c r="BY20">
        <v>9850</v>
      </c>
    </row>
    <row r="21" spans="1:77" x14ac:dyDescent="0.4">
      <c r="A21" s="1" t="s">
        <v>30</v>
      </c>
      <c r="B21" s="1" t="s">
        <v>31</v>
      </c>
      <c r="C21">
        <v>7391</v>
      </c>
      <c r="D21">
        <v>7596</v>
      </c>
      <c r="E21">
        <v>14805</v>
      </c>
      <c r="F21">
        <v>21743</v>
      </c>
      <c r="G21">
        <v>13390</v>
      </c>
      <c r="H21">
        <v>7313</v>
      </c>
      <c r="I21">
        <v>16216</v>
      </c>
      <c r="J21">
        <v>16250</v>
      </c>
      <c r="K21">
        <v>5506</v>
      </c>
      <c r="L21">
        <v>19468</v>
      </c>
      <c r="M21">
        <v>10294</v>
      </c>
      <c r="N21">
        <v>7024</v>
      </c>
      <c r="O21">
        <v>7264</v>
      </c>
      <c r="P21">
        <v>0</v>
      </c>
      <c r="Q21">
        <v>2557</v>
      </c>
      <c r="R21">
        <v>3738</v>
      </c>
      <c r="S21">
        <v>3658</v>
      </c>
      <c r="T21">
        <v>8464</v>
      </c>
      <c r="U21">
        <v>4332</v>
      </c>
      <c r="V21">
        <v>1594</v>
      </c>
      <c r="W21">
        <v>2799</v>
      </c>
      <c r="X21">
        <v>43032</v>
      </c>
      <c r="Y21">
        <v>41304</v>
      </c>
      <c r="Z21">
        <v>35819</v>
      </c>
      <c r="AA21">
        <v>2888</v>
      </c>
      <c r="AB21">
        <v>859</v>
      </c>
      <c r="AC21">
        <v>581</v>
      </c>
      <c r="AD21">
        <v>2311</v>
      </c>
      <c r="AE21">
        <v>2299</v>
      </c>
      <c r="AF21">
        <v>2189</v>
      </c>
      <c r="AG21">
        <v>6302</v>
      </c>
      <c r="AH21">
        <v>6275</v>
      </c>
      <c r="AI21">
        <v>4339</v>
      </c>
      <c r="AJ21">
        <v>63881</v>
      </c>
      <c r="AK21">
        <v>62330</v>
      </c>
      <c r="AL21">
        <v>15096</v>
      </c>
      <c r="AM21">
        <v>35015</v>
      </c>
      <c r="AN21">
        <v>30667</v>
      </c>
      <c r="AO21">
        <v>9555</v>
      </c>
      <c r="AP21">
        <v>17011</v>
      </c>
      <c r="AQ21">
        <v>19488</v>
      </c>
      <c r="AR21">
        <v>65549</v>
      </c>
      <c r="AS21">
        <v>19047</v>
      </c>
      <c r="AT21">
        <v>12738</v>
      </c>
      <c r="AU21">
        <v>33894</v>
      </c>
      <c r="AV21">
        <v>13763</v>
      </c>
      <c r="AW21">
        <v>7140</v>
      </c>
      <c r="AX21">
        <v>10400</v>
      </c>
      <c r="AY21">
        <v>2319</v>
      </c>
      <c r="AZ21">
        <v>2336</v>
      </c>
      <c r="BA21">
        <v>3856</v>
      </c>
      <c r="BB21">
        <v>1064</v>
      </c>
      <c r="BC21">
        <v>1025</v>
      </c>
      <c r="BD21">
        <v>2478</v>
      </c>
      <c r="BE21">
        <v>8715</v>
      </c>
      <c r="BF21">
        <v>8846</v>
      </c>
      <c r="BG21">
        <v>7758</v>
      </c>
      <c r="BH21">
        <v>1382</v>
      </c>
      <c r="BI21">
        <v>1360</v>
      </c>
      <c r="BJ21">
        <v>2294</v>
      </c>
      <c r="BK21">
        <v>13904</v>
      </c>
      <c r="BL21">
        <v>12774</v>
      </c>
      <c r="BM21">
        <v>16754</v>
      </c>
      <c r="BN21">
        <v>28711</v>
      </c>
      <c r="BO21">
        <v>28518</v>
      </c>
      <c r="BP21">
        <v>4021</v>
      </c>
      <c r="BQ21">
        <v>10603</v>
      </c>
      <c r="BR21">
        <v>10456</v>
      </c>
      <c r="BS21">
        <v>3549</v>
      </c>
      <c r="BT21">
        <v>13286</v>
      </c>
      <c r="BU21">
        <v>11826</v>
      </c>
      <c r="BV21">
        <v>18822</v>
      </c>
      <c r="BW21">
        <v>4543</v>
      </c>
      <c r="BX21">
        <v>4177</v>
      </c>
      <c r="BY21">
        <v>10193</v>
      </c>
    </row>
    <row r="22" spans="1:77" x14ac:dyDescent="0.4">
      <c r="A22" s="1" t="s">
        <v>32</v>
      </c>
      <c r="B22" s="1" t="s">
        <v>33</v>
      </c>
      <c r="C22">
        <v>7314</v>
      </c>
      <c r="D22">
        <v>7393</v>
      </c>
      <c r="E22">
        <v>14881</v>
      </c>
      <c r="F22">
        <v>20784</v>
      </c>
      <c r="G22">
        <v>12824</v>
      </c>
      <c r="H22">
        <v>7643</v>
      </c>
      <c r="I22">
        <v>15425</v>
      </c>
      <c r="J22">
        <v>15508</v>
      </c>
      <c r="K22">
        <v>5292</v>
      </c>
      <c r="L22">
        <v>19236</v>
      </c>
      <c r="M22">
        <v>9828</v>
      </c>
      <c r="N22">
        <v>7021</v>
      </c>
      <c r="O22">
        <v>7925</v>
      </c>
      <c r="P22">
        <v>0</v>
      </c>
      <c r="Q22">
        <v>2693</v>
      </c>
      <c r="R22">
        <v>4832</v>
      </c>
      <c r="S22">
        <v>4058</v>
      </c>
      <c r="T22">
        <v>8484</v>
      </c>
      <c r="U22">
        <v>4053</v>
      </c>
      <c r="V22">
        <v>1490</v>
      </c>
      <c r="W22">
        <v>2568</v>
      </c>
      <c r="X22">
        <v>41932</v>
      </c>
      <c r="Y22">
        <v>40710</v>
      </c>
      <c r="Z22">
        <v>35498</v>
      </c>
      <c r="AA22">
        <v>2785</v>
      </c>
      <c r="AB22">
        <v>812</v>
      </c>
      <c r="AC22">
        <v>625</v>
      </c>
      <c r="AD22">
        <v>2300</v>
      </c>
      <c r="AE22">
        <v>2270</v>
      </c>
      <c r="AF22">
        <v>2212</v>
      </c>
      <c r="AG22">
        <v>5694</v>
      </c>
      <c r="AH22">
        <v>5632</v>
      </c>
      <c r="AI22">
        <v>4345</v>
      </c>
      <c r="AJ22">
        <v>60133</v>
      </c>
      <c r="AK22">
        <v>59639</v>
      </c>
      <c r="AL22">
        <v>14791</v>
      </c>
      <c r="AM22">
        <v>34357</v>
      </c>
      <c r="AN22">
        <v>30534</v>
      </c>
      <c r="AO22">
        <v>9360</v>
      </c>
      <c r="AP22">
        <v>16608</v>
      </c>
      <c r="AQ22">
        <v>17900</v>
      </c>
      <c r="AR22">
        <v>64673</v>
      </c>
      <c r="AS22">
        <v>18573</v>
      </c>
      <c r="AT22">
        <v>12046</v>
      </c>
      <c r="AU22">
        <v>34396</v>
      </c>
      <c r="AV22">
        <v>13180</v>
      </c>
      <c r="AW22">
        <v>6854</v>
      </c>
      <c r="AX22">
        <v>10718</v>
      </c>
      <c r="AY22">
        <v>2138</v>
      </c>
      <c r="AZ22">
        <v>2158</v>
      </c>
      <c r="BA22">
        <v>3816</v>
      </c>
      <c r="BB22">
        <v>1037</v>
      </c>
      <c r="BC22">
        <v>1181</v>
      </c>
      <c r="BD22">
        <v>2336</v>
      </c>
      <c r="BE22">
        <v>8434</v>
      </c>
      <c r="BF22">
        <v>8825</v>
      </c>
      <c r="BG22">
        <v>7267</v>
      </c>
      <c r="BH22">
        <v>1367</v>
      </c>
      <c r="BI22">
        <v>1372</v>
      </c>
      <c r="BJ22">
        <v>2264</v>
      </c>
      <c r="BK22">
        <v>14012</v>
      </c>
      <c r="BL22">
        <v>13935</v>
      </c>
      <c r="BM22">
        <v>16694</v>
      </c>
      <c r="BN22">
        <v>26780</v>
      </c>
      <c r="BO22">
        <v>26841</v>
      </c>
      <c r="BP22">
        <v>3960</v>
      </c>
      <c r="BQ22">
        <v>10177</v>
      </c>
      <c r="BR22">
        <v>10075</v>
      </c>
      <c r="BS22">
        <v>3469</v>
      </c>
      <c r="BT22">
        <v>12819</v>
      </c>
      <c r="BU22">
        <v>12723</v>
      </c>
      <c r="BV22">
        <v>16723</v>
      </c>
      <c r="BW22">
        <v>4505</v>
      </c>
      <c r="BX22">
        <v>4361</v>
      </c>
      <c r="BY22">
        <v>10283</v>
      </c>
    </row>
    <row r="23" spans="1:77" x14ac:dyDescent="0.4">
      <c r="A23" s="1" t="s">
        <v>34</v>
      </c>
      <c r="B23" s="1" t="s">
        <v>35</v>
      </c>
      <c r="C23">
        <v>6810</v>
      </c>
      <c r="D23">
        <v>6922</v>
      </c>
      <c r="E23">
        <v>15111</v>
      </c>
      <c r="F23">
        <v>19569</v>
      </c>
      <c r="G23">
        <v>12656</v>
      </c>
      <c r="H23">
        <v>7498</v>
      </c>
      <c r="I23">
        <v>14738</v>
      </c>
      <c r="J23">
        <v>14812</v>
      </c>
      <c r="K23">
        <v>5156</v>
      </c>
      <c r="L23">
        <v>17764</v>
      </c>
      <c r="M23">
        <v>8666</v>
      </c>
      <c r="N23">
        <v>7404</v>
      </c>
      <c r="O23">
        <v>7180</v>
      </c>
      <c r="P23">
        <v>0</v>
      </c>
      <c r="Q23">
        <v>2666</v>
      </c>
      <c r="R23">
        <v>5095</v>
      </c>
      <c r="S23">
        <v>4361</v>
      </c>
      <c r="T23">
        <v>8465</v>
      </c>
      <c r="U23">
        <v>3876</v>
      </c>
      <c r="V23">
        <v>1300</v>
      </c>
      <c r="W23">
        <v>2740</v>
      </c>
      <c r="X23">
        <v>40231</v>
      </c>
      <c r="Y23">
        <v>39386</v>
      </c>
      <c r="Z23">
        <v>35031</v>
      </c>
      <c r="AA23">
        <v>2799</v>
      </c>
      <c r="AB23">
        <v>775</v>
      </c>
      <c r="AC23">
        <v>695</v>
      </c>
      <c r="AD23">
        <v>2388</v>
      </c>
      <c r="AE23">
        <v>2160</v>
      </c>
      <c r="AF23">
        <v>2431</v>
      </c>
      <c r="AG23">
        <v>5924</v>
      </c>
      <c r="AH23">
        <v>5712</v>
      </c>
      <c r="AI23">
        <v>4470</v>
      </c>
      <c r="AJ23">
        <v>56242</v>
      </c>
      <c r="AK23">
        <v>56261</v>
      </c>
      <c r="AL23">
        <v>14070</v>
      </c>
      <c r="AM23">
        <v>32099</v>
      </c>
      <c r="AN23">
        <v>28853</v>
      </c>
      <c r="AO23">
        <v>8927</v>
      </c>
      <c r="AP23">
        <v>14347</v>
      </c>
      <c r="AQ23">
        <v>16328</v>
      </c>
      <c r="AR23">
        <v>63088</v>
      </c>
      <c r="AS23">
        <v>17151</v>
      </c>
      <c r="AT23">
        <v>11175</v>
      </c>
      <c r="AU23">
        <v>35110</v>
      </c>
      <c r="AV23">
        <v>11783</v>
      </c>
      <c r="AW23">
        <v>5944</v>
      </c>
      <c r="AX23">
        <v>11304</v>
      </c>
      <c r="AY23">
        <v>2184</v>
      </c>
      <c r="AZ23">
        <v>2190</v>
      </c>
      <c r="BA23">
        <v>3790</v>
      </c>
      <c r="BB23">
        <v>901</v>
      </c>
      <c r="BC23">
        <v>852</v>
      </c>
      <c r="BD23">
        <v>2387</v>
      </c>
      <c r="BE23">
        <v>8082</v>
      </c>
      <c r="BF23">
        <v>7981</v>
      </c>
      <c r="BG23">
        <v>7324</v>
      </c>
      <c r="BH23">
        <v>1318</v>
      </c>
      <c r="BI23">
        <v>1313</v>
      </c>
      <c r="BJ23">
        <v>2249</v>
      </c>
      <c r="BK23">
        <v>12941</v>
      </c>
      <c r="BL23">
        <v>13086</v>
      </c>
      <c r="BM23">
        <v>16400</v>
      </c>
      <c r="BN23">
        <v>26716</v>
      </c>
      <c r="BO23">
        <v>26891</v>
      </c>
      <c r="BP23">
        <v>3785</v>
      </c>
      <c r="BQ23">
        <v>9672</v>
      </c>
      <c r="BR23">
        <v>9576</v>
      </c>
      <c r="BS23">
        <v>3368</v>
      </c>
      <c r="BT23">
        <v>12216</v>
      </c>
      <c r="BU23">
        <v>11575</v>
      </c>
      <c r="BV23">
        <v>15136</v>
      </c>
      <c r="BW23">
        <v>4136</v>
      </c>
      <c r="BX23">
        <v>4243</v>
      </c>
      <c r="BY23">
        <v>10187</v>
      </c>
    </row>
    <row r="24" spans="1:77" x14ac:dyDescent="0.4">
      <c r="A24" s="1" t="s">
        <v>36</v>
      </c>
      <c r="B24" s="1" t="s">
        <v>37</v>
      </c>
      <c r="C24">
        <v>5892</v>
      </c>
      <c r="D24">
        <v>6113</v>
      </c>
      <c r="E24">
        <v>15240</v>
      </c>
      <c r="F24">
        <v>17731</v>
      </c>
      <c r="G24">
        <v>11616</v>
      </c>
      <c r="H24">
        <v>7060</v>
      </c>
      <c r="I24">
        <v>14653</v>
      </c>
      <c r="J24">
        <v>14504</v>
      </c>
      <c r="K24">
        <v>5171</v>
      </c>
      <c r="L24">
        <v>17553</v>
      </c>
      <c r="M24">
        <v>9895</v>
      </c>
      <c r="N24">
        <v>7099</v>
      </c>
      <c r="O24">
        <v>7658</v>
      </c>
      <c r="P24">
        <v>0</v>
      </c>
      <c r="Q24">
        <v>2834</v>
      </c>
      <c r="R24">
        <v>4333</v>
      </c>
      <c r="S24">
        <v>3410</v>
      </c>
      <c r="T24">
        <v>8634</v>
      </c>
      <c r="U24">
        <v>4069</v>
      </c>
      <c r="V24">
        <v>1348</v>
      </c>
      <c r="W24">
        <v>2871</v>
      </c>
      <c r="X24">
        <v>37526</v>
      </c>
      <c r="Y24">
        <v>36274</v>
      </c>
      <c r="Z24">
        <v>35069</v>
      </c>
      <c r="AA24">
        <v>2667</v>
      </c>
      <c r="AB24">
        <v>736</v>
      </c>
      <c r="AC24">
        <v>657</v>
      </c>
      <c r="AD24">
        <v>2047</v>
      </c>
      <c r="AE24">
        <v>2162</v>
      </c>
      <c r="AF24">
        <v>2306</v>
      </c>
      <c r="AG24">
        <v>5243</v>
      </c>
      <c r="AH24">
        <v>5508</v>
      </c>
      <c r="AI24">
        <v>4138</v>
      </c>
      <c r="AJ24">
        <v>56537</v>
      </c>
      <c r="AK24">
        <v>55520</v>
      </c>
      <c r="AL24">
        <v>14412</v>
      </c>
      <c r="AM24">
        <v>29866</v>
      </c>
      <c r="AN24">
        <v>26171</v>
      </c>
      <c r="AO24">
        <v>8771</v>
      </c>
      <c r="AP24">
        <v>14258</v>
      </c>
      <c r="AQ24">
        <v>13401</v>
      </c>
      <c r="AR24">
        <v>70055</v>
      </c>
      <c r="AS24">
        <v>16134</v>
      </c>
      <c r="AT24">
        <v>10950</v>
      </c>
      <c r="AU24">
        <v>35099</v>
      </c>
      <c r="AV24">
        <v>10932</v>
      </c>
      <c r="AW24">
        <v>6069</v>
      </c>
      <c r="AX24">
        <v>10986</v>
      </c>
      <c r="AY24">
        <v>1926</v>
      </c>
      <c r="AZ24">
        <v>1945</v>
      </c>
      <c r="BA24">
        <v>3777</v>
      </c>
      <c r="BB24">
        <v>938</v>
      </c>
      <c r="BC24">
        <v>1024</v>
      </c>
      <c r="BD24">
        <v>2302</v>
      </c>
      <c r="BE24">
        <v>6624</v>
      </c>
      <c r="BF24">
        <v>6582</v>
      </c>
      <c r="BG24">
        <v>7211</v>
      </c>
      <c r="BH24">
        <v>1197</v>
      </c>
      <c r="BI24">
        <v>1122</v>
      </c>
      <c r="BJ24">
        <v>2277</v>
      </c>
      <c r="BK24">
        <v>12854</v>
      </c>
      <c r="BL24">
        <v>13046</v>
      </c>
      <c r="BM24">
        <v>16099</v>
      </c>
      <c r="BN24">
        <v>26046</v>
      </c>
      <c r="BO24">
        <v>25820</v>
      </c>
      <c r="BP24">
        <v>4011</v>
      </c>
      <c r="BQ24">
        <v>9029</v>
      </c>
      <c r="BR24">
        <v>8818</v>
      </c>
      <c r="BS24">
        <v>3529</v>
      </c>
      <c r="BT24">
        <v>11742</v>
      </c>
      <c r="BU24">
        <v>10942</v>
      </c>
      <c r="BV24">
        <v>13420</v>
      </c>
      <c r="BW24">
        <v>3678</v>
      </c>
      <c r="BX24">
        <v>3757</v>
      </c>
      <c r="BY24">
        <v>10043</v>
      </c>
    </row>
    <row r="25" spans="1:77" x14ac:dyDescent="0.4">
      <c r="A25" s="1" t="s">
        <v>38</v>
      </c>
      <c r="B25" s="1" t="s">
        <v>39</v>
      </c>
      <c r="C25">
        <v>6711</v>
      </c>
      <c r="D25">
        <v>7133</v>
      </c>
      <c r="E25">
        <v>14982</v>
      </c>
      <c r="F25">
        <v>18409</v>
      </c>
      <c r="G25">
        <v>12330</v>
      </c>
      <c r="H25">
        <v>6581</v>
      </c>
      <c r="I25">
        <v>14474</v>
      </c>
      <c r="J25">
        <v>14635</v>
      </c>
      <c r="K25">
        <v>4920</v>
      </c>
      <c r="L25">
        <v>18030</v>
      </c>
      <c r="M25">
        <v>10247</v>
      </c>
      <c r="N25">
        <v>7056</v>
      </c>
      <c r="O25">
        <v>7796</v>
      </c>
      <c r="P25">
        <v>0</v>
      </c>
      <c r="Q25">
        <v>2706</v>
      </c>
      <c r="R25">
        <v>4910</v>
      </c>
      <c r="S25">
        <v>3802</v>
      </c>
      <c r="T25">
        <v>8986</v>
      </c>
      <c r="U25">
        <v>4257</v>
      </c>
      <c r="V25">
        <v>1474</v>
      </c>
      <c r="W25">
        <v>2856</v>
      </c>
      <c r="X25">
        <v>41315</v>
      </c>
      <c r="Y25">
        <v>40446</v>
      </c>
      <c r="Z25">
        <v>34683</v>
      </c>
      <c r="AA25">
        <v>2693</v>
      </c>
      <c r="AB25">
        <v>763</v>
      </c>
      <c r="AC25">
        <v>603</v>
      </c>
      <c r="AD25">
        <v>2154</v>
      </c>
      <c r="AE25">
        <v>2212</v>
      </c>
      <c r="AF25">
        <v>2246</v>
      </c>
      <c r="AG25">
        <v>5693</v>
      </c>
      <c r="AH25">
        <v>5587</v>
      </c>
      <c r="AI25">
        <v>4102</v>
      </c>
      <c r="AJ25">
        <v>57900</v>
      </c>
      <c r="AK25">
        <v>57932</v>
      </c>
      <c r="AL25">
        <v>13630</v>
      </c>
      <c r="AM25">
        <v>33362</v>
      </c>
      <c r="AN25">
        <v>29779</v>
      </c>
      <c r="AO25">
        <v>9206</v>
      </c>
      <c r="AP25">
        <v>14826</v>
      </c>
      <c r="AQ25">
        <v>13439</v>
      </c>
      <c r="AR25">
        <v>72450</v>
      </c>
      <c r="AS25">
        <v>17632</v>
      </c>
      <c r="AT25">
        <v>11718</v>
      </c>
      <c r="AU25">
        <v>35269</v>
      </c>
      <c r="AV25">
        <v>12355</v>
      </c>
      <c r="AW25">
        <v>6446</v>
      </c>
      <c r="AX25">
        <v>11163</v>
      </c>
      <c r="AY25">
        <v>2274</v>
      </c>
      <c r="AZ25">
        <v>2090</v>
      </c>
      <c r="BA25">
        <v>3971</v>
      </c>
      <c r="BB25">
        <v>926</v>
      </c>
      <c r="BC25">
        <v>892</v>
      </c>
      <c r="BD25">
        <v>2337</v>
      </c>
      <c r="BE25">
        <v>6669</v>
      </c>
      <c r="BF25">
        <v>6614</v>
      </c>
      <c r="BG25">
        <v>7210</v>
      </c>
      <c r="BH25">
        <v>1159</v>
      </c>
      <c r="BI25">
        <v>1151</v>
      </c>
      <c r="BJ25">
        <v>2255</v>
      </c>
      <c r="BK25">
        <v>13651</v>
      </c>
      <c r="BL25">
        <v>13666</v>
      </c>
      <c r="BM25">
        <v>15934</v>
      </c>
      <c r="BN25">
        <v>24985</v>
      </c>
      <c r="BO25">
        <v>25086</v>
      </c>
      <c r="BP25">
        <v>3910</v>
      </c>
      <c r="BQ25">
        <v>8704</v>
      </c>
      <c r="BR25">
        <v>8618</v>
      </c>
      <c r="BS25">
        <v>3580</v>
      </c>
      <c r="BT25">
        <v>12463</v>
      </c>
      <c r="BU25">
        <v>11434</v>
      </c>
      <c r="BV25">
        <v>12296</v>
      </c>
      <c r="BW25">
        <v>3639</v>
      </c>
      <c r="BX25">
        <v>3685</v>
      </c>
      <c r="BY25">
        <v>9997</v>
      </c>
    </row>
    <row r="26" spans="1:77" x14ac:dyDescent="0.4">
      <c r="A26" s="1" t="s">
        <v>40</v>
      </c>
      <c r="B26" s="1" t="s">
        <v>41</v>
      </c>
      <c r="C26">
        <v>6251</v>
      </c>
      <c r="D26">
        <v>6940</v>
      </c>
      <c r="E26">
        <v>14497</v>
      </c>
      <c r="F26">
        <v>19307</v>
      </c>
      <c r="G26">
        <v>12161</v>
      </c>
      <c r="H26">
        <v>7047</v>
      </c>
      <c r="I26">
        <v>14815</v>
      </c>
      <c r="J26">
        <v>14539</v>
      </c>
      <c r="K26">
        <v>5086</v>
      </c>
      <c r="L26">
        <v>19391</v>
      </c>
      <c r="M26">
        <v>10957</v>
      </c>
      <c r="N26">
        <v>6984</v>
      </c>
      <c r="O26">
        <v>7983</v>
      </c>
      <c r="P26">
        <v>0</v>
      </c>
      <c r="Q26">
        <v>2512</v>
      </c>
      <c r="R26">
        <v>5371</v>
      </c>
      <c r="S26">
        <v>3214</v>
      </c>
      <c r="T26">
        <v>10175</v>
      </c>
      <c r="U26">
        <v>4441</v>
      </c>
      <c r="V26">
        <v>1539</v>
      </c>
      <c r="W26">
        <v>2888</v>
      </c>
      <c r="X26">
        <v>41046</v>
      </c>
      <c r="Y26">
        <v>39288</v>
      </c>
      <c r="Z26">
        <v>35109</v>
      </c>
      <c r="AA26">
        <v>2970</v>
      </c>
      <c r="AB26">
        <v>763</v>
      </c>
      <c r="AC26">
        <v>603</v>
      </c>
      <c r="AD26">
        <v>2279</v>
      </c>
      <c r="AE26">
        <v>2166</v>
      </c>
      <c r="AF26">
        <v>2359</v>
      </c>
      <c r="AG26">
        <v>5802</v>
      </c>
      <c r="AH26">
        <v>5818</v>
      </c>
      <c r="AI26">
        <v>4032</v>
      </c>
      <c r="AJ26">
        <v>59719</v>
      </c>
      <c r="AK26">
        <v>58590</v>
      </c>
      <c r="AL26">
        <v>14175</v>
      </c>
      <c r="AM26">
        <v>33712</v>
      </c>
      <c r="AN26">
        <v>29006</v>
      </c>
      <c r="AO26">
        <v>9774</v>
      </c>
      <c r="AP26">
        <v>15934</v>
      </c>
      <c r="AQ26">
        <v>16801</v>
      </c>
      <c r="AR26">
        <v>72139</v>
      </c>
      <c r="AS26">
        <v>19754</v>
      </c>
      <c r="AT26">
        <v>12770</v>
      </c>
      <c r="AU26">
        <v>35649</v>
      </c>
      <c r="AV26">
        <v>13779</v>
      </c>
      <c r="AW26">
        <v>6942</v>
      </c>
      <c r="AX26">
        <v>11491</v>
      </c>
      <c r="AY26">
        <v>2236</v>
      </c>
      <c r="AZ26">
        <v>2171</v>
      </c>
      <c r="BA26">
        <v>4009</v>
      </c>
      <c r="BB26">
        <v>715</v>
      </c>
      <c r="BC26">
        <v>662</v>
      </c>
      <c r="BD26">
        <v>2394</v>
      </c>
      <c r="BE26">
        <v>6994</v>
      </c>
      <c r="BF26">
        <v>7145</v>
      </c>
      <c r="BG26">
        <v>7033</v>
      </c>
      <c r="BH26">
        <v>1245</v>
      </c>
      <c r="BI26">
        <v>1266</v>
      </c>
      <c r="BJ26">
        <v>2204</v>
      </c>
      <c r="BK26">
        <v>14894</v>
      </c>
      <c r="BL26">
        <v>14010</v>
      </c>
      <c r="BM26">
        <v>16694</v>
      </c>
      <c r="BN26">
        <v>26422</v>
      </c>
      <c r="BO26">
        <v>26425</v>
      </c>
      <c r="BP26">
        <v>3906</v>
      </c>
      <c r="BQ26">
        <v>9415</v>
      </c>
      <c r="BR26">
        <v>9399</v>
      </c>
      <c r="BS26">
        <v>3558</v>
      </c>
      <c r="BT26">
        <v>12595</v>
      </c>
      <c r="BU26">
        <v>11805</v>
      </c>
      <c r="BV26">
        <v>10750</v>
      </c>
      <c r="BW26">
        <v>3960</v>
      </c>
      <c r="BX26">
        <v>3979</v>
      </c>
      <c r="BY26">
        <v>9978</v>
      </c>
    </row>
    <row r="27" spans="1:77" x14ac:dyDescent="0.4">
      <c r="A27" s="1" t="s">
        <v>42</v>
      </c>
      <c r="B27" s="1" t="s">
        <v>43</v>
      </c>
      <c r="C27">
        <v>6893</v>
      </c>
      <c r="D27">
        <v>7176</v>
      </c>
      <c r="E27">
        <v>14599</v>
      </c>
      <c r="F27">
        <v>18886</v>
      </c>
      <c r="G27">
        <v>12002</v>
      </c>
      <c r="H27">
        <v>6594</v>
      </c>
      <c r="I27">
        <v>14468</v>
      </c>
      <c r="J27">
        <v>14577</v>
      </c>
      <c r="K27">
        <v>4982</v>
      </c>
      <c r="L27">
        <v>18633</v>
      </c>
      <c r="M27">
        <v>10398</v>
      </c>
      <c r="N27">
        <v>7336</v>
      </c>
      <c r="O27">
        <v>7073</v>
      </c>
      <c r="P27">
        <v>0</v>
      </c>
      <c r="Q27">
        <v>2401</v>
      </c>
      <c r="R27">
        <v>4083</v>
      </c>
      <c r="S27">
        <v>4683</v>
      </c>
      <c r="T27">
        <v>8821</v>
      </c>
      <c r="U27">
        <v>4310</v>
      </c>
      <c r="V27">
        <v>1521</v>
      </c>
      <c r="W27">
        <v>2765</v>
      </c>
      <c r="X27">
        <v>41221</v>
      </c>
      <c r="Y27">
        <v>39461</v>
      </c>
      <c r="Z27">
        <v>35767</v>
      </c>
      <c r="AA27">
        <v>2224</v>
      </c>
      <c r="AB27">
        <v>778</v>
      </c>
      <c r="AC27">
        <v>654</v>
      </c>
      <c r="AD27">
        <v>2477</v>
      </c>
      <c r="AE27">
        <v>2360</v>
      </c>
      <c r="AF27">
        <v>2459</v>
      </c>
      <c r="AG27">
        <v>6073</v>
      </c>
      <c r="AH27">
        <v>5869</v>
      </c>
      <c r="AI27">
        <v>4205</v>
      </c>
      <c r="AJ27">
        <v>56814</v>
      </c>
      <c r="AK27">
        <v>56651</v>
      </c>
      <c r="AL27">
        <v>13927</v>
      </c>
      <c r="AM27">
        <v>31398</v>
      </c>
      <c r="AN27">
        <v>28422</v>
      </c>
      <c r="AO27">
        <v>9286</v>
      </c>
      <c r="AP27">
        <v>14730</v>
      </c>
      <c r="AQ27">
        <v>11160</v>
      </c>
      <c r="AR27">
        <v>76389</v>
      </c>
      <c r="AS27">
        <v>17936</v>
      </c>
      <c r="AT27">
        <v>11652</v>
      </c>
      <c r="AU27">
        <v>35734</v>
      </c>
      <c r="AV27">
        <v>12587</v>
      </c>
      <c r="AW27">
        <v>6765</v>
      </c>
      <c r="AX27">
        <v>11309</v>
      </c>
      <c r="AY27">
        <v>1820</v>
      </c>
      <c r="AZ27">
        <v>1937</v>
      </c>
      <c r="BA27">
        <v>3905</v>
      </c>
      <c r="BB27">
        <v>701</v>
      </c>
      <c r="BC27">
        <v>604</v>
      </c>
      <c r="BD27">
        <v>2492</v>
      </c>
      <c r="BE27">
        <v>7354</v>
      </c>
      <c r="BF27">
        <v>7607</v>
      </c>
      <c r="BG27">
        <v>6707</v>
      </c>
      <c r="BH27">
        <v>1294</v>
      </c>
      <c r="BI27">
        <v>1251</v>
      </c>
      <c r="BJ27">
        <v>2222</v>
      </c>
      <c r="BK27">
        <v>12839</v>
      </c>
      <c r="BL27">
        <v>12769</v>
      </c>
      <c r="BM27">
        <v>16641</v>
      </c>
      <c r="BN27">
        <v>26923</v>
      </c>
      <c r="BO27">
        <v>26965</v>
      </c>
      <c r="BP27">
        <v>3865</v>
      </c>
      <c r="BQ27">
        <v>10139</v>
      </c>
      <c r="BR27">
        <v>10223</v>
      </c>
      <c r="BS27">
        <v>3455</v>
      </c>
      <c r="BT27">
        <v>13499</v>
      </c>
      <c r="BU27">
        <v>11859</v>
      </c>
      <c r="BV27">
        <v>11559</v>
      </c>
      <c r="BW27">
        <v>4232</v>
      </c>
      <c r="BX27">
        <v>4048</v>
      </c>
      <c r="BY27">
        <v>10161</v>
      </c>
    </row>
    <row r="28" spans="1:77" x14ac:dyDescent="0.4">
      <c r="A28" s="1" t="s">
        <v>44</v>
      </c>
      <c r="B28" s="1" t="s">
        <v>45</v>
      </c>
      <c r="C28">
        <v>5987</v>
      </c>
      <c r="D28">
        <v>6697</v>
      </c>
      <c r="E28">
        <v>14116</v>
      </c>
      <c r="F28">
        <v>19431</v>
      </c>
      <c r="G28">
        <v>11349</v>
      </c>
      <c r="H28">
        <v>7036</v>
      </c>
      <c r="I28">
        <v>12473</v>
      </c>
      <c r="J28">
        <v>12659</v>
      </c>
      <c r="K28">
        <v>4661</v>
      </c>
      <c r="L28">
        <v>16975</v>
      </c>
      <c r="M28">
        <v>9683</v>
      </c>
      <c r="N28">
        <v>6940</v>
      </c>
      <c r="O28">
        <v>7256</v>
      </c>
      <c r="P28">
        <v>0</v>
      </c>
      <c r="Q28">
        <v>2950</v>
      </c>
      <c r="R28">
        <v>4386</v>
      </c>
      <c r="S28">
        <v>3284</v>
      </c>
      <c r="T28">
        <v>9169</v>
      </c>
      <c r="U28">
        <v>4347</v>
      </c>
      <c r="V28">
        <v>1360</v>
      </c>
      <c r="W28">
        <v>2800</v>
      </c>
      <c r="X28">
        <v>38512</v>
      </c>
      <c r="Y28">
        <v>38440</v>
      </c>
      <c r="Z28">
        <v>34470</v>
      </c>
      <c r="AA28">
        <v>2464</v>
      </c>
      <c r="AB28">
        <v>708</v>
      </c>
      <c r="AC28">
        <v>632</v>
      </c>
      <c r="AD28">
        <v>2077</v>
      </c>
      <c r="AE28">
        <v>2253</v>
      </c>
      <c r="AF28">
        <v>2280</v>
      </c>
      <c r="AG28">
        <v>5388</v>
      </c>
      <c r="AH28">
        <v>5641</v>
      </c>
      <c r="AI28">
        <v>3952</v>
      </c>
      <c r="AJ28">
        <v>55737</v>
      </c>
      <c r="AK28">
        <v>54940</v>
      </c>
      <c r="AL28">
        <v>13756</v>
      </c>
      <c r="AM28">
        <v>29502</v>
      </c>
      <c r="AN28">
        <v>26554</v>
      </c>
      <c r="AO28">
        <v>8757</v>
      </c>
      <c r="AP28">
        <v>14383</v>
      </c>
      <c r="AQ28">
        <v>11410</v>
      </c>
      <c r="AR28">
        <v>80002</v>
      </c>
      <c r="AS28">
        <v>16170</v>
      </c>
      <c r="AT28">
        <v>10584</v>
      </c>
      <c r="AU28">
        <v>35946</v>
      </c>
      <c r="AV28">
        <v>10915</v>
      </c>
      <c r="AW28">
        <v>5772</v>
      </c>
      <c r="AX28">
        <v>11089</v>
      </c>
      <c r="AY28">
        <v>1868</v>
      </c>
      <c r="AZ28">
        <v>1716</v>
      </c>
      <c r="BA28">
        <v>4014</v>
      </c>
      <c r="BB28">
        <v>708</v>
      </c>
      <c r="BC28">
        <v>713</v>
      </c>
      <c r="BD28">
        <v>2489</v>
      </c>
      <c r="BE28">
        <v>7126</v>
      </c>
      <c r="BF28">
        <v>6650</v>
      </c>
      <c r="BG28">
        <v>7116</v>
      </c>
      <c r="BH28">
        <v>1273</v>
      </c>
      <c r="BI28">
        <v>1264</v>
      </c>
      <c r="BJ28">
        <v>2199</v>
      </c>
      <c r="BK28">
        <v>11930</v>
      </c>
      <c r="BL28">
        <v>12420</v>
      </c>
      <c r="BM28">
        <v>16028</v>
      </c>
      <c r="BN28">
        <v>23042</v>
      </c>
      <c r="BO28">
        <v>23155</v>
      </c>
      <c r="BP28">
        <v>3753</v>
      </c>
      <c r="BQ28">
        <v>8860</v>
      </c>
      <c r="BR28">
        <v>8876</v>
      </c>
      <c r="BS28">
        <v>3391</v>
      </c>
      <c r="BT28">
        <v>13397</v>
      </c>
      <c r="BU28">
        <v>11512</v>
      </c>
      <c r="BV28">
        <v>12829</v>
      </c>
      <c r="BW28">
        <v>3625</v>
      </c>
      <c r="BX28">
        <v>3459</v>
      </c>
      <c r="BY28">
        <v>10308</v>
      </c>
    </row>
    <row r="29" spans="1:77" x14ac:dyDescent="0.4">
      <c r="A29" s="1" t="s">
        <v>46</v>
      </c>
      <c r="B29" s="1" t="s">
        <v>47</v>
      </c>
      <c r="C29">
        <v>7198</v>
      </c>
      <c r="D29">
        <v>7602</v>
      </c>
      <c r="E29">
        <v>14077</v>
      </c>
      <c r="F29">
        <v>19951</v>
      </c>
      <c r="G29">
        <v>12395</v>
      </c>
      <c r="H29">
        <v>6468</v>
      </c>
      <c r="I29">
        <v>15391</v>
      </c>
      <c r="J29">
        <v>15110</v>
      </c>
      <c r="K29">
        <v>4876</v>
      </c>
      <c r="L29">
        <v>19048</v>
      </c>
      <c r="M29">
        <v>10630</v>
      </c>
      <c r="N29">
        <v>6929</v>
      </c>
      <c r="O29">
        <v>8419</v>
      </c>
      <c r="P29">
        <v>0</v>
      </c>
      <c r="Q29">
        <v>3364</v>
      </c>
      <c r="R29">
        <v>4729</v>
      </c>
      <c r="S29">
        <v>4126</v>
      </c>
      <c r="T29">
        <v>9017</v>
      </c>
      <c r="U29">
        <v>4867</v>
      </c>
      <c r="V29">
        <v>1780</v>
      </c>
      <c r="W29">
        <v>2591</v>
      </c>
      <c r="X29">
        <v>43223</v>
      </c>
      <c r="Y29">
        <v>42432</v>
      </c>
      <c r="Z29">
        <v>34167</v>
      </c>
      <c r="AA29">
        <v>2480</v>
      </c>
      <c r="AB29">
        <v>819</v>
      </c>
      <c r="AC29">
        <v>626</v>
      </c>
      <c r="AD29">
        <v>2491</v>
      </c>
      <c r="AE29">
        <v>2408</v>
      </c>
      <c r="AF29">
        <v>2345</v>
      </c>
      <c r="AG29">
        <v>6379</v>
      </c>
      <c r="AH29">
        <v>5879</v>
      </c>
      <c r="AI29">
        <v>4328</v>
      </c>
      <c r="AJ29">
        <v>62038</v>
      </c>
      <c r="AK29">
        <v>60940</v>
      </c>
      <c r="AL29">
        <v>14151</v>
      </c>
      <c r="AM29">
        <v>33728</v>
      </c>
      <c r="AN29">
        <v>30299</v>
      </c>
      <c r="AO29">
        <v>8963</v>
      </c>
      <c r="AP29">
        <v>16546</v>
      </c>
      <c r="AQ29">
        <v>13618</v>
      </c>
      <c r="AR29">
        <v>83879</v>
      </c>
      <c r="AS29">
        <v>18423</v>
      </c>
      <c r="AT29">
        <v>11735</v>
      </c>
      <c r="AU29">
        <v>36438</v>
      </c>
      <c r="AV29">
        <v>12782</v>
      </c>
      <c r="AW29">
        <v>6630</v>
      </c>
      <c r="AX29">
        <v>11015</v>
      </c>
      <c r="AY29">
        <v>1895</v>
      </c>
      <c r="AZ29">
        <v>1972</v>
      </c>
      <c r="BA29">
        <v>3979</v>
      </c>
      <c r="BB29">
        <v>854</v>
      </c>
      <c r="BC29">
        <v>807</v>
      </c>
      <c r="BD29">
        <v>2536</v>
      </c>
      <c r="BE29">
        <v>7309</v>
      </c>
      <c r="BF29">
        <v>7223</v>
      </c>
      <c r="BG29">
        <v>7087</v>
      </c>
      <c r="BH29">
        <v>1289</v>
      </c>
      <c r="BI29">
        <v>1264</v>
      </c>
      <c r="BJ29">
        <v>2205</v>
      </c>
      <c r="BK29">
        <v>14395</v>
      </c>
      <c r="BL29">
        <v>13837</v>
      </c>
      <c r="BM29">
        <v>16418</v>
      </c>
      <c r="BN29">
        <v>24561</v>
      </c>
      <c r="BO29">
        <v>24563</v>
      </c>
      <c r="BP29">
        <v>3751</v>
      </c>
      <c r="BQ29">
        <v>9456</v>
      </c>
      <c r="BR29">
        <v>9507</v>
      </c>
      <c r="BS29">
        <v>3293</v>
      </c>
      <c r="BT29">
        <v>10961</v>
      </c>
      <c r="BU29">
        <v>11206</v>
      </c>
      <c r="BV29">
        <v>11572</v>
      </c>
      <c r="BW29">
        <v>3892</v>
      </c>
      <c r="BX29">
        <v>3903</v>
      </c>
      <c r="BY29">
        <v>10289</v>
      </c>
    </row>
    <row r="30" spans="1:77" x14ac:dyDescent="0.4">
      <c r="A30" s="1" t="s">
        <v>48</v>
      </c>
      <c r="B30" s="1" t="s">
        <v>49</v>
      </c>
      <c r="C30">
        <v>6739</v>
      </c>
      <c r="D30">
        <v>7181</v>
      </c>
      <c r="E30">
        <v>13713</v>
      </c>
      <c r="F30">
        <v>20440</v>
      </c>
      <c r="G30">
        <v>13017</v>
      </c>
      <c r="H30">
        <v>6093</v>
      </c>
      <c r="I30">
        <v>15792</v>
      </c>
      <c r="J30">
        <v>15539</v>
      </c>
      <c r="K30">
        <v>5096</v>
      </c>
      <c r="L30">
        <v>20306</v>
      </c>
      <c r="M30">
        <v>11251</v>
      </c>
      <c r="N30">
        <v>6894</v>
      </c>
      <c r="O30">
        <v>7852</v>
      </c>
      <c r="P30">
        <v>0</v>
      </c>
      <c r="Q30">
        <v>2730</v>
      </c>
      <c r="R30">
        <v>4534</v>
      </c>
      <c r="S30">
        <v>3578</v>
      </c>
      <c r="T30">
        <v>9219</v>
      </c>
      <c r="U30">
        <v>4814</v>
      </c>
      <c r="V30">
        <v>1684</v>
      </c>
      <c r="W30">
        <v>2707</v>
      </c>
      <c r="X30">
        <v>42965</v>
      </c>
      <c r="Y30">
        <v>42244</v>
      </c>
      <c r="Z30">
        <v>33699</v>
      </c>
      <c r="AA30">
        <v>2748</v>
      </c>
      <c r="AB30">
        <v>787</v>
      </c>
      <c r="AC30">
        <v>755</v>
      </c>
      <c r="AD30">
        <v>2475</v>
      </c>
      <c r="AE30">
        <v>2395</v>
      </c>
      <c r="AF30">
        <v>2410</v>
      </c>
      <c r="AG30">
        <v>5867</v>
      </c>
      <c r="AH30">
        <v>5884</v>
      </c>
      <c r="AI30">
        <v>4293</v>
      </c>
      <c r="AJ30">
        <v>65316</v>
      </c>
      <c r="AK30">
        <v>63810</v>
      </c>
      <c r="AL30">
        <v>15250</v>
      </c>
      <c r="AM30">
        <v>35735</v>
      </c>
      <c r="AN30">
        <v>31213</v>
      </c>
      <c r="AO30">
        <v>9711</v>
      </c>
      <c r="AP30">
        <v>16089</v>
      </c>
      <c r="AQ30">
        <v>16734</v>
      </c>
      <c r="AR30">
        <v>84189</v>
      </c>
      <c r="AS30">
        <v>19382</v>
      </c>
      <c r="AT30">
        <v>12746</v>
      </c>
      <c r="AU30">
        <v>36374</v>
      </c>
      <c r="AV30">
        <v>13627</v>
      </c>
      <c r="AW30">
        <v>7160</v>
      </c>
      <c r="AX30">
        <v>11127</v>
      </c>
      <c r="AY30">
        <v>2006</v>
      </c>
      <c r="AZ30">
        <v>2176</v>
      </c>
      <c r="BA30">
        <v>3776</v>
      </c>
      <c r="BB30">
        <v>755</v>
      </c>
      <c r="BC30">
        <v>739</v>
      </c>
      <c r="BD30">
        <v>2553</v>
      </c>
      <c r="BE30">
        <v>8265</v>
      </c>
      <c r="BF30">
        <v>8044</v>
      </c>
      <c r="BG30">
        <v>7227</v>
      </c>
      <c r="BH30">
        <v>1315</v>
      </c>
      <c r="BI30">
        <v>1263</v>
      </c>
      <c r="BJ30">
        <v>2232</v>
      </c>
      <c r="BK30">
        <v>13516</v>
      </c>
      <c r="BL30">
        <v>14178</v>
      </c>
      <c r="BM30">
        <v>15574</v>
      </c>
      <c r="BN30">
        <v>27430</v>
      </c>
      <c r="BO30">
        <v>27335</v>
      </c>
      <c r="BP30">
        <v>3849</v>
      </c>
      <c r="BQ30">
        <v>10385</v>
      </c>
      <c r="BR30">
        <v>10289</v>
      </c>
      <c r="BS30">
        <v>3337</v>
      </c>
      <c r="BT30">
        <v>12748</v>
      </c>
      <c r="BU30">
        <v>11082</v>
      </c>
      <c r="BV30">
        <v>12207</v>
      </c>
      <c r="BW30">
        <v>3768</v>
      </c>
      <c r="BX30">
        <v>3783</v>
      </c>
      <c r="BY30">
        <v>10269</v>
      </c>
    </row>
    <row r="31" spans="1:77" x14ac:dyDescent="0.4">
      <c r="A31" s="1" t="s">
        <v>50</v>
      </c>
      <c r="B31" s="1" t="s">
        <v>51</v>
      </c>
      <c r="C31">
        <v>5785</v>
      </c>
      <c r="D31">
        <v>6110</v>
      </c>
      <c r="E31">
        <v>13761</v>
      </c>
      <c r="F31">
        <v>16657</v>
      </c>
      <c r="G31">
        <v>9636</v>
      </c>
      <c r="H31">
        <v>6125</v>
      </c>
      <c r="I31">
        <v>12150</v>
      </c>
      <c r="J31">
        <v>12447</v>
      </c>
      <c r="K31">
        <v>4667</v>
      </c>
      <c r="L31">
        <v>15341</v>
      </c>
      <c r="M31">
        <v>8524</v>
      </c>
      <c r="N31">
        <v>6797</v>
      </c>
      <c r="O31">
        <v>7209</v>
      </c>
      <c r="P31">
        <v>0</v>
      </c>
      <c r="Q31">
        <v>3494</v>
      </c>
      <c r="R31">
        <v>4063</v>
      </c>
      <c r="S31">
        <v>3442</v>
      </c>
      <c r="T31">
        <v>9086</v>
      </c>
      <c r="U31">
        <v>3540</v>
      </c>
      <c r="V31">
        <v>1202</v>
      </c>
      <c r="W31">
        <v>2769</v>
      </c>
      <c r="X31">
        <v>35224</v>
      </c>
      <c r="Y31">
        <v>33895</v>
      </c>
      <c r="Z31">
        <v>33765</v>
      </c>
      <c r="AA31">
        <v>2064</v>
      </c>
      <c r="AB31">
        <v>670</v>
      </c>
      <c r="AC31">
        <v>629</v>
      </c>
      <c r="AD31">
        <v>1728</v>
      </c>
      <c r="AE31">
        <v>1951</v>
      </c>
      <c r="AF31">
        <v>2186</v>
      </c>
      <c r="AG31">
        <v>4921</v>
      </c>
      <c r="AH31">
        <v>5047</v>
      </c>
      <c r="AI31">
        <v>4178</v>
      </c>
      <c r="AJ31">
        <v>46813</v>
      </c>
      <c r="AK31">
        <v>47756</v>
      </c>
      <c r="AL31">
        <v>13116</v>
      </c>
      <c r="AM31">
        <v>26952</v>
      </c>
      <c r="AN31">
        <v>24033</v>
      </c>
      <c r="AO31">
        <v>9053</v>
      </c>
      <c r="AP31">
        <v>11040</v>
      </c>
      <c r="AQ31">
        <v>14326</v>
      </c>
      <c r="AR31">
        <v>81788</v>
      </c>
      <c r="AS31">
        <v>14625</v>
      </c>
      <c r="AT31">
        <v>10397</v>
      </c>
      <c r="AU31">
        <v>35786</v>
      </c>
      <c r="AV31">
        <v>10187</v>
      </c>
      <c r="AW31">
        <v>5761</v>
      </c>
      <c r="AX31">
        <v>10820</v>
      </c>
      <c r="AY31">
        <v>1770</v>
      </c>
      <c r="AZ31">
        <v>1890</v>
      </c>
      <c r="BA31">
        <v>3657</v>
      </c>
      <c r="BB31">
        <v>573</v>
      </c>
      <c r="BC31">
        <v>530</v>
      </c>
      <c r="BD31">
        <v>2597</v>
      </c>
      <c r="BE31">
        <v>6851</v>
      </c>
      <c r="BF31">
        <v>6565</v>
      </c>
      <c r="BG31">
        <v>7483</v>
      </c>
      <c r="BH31">
        <v>1100</v>
      </c>
      <c r="BI31">
        <v>1066</v>
      </c>
      <c r="BJ31">
        <v>2246</v>
      </c>
      <c r="BK31">
        <v>10520</v>
      </c>
      <c r="BL31">
        <v>12338</v>
      </c>
      <c r="BM31">
        <v>13601</v>
      </c>
      <c r="BN31">
        <v>22011</v>
      </c>
      <c r="BO31">
        <v>22180</v>
      </c>
      <c r="BP31">
        <v>3681</v>
      </c>
      <c r="BQ31">
        <v>7948</v>
      </c>
      <c r="BR31">
        <v>7961</v>
      </c>
      <c r="BS31">
        <v>3290</v>
      </c>
      <c r="BT31">
        <v>11833</v>
      </c>
      <c r="BU31">
        <v>10941</v>
      </c>
      <c r="BV31">
        <v>11892</v>
      </c>
      <c r="BW31">
        <v>2981</v>
      </c>
      <c r="BX31">
        <v>2810</v>
      </c>
      <c r="BY31">
        <v>10440</v>
      </c>
    </row>
    <row r="32" spans="1:77" x14ac:dyDescent="0.4">
      <c r="A32" s="1" t="s">
        <v>52</v>
      </c>
      <c r="B32" s="1" t="s">
        <v>53</v>
      </c>
      <c r="C32">
        <v>7303</v>
      </c>
      <c r="D32">
        <v>7302</v>
      </c>
      <c r="E32">
        <v>14040</v>
      </c>
      <c r="F32">
        <v>20838</v>
      </c>
      <c r="G32">
        <v>12561</v>
      </c>
      <c r="H32">
        <v>6291</v>
      </c>
      <c r="I32">
        <v>15711</v>
      </c>
      <c r="J32">
        <v>15270</v>
      </c>
      <c r="K32">
        <v>5060</v>
      </c>
      <c r="L32">
        <v>19336</v>
      </c>
      <c r="M32">
        <v>10752</v>
      </c>
      <c r="N32">
        <v>6790</v>
      </c>
      <c r="O32">
        <v>7955</v>
      </c>
      <c r="P32">
        <v>0</v>
      </c>
      <c r="Q32">
        <v>2942</v>
      </c>
      <c r="R32">
        <v>5307</v>
      </c>
      <c r="S32">
        <v>4240</v>
      </c>
      <c r="T32">
        <v>9400</v>
      </c>
      <c r="U32">
        <v>5018</v>
      </c>
      <c r="V32">
        <v>1655</v>
      </c>
      <c r="W32">
        <v>2792</v>
      </c>
      <c r="X32">
        <v>43852</v>
      </c>
      <c r="Y32">
        <v>42586</v>
      </c>
      <c r="Z32">
        <v>33487</v>
      </c>
      <c r="AA32">
        <v>2408</v>
      </c>
      <c r="AB32">
        <v>653</v>
      </c>
      <c r="AC32">
        <v>701</v>
      </c>
      <c r="AD32">
        <v>2517</v>
      </c>
      <c r="AE32">
        <v>2482</v>
      </c>
      <c r="AF32">
        <v>2217</v>
      </c>
      <c r="AG32">
        <v>6376</v>
      </c>
      <c r="AH32">
        <v>6379</v>
      </c>
      <c r="AI32">
        <v>4101</v>
      </c>
      <c r="AJ32">
        <v>63119</v>
      </c>
      <c r="AK32">
        <v>61546</v>
      </c>
      <c r="AL32">
        <v>14176</v>
      </c>
      <c r="AM32">
        <v>35118</v>
      </c>
      <c r="AN32">
        <v>31153</v>
      </c>
      <c r="AO32">
        <v>9218</v>
      </c>
      <c r="AP32">
        <v>16077</v>
      </c>
      <c r="AQ32">
        <v>19145</v>
      </c>
      <c r="AR32">
        <v>79587</v>
      </c>
      <c r="AS32">
        <v>18646</v>
      </c>
      <c r="AT32">
        <v>13456</v>
      </c>
      <c r="AU32">
        <v>34837</v>
      </c>
      <c r="AV32">
        <v>13138</v>
      </c>
      <c r="AW32">
        <v>7192</v>
      </c>
      <c r="AX32">
        <v>10682</v>
      </c>
      <c r="AY32">
        <v>1759</v>
      </c>
      <c r="AZ32">
        <v>1912</v>
      </c>
      <c r="BA32">
        <v>3484</v>
      </c>
      <c r="BB32">
        <v>833</v>
      </c>
      <c r="BC32">
        <v>771</v>
      </c>
      <c r="BD32">
        <v>2661</v>
      </c>
      <c r="BE32">
        <v>7791</v>
      </c>
      <c r="BF32">
        <v>7756</v>
      </c>
      <c r="BG32">
        <v>7486</v>
      </c>
      <c r="BH32">
        <v>1180</v>
      </c>
      <c r="BI32">
        <v>1149</v>
      </c>
      <c r="BJ32">
        <v>2253</v>
      </c>
      <c r="BK32">
        <v>14708</v>
      </c>
      <c r="BL32">
        <v>14479</v>
      </c>
      <c r="BM32">
        <v>13681</v>
      </c>
      <c r="BN32">
        <v>25966</v>
      </c>
      <c r="BO32">
        <v>25963</v>
      </c>
      <c r="BP32">
        <v>3685</v>
      </c>
      <c r="BQ32">
        <v>9608</v>
      </c>
      <c r="BR32">
        <v>9635</v>
      </c>
      <c r="BS32">
        <v>3218</v>
      </c>
      <c r="BT32">
        <v>12914</v>
      </c>
      <c r="BU32">
        <v>10830</v>
      </c>
      <c r="BV32">
        <v>12789</v>
      </c>
      <c r="BW32">
        <v>3621</v>
      </c>
      <c r="BX32">
        <v>3514</v>
      </c>
      <c r="BY32">
        <v>10544</v>
      </c>
    </row>
    <row r="33" spans="1:77" x14ac:dyDescent="0.4">
      <c r="A33" s="1" t="s">
        <v>54</v>
      </c>
      <c r="B33" s="1" t="s">
        <v>55</v>
      </c>
      <c r="C33">
        <v>7172</v>
      </c>
      <c r="D33">
        <v>7374</v>
      </c>
      <c r="E33">
        <v>13995</v>
      </c>
      <c r="F33">
        <v>20968</v>
      </c>
      <c r="G33">
        <v>13314</v>
      </c>
      <c r="H33">
        <v>6292</v>
      </c>
      <c r="I33">
        <v>16249</v>
      </c>
      <c r="J33">
        <v>16063</v>
      </c>
      <c r="K33">
        <v>5148</v>
      </c>
      <c r="L33">
        <v>19446</v>
      </c>
      <c r="M33">
        <v>11293</v>
      </c>
      <c r="N33">
        <v>6690</v>
      </c>
      <c r="O33">
        <v>8387</v>
      </c>
      <c r="P33">
        <v>0</v>
      </c>
      <c r="Q33">
        <v>2704</v>
      </c>
      <c r="R33">
        <v>3811</v>
      </c>
      <c r="S33">
        <v>4052</v>
      </c>
      <c r="T33">
        <v>8405</v>
      </c>
      <c r="U33">
        <v>4756</v>
      </c>
      <c r="V33">
        <v>1672</v>
      </c>
      <c r="W33">
        <v>2784</v>
      </c>
      <c r="X33">
        <v>44371</v>
      </c>
      <c r="Y33">
        <v>42491</v>
      </c>
      <c r="Z33">
        <v>33795</v>
      </c>
      <c r="AA33">
        <v>2667</v>
      </c>
      <c r="AB33">
        <v>756</v>
      </c>
      <c r="AC33">
        <v>679</v>
      </c>
      <c r="AD33">
        <v>2597</v>
      </c>
      <c r="AE33">
        <v>2521</v>
      </c>
      <c r="AF33">
        <v>2286</v>
      </c>
      <c r="AG33">
        <v>6288</v>
      </c>
      <c r="AH33">
        <v>6108</v>
      </c>
      <c r="AI33">
        <v>4236</v>
      </c>
      <c r="AJ33">
        <v>64782</v>
      </c>
      <c r="AK33">
        <v>63600</v>
      </c>
      <c r="AL33">
        <v>14563</v>
      </c>
      <c r="AM33">
        <v>35951</v>
      </c>
      <c r="AN33">
        <v>31542</v>
      </c>
      <c r="AO33">
        <v>9286</v>
      </c>
      <c r="AP33">
        <v>17114</v>
      </c>
      <c r="AQ33">
        <v>22444</v>
      </c>
      <c r="AR33">
        <v>75513</v>
      </c>
      <c r="AS33">
        <v>18945</v>
      </c>
      <c r="AT33">
        <v>12002</v>
      </c>
      <c r="AU33">
        <v>35692</v>
      </c>
      <c r="AV33">
        <v>13504</v>
      </c>
      <c r="AW33">
        <v>7129</v>
      </c>
      <c r="AX33">
        <v>10942</v>
      </c>
      <c r="AY33">
        <v>2289</v>
      </c>
      <c r="AZ33">
        <v>2027</v>
      </c>
      <c r="BA33">
        <v>3739</v>
      </c>
      <c r="BB33">
        <v>1059</v>
      </c>
      <c r="BC33">
        <v>1158</v>
      </c>
      <c r="BD33">
        <v>2563</v>
      </c>
      <c r="BE33">
        <v>8930</v>
      </c>
      <c r="BF33">
        <v>8878</v>
      </c>
      <c r="BG33">
        <v>7460</v>
      </c>
      <c r="BH33">
        <v>1372</v>
      </c>
      <c r="BI33">
        <v>1359</v>
      </c>
      <c r="BJ33">
        <v>2234</v>
      </c>
      <c r="BK33">
        <v>15027</v>
      </c>
      <c r="BL33">
        <v>13759</v>
      </c>
      <c r="BM33">
        <v>14780</v>
      </c>
      <c r="BN33">
        <v>27753</v>
      </c>
      <c r="BO33">
        <v>27600</v>
      </c>
      <c r="BP33">
        <v>3840</v>
      </c>
      <c r="BQ33">
        <v>10577</v>
      </c>
      <c r="BR33">
        <v>10500</v>
      </c>
      <c r="BS33">
        <v>3248</v>
      </c>
      <c r="BT33">
        <v>12316</v>
      </c>
      <c r="BU33">
        <v>12380</v>
      </c>
      <c r="BV33">
        <v>11795</v>
      </c>
      <c r="BW33">
        <v>4239</v>
      </c>
      <c r="BX33">
        <v>3932</v>
      </c>
      <c r="BY33">
        <v>10838</v>
      </c>
    </row>
    <row r="34" spans="1:77" x14ac:dyDescent="0.4">
      <c r="A34" s="1" t="s">
        <v>56</v>
      </c>
      <c r="B34" s="1" t="s">
        <v>57</v>
      </c>
      <c r="C34">
        <v>7092</v>
      </c>
      <c r="D34">
        <v>7179</v>
      </c>
      <c r="E34">
        <v>14293</v>
      </c>
      <c r="F34">
        <v>20036</v>
      </c>
      <c r="G34">
        <v>11202</v>
      </c>
      <c r="H34">
        <v>6647</v>
      </c>
      <c r="I34">
        <v>14016</v>
      </c>
      <c r="J34">
        <v>14296</v>
      </c>
      <c r="K34">
        <v>4756</v>
      </c>
      <c r="L34">
        <v>17910</v>
      </c>
      <c r="M34">
        <v>9956</v>
      </c>
      <c r="N34">
        <v>6756</v>
      </c>
      <c r="O34">
        <v>8316</v>
      </c>
      <c r="P34">
        <v>0</v>
      </c>
      <c r="Q34">
        <v>3234</v>
      </c>
      <c r="R34">
        <v>4613</v>
      </c>
      <c r="S34">
        <v>4005</v>
      </c>
      <c r="T34">
        <v>8259</v>
      </c>
      <c r="U34">
        <v>4101</v>
      </c>
      <c r="V34">
        <v>1516</v>
      </c>
      <c r="W34">
        <v>2629</v>
      </c>
      <c r="X34">
        <v>41441</v>
      </c>
      <c r="Y34">
        <v>40076</v>
      </c>
      <c r="Z34">
        <v>34434</v>
      </c>
      <c r="AA34">
        <v>2415</v>
      </c>
      <c r="AB34">
        <v>757</v>
      </c>
      <c r="AC34">
        <v>636</v>
      </c>
      <c r="AD34">
        <v>2360</v>
      </c>
      <c r="AE34">
        <v>2214</v>
      </c>
      <c r="AF34">
        <v>2429</v>
      </c>
      <c r="AG34">
        <v>6102</v>
      </c>
      <c r="AH34">
        <v>5980</v>
      </c>
      <c r="AI34">
        <v>4408</v>
      </c>
      <c r="AJ34">
        <v>56241</v>
      </c>
      <c r="AK34">
        <v>56372</v>
      </c>
      <c r="AL34">
        <v>13593</v>
      </c>
      <c r="AM34">
        <v>34015</v>
      </c>
      <c r="AN34">
        <v>28987</v>
      </c>
      <c r="AO34">
        <v>9881</v>
      </c>
      <c r="AP34">
        <v>15342</v>
      </c>
      <c r="AQ34">
        <v>17807</v>
      </c>
      <c r="AR34">
        <v>74085</v>
      </c>
      <c r="AS34">
        <v>17861</v>
      </c>
      <c r="AT34">
        <v>11893</v>
      </c>
      <c r="AU34">
        <v>35901</v>
      </c>
      <c r="AV34">
        <v>12827</v>
      </c>
      <c r="AW34">
        <v>6793</v>
      </c>
      <c r="AX34">
        <v>11244</v>
      </c>
      <c r="AY34">
        <v>1834</v>
      </c>
      <c r="AZ34">
        <v>1707</v>
      </c>
      <c r="BA34">
        <v>3857</v>
      </c>
      <c r="BB34">
        <v>1106</v>
      </c>
      <c r="BC34">
        <v>1145</v>
      </c>
      <c r="BD34">
        <v>2525</v>
      </c>
      <c r="BE34">
        <v>8126</v>
      </c>
      <c r="BF34">
        <v>7807</v>
      </c>
      <c r="BG34">
        <v>7752</v>
      </c>
      <c r="BH34">
        <v>1226</v>
      </c>
      <c r="BI34">
        <v>1261</v>
      </c>
      <c r="BJ34">
        <v>2168</v>
      </c>
      <c r="BK34">
        <v>13476</v>
      </c>
      <c r="BL34">
        <v>14193</v>
      </c>
      <c r="BM34">
        <v>13919</v>
      </c>
      <c r="BN34">
        <v>24801</v>
      </c>
      <c r="BO34">
        <v>25059</v>
      </c>
      <c r="BP34">
        <v>3583</v>
      </c>
      <c r="BQ34">
        <v>9409</v>
      </c>
      <c r="BR34">
        <v>9324</v>
      </c>
      <c r="BS34">
        <v>3294</v>
      </c>
      <c r="BT34">
        <v>12286</v>
      </c>
      <c r="BU34">
        <v>12046</v>
      </c>
      <c r="BV34">
        <v>10660</v>
      </c>
      <c r="BW34">
        <v>4096</v>
      </c>
      <c r="BX34">
        <v>4021</v>
      </c>
      <c r="BY34">
        <v>10917</v>
      </c>
    </row>
    <row r="35" spans="1:77" x14ac:dyDescent="0.4">
      <c r="A35" s="1" t="s">
        <v>58</v>
      </c>
      <c r="B35" s="1" t="s">
        <v>59</v>
      </c>
      <c r="C35">
        <v>7051</v>
      </c>
      <c r="D35">
        <v>7144</v>
      </c>
      <c r="E35">
        <v>14415</v>
      </c>
      <c r="F35">
        <v>19720</v>
      </c>
      <c r="G35">
        <v>11587</v>
      </c>
      <c r="H35">
        <v>6402</v>
      </c>
      <c r="I35">
        <v>14406</v>
      </c>
      <c r="J35">
        <v>14331</v>
      </c>
      <c r="K35">
        <v>4765</v>
      </c>
      <c r="L35">
        <v>17248</v>
      </c>
      <c r="M35">
        <v>9510</v>
      </c>
      <c r="N35">
        <v>7225</v>
      </c>
      <c r="O35">
        <v>7209</v>
      </c>
      <c r="P35">
        <v>0</v>
      </c>
      <c r="Q35">
        <v>2741</v>
      </c>
      <c r="R35">
        <v>5549</v>
      </c>
      <c r="S35">
        <v>4132</v>
      </c>
      <c r="T35">
        <v>8922</v>
      </c>
      <c r="U35">
        <v>3979</v>
      </c>
      <c r="V35">
        <v>1331</v>
      </c>
      <c r="W35">
        <v>2604</v>
      </c>
      <c r="X35">
        <v>40626</v>
      </c>
      <c r="Y35">
        <v>40053</v>
      </c>
      <c r="Z35">
        <v>34012</v>
      </c>
      <c r="AA35">
        <v>2703</v>
      </c>
      <c r="AB35">
        <v>789</v>
      </c>
      <c r="AC35">
        <v>710</v>
      </c>
      <c r="AD35">
        <v>2366</v>
      </c>
      <c r="AE35">
        <v>2307</v>
      </c>
      <c r="AF35">
        <v>2485</v>
      </c>
      <c r="AG35">
        <v>5901</v>
      </c>
      <c r="AH35">
        <v>5794</v>
      </c>
      <c r="AI35">
        <v>4433</v>
      </c>
      <c r="AJ35">
        <v>57239</v>
      </c>
      <c r="AK35">
        <v>56409</v>
      </c>
      <c r="AL35">
        <v>13705</v>
      </c>
      <c r="AM35">
        <v>32048</v>
      </c>
      <c r="AN35">
        <v>28621</v>
      </c>
      <c r="AO35">
        <v>9780</v>
      </c>
      <c r="AP35">
        <v>14956</v>
      </c>
      <c r="AQ35">
        <v>17294</v>
      </c>
      <c r="AR35">
        <v>72768</v>
      </c>
      <c r="AS35">
        <v>16328</v>
      </c>
      <c r="AT35">
        <v>11052</v>
      </c>
      <c r="AU35">
        <v>36490</v>
      </c>
      <c r="AV35">
        <v>11229</v>
      </c>
      <c r="AW35">
        <v>6307</v>
      </c>
      <c r="AX35">
        <v>11401</v>
      </c>
      <c r="AY35">
        <v>1986</v>
      </c>
      <c r="AZ35">
        <v>1990</v>
      </c>
      <c r="BA35">
        <v>3862</v>
      </c>
      <c r="BB35">
        <v>816</v>
      </c>
      <c r="BC35">
        <v>806</v>
      </c>
      <c r="BD35">
        <v>2535</v>
      </c>
      <c r="BE35">
        <v>7849</v>
      </c>
      <c r="BF35">
        <v>7512</v>
      </c>
      <c r="BG35">
        <v>8024</v>
      </c>
      <c r="BH35">
        <v>1189</v>
      </c>
      <c r="BI35">
        <v>1111</v>
      </c>
      <c r="BJ35">
        <v>2219</v>
      </c>
      <c r="BK35">
        <v>13596</v>
      </c>
      <c r="BL35">
        <v>13962</v>
      </c>
      <c r="BM35">
        <v>13361</v>
      </c>
      <c r="BN35">
        <v>26372</v>
      </c>
      <c r="BO35">
        <v>26421</v>
      </c>
      <c r="BP35">
        <v>3532</v>
      </c>
      <c r="BQ35">
        <v>9749</v>
      </c>
      <c r="BR35">
        <v>9796</v>
      </c>
      <c r="BS35">
        <v>3202</v>
      </c>
      <c r="BT35">
        <v>12163</v>
      </c>
      <c r="BU35">
        <v>10698</v>
      </c>
      <c r="BV35">
        <v>11163</v>
      </c>
      <c r="BW35">
        <v>3919</v>
      </c>
      <c r="BX35">
        <v>4041</v>
      </c>
      <c r="BY35">
        <v>10804</v>
      </c>
    </row>
    <row r="36" spans="1:77" x14ac:dyDescent="0.4">
      <c r="A36" s="1" t="s">
        <v>60</v>
      </c>
      <c r="B36" s="1" t="s">
        <v>61</v>
      </c>
      <c r="C36">
        <v>6066</v>
      </c>
      <c r="D36">
        <v>6610</v>
      </c>
      <c r="E36">
        <v>14535</v>
      </c>
      <c r="F36">
        <v>18642</v>
      </c>
      <c r="G36">
        <v>10854</v>
      </c>
      <c r="H36">
        <v>6571</v>
      </c>
      <c r="I36">
        <v>13946</v>
      </c>
      <c r="J36">
        <v>13949</v>
      </c>
      <c r="K36">
        <v>4720</v>
      </c>
      <c r="L36">
        <v>16758</v>
      </c>
      <c r="M36">
        <v>9965</v>
      </c>
      <c r="N36">
        <v>6715</v>
      </c>
      <c r="O36">
        <v>7863</v>
      </c>
      <c r="P36">
        <v>0</v>
      </c>
      <c r="Q36">
        <v>2970</v>
      </c>
      <c r="R36">
        <v>4693</v>
      </c>
      <c r="S36">
        <v>3912</v>
      </c>
      <c r="T36">
        <v>8949</v>
      </c>
      <c r="U36">
        <v>4070</v>
      </c>
      <c r="V36">
        <v>1376</v>
      </c>
      <c r="W36">
        <v>2614</v>
      </c>
      <c r="X36">
        <v>38572</v>
      </c>
      <c r="Y36">
        <v>37288</v>
      </c>
      <c r="Z36">
        <v>34613</v>
      </c>
      <c r="AA36">
        <v>2242</v>
      </c>
      <c r="AB36">
        <v>744</v>
      </c>
      <c r="AC36">
        <v>672</v>
      </c>
      <c r="AD36">
        <v>1968</v>
      </c>
      <c r="AE36">
        <v>2150</v>
      </c>
      <c r="AF36">
        <v>2302</v>
      </c>
      <c r="AG36">
        <v>5199</v>
      </c>
      <c r="AH36">
        <v>5394</v>
      </c>
      <c r="AI36">
        <v>4215</v>
      </c>
      <c r="AJ36">
        <v>54420</v>
      </c>
      <c r="AK36">
        <v>53804</v>
      </c>
      <c r="AL36">
        <v>13658</v>
      </c>
      <c r="AM36">
        <v>30090</v>
      </c>
      <c r="AN36">
        <v>26641</v>
      </c>
      <c r="AO36">
        <v>9291</v>
      </c>
      <c r="AP36">
        <v>14565</v>
      </c>
      <c r="AQ36">
        <v>14216</v>
      </c>
      <c r="AR36">
        <v>74157</v>
      </c>
      <c r="AS36">
        <v>16160</v>
      </c>
      <c r="AT36">
        <v>10817</v>
      </c>
      <c r="AU36">
        <v>36353</v>
      </c>
      <c r="AV36">
        <v>11118</v>
      </c>
      <c r="AW36">
        <v>6115</v>
      </c>
      <c r="AX36">
        <v>11442</v>
      </c>
      <c r="AY36">
        <v>1619</v>
      </c>
      <c r="AZ36">
        <v>1740</v>
      </c>
      <c r="BA36">
        <v>3731</v>
      </c>
      <c r="BB36">
        <v>791</v>
      </c>
      <c r="BC36">
        <v>1026</v>
      </c>
      <c r="BD36">
        <v>2290</v>
      </c>
      <c r="BE36">
        <v>7091</v>
      </c>
      <c r="BF36">
        <v>7219</v>
      </c>
      <c r="BG36">
        <v>7849</v>
      </c>
      <c r="BH36">
        <v>1184</v>
      </c>
      <c r="BI36">
        <v>1127</v>
      </c>
      <c r="BJ36">
        <v>2249</v>
      </c>
      <c r="BK36">
        <v>12358</v>
      </c>
      <c r="BL36">
        <v>13027</v>
      </c>
      <c r="BM36">
        <v>12553</v>
      </c>
      <c r="BN36">
        <v>25909</v>
      </c>
      <c r="BO36">
        <v>25831</v>
      </c>
      <c r="BP36">
        <v>3611</v>
      </c>
      <c r="BQ36">
        <v>8413</v>
      </c>
      <c r="BR36">
        <v>8296</v>
      </c>
      <c r="BS36">
        <v>3106</v>
      </c>
      <c r="BT36">
        <v>10812</v>
      </c>
      <c r="BU36">
        <v>10936</v>
      </c>
      <c r="BV36">
        <v>10230</v>
      </c>
      <c r="BW36">
        <v>3661</v>
      </c>
      <c r="BX36">
        <v>3536</v>
      </c>
      <c r="BY36">
        <v>10917</v>
      </c>
    </row>
    <row r="37" spans="1:77" x14ac:dyDescent="0.4">
      <c r="A37" s="1" t="s">
        <v>62</v>
      </c>
      <c r="B37" s="1" t="s">
        <v>63</v>
      </c>
      <c r="C37">
        <v>7508</v>
      </c>
      <c r="D37">
        <v>7170</v>
      </c>
      <c r="E37">
        <v>15079</v>
      </c>
      <c r="F37">
        <v>19509</v>
      </c>
      <c r="G37">
        <v>11186</v>
      </c>
      <c r="H37">
        <v>7128</v>
      </c>
      <c r="I37">
        <v>14469</v>
      </c>
      <c r="J37">
        <v>14387</v>
      </c>
      <c r="K37">
        <v>4952</v>
      </c>
      <c r="L37">
        <v>17782</v>
      </c>
      <c r="M37">
        <v>10224</v>
      </c>
      <c r="N37">
        <v>6672</v>
      </c>
      <c r="O37">
        <v>8447</v>
      </c>
      <c r="P37">
        <v>0</v>
      </c>
      <c r="Q37">
        <v>3107</v>
      </c>
      <c r="R37">
        <v>4695</v>
      </c>
      <c r="S37">
        <v>4531</v>
      </c>
      <c r="T37">
        <v>8358</v>
      </c>
      <c r="U37">
        <v>4032</v>
      </c>
      <c r="V37">
        <v>1410</v>
      </c>
      <c r="W37">
        <v>2547</v>
      </c>
      <c r="X37">
        <v>43077</v>
      </c>
      <c r="Y37">
        <v>42291</v>
      </c>
      <c r="Z37">
        <v>34336</v>
      </c>
      <c r="AA37">
        <v>2505</v>
      </c>
      <c r="AB37">
        <v>655</v>
      </c>
      <c r="AC37">
        <v>622</v>
      </c>
      <c r="AD37">
        <v>2332</v>
      </c>
      <c r="AE37">
        <v>2292</v>
      </c>
      <c r="AF37">
        <v>2336</v>
      </c>
      <c r="AG37">
        <v>5955</v>
      </c>
      <c r="AH37">
        <v>5611</v>
      </c>
      <c r="AI37">
        <v>4468</v>
      </c>
      <c r="AJ37">
        <v>58356</v>
      </c>
      <c r="AK37">
        <v>57338</v>
      </c>
      <c r="AL37">
        <v>13993</v>
      </c>
      <c r="AM37">
        <v>34153</v>
      </c>
      <c r="AN37">
        <v>29172</v>
      </c>
      <c r="AO37">
        <v>9678</v>
      </c>
      <c r="AP37">
        <v>14491</v>
      </c>
      <c r="AQ37">
        <v>12550</v>
      </c>
      <c r="AR37">
        <v>77313</v>
      </c>
      <c r="AS37">
        <v>17614</v>
      </c>
      <c r="AT37">
        <v>11098</v>
      </c>
      <c r="AU37">
        <v>37035</v>
      </c>
      <c r="AV37">
        <v>12479</v>
      </c>
      <c r="AW37">
        <v>6085</v>
      </c>
      <c r="AX37">
        <v>12025</v>
      </c>
      <c r="AY37">
        <v>2129</v>
      </c>
      <c r="AZ37">
        <v>1723</v>
      </c>
      <c r="BA37">
        <v>4164</v>
      </c>
      <c r="BB37">
        <v>815</v>
      </c>
      <c r="BC37">
        <v>837</v>
      </c>
      <c r="BD37">
        <v>2309</v>
      </c>
      <c r="BE37">
        <v>8055</v>
      </c>
      <c r="BF37">
        <v>7280</v>
      </c>
      <c r="BG37">
        <v>8568</v>
      </c>
      <c r="BH37">
        <v>1104</v>
      </c>
      <c r="BI37">
        <v>1084</v>
      </c>
      <c r="BJ37">
        <v>2269</v>
      </c>
      <c r="BK37">
        <v>14036</v>
      </c>
      <c r="BL37">
        <v>12956</v>
      </c>
      <c r="BM37">
        <v>13497</v>
      </c>
      <c r="BN37">
        <v>24443</v>
      </c>
      <c r="BO37">
        <v>24454</v>
      </c>
      <c r="BP37">
        <v>3600</v>
      </c>
      <c r="BQ37">
        <v>8274</v>
      </c>
      <c r="BR37">
        <v>8249</v>
      </c>
      <c r="BS37">
        <v>3103</v>
      </c>
      <c r="BT37">
        <v>10847</v>
      </c>
      <c r="BU37">
        <v>10110</v>
      </c>
      <c r="BV37">
        <v>10446</v>
      </c>
      <c r="BW37">
        <v>3744</v>
      </c>
      <c r="BX37">
        <v>3524</v>
      </c>
      <c r="BY37">
        <v>11126</v>
      </c>
    </row>
    <row r="38" spans="1:77" x14ac:dyDescent="0.4">
      <c r="A38" s="1" t="s">
        <v>64</v>
      </c>
      <c r="B38" s="1" t="s">
        <v>65</v>
      </c>
      <c r="C38">
        <v>7192</v>
      </c>
      <c r="D38">
        <v>7468</v>
      </c>
      <c r="E38">
        <v>15124</v>
      </c>
      <c r="F38">
        <v>20896</v>
      </c>
      <c r="G38">
        <v>12519</v>
      </c>
      <c r="H38">
        <v>7351</v>
      </c>
      <c r="I38">
        <v>15406</v>
      </c>
      <c r="J38">
        <v>15608</v>
      </c>
      <c r="K38">
        <v>4622</v>
      </c>
      <c r="L38">
        <v>18854</v>
      </c>
      <c r="M38">
        <v>10634</v>
      </c>
      <c r="N38">
        <v>6688</v>
      </c>
      <c r="O38">
        <v>8507</v>
      </c>
      <c r="P38">
        <v>0</v>
      </c>
      <c r="Q38">
        <v>2803</v>
      </c>
      <c r="R38">
        <v>5167</v>
      </c>
      <c r="S38">
        <v>3561</v>
      </c>
      <c r="T38">
        <v>9211</v>
      </c>
      <c r="U38">
        <v>4540</v>
      </c>
      <c r="V38">
        <v>1419</v>
      </c>
      <c r="W38">
        <v>2612</v>
      </c>
      <c r="X38">
        <v>44988</v>
      </c>
      <c r="Y38">
        <v>42689</v>
      </c>
      <c r="Z38">
        <v>35646</v>
      </c>
      <c r="AA38">
        <v>2825</v>
      </c>
      <c r="AB38">
        <v>838</v>
      </c>
      <c r="AC38">
        <v>633</v>
      </c>
      <c r="AD38">
        <v>2435</v>
      </c>
      <c r="AE38">
        <v>2416</v>
      </c>
      <c r="AF38">
        <v>2354</v>
      </c>
      <c r="AG38">
        <v>6326</v>
      </c>
      <c r="AH38">
        <v>6338</v>
      </c>
      <c r="AI38">
        <v>4331</v>
      </c>
      <c r="AJ38">
        <v>62520</v>
      </c>
      <c r="AK38">
        <v>61327</v>
      </c>
      <c r="AL38">
        <v>14392</v>
      </c>
      <c r="AM38">
        <v>34445</v>
      </c>
      <c r="AN38">
        <v>30548</v>
      </c>
      <c r="AO38">
        <v>9853</v>
      </c>
      <c r="AP38">
        <v>14388</v>
      </c>
      <c r="AQ38">
        <v>14706</v>
      </c>
      <c r="AR38">
        <v>77786</v>
      </c>
      <c r="AS38">
        <v>18943</v>
      </c>
      <c r="AT38">
        <v>13806</v>
      </c>
      <c r="AU38">
        <v>35630</v>
      </c>
      <c r="AV38">
        <v>13697</v>
      </c>
      <c r="AW38">
        <v>7030</v>
      </c>
      <c r="AX38">
        <v>12205</v>
      </c>
      <c r="AY38">
        <v>1819</v>
      </c>
      <c r="AZ38">
        <v>1971</v>
      </c>
      <c r="BA38">
        <v>3951</v>
      </c>
      <c r="BB38">
        <v>817</v>
      </c>
      <c r="BC38">
        <v>755</v>
      </c>
      <c r="BD38">
        <v>2372</v>
      </c>
      <c r="BE38">
        <v>7749</v>
      </c>
      <c r="BF38">
        <v>7913</v>
      </c>
      <c r="BG38">
        <v>8368</v>
      </c>
      <c r="BH38">
        <v>1189</v>
      </c>
      <c r="BI38">
        <v>1211</v>
      </c>
      <c r="BJ38">
        <v>2247</v>
      </c>
      <c r="BK38">
        <v>15386</v>
      </c>
      <c r="BL38">
        <v>14488</v>
      </c>
      <c r="BM38">
        <v>14232</v>
      </c>
      <c r="BN38">
        <v>27057</v>
      </c>
      <c r="BO38">
        <v>26903</v>
      </c>
      <c r="BP38">
        <v>3754</v>
      </c>
      <c r="BQ38">
        <v>9607</v>
      </c>
      <c r="BR38">
        <v>9574</v>
      </c>
      <c r="BS38">
        <v>3093</v>
      </c>
      <c r="BT38">
        <v>11176</v>
      </c>
      <c r="BU38">
        <v>10600</v>
      </c>
      <c r="BV38">
        <v>10316</v>
      </c>
      <c r="BW38">
        <v>3969</v>
      </c>
      <c r="BX38">
        <v>3834</v>
      </c>
      <c r="BY38">
        <v>11264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039AE-65CB-4A97-96F7-FE2D88342902}">
  <dimension ref="A1:CT40"/>
  <sheetViews>
    <sheetView workbookViewId="0">
      <selection activeCell="C9" sqref="C9"/>
    </sheetView>
  </sheetViews>
  <sheetFormatPr defaultColWidth="15.625" defaultRowHeight="18.75" x14ac:dyDescent="0.4"/>
  <sheetData>
    <row r="1" spans="1:98" x14ac:dyDescent="0.4">
      <c r="A1" s="1" t="s">
        <v>66</v>
      </c>
      <c r="B1" s="1"/>
    </row>
    <row r="2" spans="1:98" x14ac:dyDescent="0.4">
      <c r="A2" s="4" t="str">
        <f>HYPERLINK("#'目次(Contents)'!A3","目次に戻る(Return to Contents)")</f>
        <v>目次に戻る(Return to Contents)</v>
      </c>
      <c r="B2" s="1"/>
    </row>
    <row r="3" spans="1:98" x14ac:dyDescent="0.4">
      <c r="A3" s="1"/>
      <c r="B3" s="2" t="s">
        <v>0</v>
      </c>
      <c r="C3" t="s">
        <v>250</v>
      </c>
      <c r="D3" t="s">
        <v>250</v>
      </c>
      <c r="E3" t="s">
        <v>250</v>
      </c>
      <c r="F3" t="s">
        <v>250</v>
      </c>
      <c r="G3" t="s">
        <v>250</v>
      </c>
      <c r="H3" t="s">
        <v>250</v>
      </c>
      <c r="I3" t="s">
        <v>250</v>
      </c>
      <c r="J3" t="s">
        <v>250</v>
      </c>
      <c r="K3" t="s">
        <v>267</v>
      </c>
      <c r="L3" t="s">
        <v>267</v>
      </c>
      <c r="M3" t="s">
        <v>267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269</v>
      </c>
      <c r="T3" t="s">
        <v>269</v>
      </c>
      <c r="U3" t="s">
        <v>269</v>
      </c>
      <c r="V3" t="s">
        <v>269</v>
      </c>
      <c r="W3" t="s">
        <v>269</v>
      </c>
      <c r="X3" t="s">
        <v>269</v>
      </c>
      <c r="Y3" t="s">
        <v>269</v>
      </c>
      <c r="Z3" t="s">
        <v>269</v>
      </c>
      <c r="AA3" t="s">
        <v>271</v>
      </c>
      <c r="AB3" t="s">
        <v>271</v>
      </c>
      <c r="AC3" t="s">
        <v>271</v>
      </c>
      <c r="AD3" t="s">
        <v>271</v>
      </c>
      <c r="AE3" t="s">
        <v>271</v>
      </c>
      <c r="AF3" t="s">
        <v>271</v>
      </c>
      <c r="AG3" t="s">
        <v>271</v>
      </c>
      <c r="AH3" t="s">
        <v>271</v>
      </c>
      <c r="AI3" t="s">
        <v>273</v>
      </c>
      <c r="AJ3" t="s">
        <v>273</v>
      </c>
      <c r="AK3" t="s">
        <v>273</v>
      </c>
      <c r="AL3" t="s">
        <v>273</v>
      </c>
      <c r="AM3" t="s">
        <v>273</v>
      </c>
      <c r="AN3" t="s">
        <v>273</v>
      </c>
      <c r="AO3" t="s">
        <v>273</v>
      </c>
      <c r="AP3" t="s">
        <v>273</v>
      </c>
      <c r="AQ3" t="s">
        <v>275</v>
      </c>
      <c r="AR3" t="s">
        <v>275</v>
      </c>
      <c r="AS3" t="s">
        <v>275</v>
      </c>
      <c r="AT3" t="s">
        <v>275</v>
      </c>
      <c r="AU3" t="s">
        <v>275</v>
      </c>
      <c r="AV3" t="s">
        <v>275</v>
      </c>
      <c r="AW3" t="s">
        <v>275</v>
      </c>
      <c r="AX3" t="s">
        <v>275</v>
      </c>
      <c r="AY3" t="s">
        <v>277</v>
      </c>
      <c r="AZ3" t="s">
        <v>277</v>
      </c>
      <c r="BA3" t="s">
        <v>277</v>
      </c>
      <c r="BB3" t="s">
        <v>277</v>
      </c>
      <c r="BC3" t="s">
        <v>277</v>
      </c>
      <c r="BD3" t="s">
        <v>277</v>
      </c>
      <c r="BE3" t="s">
        <v>277</v>
      </c>
      <c r="BF3" t="s">
        <v>277</v>
      </c>
      <c r="BG3" t="s">
        <v>279</v>
      </c>
      <c r="BH3" t="s">
        <v>279</v>
      </c>
      <c r="BI3" t="s">
        <v>279</v>
      </c>
      <c r="BJ3" t="s">
        <v>279</v>
      </c>
      <c r="BK3" t="s">
        <v>279</v>
      </c>
      <c r="BL3" t="s">
        <v>279</v>
      </c>
      <c r="BM3" t="s">
        <v>279</v>
      </c>
      <c r="BN3" t="s">
        <v>279</v>
      </c>
      <c r="BO3" t="s">
        <v>281</v>
      </c>
      <c r="BP3" t="s">
        <v>281</v>
      </c>
      <c r="BQ3" t="s">
        <v>281</v>
      </c>
      <c r="BR3" t="s">
        <v>283</v>
      </c>
      <c r="BS3" t="s">
        <v>283</v>
      </c>
      <c r="BT3" t="s">
        <v>283</v>
      </c>
      <c r="BU3" t="s">
        <v>287</v>
      </c>
      <c r="BV3" t="s">
        <v>287</v>
      </c>
      <c r="BW3" t="s">
        <v>287</v>
      </c>
      <c r="BX3" t="s">
        <v>289</v>
      </c>
      <c r="BY3" t="s">
        <v>289</v>
      </c>
      <c r="BZ3" t="s">
        <v>289</v>
      </c>
      <c r="CA3" t="s">
        <v>291</v>
      </c>
      <c r="CB3" t="s">
        <v>291</v>
      </c>
      <c r="CC3" t="s">
        <v>291</v>
      </c>
      <c r="CD3" t="s">
        <v>293</v>
      </c>
      <c r="CE3" t="s">
        <v>293</v>
      </c>
      <c r="CF3" t="s">
        <v>293</v>
      </c>
      <c r="CG3" t="s">
        <v>295</v>
      </c>
      <c r="CH3" t="s">
        <v>295</v>
      </c>
      <c r="CI3" t="s">
        <v>295</v>
      </c>
      <c r="CJ3" t="s">
        <v>297</v>
      </c>
      <c r="CK3" t="s">
        <v>299</v>
      </c>
      <c r="CL3" t="s">
        <v>299</v>
      </c>
      <c r="CM3" t="s">
        <v>299</v>
      </c>
      <c r="CN3" t="s">
        <v>302</v>
      </c>
      <c r="CO3" t="s">
        <v>302</v>
      </c>
      <c r="CP3" t="s">
        <v>302</v>
      </c>
      <c r="CQ3" t="s">
        <v>304</v>
      </c>
      <c r="CR3" t="s">
        <v>306</v>
      </c>
      <c r="CS3" t="s">
        <v>306</v>
      </c>
      <c r="CT3" t="s">
        <v>306</v>
      </c>
    </row>
    <row r="4" spans="1:98" x14ac:dyDescent="0.4">
      <c r="A4" s="1"/>
      <c r="B4" s="2" t="s">
        <v>1</v>
      </c>
      <c r="C4" t="s">
        <v>252</v>
      </c>
      <c r="D4" t="s">
        <v>252</v>
      </c>
      <c r="E4" t="s">
        <v>252</v>
      </c>
      <c r="F4" t="s">
        <v>252</v>
      </c>
      <c r="G4" t="s">
        <v>252</v>
      </c>
      <c r="H4" t="s">
        <v>252</v>
      </c>
      <c r="I4" t="s">
        <v>252</v>
      </c>
      <c r="J4" t="s">
        <v>252</v>
      </c>
      <c r="K4" t="s">
        <v>268</v>
      </c>
      <c r="L4" t="s">
        <v>268</v>
      </c>
      <c r="M4" t="s">
        <v>268</v>
      </c>
      <c r="N4" t="s">
        <v>268</v>
      </c>
      <c r="O4" t="s">
        <v>268</v>
      </c>
      <c r="P4" t="s">
        <v>268</v>
      </c>
      <c r="Q4" t="s">
        <v>268</v>
      </c>
      <c r="R4" t="s">
        <v>268</v>
      </c>
      <c r="S4" t="s">
        <v>270</v>
      </c>
      <c r="T4" t="s">
        <v>270</v>
      </c>
      <c r="U4" t="s">
        <v>270</v>
      </c>
      <c r="V4" t="s">
        <v>270</v>
      </c>
      <c r="W4" t="s">
        <v>270</v>
      </c>
      <c r="X4" t="s">
        <v>270</v>
      </c>
      <c r="Y4" t="s">
        <v>270</v>
      </c>
      <c r="Z4" t="s">
        <v>270</v>
      </c>
      <c r="AA4" t="s">
        <v>272</v>
      </c>
      <c r="AB4" t="s">
        <v>272</v>
      </c>
      <c r="AC4" t="s">
        <v>272</v>
      </c>
      <c r="AD4" t="s">
        <v>272</v>
      </c>
      <c r="AE4" t="s">
        <v>272</v>
      </c>
      <c r="AF4" t="s">
        <v>272</v>
      </c>
      <c r="AG4" t="s">
        <v>272</v>
      </c>
      <c r="AH4" t="s">
        <v>272</v>
      </c>
      <c r="AI4" t="s">
        <v>274</v>
      </c>
      <c r="AJ4" t="s">
        <v>274</v>
      </c>
      <c r="AK4" t="s">
        <v>274</v>
      </c>
      <c r="AL4" t="s">
        <v>274</v>
      </c>
      <c r="AM4" t="s">
        <v>274</v>
      </c>
      <c r="AN4" t="s">
        <v>274</v>
      </c>
      <c r="AO4" t="s">
        <v>274</v>
      </c>
      <c r="AP4" t="s">
        <v>274</v>
      </c>
      <c r="AQ4" t="s">
        <v>276</v>
      </c>
      <c r="AR4" t="s">
        <v>276</v>
      </c>
      <c r="AS4" t="s">
        <v>276</v>
      </c>
      <c r="AT4" t="s">
        <v>276</v>
      </c>
      <c r="AU4" t="s">
        <v>276</v>
      </c>
      <c r="AV4" t="s">
        <v>276</v>
      </c>
      <c r="AW4" t="s">
        <v>276</v>
      </c>
      <c r="AX4" t="s">
        <v>276</v>
      </c>
      <c r="AY4" t="s">
        <v>278</v>
      </c>
      <c r="AZ4" t="s">
        <v>278</v>
      </c>
      <c r="BA4" t="s">
        <v>278</v>
      </c>
      <c r="BB4" t="s">
        <v>278</v>
      </c>
      <c r="BC4" t="s">
        <v>278</v>
      </c>
      <c r="BD4" t="s">
        <v>278</v>
      </c>
      <c r="BE4" t="s">
        <v>278</v>
      </c>
      <c r="BF4" t="s">
        <v>278</v>
      </c>
      <c r="BG4" t="s">
        <v>280</v>
      </c>
      <c r="BH4" t="s">
        <v>280</v>
      </c>
      <c r="BI4" t="s">
        <v>280</v>
      </c>
      <c r="BJ4" t="s">
        <v>280</v>
      </c>
      <c r="BK4" t="s">
        <v>280</v>
      </c>
      <c r="BL4" t="s">
        <v>280</v>
      </c>
      <c r="BM4" t="s">
        <v>280</v>
      </c>
      <c r="BN4" t="s">
        <v>280</v>
      </c>
      <c r="BO4" t="s">
        <v>282</v>
      </c>
      <c r="BP4" t="s">
        <v>282</v>
      </c>
      <c r="BQ4" t="s">
        <v>282</v>
      </c>
      <c r="BR4" t="s">
        <v>284</v>
      </c>
      <c r="BS4" t="s">
        <v>284</v>
      </c>
      <c r="BT4" t="s">
        <v>284</v>
      </c>
      <c r="BU4" t="s">
        <v>288</v>
      </c>
      <c r="BV4" t="s">
        <v>288</v>
      </c>
      <c r="BW4" t="s">
        <v>288</v>
      </c>
      <c r="BX4" t="s">
        <v>290</v>
      </c>
      <c r="BY4" t="s">
        <v>290</v>
      </c>
      <c r="BZ4" t="s">
        <v>290</v>
      </c>
      <c r="CA4" t="s">
        <v>292</v>
      </c>
      <c r="CB4" t="s">
        <v>292</v>
      </c>
      <c r="CC4" t="s">
        <v>292</v>
      </c>
      <c r="CD4" t="s">
        <v>294</v>
      </c>
      <c r="CE4" t="s">
        <v>294</v>
      </c>
      <c r="CF4" t="s">
        <v>294</v>
      </c>
      <c r="CG4" t="s">
        <v>296</v>
      </c>
      <c r="CH4" t="s">
        <v>296</v>
      </c>
      <c r="CI4" t="s">
        <v>296</v>
      </c>
      <c r="CJ4" t="s">
        <v>298</v>
      </c>
      <c r="CK4" t="s">
        <v>300</v>
      </c>
      <c r="CL4" t="s">
        <v>300</v>
      </c>
      <c r="CM4" t="s">
        <v>300</v>
      </c>
      <c r="CN4" t="s">
        <v>303</v>
      </c>
      <c r="CO4" t="s">
        <v>303</v>
      </c>
      <c r="CP4" t="s">
        <v>303</v>
      </c>
      <c r="CQ4" t="s">
        <v>305</v>
      </c>
      <c r="CR4" t="s">
        <v>307</v>
      </c>
      <c r="CS4" t="s">
        <v>307</v>
      </c>
      <c r="CT4" t="s">
        <v>307</v>
      </c>
    </row>
    <row r="5" spans="1:9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265</v>
      </c>
      <c r="K5" t="s">
        <v>69</v>
      </c>
      <c r="L5" t="s">
        <v>254</v>
      </c>
      <c r="M5" t="s">
        <v>257</v>
      </c>
      <c r="N5" t="s">
        <v>74</v>
      </c>
      <c r="O5" t="s">
        <v>261</v>
      </c>
      <c r="P5" t="s">
        <v>263</v>
      </c>
      <c r="Q5" t="s">
        <v>76</v>
      </c>
      <c r="R5" t="s">
        <v>265</v>
      </c>
      <c r="S5" t="s">
        <v>69</v>
      </c>
      <c r="T5" t="s">
        <v>254</v>
      </c>
      <c r="U5" t="s">
        <v>257</v>
      </c>
      <c r="V5" t="s">
        <v>74</v>
      </c>
      <c r="W5" t="s">
        <v>261</v>
      </c>
      <c r="X5" t="s">
        <v>263</v>
      </c>
      <c r="Y5" t="s">
        <v>76</v>
      </c>
      <c r="Z5" t="s">
        <v>265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265</v>
      </c>
      <c r="AI5" t="s">
        <v>69</v>
      </c>
      <c r="AJ5" t="s">
        <v>254</v>
      </c>
      <c r="AK5" t="s">
        <v>257</v>
      </c>
      <c r="AL5" t="s">
        <v>74</v>
      </c>
      <c r="AM5" t="s">
        <v>261</v>
      </c>
      <c r="AN5" t="s">
        <v>263</v>
      </c>
      <c r="AO5" t="s">
        <v>76</v>
      </c>
      <c r="AP5" t="s">
        <v>265</v>
      </c>
      <c r="AQ5" t="s">
        <v>69</v>
      </c>
      <c r="AR5" t="s">
        <v>254</v>
      </c>
      <c r="AS5" t="s">
        <v>257</v>
      </c>
      <c r="AT5" t="s">
        <v>74</v>
      </c>
      <c r="AU5" t="s">
        <v>261</v>
      </c>
      <c r="AV5" t="s">
        <v>263</v>
      </c>
      <c r="AW5" t="s">
        <v>76</v>
      </c>
      <c r="AX5" t="s">
        <v>265</v>
      </c>
      <c r="AY5" t="s">
        <v>69</v>
      </c>
      <c r="AZ5" t="s">
        <v>254</v>
      </c>
      <c r="BA5" t="s">
        <v>257</v>
      </c>
      <c r="BB5" t="s">
        <v>74</v>
      </c>
      <c r="BC5" t="s">
        <v>261</v>
      </c>
      <c r="BD5" t="s">
        <v>263</v>
      </c>
      <c r="BE5" t="s">
        <v>76</v>
      </c>
      <c r="BF5" t="s">
        <v>265</v>
      </c>
      <c r="BG5" t="s">
        <v>69</v>
      </c>
      <c r="BH5" t="s">
        <v>254</v>
      </c>
      <c r="BI5" t="s">
        <v>257</v>
      </c>
      <c r="BJ5" t="s">
        <v>74</v>
      </c>
      <c r="BK5" t="s">
        <v>261</v>
      </c>
      <c r="BL5" t="s">
        <v>263</v>
      </c>
      <c r="BM5" t="s">
        <v>76</v>
      </c>
      <c r="BN5" t="s">
        <v>265</v>
      </c>
      <c r="BO5" t="s">
        <v>69</v>
      </c>
      <c r="BP5" t="s">
        <v>254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254</v>
      </c>
      <c r="BW5" t="s">
        <v>257</v>
      </c>
      <c r="BX5" t="s">
        <v>69</v>
      </c>
      <c r="BY5" t="s">
        <v>254</v>
      </c>
      <c r="BZ5" t="s">
        <v>257</v>
      </c>
      <c r="CA5" t="s">
        <v>69</v>
      </c>
      <c r="CB5" t="s">
        <v>254</v>
      </c>
      <c r="CC5" t="s">
        <v>257</v>
      </c>
      <c r="CD5" t="s">
        <v>69</v>
      </c>
      <c r="CE5" t="s">
        <v>254</v>
      </c>
      <c r="CF5" t="s">
        <v>257</v>
      </c>
      <c r="CG5" t="s">
        <v>69</v>
      </c>
      <c r="CH5" t="s">
        <v>254</v>
      </c>
      <c r="CI5" t="s">
        <v>257</v>
      </c>
      <c r="CJ5" t="s">
        <v>257</v>
      </c>
      <c r="CK5" t="s">
        <v>69</v>
      </c>
      <c r="CL5" t="s">
        <v>254</v>
      </c>
      <c r="CM5" t="s">
        <v>257</v>
      </c>
      <c r="CN5" t="s">
        <v>69</v>
      </c>
      <c r="CO5" t="s">
        <v>254</v>
      </c>
      <c r="CP5" t="s">
        <v>257</v>
      </c>
      <c r="CQ5" t="s">
        <v>257</v>
      </c>
      <c r="CR5" t="s">
        <v>69</v>
      </c>
      <c r="CS5" t="s">
        <v>254</v>
      </c>
      <c r="CT5" t="s">
        <v>257</v>
      </c>
    </row>
    <row r="6" spans="1:9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266</v>
      </c>
      <c r="K6" t="s">
        <v>72</v>
      </c>
      <c r="L6" t="s">
        <v>256</v>
      </c>
      <c r="M6" t="s">
        <v>259</v>
      </c>
      <c r="N6" t="s">
        <v>75</v>
      </c>
      <c r="O6" t="s">
        <v>262</v>
      </c>
      <c r="P6" t="s">
        <v>264</v>
      </c>
      <c r="Q6" t="s">
        <v>77</v>
      </c>
      <c r="R6" t="s">
        <v>266</v>
      </c>
      <c r="S6" t="s">
        <v>72</v>
      </c>
      <c r="T6" t="s">
        <v>256</v>
      </c>
      <c r="U6" t="s">
        <v>259</v>
      </c>
      <c r="V6" t="s">
        <v>75</v>
      </c>
      <c r="W6" t="s">
        <v>262</v>
      </c>
      <c r="X6" t="s">
        <v>264</v>
      </c>
      <c r="Y6" t="s">
        <v>77</v>
      </c>
      <c r="Z6" t="s">
        <v>266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266</v>
      </c>
      <c r="AI6" t="s">
        <v>72</v>
      </c>
      <c r="AJ6" t="s">
        <v>256</v>
      </c>
      <c r="AK6" t="s">
        <v>259</v>
      </c>
      <c r="AL6" t="s">
        <v>75</v>
      </c>
      <c r="AM6" t="s">
        <v>262</v>
      </c>
      <c r="AN6" t="s">
        <v>264</v>
      </c>
      <c r="AO6" t="s">
        <v>77</v>
      </c>
      <c r="AP6" t="s">
        <v>266</v>
      </c>
      <c r="AQ6" t="s">
        <v>72</v>
      </c>
      <c r="AR6" t="s">
        <v>256</v>
      </c>
      <c r="AS6" t="s">
        <v>259</v>
      </c>
      <c r="AT6" t="s">
        <v>75</v>
      </c>
      <c r="AU6" t="s">
        <v>262</v>
      </c>
      <c r="AV6" t="s">
        <v>264</v>
      </c>
      <c r="AW6" t="s">
        <v>77</v>
      </c>
      <c r="AX6" t="s">
        <v>266</v>
      </c>
      <c r="AY6" t="s">
        <v>72</v>
      </c>
      <c r="AZ6" t="s">
        <v>256</v>
      </c>
      <c r="BA6" t="s">
        <v>259</v>
      </c>
      <c r="BB6" t="s">
        <v>75</v>
      </c>
      <c r="BC6" t="s">
        <v>262</v>
      </c>
      <c r="BD6" t="s">
        <v>264</v>
      </c>
      <c r="BE6" t="s">
        <v>77</v>
      </c>
      <c r="BF6" t="s">
        <v>266</v>
      </c>
      <c r="BG6" t="s">
        <v>72</v>
      </c>
      <c r="BH6" t="s">
        <v>256</v>
      </c>
      <c r="BI6" t="s">
        <v>259</v>
      </c>
      <c r="BJ6" t="s">
        <v>75</v>
      </c>
      <c r="BK6" t="s">
        <v>262</v>
      </c>
      <c r="BL6" t="s">
        <v>264</v>
      </c>
      <c r="BM6" t="s">
        <v>77</v>
      </c>
      <c r="BN6" t="s">
        <v>266</v>
      </c>
      <c r="BO6" t="s">
        <v>72</v>
      </c>
      <c r="BP6" t="s">
        <v>256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256</v>
      </c>
      <c r="BW6" t="s">
        <v>259</v>
      </c>
      <c r="BX6" t="s">
        <v>72</v>
      </c>
      <c r="BY6" t="s">
        <v>256</v>
      </c>
      <c r="BZ6" t="s">
        <v>259</v>
      </c>
      <c r="CA6" t="s">
        <v>72</v>
      </c>
      <c r="CB6" t="s">
        <v>256</v>
      </c>
      <c r="CC6" t="s">
        <v>259</v>
      </c>
      <c r="CD6" t="s">
        <v>72</v>
      </c>
      <c r="CE6" t="s">
        <v>256</v>
      </c>
      <c r="CF6" t="s">
        <v>259</v>
      </c>
      <c r="CG6" t="s">
        <v>72</v>
      </c>
      <c r="CH6" t="s">
        <v>256</v>
      </c>
      <c r="CI6" t="s">
        <v>259</v>
      </c>
      <c r="CJ6" t="s">
        <v>259</v>
      </c>
      <c r="CK6" t="s">
        <v>72</v>
      </c>
      <c r="CL6" t="s">
        <v>256</v>
      </c>
      <c r="CM6" t="s">
        <v>259</v>
      </c>
      <c r="CN6" t="s">
        <v>72</v>
      </c>
      <c r="CO6" t="s">
        <v>256</v>
      </c>
      <c r="CP6" t="s">
        <v>259</v>
      </c>
      <c r="CQ6" t="s">
        <v>259</v>
      </c>
      <c r="CR6" t="s">
        <v>72</v>
      </c>
      <c r="CS6" t="s">
        <v>256</v>
      </c>
      <c r="CT6" t="s">
        <v>259</v>
      </c>
    </row>
    <row r="7" spans="1:98" x14ac:dyDescent="0.4">
      <c r="A7" s="1"/>
      <c r="B7" s="2" t="s">
        <v>4</v>
      </c>
      <c r="C7" t="s">
        <v>251</v>
      </c>
      <c r="D7" t="s">
        <v>255</v>
      </c>
      <c r="E7" t="s">
        <v>258</v>
      </c>
      <c r="F7" t="s">
        <v>251</v>
      </c>
      <c r="G7" t="s">
        <v>255</v>
      </c>
      <c r="H7" t="s">
        <v>258</v>
      </c>
      <c r="I7" t="s">
        <v>251</v>
      </c>
      <c r="J7" t="s">
        <v>255</v>
      </c>
      <c r="K7" t="s">
        <v>251</v>
      </c>
      <c r="L7" t="s">
        <v>255</v>
      </c>
      <c r="M7" t="s">
        <v>258</v>
      </c>
      <c r="N7" t="s">
        <v>251</v>
      </c>
      <c r="O7" t="s">
        <v>255</v>
      </c>
      <c r="P7" t="s">
        <v>258</v>
      </c>
      <c r="Q7" t="s">
        <v>251</v>
      </c>
      <c r="R7" t="s">
        <v>255</v>
      </c>
      <c r="S7" t="s">
        <v>251</v>
      </c>
      <c r="T7" t="s">
        <v>255</v>
      </c>
      <c r="U7" t="s">
        <v>258</v>
      </c>
      <c r="V7" t="s">
        <v>251</v>
      </c>
      <c r="W7" t="s">
        <v>255</v>
      </c>
      <c r="X7" t="s">
        <v>258</v>
      </c>
      <c r="Y7" t="s">
        <v>251</v>
      </c>
      <c r="Z7" t="s">
        <v>255</v>
      </c>
      <c r="AA7" t="s">
        <v>251</v>
      </c>
      <c r="AB7" t="s">
        <v>255</v>
      </c>
      <c r="AC7" t="s">
        <v>258</v>
      </c>
      <c r="AD7" t="s">
        <v>251</v>
      </c>
      <c r="AE7" t="s">
        <v>255</v>
      </c>
      <c r="AF7" t="s">
        <v>258</v>
      </c>
      <c r="AG7" t="s">
        <v>251</v>
      </c>
      <c r="AH7" t="s">
        <v>255</v>
      </c>
      <c r="AI7" t="s">
        <v>251</v>
      </c>
      <c r="AJ7" t="s">
        <v>255</v>
      </c>
      <c r="AK7" t="s">
        <v>258</v>
      </c>
      <c r="AL7" t="s">
        <v>251</v>
      </c>
      <c r="AM7" t="s">
        <v>255</v>
      </c>
      <c r="AN7" t="s">
        <v>258</v>
      </c>
      <c r="AO7" t="s">
        <v>251</v>
      </c>
      <c r="AP7" t="s">
        <v>255</v>
      </c>
      <c r="AQ7" t="s">
        <v>251</v>
      </c>
      <c r="AR7" t="s">
        <v>255</v>
      </c>
      <c r="AS7" t="s">
        <v>258</v>
      </c>
      <c r="AT7" t="s">
        <v>251</v>
      </c>
      <c r="AU7" t="s">
        <v>255</v>
      </c>
      <c r="AV7" t="s">
        <v>258</v>
      </c>
      <c r="AW7" t="s">
        <v>251</v>
      </c>
      <c r="AX7" t="s">
        <v>255</v>
      </c>
      <c r="AY7" t="s">
        <v>251</v>
      </c>
      <c r="AZ7" t="s">
        <v>255</v>
      </c>
      <c r="BA7" t="s">
        <v>258</v>
      </c>
      <c r="BB7" t="s">
        <v>251</v>
      </c>
      <c r="BC7" t="s">
        <v>255</v>
      </c>
      <c r="BD7" t="s">
        <v>258</v>
      </c>
      <c r="BE7" t="s">
        <v>251</v>
      </c>
      <c r="BF7" t="s">
        <v>255</v>
      </c>
      <c r="BG7" t="s">
        <v>251</v>
      </c>
      <c r="BH7" t="s">
        <v>255</v>
      </c>
      <c r="BI7" t="s">
        <v>258</v>
      </c>
      <c r="BJ7" t="s">
        <v>251</v>
      </c>
      <c r="BK7" t="s">
        <v>255</v>
      </c>
      <c r="BL7" t="s">
        <v>258</v>
      </c>
      <c r="BM7" t="s">
        <v>251</v>
      </c>
      <c r="BN7" t="s">
        <v>255</v>
      </c>
      <c r="BO7" t="s">
        <v>251</v>
      </c>
      <c r="BP7" t="s">
        <v>255</v>
      </c>
      <c r="BQ7" t="s">
        <v>258</v>
      </c>
      <c r="BR7" t="s">
        <v>251</v>
      </c>
      <c r="BS7" t="s">
        <v>285</v>
      </c>
      <c r="BT7" t="s">
        <v>258</v>
      </c>
      <c r="BU7" t="s">
        <v>251</v>
      </c>
      <c r="BV7" t="s">
        <v>285</v>
      </c>
      <c r="BW7" t="s">
        <v>258</v>
      </c>
      <c r="BX7" t="s">
        <v>251</v>
      </c>
      <c r="BY7" t="s">
        <v>285</v>
      </c>
      <c r="BZ7" t="s">
        <v>258</v>
      </c>
      <c r="CA7" t="s">
        <v>251</v>
      </c>
      <c r="CB7" t="s">
        <v>285</v>
      </c>
      <c r="CC7" t="s">
        <v>258</v>
      </c>
      <c r="CD7" t="s">
        <v>251</v>
      </c>
      <c r="CE7" t="s">
        <v>285</v>
      </c>
      <c r="CF7" t="s">
        <v>258</v>
      </c>
      <c r="CG7" t="s">
        <v>251</v>
      </c>
      <c r="CH7" t="s">
        <v>285</v>
      </c>
      <c r="CI7" t="s">
        <v>258</v>
      </c>
      <c r="CJ7" t="s">
        <v>258</v>
      </c>
      <c r="CK7" t="s">
        <v>251</v>
      </c>
      <c r="CL7" t="s">
        <v>301</v>
      </c>
      <c r="CM7" t="s">
        <v>258</v>
      </c>
      <c r="CN7" t="s">
        <v>251</v>
      </c>
      <c r="CO7" t="s">
        <v>301</v>
      </c>
      <c r="CP7" t="s">
        <v>258</v>
      </c>
      <c r="CQ7" t="s">
        <v>258</v>
      </c>
      <c r="CR7" t="s">
        <v>251</v>
      </c>
      <c r="CS7" t="s">
        <v>301</v>
      </c>
      <c r="CT7" t="s">
        <v>258</v>
      </c>
    </row>
    <row r="8" spans="1:98" x14ac:dyDescent="0.4">
      <c r="A8" s="1" t="s">
        <v>67</v>
      </c>
      <c r="B8" s="2" t="s">
        <v>5</v>
      </c>
      <c r="C8" t="s">
        <v>253</v>
      </c>
      <c r="D8" t="s">
        <v>255</v>
      </c>
      <c r="E8" t="s">
        <v>260</v>
      </c>
      <c r="F8" t="s">
        <v>253</v>
      </c>
      <c r="G8" t="s">
        <v>255</v>
      </c>
      <c r="H8" t="s">
        <v>260</v>
      </c>
      <c r="I8" t="s">
        <v>253</v>
      </c>
      <c r="J8" t="s">
        <v>255</v>
      </c>
      <c r="K8" t="s">
        <v>253</v>
      </c>
      <c r="L8" t="s">
        <v>255</v>
      </c>
      <c r="M8" t="s">
        <v>260</v>
      </c>
      <c r="N8" t="s">
        <v>253</v>
      </c>
      <c r="O8" t="s">
        <v>255</v>
      </c>
      <c r="P8" t="s">
        <v>260</v>
      </c>
      <c r="Q8" t="s">
        <v>253</v>
      </c>
      <c r="R8" t="s">
        <v>255</v>
      </c>
      <c r="S8" t="s">
        <v>253</v>
      </c>
      <c r="T8" t="s">
        <v>255</v>
      </c>
      <c r="U8" t="s">
        <v>260</v>
      </c>
      <c r="V8" t="s">
        <v>253</v>
      </c>
      <c r="W8" t="s">
        <v>255</v>
      </c>
      <c r="X8" t="s">
        <v>260</v>
      </c>
      <c r="Y8" t="s">
        <v>253</v>
      </c>
      <c r="Z8" t="s">
        <v>255</v>
      </c>
      <c r="AA8" t="s">
        <v>253</v>
      </c>
      <c r="AB8" t="s">
        <v>255</v>
      </c>
      <c r="AC8" t="s">
        <v>260</v>
      </c>
      <c r="AD8" t="s">
        <v>253</v>
      </c>
      <c r="AE8" t="s">
        <v>255</v>
      </c>
      <c r="AF8" t="s">
        <v>260</v>
      </c>
      <c r="AG8" t="s">
        <v>253</v>
      </c>
      <c r="AH8" t="s">
        <v>255</v>
      </c>
      <c r="AI8" t="s">
        <v>253</v>
      </c>
      <c r="AJ8" t="s">
        <v>255</v>
      </c>
      <c r="AK8" t="s">
        <v>260</v>
      </c>
      <c r="AL8" t="s">
        <v>253</v>
      </c>
      <c r="AM8" t="s">
        <v>255</v>
      </c>
      <c r="AN8" t="s">
        <v>260</v>
      </c>
      <c r="AO8" t="s">
        <v>253</v>
      </c>
      <c r="AP8" t="s">
        <v>255</v>
      </c>
      <c r="AQ8" t="s">
        <v>253</v>
      </c>
      <c r="AR8" t="s">
        <v>255</v>
      </c>
      <c r="AS8" t="s">
        <v>260</v>
      </c>
      <c r="AT8" t="s">
        <v>253</v>
      </c>
      <c r="AU8" t="s">
        <v>255</v>
      </c>
      <c r="AV8" t="s">
        <v>260</v>
      </c>
      <c r="AW8" t="s">
        <v>253</v>
      </c>
      <c r="AX8" t="s">
        <v>255</v>
      </c>
      <c r="AY8" t="s">
        <v>253</v>
      </c>
      <c r="AZ8" t="s">
        <v>255</v>
      </c>
      <c r="BA8" t="s">
        <v>260</v>
      </c>
      <c r="BB8" t="s">
        <v>253</v>
      </c>
      <c r="BC8" t="s">
        <v>255</v>
      </c>
      <c r="BD8" t="s">
        <v>260</v>
      </c>
      <c r="BE8" t="s">
        <v>253</v>
      </c>
      <c r="BF8" t="s">
        <v>255</v>
      </c>
      <c r="BG8" t="s">
        <v>253</v>
      </c>
      <c r="BH8" t="s">
        <v>255</v>
      </c>
      <c r="BI8" t="s">
        <v>260</v>
      </c>
      <c r="BJ8" t="s">
        <v>253</v>
      </c>
      <c r="BK8" t="s">
        <v>255</v>
      </c>
      <c r="BL8" t="s">
        <v>260</v>
      </c>
      <c r="BM8" t="s">
        <v>253</v>
      </c>
      <c r="BN8" t="s">
        <v>255</v>
      </c>
      <c r="BO8" t="s">
        <v>253</v>
      </c>
      <c r="BP8" t="s">
        <v>255</v>
      </c>
      <c r="BQ8" t="s">
        <v>260</v>
      </c>
      <c r="BR8" t="s">
        <v>253</v>
      </c>
      <c r="BS8" t="s">
        <v>286</v>
      </c>
      <c r="BT8" t="s">
        <v>260</v>
      </c>
      <c r="BU8" t="s">
        <v>253</v>
      </c>
      <c r="BV8" t="s">
        <v>286</v>
      </c>
      <c r="BW8" t="s">
        <v>260</v>
      </c>
      <c r="BX8" t="s">
        <v>253</v>
      </c>
      <c r="BY8" t="s">
        <v>286</v>
      </c>
      <c r="BZ8" t="s">
        <v>260</v>
      </c>
      <c r="CA8" t="s">
        <v>253</v>
      </c>
      <c r="CB8" t="s">
        <v>286</v>
      </c>
      <c r="CC8" t="s">
        <v>260</v>
      </c>
      <c r="CD8" t="s">
        <v>253</v>
      </c>
      <c r="CE8" t="s">
        <v>286</v>
      </c>
      <c r="CF8" t="s">
        <v>260</v>
      </c>
      <c r="CG8" t="s">
        <v>253</v>
      </c>
      <c r="CH8" t="s">
        <v>286</v>
      </c>
      <c r="CI8" t="s">
        <v>260</v>
      </c>
      <c r="CJ8" t="s">
        <v>260</v>
      </c>
      <c r="CK8" t="s">
        <v>253</v>
      </c>
      <c r="CL8" t="s">
        <v>301</v>
      </c>
      <c r="CM8" t="s">
        <v>260</v>
      </c>
      <c r="CN8" t="s">
        <v>253</v>
      </c>
      <c r="CO8" t="s">
        <v>301</v>
      </c>
      <c r="CP8" t="s">
        <v>260</v>
      </c>
      <c r="CQ8" t="s">
        <v>260</v>
      </c>
      <c r="CR8" t="s">
        <v>253</v>
      </c>
      <c r="CS8" t="s">
        <v>301</v>
      </c>
      <c r="CT8" t="s">
        <v>260</v>
      </c>
    </row>
    <row r="9" spans="1:98" x14ac:dyDescent="0.4">
      <c r="A9" s="1" t="s">
        <v>6</v>
      </c>
      <c r="B9" s="3" t="s">
        <v>7</v>
      </c>
      <c r="C9">
        <v>1260840</v>
      </c>
      <c r="D9">
        <v>1759623</v>
      </c>
      <c r="E9">
        <v>23847</v>
      </c>
      <c r="F9">
        <v>914642</v>
      </c>
      <c r="G9">
        <v>1338612</v>
      </c>
      <c r="H9">
        <v>17845</v>
      </c>
      <c r="I9">
        <v>68223</v>
      </c>
      <c r="J9">
        <v>102030</v>
      </c>
      <c r="K9">
        <v>42687</v>
      </c>
      <c r="L9">
        <v>92651</v>
      </c>
      <c r="M9">
        <v>1042</v>
      </c>
      <c r="N9">
        <v>35686</v>
      </c>
      <c r="O9">
        <v>79952</v>
      </c>
      <c r="P9">
        <v>939</v>
      </c>
      <c r="Q9">
        <v>24837</v>
      </c>
      <c r="R9">
        <v>44558</v>
      </c>
      <c r="S9">
        <v>237704</v>
      </c>
      <c r="T9">
        <v>4481878</v>
      </c>
      <c r="U9">
        <v>22335</v>
      </c>
      <c r="V9">
        <v>208922</v>
      </c>
      <c r="W9">
        <v>4361626</v>
      </c>
      <c r="X9">
        <v>21405</v>
      </c>
      <c r="Y9">
        <v>5129</v>
      </c>
      <c r="Z9">
        <v>18608</v>
      </c>
      <c r="AA9">
        <v>495821</v>
      </c>
      <c r="AB9">
        <v>10627141</v>
      </c>
      <c r="AC9">
        <v>87645</v>
      </c>
      <c r="AD9">
        <v>382963</v>
      </c>
      <c r="AE9">
        <v>4853344</v>
      </c>
      <c r="AF9">
        <v>40455</v>
      </c>
      <c r="AG9">
        <v>5932</v>
      </c>
      <c r="AH9">
        <v>55862</v>
      </c>
      <c r="AI9">
        <v>908660</v>
      </c>
      <c r="AJ9">
        <v>18283635</v>
      </c>
      <c r="AK9">
        <v>143537</v>
      </c>
      <c r="AL9">
        <v>794847</v>
      </c>
      <c r="AM9">
        <v>15824171</v>
      </c>
      <c r="AN9">
        <v>124582</v>
      </c>
      <c r="AO9">
        <v>17063</v>
      </c>
      <c r="AP9">
        <v>348036</v>
      </c>
      <c r="AQ9">
        <v>740666</v>
      </c>
      <c r="AR9">
        <v>41194073</v>
      </c>
      <c r="AS9">
        <v>286548</v>
      </c>
      <c r="AT9">
        <v>562760</v>
      </c>
      <c r="AU9">
        <v>30464414</v>
      </c>
      <c r="AV9">
        <v>206770</v>
      </c>
      <c r="AW9">
        <v>20547</v>
      </c>
      <c r="AX9">
        <v>1081539</v>
      </c>
      <c r="AY9">
        <v>140659</v>
      </c>
      <c r="AZ9">
        <v>21269924</v>
      </c>
      <c r="BA9">
        <v>116383</v>
      </c>
      <c r="BB9">
        <v>100017</v>
      </c>
      <c r="BC9">
        <v>13507164</v>
      </c>
      <c r="BD9">
        <v>73881</v>
      </c>
      <c r="BE9">
        <v>4009</v>
      </c>
      <c r="BF9">
        <v>482814</v>
      </c>
      <c r="BG9">
        <v>5869</v>
      </c>
      <c r="BH9">
        <v>6719356</v>
      </c>
      <c r="BI9">
        <v>55392</v>
      </c>
      <c r="BJ9">
        <v>2862</v>
      </c>
      <c r="BK9">
        <v>4182881</v>
      </c>
      <c r="BL9">
        <v>44663</v>
      </c>
      <c r="BM9">
        <v>163</v>
      </c>
      <c r="BN9">
        <v>273145</v>
      </c>
      <c r="BO9">
        <v>11091</v>
      </c>
      <c r="BP9">
        <v>11283082</v>
      </c>
      <c r="BQ9">
        <v>211674</v>
      </c>
      <c r="BR9">
        <v>5307</v>
      </c>
      <c r="BS9">
        <v>2717</v>
      </c>
      <c r="BT9">
        <v>5149</v>
      </c>
      <c r="BU9">
        <v>1871</v>
      </c>
      <c r="BV9">
        <v>4742</v>
      </c>
      <c r="BW9">
        <v>8932</v>
      </c>
      <c r="BX9">
        <v>3</v>
      </c>
      <c r="BY9">
        <v>321</v>
      </c>
      <c r="BZ9">
        <v>2983</v>
      </c>
      <c r="CA9">
        <v>2</v>
      </c>
      <c r="CB9">
        <v>4040</v>
      </c>
      <c r="CC9">
        <v>116693</v>
      </c>
      <c r="CD9">
        <v>398</v>
      </c>
      <c r="CE9">
        <v>417</v>
      </c>
      <c r="CF9">
        <v>1964</v>
      </c>
      <c r="CG9">
        <v>161</v>
      </c>
      <c r="CH9">
        <v>386</v>
      </c>
      <c r="CI9">
        <v>1765</v>
      </c>
      <c r="CJ9">
        <v>89478</v>
      </c>
      <c r="CK9">
        <v>151</v>
      </c>
      <c r="CL9">
        <v>3293172</v>
      </c>
      <c r="CM9">
        <v>35843</v>
      </c>
      <c r="CN9" t="s">
        <v>73</v>
      </c>
      <c r="CO9" t="s">
        <v>73</v>
      </c>
      <c r="CP9" t="s">
        <v>73</v>
      </c>
      <c r="CQ9" t="s">
        <v>73</v>
      </c>
      <c r="CR9">
        <v>298</v>
      </c>
      <c r="CS9">
        <v>2244657</v>
      </c>
      <c r="CT9">
        <v>137406</v>
      </c>
    </row>
    <row r="10" spans="1:98" x14ac:dyDescent="0.4">
      <c r="A10" s="1" t="s">
        <v>8</v>
      </c>
      <c r="B10" s="3" t="s">
        <v>9</v>
      </c>
      <c r="C10">
        <v>1053224</v>
      </c>
      <c r="D10">
        <v>1535474</v>
      </c>
      <c r="E10">
        <v>20546</v>
      </c>
      <c r="F10">
        <v>647531</v>
      </c>
      <c r="G10">
        <v>1042476</v>
      </c>
      <c r="H10">
        <v>13430</v>
      </c>
      <c r="I10">
        <v>85010</v>
      </c>
      <c r="J10">
        <v>142650</v>
      </c>
      <c r="K10">
        <v>40263</v>
      </c>
      <c r="L10">
        <v>88815</v>
      </c>
      <c r="M10">
        <v>1018</v>
      </c>
      <c r="N10">
        <v>34867</v>
      </c>
      <c r="O10">
        <v>78696</v>
      </c>
      <c r="P10">
        <v>908</v>
      </c>
      <c r="Q10">
        <v>30233</v>
      </c>
      <c r="R10">
        <v>54677</v>
      </c>
      <c r="S10">
        <v>243034</v>
      </c>
      <c r="T10">
        <v>4592666</v>
      </c>
      <c r="U10">
        <v>23363</v>
      </c>
      <c r="V10">
        <v>201744</v>
      </c>
      <c r="W10">
        <v>4423885</v>
      </c>
      <c r="X10">
        <v>22102</v>
      </c>
      <c r="Y10">
        <v>10446</v>
      </c>
      <c r="Z10">
        <v>37311</v>
      </c>
      <c r="AA10">
        <v>538874</v>
      </c>
      <c r="AB10">
        <v>12505839</v>
      </c>
      <c r="AC10">
        <v>100169</v>
      </c>
      <c r="AD10">
        <v>414149</v>
      </c>
      <c r="AE10">
        <v>5578755</v>
      </c>
      <c r="AF10">
        <v>47301</v>
      </c>
      <c r="AG10">
        <v>6738</v>
      </c>
      <c r="AH10">
        <v>71208</v>
      </c>
      <c r="AI10">
        <v>926422</v>
      </c>
      <c r="AJ10">
        <v>18539339</v>
      </c>
      <c r="AK10">
        <v>149237</v>
      </c>
      <c r="AL10">
        <v>811243</v>
      </c>
      <c r="AM10">
        <v>16062386</v>
      </c>
      <c r="AN10">
        <v>127386</v>
      </c>
      <c r="AO10">
        <v>16839</v>
      </c>
      <c r="AP10">
        <v>341536</v>
      </c>
      <c r="AQ10">
        <v>690305</v>
      </c>
      <c r="AR10">
        <v>38341216</v>
      </c>
      <c r="AS10">
        <v>276557</v>
      </c>
      <c r="AT10">
        <v>532735</v>
      </c>
      <c r="AU10">
        <v>28776472</v>
      </c>
      <c r="AV10">
        <v>202130</v>
      </c>
      <c r="AW10">
        <v>19669</v>
      </c>
      <c r="AX10">
        <v>1005048</v>
      </c>
      <c r="AY10">
        <v>130617</v>
      </c>
      <c r="AZ10">
        <v>20452005</v>
      </c>
      <c r="BA10">
        <v>116016</v>
      </c>
      <c r="BB10">
        <v>87160</v>
      </c>
      <c r="BC10">
        <v>12006400</v>
      </c>
      <c r="BD10">
        <v>67084</v>
      </c>
      <c r="BE10">
        <v>2984</v>
      </c>
      <c r="BF10">
        <v>373884</v>
      </c>
      <c r="BG10">
        <v>7149</v>
      </c>
      <c r="BH10">
        <v>8145259</v>
      </c>
      <c r="BI10">
        <v>63738</v>
      </c>
      <c r="BJ10">
        <v>3289</v>
      </c>
      <c r="BK10">
        <v>4666526</v>
      </c>
      <c r="BL10">
        <v>47780</v>
      </c>
      <c r="BM10">
        <v>200</v>
      </c>
      <c r="BN10">
        <v>356207</v>
      </c>
      <c r="BO10">
        <v>12409</v>
      </c>
      <c r="BP10">
        <v>12491420</v>
      </c>
      <c r="BQ10">
        <v>247901</v>
      </c>
      <c r="BR10">
        <v>5121</v>
      </c>
      <c r="BS10">
        <v>2756</v>
      </c>
      <c r="BT10">
        <v>5535</v>
      </c>
      <c r="BU10">
        <v>2018</v>
      </c>
      <c r="BV10">
        <v>5655</v>
      </c>
      <c r="BW10">
        <v>12692</v>
      </c>
      <c r="BX10">
        <v>3</v>
      </c>
      <c r="BY10">
        <v>540</v>
      </c>
      <c r="BZ10">
        <v>2351</v>
      </c>
      <c r="CA10">
        <v>2</v>
      </c>
      <c r="CB10">
        <v>4040</v>
      </c>
      <c r="CC10">
        <v>116693</v>
      </c>
      <c r="CD10">
        <v>362</v>
      </c>
      <c r="CE10">
        <v>336</v>
      </c>
      <c r="CF10">
        <v>1382</v>
      </c>
      <c r="CG10">
        <v>163</v>
      </c>
      <c r="CH10">
        <v>358</v>
      </c>
      <c r="CI10">
        <v>1891</v>
      </c>
      <c r="CJ10">
        <v>102040</v>
      </c>
      <c r="CK10">
        <v>212</v>
      </c>
      <c r="CL10">
        <v>5677294</v>
      </c>
      <c r="CM10">
        <v>45810</v>
      </c>
      <c r="CN10" t="s">
        <v>73</v>
      </c>
      <c r="CO10" t="s">
        <v>73</v>
      </c>
      <c r="CP10" t="s">
        <v>73</v>
      </c>
      <c r="CQ10" t="s">
        <v>73</v>
      </c>
      <c r="CR10">
        <v>303</v>
      </c>
      <c r="CS10">
        <v>5383878</v>
      </c>
      <c r="CT10">
        <v>207059</v>
      </c>
    </row>
    <row r="11" spans="1:9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>
        <v>206742</v>
      </c>
      <c r="T11">
        <v>4522048</v>
      </c>
      <c r="U11">
        <v>22706</v>
      </c>
      <c r="V11">
        <v>184960</v>
      </c>
      <c r="W11">
        <v>4431109</v>
      </c>
      <c r="X11">
        <v>21936</v>
      </c>
      <c r="Y11">
        <v>10630</v>
      </c>
      <c r="Z11">
        <v>38243</v>
      </c>
      <c r="AA11">
        <v>428963</v>
      </c>
      <c r="AB11">
        <v>10820200</v>
      </c>
      <c r="AC11">
        <v>75889</v>
      </c>
      <c r="AD11">
        <v>302352</v>
      </c>
      <c r="AE11">
        <v>3846768</v>
      </c>
      <c r="AF11">
        <v>33204</v>
      </c>
      <c r="AG11">
        <v>18679</v>
      </c>
      <c r="AH11">
        <v>151038</v>
      </c>
      <c r="AI11">
        <v>839820</v>
      </c>
      <c r="AJ11">
        <v>16044142</v>
      </c>
      <c r="AK11">
        <v>149348</v>
      </c>
      <c r="AL11">
        <v>796667</v>
      </c>
      <c r="AM11">
        <v>15071282</v>
      </c>
      <c r="AN11">
        <v>140655</v>
      </c>
      <c r="AO11">
        <v>25209</v>
      </c>
      <c r="AP11">
        <v>455687</v>
      </c>
      <c r="AQ11">
        <v>651190</v>
      </c>
      <c r="AR11">
        <v>36972718</v>
      </c>
      <c r="AS11">
        <v>280274</v>
      </c>
      <c r="AT11">
        <v>530036</v>
      </c>
      <c r="AU11">
        <v>29880277</v>
      </c>
      <c r="AV11">
        <v>221719</v>
      </c>
      <c r="AW11">
        <v>17865</v>
      </c>
      <c r="AX11">
        <v>1017539</v>
      </c>
      <c r="AY11">
        <v>112549</v>
      </c>
      <c r="AZ11">
        <v>17712048</v>
      </c>
      <c r="BA11">
        <v>106040</v>
      </c>
      <c r="BB11">
        <v>86138</v>
      </c>
      <c r="BC11">
        <v>11575074</v>
      </c>
      <c r="BD11">
        <v>68590</v>
      </c>
      <c r="BE11">
        <v>3485</v>
      </c>
      <c r="BF11">
        <v>424051</v>
      </c>
      <c r="BG11">
        <v>7377</v>
      </c>
      <c r="BH11">
        <v>9054329</v>
      </c>
      <c r="BI11">
        <v>72820</v>
      </c>
      <c r="BJ11">
        <v>3862</v>
      </c>
      <c r="BK11">
        <v>5725522</v>
      </c>
      <c r="BL11">
        <v>57234</v>
      </c>
      <c r="BM11">
        <v>172</v>
      </c>
      <c r="BN11">
        <v>328106</v>
      </c>
      <c r="BO11">
        <v>12775</v>
      </c>
      <c r="BP11">
        <v>12929959</v>
      </c>
      <c r="BQ11">
        <v>281331</v>
      </c>
      <c r="BR11" t="s">
        <v>73</v>
      </c>
      <c r="BS11" t="s">
        <v>73</v>
      </c>
      <c r="BT11" t="s">
        <v>73</v>
      </c>
      <c r="BU11" t="s">
        <v>73</v>
      </c>
      <c r="BV11" t="s">
        <v>73</v>
      </c>
      <c r="BW11" t="s">
        <v>73</v>
      </c>
      <c r="BX11" t="s">
        <v>73</v>
      </c>
      <c r="BY11" t="s">
        <v>73</v>
      </c>
      <c r="BZ11" t="s">
        <v>73</v>
      </c>
      <c r="CA11" t="s">
        <v>73</v>
      </c>
      <c r="CB11" t="s">
        <v>73</v>
      </c>
      <c r="CC11" t="s">
        <v>73</v>
      </c>
      <c r="CD11">
        <v>431</v>
      </c>
      <c r="CE11">
        <v>340</v>
      </c>
      <c r="CF11">
        <v>1092</v>
      </c>
      <c r="CG11">
        <v>197</v>
      </c>
      <c r="CH11">
        <v>452</v>
      </c>
      <c r="CI11">
        <v>2665</v>
      </c>
      <c r="CJ11">
        <v>102453</v>
      </c>
      <c r="CK11">
        <v>222</v>
      </c>
      <c r="CL11">
        <v>6238534</v>
      </c>
      <c r="CM11">
        <v>51990</v>
      </c>
      <c r="CN11" t="s">
        <v>73</v>
      </c>
      <c r="CO11" t="s">
        <v>73</v>
      </c>
      <c r="CP11" t="s">
        <v>73</v>
      </c>
      <c r="CQ11" t="s">
        <v>73</v>
      </c>
      <c r="CR11">
        <v>265</v>
      </c>
      <c r="CS11">
        <v>5389242</v>
      </c>
      <c r="CT11">
        <v>101530</v>
      </c>
    </row>
    <row r="12" spans="1:9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 t="s">
        <v>73</v>
      </c>
      <c r="S12">
        <v>183272</v>
      </c>
      <c r="T12">
        <v>3920067</v>
      </c>
      <c r="U12">
        <v>20534</v>
      </c>
      <c r="V12">
        <v>164691</v>
      </c>
      <c r="W12">
        <v>3841096</v>
      </c>
      <c r="X12">
        <v>19761</v>
      </c>
      <c r="Y12">
        <v>7276</v>
      </c>
      <c r="Z12">
        <v>24979</v>
      </c>
      <c r="AA12">
        <v>315544</v>
      </c>
      <c r="AB12">
        <v>7771052</v>
      </c>
      <c r="AC12">
        <v>52003</v>
      </c>
      <c r="AD12">
        <v>241709</v>
      </c>
      <c r="AE12">
        <v>2720045</v>
      </c>
      <c r="AF12">
        <v>25954</v>
      </c>
      <c r="AG12">
        <v>8770</v>
      </c>
      <c r="AH12">
        <v>75709</v>
      </c>
      <c r="AI12">
        <v>716088</v>
      </c>
      <c r="AJ12">
        <v>14187303</v>
      </c>
      <c r="AK12">
        <v>129204</v>
      </c>
      <c r="AL12">
        <v>680817</v>
      </c>
      <c r="AM12">
        <v>13286818</v>
      </c>
      <c r="AN12">
        <v>119481</v>
      </c>
      <c r="AO12">
        <v>35466</v>
      </c>
      <c r="AP12">
        <v>794161</v>
      </c>
      <c r="AQ12">
        <v>545086</v>
      </c>
      <c r="AR12">
        <v>32225919</v>
      </c>
      <c r="AS12">
        <v>240884</v>
      </c>
      <c r="AT12">
        <v>448354</v>
      </c>
      <c r="AU12">
        <v>26358675</v>
      </c>
      <c r="AV12">
        <v>190553</v>
      </c>
      <c r="AW12">
        <v>17991</v>
      </c>
      <c r="AX12">
        <v>1098787</v>
      </c>
      <c r="AY12">
        <v>113438</v>
      </c>
      <c r="AZ12">
        <v>17563488</v>
      </c>
      <c r="BA12">
        <v>109186</v>
      </c>
      <c r="BB12">
        <v>90373</v>
      </c>
      <c r="BC12">
        <v>12280387</v>
      </c>
      <c r="BD12">
        <v>74130</v>
      </c>
      <c r="BE12">
        <v>3942</v>
      </c>
      <c r="BF12">
        <v>482687</v>
      </c>
      <c r="BG12">
        <v>7085</v>
      </c>
      <c r="BH12">
        <v>8745562</v>
      </c>
      <c r="BI12">
        <v>70901</v>
      </c>
      <c r="BJ12">
        <v>3632</v>
      </c>
      <c r="BK12">
        <v>5509834</v>
      </c>
      <c r="BL12">
        <v>55060</v>
      </c>
      <c r="BM12">
        <v>214</v>
      </c>
      <c r="BN12">
        <v>346315</v>
      </c>
      <c r="BO12">
        <v>13669</v>
      </c>
      <c r="BP12">
        <v>12664347</v>
      </c>
      <c r="BQ12">
        <v>296897</v>
      </c>
      <c r="BR12" t="s">
        <v>73</v>
      </c>
      <c r="BS12" t="s">
        <v>73</v>
      </c>
      <c r="BT12" t="s">
        <v>73</v>
      </c>
      <c r="BU12" t="s">
        <v>73</v>
      </c>
      <c r="BV12" t="s">
        <v>73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>
        <v>459</v>
      </c>
      <c r="CE12">
        <v>360</v>
      </c>
      <c r="CF12">
        <v>1455</v>
      </c>
      <c r="CG12">
        <v>195</v>
      </c>
      <c r="CH12">
        <v>504</v>
      </c>
      <c r="CI12">
        <v>3007</v>
      </c>
      <c r="CJ12">
        <v>102162</v>
      </c>
      <c r="CK12">
        <v>176</v>
      </c>
      <c r="CL12">
        <v>3466988</v>
      </c>
      <c r="CM12">
        <v>63680</v>
      </c>
      <c r="CN12" t="s">
        <v>73</v>
      </c>
      <c r="CO12" t="s">
        <v>73</v>
      </c>
      <c r="CP12" t="s">
        <v>73</v>
      </c>
      <c r="CQ12" t="s">
        <v>73</v>
      </c>
      <c r="CR12">
        <v>314</v>
      </c>
      <c r="CS12">
        <v>6485917</v>
      </c>
      <c r="CT12">
        <v>207782</v>
      </c>
    </row>
    <row r="13" spans="1:9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 t="s">
        <v>73</v>
      </c>
      <c r="S13">
        <v>201731</v>
      </c>
      <c r="T13">
        <v>4434472</v>
      </c>
      <c r="U13">
        <v>24541</v>
      </c>
      <c r="V13">
        <v>175110</v>
      </c>
      <c r="W13">
        <v>4320091</v>
      </c>
      <c r="X13">
        <v>23484</v>
      </c>
      <c r="Y13">
        <v>9434</v>
      </c>
      <c r="Z13">
        <v>33511</v>
      </c>
      <c r="AA13">
        <v>381454</v>
      </c>
      <c r="AB13">
        <v>8642998</v>
      </c>
      <c r="AC13">
        <v>65263</v>
      </c>
      <c r="AD13">
        <v>315647</v>
      </c>
      <c r="AE13">
        <v>6736802</v>
      </c>
      <c r="AF13">
        <v>59965</v>
      </c>
      <c r="AG13">
        <v>12119</v>
      </c>
      <c r="AH13">
        <v>82357</v>
      </c>
      <c r="AI13">
        <v>617334</v>
      </c>
      <c r="AJ13">
        <v>10461985</v>
      </c>
      <c r="AK13">
        <v>113711</v>
      </c>
      <c r="AL13">
        <v>612462</v>
      </c>
      <c r="AM13">
        <v>10752331</v>
      </c>
      <c r="AN13">
        <v>109130</v>
      </c>
      <c r="AO13">
        <v>17427</v>
      </c>
      <c r="AP13">
        <v>333890</v>
      </c>
      <c r="AQ13">
        <v>514479</v>
      </c>
      <c r="AR13">
        <v>29847868</v>
      </c>
      <c r="AS13">
        <v>232206</v>
      </c>
      <c r="AT13">
        <v>416717</v>
      </c>
      <c r="AU13">
        <v>24432546</v>
      </c>
      <c r="AV13">
        <v>177204</v>
      </c>
      <c r="AW13">
        <v>15290</v>
      </c>
      <c r="AX13">
        <v>971511</v>
      </c>
      <c r="AY13">
        <v>112208</v>
      </c>
      <c r="AZ13">
        <v>17372751</v>
      </c>
      <c r="BA13">
        <v>109700</v>
      </c>
      <c r="BB13">
        <v>90581</v>
      </c>
      <c r="BC13">
        <v>13071920</v>
      </c>
      <c r="BD13">
        <v>73507</v>
      </c>
      <c r="BE13">
        <v>2531</v>
      </c>
      <c r="BF13">
        <v>357069</v>
      </c>
      <c r="BG13">
        <v>6480</v>
      </c>
      <c r="BH13">
        <v>8251525</v>
      </c>
      <c r="BI13">
        <v>68072</v>
      </c>
      <c r="BJ13">
        <v>3530</v>
      </c>
      <c r="BK13">
        <v>5481759</v>
      </c>
      <c r="BL13">
        <v>53774</v>
      </c>
      <c r="BM13">
        <v>198</v>
      </c>
      <c r="BN13">
        <v>331698</v>
      </c>
      <c r="BO13">
        <v>17238</v>
      </c>
      <c r="BP13">
        <v>13304764</v>
      </c>
      <c r="BQ13">
        <v>341013</v>
      </c>
      <c r="BR13" t="s">
        <v>73</v>
      </c>
      <c r="BS13" t="s">
        <v>73</v>
      </c>
      <c r="BT13" t="s">
        <v>73</v>
      </c>
      <c r="BU13" t="s">
        <v>73</v>
      </c>
      <c r="BV13" t="s">
        <v>73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>
        <v>525</v>
      </c>
      <c r="CE13">
        <v>388</v>
      </c>
      <c r="CF13">
        <v>1364</v>
      </c>
      <c r="CG13">
        <v>171</v>
      </c>
      <c r="CH13">
        <v>431</v>
      </c>
      <c r="CI13">
        <v>2516</v>
      </c>
      <c r="CJ13">
        <v>111286</v>
      </c>
      <c r="CK13">
        <v>187</v>
      </c>
      <c r="CL13">
        <v>1517941</v>
      </c>
      <c r="CM13">
        <v>29766</v>
      </c>
      <c r="CN13" t="s">
        <v>73</v>
      </c>
      <c r="CO13" t="s">
        <v>73</v>
      </c>
      <c r="CP13" t="s">
        <v>73</v>
      </c>
      <c r="CQ13" t="s">
        <v>73</v>
      </c>
      <c r="CR13">
        <v>260</v>
      </c>
      <c r="CS13">
        <v>3934536</v>
      </c>
      <c r="CT13">
        <v>119350</v>
      </c>
    </row>
    <row r="14" spans="1:9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 t="s">
        <v>73</v>
      </c>
      <c r="S14">
        <v>12965</v>
      </c>
      <c r="T14">
        <v>319615</v>
      </c>
      <c r="U14">
        <v>1636</v>
      </c>
      <c r="V14">
        <v>12730</v>
      </c>
      <c r="W14">
        <v>317283</v>
      </c>
      <c r="X14">
        <v>1594</v>
      </c>
      <c r="Y14">
        <v>8809</v>
      </c>
      <c r="Z14">
        <v>31880</v>
      </c>
      <c r="AA14">
        <v>26740</v>
      </c>
      <c r="AB14">
        <v>715591</v>
      </c>
      <c r="AC14">
        <v>4605</v>
      </c>
      <c r="AD14">
        <v>25352</v>
      </c>
      <c r="AE14">
        <v>252658</v>
      </c>
      <c r="AF14">
        <v>2397</v>
      </c>
      <c r="AG14">
        <v>7188</v>
      </c>
      <c r="AH14">
        <v>91943</v>
      </c>
      <c r="AI14">
        <v>66892</v>
      </c>
      <c r="AJ14">
        <v>1332401</v>
      </c>
      <c r="AK14">
        <v>11499</v>
      </c>
      <c r="AL14">
        <v>67149</v>
      </c>
      <c r="AM14">
        <v>1331815</v>
      </c>
      <c r="AN14">
        <v>11361</v>
      </c>
      <c r="AO14">
        <v>20857</v>
      </c>
      <c r="AP14">
        <v>432364</v>
      </c>
      <c r="AQ14">
        <v>49847</v>
      </c>
      <c r="AR14">
        <v>2920064</v>
      </c>
      <c r="AS14">
        <v>21639</v>
      </c>
      <c r="AT14">
        <v>43472</v>
      </c>
      <c r="AU14">
        <v>2510405</v>
      </c>
      <c r="AV14">
        <v>18153</v>
      </c>
      <c r="AW14">
        <v>14000</v>
      </c>
      <c r="AX14">
        <v>786188</v>
      </c>
      <c r="AY14">
        <v>9333</v>
      </c>
      <c r="AZ14">
        <v>1428771</v>
      </c>
      <c r="BA14">
        <v>8983</v>
      </c>
      <c r="BB14">
        <v>8197</v>
      </c>
      <c r="BC14">
        <v>1066932</v>
      </c>
      <c r="BD14">
        <v>6637</v>
      </c>
      <c r="BE14">
        <v>2726</v>
      </c>
      <c r="BF14">
        <v>339286</v>
      </c>
      <c r="BG14">
        <v>586</v>
      </c>
      <c r="BH14">
        <v>787586</v>
      </c>
      <c r="BI14">
        <v>13274</v>
      </c>
      <c r="BJ14">
        <v>329</v>
      </c>
      <c r="BK14">
        <v>515806</v>
      </c>
      <c r="BL14">
        <v>11748</v>
      </c>
      <c r="BM14">
        <v>178</v>
      </c>
      <c r="BN14">
        <v>342957</v>
      </c>
      <c r="BO14">
        <v>1523</v>
      </c>
      <c r="BP14">
        <v>1339941</v>
      </c>
      <c r="BQ14">
        <v>29138</v>
      </c>
      <c r="BR14" t="s">
        <v>73</v>
      </c>
      <c r="BS14" t="s">
        <v>73</v>
      </c>
      <c r="BT14" t="s">
        <v>73</v>
      </c>
      <c r="BU14" t="s">
        <v>73</v>
      </c>
      <c r="BV14" t="s">
        <v>73</v>
      </c>
      <c r="BW14" t="s">
        <v>73</v>
      </c>
      <c r="BX14" t="s">
        <v>73</v>
      </c>
      <c r="BY14" t="s">
        <v>73</v>
      </c>
      <c r="BZ14" t="s">
        <v>73</v>
      </c>
      <c r="CA14" t="s">
        <v>73</v>
      </c>
      <c r="CB14" t="s">
        <v>73</v>
      </c>
      <c r="CC14" t="s">
        <v>73</v>
      </c>
      <c r="CD14">
        <v>47</v>
      </c>
      <c r="CE14">
        <v>34</v>
      </c>
      <c r="CF14">
        <v>191</v>
      </c>
      <c r="CG14">
        <v>20</v>
      </c>
      <c r="CH14">
        <v>58</v>
      </c>
      <c r="CI14">
        <v>336</v>
      </c>
      <c r="CJ14">
        <v>14171</v>
      </c>
      <c r="CK14">
        <v>16</v>
      </c>
      <c r="CL14">
        <v>1228740</v>
      </c>
      <c r="CM14">
        <v>8282</v>
      </c>
      <c r="CN14" t="s">
        <v>73</v>
      </c>
      <c r="CO14" t="s">
        <v>73</v>
      </c>
      <c r="CP14" t="s">
        <v>73</v>
      </c>
      <c r="CQ14" t="s">
        <v>73</v>
      </c>
      <c r="CR14">
        <v>29</v>
      </c>
      <c r="CS14">
        <v>917082</v>
      </c>
      <c r="CT14">
        <v>19263</v>
      </c>
    </row>
    <row r="15" spans="1:9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 t="s">
        <v>73</v>
      </c>
      <c r="S15">
        <v>12055</v>
      </c>
      <c r="T15">
        <v>305026</v>
      </c>
      <c r="U15">
        <v>1563</v>
      </c>
      <c r="V15">
        <v>14183</v>
      </c>
      <c r="W15">
        <v>312657</v>
      </c>
      <c r="X15">
        <v>1584</v>
      </c>
      <c r="Y15">
        <v>5214</v>
      </c>
      <c r="Z15">
        <v>18376</v>
      </c>
      <c r="AA15">
        <v>25228</v>
      </c>
      <c r="AB15">
        <v>500662</v>
      </c>
      <c r="AC15">
        <v>3424</v>
      </c>
      <c r="AD15">
        <v>19862</v>
      </c>
      <c r="AE15">
        <v>226269</v>
      </c>
      <c r="AF15">
        <v>2190</v>
      </c>
      <c r="AG15">
        <v>7542</v>
      </c>
      <c r="AH15">
        <v>79908</v>
      </c>
      <c r="AI15">
        <v>62649</v>
      </c>
      <c r="AJ15">
        <v>1232903</v>
      </c>
      <c r="AK15">
        <v>10966</v>
      </c>
      <c r="AL15">
        <v>59906</v>
      </c>
      <c r="AM15">
        <v>1172892</v>
      </c>
      <c r="AN15">
        <v>10205</v>
      </c>
      <c r="AO15">
        <v>21131</v>
      </c>
      <c r="AP15">
        <v>429838</v>
      </c>
      <c r="AQ15">
        <v>51256</v>
      </c>
      <c r="AR15">
        <v>2957185</v>
      </c>
      <c r="AS15">
        <v>22312</v>
      </c>
      <c r="AT15">
        <v>38621</v>
      </c>
      <c r="AU15">
        <v>2249212</v>
      </c>
      <c r="AV15">
        <v>16321</v>
      </c>
      <c r="AW15">
        <v>17880</v>
      </c>
      <c r="AX15">
        <v>965872</v>
      </c>
      <c r="AY15">
        <v>9751</v>
      </c>
      <c r="AZ15">
        <v>1533126</v>
      </c>
      <c r="BA15">
        <v>9716</v>
      </c>
      <c r="BB15">
        <v>6987</v>
      </c>
      <c r="BC15">
        <v>954324</v>
      </c>
      <c r="BD15">
        <v>5808</v>
      </c>
      <c r="BE15">
        <v>3404</v>
      </c>
      <c r="BF15">
        <v>424830</v>
      </c>
      <c r="BG15">
        <v>563</v>
      </c>
      <c r="BH15">
        <v>690627</v>
      </c>
      <c r="BI15">
        <v>4620</v>
      </c>
      <c r="BJ15">
        <v>268</v>
      </c>
      <c r="BK15">
        <v>410624</v>
      </c>
      <c r="BL15">
        <v>3186</v>
      </c>
      <c r="BM15">
        <v>183</v>
      </c>
      <c r="BN15">
        <v>353930</v>
      </c>
      <c r="BO15">
        <v>1179</v>
      </c>
      <c r="BP15">
        <v>997235</v>
      </c>
      <c r="BQ15">
        <v>24304</v>
      </c>
      <c r="BR15" t="s">
        <v>73</v>
      </c>
      <c r="BS15" t="s">
        <v>73</v>
      </c>
      <c r="BT15" t="s">
        <v>73</v>
      </c>
      <c r="BU15" t="s">
        <v>73</v>
      </c>
      <c r="BV15" t="s">
        <v>73</v>
      </c>
      <c r="BW15" t="s">
        <v>73</v>
      </c>
      <c r="BX15" t="s">
        <v>73</v>
      </c>
      <c r="BY15" t="s">
        <v>73</v>
      </c>
      <c r="BZ15" t="s">
        <v>73</v>
      </c>
      <c r="CA15" t="s">
        <v>73</v>
      </c>
      <c r="CB15" t="s">
        <v>73</v>
      </c>
      <c r="CC15" t="s">
        <v>73</v>
      </c>
      <c r="CD15">
        <v>12</v>
      </c>
      <c r="CE15">
        <v>8</v>
      </c>
      <c r="CF15">
        <v>20</v>
      </c>
      <c r="CG15">
        <v>18</v>
      </c>
      <c r="CH15">
        <v>43</v>
      </c>
      <c r="CI15">
        <v>278</v>
      </c>
      <c r="CJ15">
        <v>4515</v>
      </c>
      <c r="CK15">
        <v>11</v>
      </c>
      <c r="CL15">
        <v>207010</v>
      </c>
      <c r="CM15">
        <v>3146</v>
      </c>
      <c r="CN15" t="s">
        <v>73</v>
      </c>
      <c r="CO15" t="s">
        <v>73</v>
      </c>
      <c r="CP15" t="s">
        <v>73</v>
      </c>
      <c r="CQ15" t="s">
        <v>73</v>
      </c>
      <c r="CR15">
        <v>19</v>
      </c>
      <c r="CS15">
        <v>493968</v>
      </c>
      <c r="CT15">
        <v>8951</v>
      </c>
    </row>
    <row r="16" spans="1:9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 t="s">
        <v>73</v>
      </c>
      <c r="S16">
        <v>17248</v>
      </c>
      <c r="T16">
        <v>279553</v>
      </c>
      <c r="U16">
        <v>1553</v>
      </c>
      <c r="V16">
        <v>11251</v>
      </c>
      <c r="W16">
        <v>255547</v>
      </c>
      <c r="X16">
        <v>1386</v>
      </c>
      <c r="Y16">
        <v>8863</v>
      </c>
      <c r="Z16">
        <v>32408</v>
      </c>
      <c r="AA16">
        <v>25672</v>
      </c>
      <c r="AB16">
        <v>564430</v>
      </c>
      <c r="AC16">
        <v>3915</v>
      </c>
      <c r="AD16">
        <v>16849</v>
      </c>
      <c r="AE16">
        <v>195712</v>
      </c>
      <c r="AF16">
        <v>1901</v>
      </c>
      <c r="AG16">
        <v>9654</v>
      </c>
      <c r="AH16">
        <v>93110</v>
      </c>
      <c r="AI16">
        <v>54421</v>
      </c>
      <c r="AJ16">
        <v>1092109</v>
      </c>
      <c r="AK16">
        <v>9897</v>
      </c>
      <c r="AL16">
        <v>52138</v>
      </c>
      <c r="AM16">
        <v>1026920</v>
      </c>
      <c r="AN16">
        <v>9053</v>
      </c>
      <c r="AO16">
        <v>21116</v>
      </c>
      <c r="AP16">
        <v>439383</v>
      </c>
      <c r="AQ16">
        <v>42777</v>
      </c>
      <c r="AR16">
        <v>2562055</v>
      </c>
      <c r="AS16">
        <v>18806</v>
      </c>
      <c r="AT16">
        <v>36691</v>
      </c>
      <c r="AU16">
        <v>2180723</v>
      </c>
      <c r="AV16">
        <v>15432</v>
      </c>
      <c r="AW16">
        <v>16278</v>
      </c>
      <c r="AX16">
        <v>918938</v>
      </c>
      <c r="AY16">
        <v>9066</v>
      </c>
      <c r="AZ16">
        <v>1436469</v>
      </c>
      <c r="BA16">
        <v>9306</v>
      </c>
      <c r="BB16">
        <v>8137</v>
      </c>
      <c r="BC16">
        <v>1100255</v>
      </c>
      <c r="BD16">
        <v>6955</v>
      </c>
      <c r="BE16">
        <v>2357</v>
      </c>
      <c r="BF16">
        <v>296472</v>
      </c>
      <c r="BG16">
        <v>544</v>
      </c>
      <c r="BH16">
        <v>670204</v>
      </c>
      <c r="BI16">
        <v>5076</v>
      </c>
      <c r="BJ16">
        <v>303</v>
      </c>
      <c r="BK16">
        <v>460719</v>
      </c>
      <c r="BL16">
        <v>4099</v>
      </c>
      <c r="BM16">
        <v>173</v>
      </c>
      <c r="BN16">
        <v>327736</v>
      </c>
      <c r="BO16">
        <v>1272</v>
      </c>
      <c r="BP16">
        <v>942219</v>
      </c>
      <c r="BQ16">
        <v>21267</v>
      </c>
      <c r="BR16" t="s">
        <v>73</v>
      </c>
      <c r="BS16" t="s">
        <v>73</v>
      </c>
      <c r="BT16" t="s">
        <v>73</v>
      </c>
      <c r="BU16" t="s">
        <v>73</v>
      </c>
      <c r="BV16" t="s">
        <v>73</v>
      </c>
      <c r="BW16" t="s">
        <v>73</v>
      </c>
      <c r="BX16" t="s">
        <v>73</v>
      </c>
      <c r="BY16" t="s">
        <v>73</v>
      </c>
      <c r="BZ16" t="s">
        <v>73</v>
      </c>
      <c r="CA16" t="s">
        <v>73</v>
      </c>
      <c r="CB16" t="s">
        <v>73</v>
      </c>
      <c r="CC16" t="s">
        <v>73</v>
      </c>
      <c r="CD16">
        <v>18</v>
      </c>
      <c r="CE16">
        <v>12</v>
      </c>
      <c r="CF16">
        <v>47</v>
      </c>
      <c r="CG16">
        <v>20</v>
      </c>
      <c r="CH16">
        <v>39</v>
      </c>
      <c r="CI16">
        <v>247</v>
      </c>
      <c r="CJ16">
        <v>3331</v>
      </c>
      <c r="CK16">
        <v>17</v>
      </c>
      <c r="CL16">
        <v>627078</v>
      </c>
      <c r="CM16">
        <v>6635</v>
      </c>
      <c r="CN16" t="s">
        <v>73</v>
      </c>
      <c r="CO16" t="s">
        <v>73</v>
      </c>
      <c r="CP16" t="s">
        <v>73</v>
      </c>
      <c r="CQ16" t="s">
        <v>73</v>
      </c>
      <c r="CR16">
        <v>13</v>
      </c>
      <c r="CS16">
        <v>19683</v>
      </c>
      <c r="CT16">
        <v>881</v>
      </c>
    </row>
    <row r="17" spans="1:9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 t="s">
        <v>73</v>
      </c>
      <c r="S17">
        <v>13521</v>
      </c>
      <c r="T17">
        <v>252197</v>
      </c>
      <c r="U17">
        <v>1337</v>
      </c>
      <c r="V17">
        <v>11882</v>
      </c>
      <c r="W17">
        <v>245122</v>
      </c>
      <c r="X17">
        <v>1260</v>
      </c>
      <c r="Y17">
        <v>8922</v>
      </c>
      <c r="Z17">
        <v>32415</v>
      </c>
      <c r="AA17">
        <v>26642</v>
      </c>
      <c r="AB17">
        <v>598399</v>
      </c>
      <c r="AC17">
        <v>3879</v>
      </c>
      <c r="AD17">
        <v>18792</v>
      </c>
      <c r="AE17">
        <v>195255</v>
      </c>
      <c r="AF17">
        <v>1962</v>
      </c>
      <c r="AG17">
        <v>10737</v>
      </c>
      <c r="AH17">
        <v>108345</v>
      </c>
      <c r="AI17">
        <v>61490</v>
      </c>
      <c r="AJ17">
        <v>1227463</v>
      </c>
      <c r="AK17">
        <v>11313</v>
      </c>
      <c r="AL17">
        <v>55406</v>
      </c>
      <c r="AM17">
        <v>1093960</v>
      </c>
      <c r="AN17">
        <v>9951</v>
      </c>
      <c r="AO17">
        <v>24913</v>
      </c>
      <c r="AP17">
        <v>517260</v>
      </c>
      <c r="AQ17">
        <v>44506</v>
      </c>
      <c r="AR17">
        <v>2652248</v>
      </c>
      <c r="AS17">
        <v>19746</v>
      </c>
      <c r="AT17">
        <v>36447</v>
      </c>
      <c r="AU17">
        <v>2165565</v>
      </c>
      <c r="AV17">
        <v>15478</v>
      </c>
      <c r="AW17">
        <v>16431</v>
      </c>
      <c r="AX17">
        <v>912674</v>
      </c>
      <c r="AY17">
        <v>9774</v>
      </c>
      <c r="AZ17">
        <v>1492525</v>
      </c>
      <c r="BA17">
        <v>9530</v>
      </c>
      <c r="BB17">
        <v>7846</v>
      </c>
      <c r="BC17">
        <v>1055689</v>
      </c>
      <c r="BD17">
        <v>6587</v>
      </c>
      <c r="BE17">
        <v>2528</v>
      </c>
      <c r="BF17">
        <v>317704</v>
      </c>
      <c r="BG17">
        <v>613</v>
      </c>
      <c r="BH17">
        <v>780771</v>
      </c>
      <c r="BI17">
        <v>5923</v>
      </c>
      <c r="BJ17">
        <v>294</v>
      </c>
      <c r="BK17">
        <v>457250</v>
      </c>
      <c r="BL17">
        <v>4051</v>
      </c>
      <c r="BM17">
        <v>209</v>
      </c>
      <c r="BN17">
        <v>383202</v>
      </c>
      <c r="BO17">
        <v>1164</v>
      </c>
      <c r="BP17">
        <v>1084603</v>
      </c>
      <c r="BQ17">
        <v>26616</v>
      </c>
      <c r="BR17" t="s">
        <v>73</v>
      </c>
      <c r="BS17" t="s">
        <v>73</v>
      </c>
      <c r="BT17" t="s">
        <v>73</v>
      </c>
      <c r="BU17" t="s">
        <v>73</v>
      </c>
      <c r="BV17" t="s">
        <v>73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>
        <v>33</v>
      </c>
      <c r="CE17">
        <v>23</v>
      </c>
      <c r="CF17">
        <v>107</v>
      </c>
      <c r="CG17">
        <v>15</v>
      </c>
      <c r="CH17">
        <v>52</v>
      </c>
      <c r="CI17">
        <v>272</v>
      </c>
      <c r="CJ17">
        <v>8604</v>
      </c>
      <c r="CK17">
        <v>16</v>
      </c>
      <c r="CL17">
        <v>38944</v>
      </c>
      <c r="CM17">
        <v>884</v>
      </c>
      <c r="CN17" t="s">
        <v>73</v>
      </c>
      <c r="CO17" t="s">
        <v>73</v>
      </c>
      <c r="CP17" t="s">
        <v>73</v>
      </c>
      <c r="CQ17" t="s">
        <v>73</v>
      </c>
      <c r="CR17">
        <v>20</v>
      </c>
      <c r="CS17">
        <v>568630</v>
      </c>
      <c r="CT17">
        <v>13456</v>
      </c>
    </row>
    <row r="18" spans="1:9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 t="s">
        <v>73</v>
      </c>
      <c r="S18">
        <v>14182</v>
      </c>
      <c r="T18">
        <v>310314</v>
      </c>
      <c r="U18">
        <v>1671</v>
      </c>
      <c r="V18">
        <v>15206</v>
      </c>
      <c r="W18">
        <v>312885</v>
      </c>
      <c r="X18">
        <v>1659</v>
      </c>
      <c r="Y18">
        <v>5891</v>
      </c>
      <c r="Z18">
        <v>20946</v>
      </c>
      <c r="AA18">
        <v>27957</v>
      </c>
      <c r="AB18">
        <v>732333</v>
      </c>
      <c r="AC18">
        <v>4822</v>
      </c>
      <c r="AD18">
        <v>19933</v>
      </c>
      <c r="AE18">
        <v>221192</v>
      </c>
      <c r="AF18">
        <v>2145</v>
      </c>
      <c r="AG18">
        <v>10516</v>
      </c>
      <c r="AH18">
        <v>105899</v>
      </c>
      <c r="AI18">
        <v>62168</v>
      </c>
      <c r="AJ18">
        <v>1242791</v>
      </c>
      <c r="AK18">
        <v>11377</v>
      </c>
      <c r="AL18">
        <v>60335</v>
      </c>
      <c r="AM18">
        <v>1181085</v>
      </c>
      <c r="AN18">
        <v>10725</v>
      </c>
      <c r="AO18">
        <v>24783</v>
      </c>
      <c r="AP18">
        <v>527893</v>
      </c>
      <c r="AQ18">
        <v>47766</v>
      </c>
      <c r="AR18">
        <v>2837179</v>
      </c>
      <c r="AS18">
        <v>21001</v>
      </c>
      <c r="AT18">
        <v>39617</v>
      </c>
      <c r="AU18">
        <v>2329974</v>
      </c>
      <c r="AV18">
        <v>16832</v>
      </c>
      <c r="AW18">
        <v>16890</v>
      </c>
      <c r="AX18">
        <v>942479</v>
      </c>
      <c r="AY18">
        <v>10507</v>
      </c>
      <c r="AZ18">
        <v>1618072</v>
      </c>
      <c r="BA18">
        <v>10074</v>
      </c>
      <c r="BB18">
        <v>8181</v>
      </c>
      <c r="BC18">
        <v>1119083</v>
      </c>
      <c r="BD18">
        <v>6739</v>
      </c>
      <c r="BE18">
        <v>2852</v>
      </c>
      <c r="BF18">
        <v>355110</v>
      </c>
      <c r="BG18">
        <v>658</v>
      </c>
      <c r="BH18">
        <v>778886</v>
      </c>
      <c r="BI18">
        <v>5148</v>
      </c>
      <c r="BJ18">
        <v>332</v>
      </c>
      <c r="BK18">
        <v>489968</v>
      </c>
      <c r="BL18">
        <v>3669</v>
      </c>
      <c r="BM18">
        <v>183</v>
      </c>
      <c r="BN18">
        <v>350957</v>
      </c>
      <c r="BO18">
        <v>1253</v>
      </c>
      <c r="BP18">
        <v>965696</v>
      </c>
      <c r="BQ18">
        <v>22940</v>
      </c>
      <c r="BR18" t="s">
        <v>73</v>
      </c>
      <c r="BS18" t="s">
        <v>73</v>
      </c>
      <c r="BT18" t="s">
        <v>73</v>
      </c>
      <c r="BU18" t="s">
        <v>73</v>
      </c>
      <c r="BV18" t="s">
        <v>73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>
        <v>43</v>
      </c>
      <c r="CE18">
        <v>43</v>
      </c>
      <c r="CF18">
        <v>171</v>
      </c>
      <c r="CG18">
        <v>15</v>
      </c>
      <c r="CH18">
        <v>32</v>
      </c>
      <c r="CI18">
        <v>218</v>
      </c>
      <c r="CJ18">
        <v>10052</v>
      </c>
      <c r="CK18">
        <v>17</v>
      </c>
      <c r="CL18">
        <v>67439</v>
      </c>
      <c r="CM18">
        <v>1328</v>
      </c>
      <c r="CN18" t="s">
        <v>73</v>
      </c>
      <c r="CO18" t="s">
        <v>73</v>
      </c>
      <c r="CP18" t="s">
        <v>73</v>
      </c>
      <c r="CQ18" t="s">
        <v>73</v>
      </c>
      <c r="CR18">
        <v>32</v>
      </c>
      <c r="CS18">
        <v>444238</v>
      </c>
      <c r="CT18">
        <v>10518</v>
      </c>
    </row>
    <row r="19" spans="1:9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 t="s">
        <v>73</v>
      </c>
      <c r="S19">
        <v>11373</v>
      </c>
      <c r="T19">
        <v>237899</v>
      </c>
      <c r="U19">
        <v>1279</v>
      </c>
      <c r="V19">
        <v>9926</v>
      </c>
      <c r="W19">
        <v>231855</v>
      </c>
      <c r="X19">
        <v>1235</v>
      </c>
      <c r="Y19">
        <v>6360</v>
      </c>
      <c r="Z19">
        <v>22611</v>
      </c>
      <c r="AA19">
        <v>20894</v>
      </c>
      <c r="AB19">
        <v>487172</v>
      </c>
      <c r="AC19">
        <v>3478</v>
      </c>
      <c r="AD19">
        <v>16370</v>
      </c>
      <c r="AE19">
        <v>178293</v>
      </c>
      <c r="AF19">
        <v>1609</v>
      </c>
      <c r="AG19">
        <v>8952</v>
      </c>
      <c r="AH19">
        <v>83371</v>
      </c>
      <c r="AI19">
        <v>50788</v>
      </c>
      <c r="AJ19">
        <v>1008058</v>
      </c>
      <c r="AK19">
        <v>8998</v>
      </c>
      <c r="AL19">
        <v>49729</v>
      </c>
      <c r="AM19">
        <v>991591</v>
      </c>
      <c r="AN19">
        <v>8674</v>
      </c>
      <c r="AO19">
        <v>24173</v>
      </c>
      <c r="AP19">
        <v>509314</v>
      </c>
      <c r="AQ19">
        <v>35834</v>
      </c>
      <c r="AR19">
        <v>2111581</v>
      </c>
      <c r="AS19">
        <v>15780</v>
      </c>
      <c r="AT19">
        <v>30537</v>
      </c>
      <c r="AU19">
        <v>1797718</v>
      </c>
      <c r="AV19">
        <v>12999</v>
      </c>
      <c r="AW19">
        <v>16385</v>
      </c>
      <c r="AX19">
        <v>888358</v>
      </c>
      <c r="AY19">
        <v>8310</v>
      </c>
      <c r="AZ19">
        <v>1280782</v>
      </c>
      <c r="BA19">
        <v>7823</v>
      </c>
      <c r="BB19">
        <v>6431</v>
      </c>
      <c r="BC19">
        <v>869667</v>
      </c>
      <c r="BD19">
        <v>5063</v>
      </c>
      <c r="BE19">
        <v>3083</v>
      </c>
      <c r="BF19">
        <v>381978</v>
      </c>
      <c r="BG19">
        <v>485</v>
      </c>
      <c r="BH19">
        <v>577430</v>
      </c>
      <c r="BI19">
        <v>3899</v>
      </c>
      <c r="BJ19">
        <v>252</v>
      </c>
      <c r="BK19">
        <v>372996</v>
      </c>
      <c r="BL19">
        <v>2933</v>
      </c>
      <c r="BM19">
        <v>180</v>
      </c>
      <c r="BN19">
        <v>335439</v>
      </c>
      <c r="BO19">
        <v>1064</v>
      </c>
      <c r="BP19">
        <v>871439</v>
      </c>
      <c r="BQ19">
        <v>20220</v>
      </c>
      <c r="BR19" t="s">
        <v>73</v>
      </c>
      <c r="BS19" t="s">
        <v>73</v>
      </c>
      <c r="BT19" t="s">
        <v>73</v>
      </c>
      <c r="BU19" t="s">
        <v>73</v>
      </c>
      <c r="BV19" t="s">
        <v>73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>
        <v>28</v>
      </c>
      <c r="CE19">
        <v>20</v>
      </c>
      <c r="CF19">
        <v>93</v>
      </c>
      <c r="CG19">
        <v>7</v>
      </c>
      <c r="CH19">
        <v>13</v>
      </c>
      <c r="CI19">
        <v>88</v>
      </c>
      <c r="CJ19">
        <v>8980</v>
      </c>
      <c r="CK19">
        <v>15</v>
      </c>
      <c r="CL19">
        <v>321367</v>
      </c>
      <c r="CM19">
        <v>11967</v>
      </c>
      <c r="CN19" t="s">
        <v>73</v>
      </c>
      <c r="CO19" t="s">
        <v>73</v>
      </c>
      <c r="CP19" t="s">
        <v>73</v>
      </c>
      <c r="CQ19" t="s">
        <v>73</v>
      </c>
      <c r="CR19">
        <v>26</v>
      </c>
      <c r="CS19">
        <v>523137</v>
      </c>
      <c r="CT19">
        <v>28087</v>
      </c>
    </row>
    <row r="20" spans="1:9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>
        <v>18864</v>
      </c>
      <c r="T20">
        <v>434061</v>
      </c>
      <c r="U20">
        <v>2249</v>
      </c>
      <c r="V20">
        <v>16845</v>
      </c>
      <c r="W20">
        <v>426577</v>
      </c>
      <c r="X20">
        <v>2172</v>
      </c>
      <c r="Y20">
        <v>6652</v>
      </c>
      <c r="Z20">
        <v>23816</v>
      </c>
      <c r="AA20">
        <v>24958</v>
      </c>
      <c r="AB20">
        <v>651219</v>
      </c>
      <c r="AC20">
        <v>4367</v>
      </c>
      <c r="AD20">
        <v>21184</v>
      </c>
      <c r="AE20">
        <v>218761</v>
      </c>
      <c r="AF20">
        <v>1990</v>
      </c>
      <c r="AG20">
        <v>6481</v>
      </c>
      <c r="AH20">
        <v>64842</v>
      </c>
      <c r="AI20">
        <v>55898</v>
      </c>
      <c r="AJ20">
        <v>1121005</v>
      </c>
      <c r="AK20">
        <v>10463</v>
      </c>
      <c r="AL20">
        <v>55564</v>
      </c>
      <c r="AM20">
        <v>1096496</v>
      </c>
      <c r="AN20">
        <v>10090</v>
      </c>
      <c r="AO20">
        <v>22571</v>
      </c>
      <c r="AP20">
        <v>482756</v>
      </c>
      <c r="AQ20">
        <v>40795</v>
      </c>
      <c r="AR20">
        <v>2469810</v>
      </c>
      <c r="AS20">
        <v>17980</v>
      </c>
      <c r="AT20">
        <v>35600</v>
      </c>
      <c r="AU20">
        <v>2039964</v>
      </c>
      <c r="AV20">
        <v>14951</v>
      </c>
      <c r="AW20">
        <v>14112</v>
      </c>
      <c r="AX20">
        <v>867297</v>
      </c>
      <c r="AY20">
        <v>9187</v>
      </c>
      <c r="AZ20">
        <v>1431608</v>
      </c>
      <c r="BA20">
        <v>8732</v>
      </c>
      <c r="BB20">
        <v>7439</v>
      </c>
      <c r="BC20">
        <v>1021041</v>
      </c>
      <c r="BD20">
        <v>5788</v>
      </c>
      <c r="BE20">
        <v>2895</v>
      </c>
      <c r="BF20">
        <v>360368</v>
      </c>
      <c r="BG20">
        <v>682</v>
      </c>
      <c r="BH20">
        <v>827029</v>
      </c>
      <c r="BI20">
        <v>7146</v>
      </c>
      <c r="BJ20">
        <v>299</v>
      </c>
      <c r="BK20">
        <v>430434</v>
      </c>
      <c r="BL20">
        <v>4756</v>
      </c>
      <c r="BM20">
        <v>241</v>
      </c>
      <c r="BN20">
        <v>432456</v>
      </c>
      <c r="BO20">
        <v>1018</v>
      </c>
      <c r="BP20">
        <v>1112231</v>
      </c>
      <c r="BQ20">
        <v>28208</v>
      </c>
      <c r="BR20" t="s">
        <v>73</v>
      </c>
      <c r="BS20" t="s">
        <v>73</v>
      </c>
      <c r="BT20" t="s">
        <v>73</v>
      </c>
      <c r="BU20" t="s">
        <v>73</v>
      </c>
      <c r="BV20" t="s">
        <v>73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>
        <v>53</v>
      </c>
      <c r="CE20">
        <v>42</v>
      </c>
      <c r="CF20">
        <v>164</v>
      </c>
      <c r="CG20">
        <v>17</v>
      </c>
      <c r="CH20">
        <v>81</v>
      </c>
      <c r="CI20">
        <v>394</v>
      </c>
      <c r="CJ20">
        <v>12638</v>
      </c>
      <c r="CK20">
        <v>14</v>
      </c>
      <c r="CL20">
        <v>45858</v>
      </c>
      <c r="CM20">
        <v>983</v>
      </c>
      <c r="CN20" t="s">
        <v>73</v>
      </c>
      <c r="CO20" t="s">
        <v>73</v>
      </c>
      <c r="CP20" t="s">
        <v>73</v>
      </c>
      <c r="CQ20" t="s">
        <v>73</v>
      </c>
      <c r="CR20">
        <v>32</v>
      </c>
      <c r="CS20">
        <v>889275</v>
      </c>
      <c r="CT20">
        <v>30726</v>
      </c>
    </row>
    <row r="21" spans="1:9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 t="s">
        <v>73</v>
      </c>
      <c r="S21">
        <v>20242</v>
      </c>
      <c r="T21">
        <v>412402</v>
      </c>
      <c r="U21">
        <v>2179</v>
      </c>
      <c r="V21">
        <v>17868</v>
      </c>
      <c r="W21">
        <v>402555</v>
      </c>
      <c r="X21">
        <v>2098</v>
      </c>
      <c r="Y21">
        <v>6817</v>
      </c>
      <c r="Z21">
        <v>24485</v>
      </c>
      <c r="AA21">
        <v>28886</v>
      </c>
      <c r="AB21">
        <v>720949</v>
      </c>
      <c r="AC21">
        <v>4968</v>
      </c>
      <c r="AD21">
        <v>21535</v>
      </c>
      <c r="AE21">
        <v>258569</v>
      </c>
      <c r="AF21">
        <v>2562</v>
      </c>
      <c r="AG21">
        <v>7891</v>
      </c>
      <c r="AH21">
        <v>60772</v>
      </c>
      <c r="AI21">
        <v>58803</v>
      </c>
      <c r="AJ21">
        <v>1156800</v>
      </c>
      <c r="AK21">
        <v>11626</v>
      </c>
      <c r="AL21">
        <v>52750</v>
      </c>
      <c r="AM21">
        <v>1019442</v>
      </c>
      <c r="AN21">
        <v>10234</v>
      </c>
      <c r="AO21">
        <v>26356</v>
      </c>
      <c r="AP21">
        <v>567307</v>
      </c>
      <c r="AQ21">
        <v>47471</v>
      </c>
      <c r="AR21">
        <v>2811909</v>
      </c>
      <c r="AS21">
        <v>21079</v>
      </c>
      <c r="AT21">
        <v>36916</v>
      </c>
      <c r="AU21">
        <v>2188570</v>
      </c>
      <c r="AV21">
        <v>15627</v>
      </c>
      <c r="AW21">
        <v>16376</v>
      </c>
      <c r="AX21">
        <v>976844</v>
      </c>
      <c r="AY21">
        <v>9834</v>
      </c>
      <c r="AZ21">
        <v>1539694</v>
      </c>
      <c r="BA21">
        <v>9451</v>
      </c>
      <c r="BB21">
        <v>6967</v>
      </c>
      <c r="BC21">
        <v>979967</v>
      </c>
      <c r="BD21">
        <v>5671</v>
      </c>
      <c r="BE21">
        <v>3438</v>
      </c>
      <c r="BF21">
        <v>425289</v>
      </c>
      <c r="BG21">
        <v>678</v>
      </c>
      <c r="BH21">
        <v>821780</v>
      </c>
      <c r="BI21">
        <v>5447</v>
      </c>
      <c r="BJ21">
        <v>376</v>
      </c>
      <c r="BK21">
        <v>557493</v>
      </c>
      <c r="BL21">
        <v>4333</v>
      </c>
      <c r="BM21">
        <v>211</v>
      </c>
      <c r="BN21">
        <v>382003</v>
      </c>
      <c r="BO21">
        <v>1052</v>
      </c>
      <c r="BP21">
        <v>1155591</v>
      </c>
      <c r="BQ21">
        <v>28491</v>
      </c>
      <c r="BR21" t="s">
        <v>73</v>
      </c>
      <c r="BS21" t="s">
        <v>73</v>
      </c>
      <c r="BT21" t="s">
        <v>73</v>
      </c>
      <c r="BU21" t="s">
        <v>73</v>
      </c>
      <c r="BV21" t="s">
        <v>73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>
        <v>45</v>
      </c>
      <c r="CE21">
        <v>31</v>
      </c>
      <c r="CF21">
        <v>80</v>
      </c>
      <c r="CG21">
        <v>17</v>
      </c>
      <c r="CH21">
        <v>33</v>
      </c>
      <c r="CI21">
        <v>226</v>
      </c>
      <c r="CJ21">
        <v>4398</v>
      </c>
      <c r="CK21">
        <v>18</v>
      </c>
      <c r="CL21">
        <v>208960</v>
      </c>
      <c r="CM21">
        <v>2510</v>
      </c>
      <c r="CN21" t="s">
        <v>73</v>
      </c>
      <c r="CO21" t="s">
        <v>73</v>
      </c>
      <c r="CP21" t="s">
        <v>73</v>
      </c>
      <c r="CQ21" t="s">
        <v>73</v>
      </c>
      <c r="CR21">
        <v>21</v>
      </c>
      <c r="CS21">
        <v>488942</v>
      </c>
      <c r="CT21">
        <v>33384</v>
      </c>
    </row>
    <row r="22" spans="1:9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 t="s">
        <v>73</v>
      </c>
      <c r="S22">
        <v>18308</v>
      </c>
      <c r="T22">
        <v>383537</v>
      </c>
      <c r="U22">
        <v>1993</v>
      </c>
      <c r="V22">
        <v>14893</v>
      </c>
      <c r="W22">
        <v>369545</v>
      </c>
      <c r="X22">
        <v>1886</v>
      </c>
      <c r="Y22">
        <v>8572</v>
      </c>
      <c r="Z22">
        <v>31295</v>
      </c>
      <c r="AA22">
        <v>28243</v>
      </c>
      <c r="AB22">
        <v>701976</v>
      </c>
      <c r="AC22">
        <v>4773</v>
      </c>
      <c r="AD22">
        <v>21121</v>
      </c>
      <c r="AE22">
        <v>259815</v>
      </c>
      <c r="AF22">
        <v>2633</v>
      </c>
      <c r="AG22">
        <v>7746</v>
      </c>
      <c r="AH22">
        <v>67913</v>
      </c>
      <c r="AI22">
        <v>58419</v>
      </c>
      <c r="AJ22">
        <v>1168333</v>
      </c>
      <c r="AK22">
        <v>10728</v>
      </c>
      <c r="AL22">
        <v>50398</v>
      </c>
      <c r="AM22">
        <v>960452</v>
      </c>
      <c r="AN22">
        <v>9067</v>
      </c>
      <c r="AO22">
        <v>32535</v>
      </c>
      <c r="AP22">
        <v>725808</v>
      </c>
      <c r="AQ22">
        <v>43863</v>
      </c>
      <c r="AR22">
        <v>2624373</v>
      </c>
      <c r="AS22">
        <v>19980</v>
      </c>
      <c r="AT22">
        <v>34758</v>
      </c>
      <c r="AU22">
        <v>2058596</v>
      </c>
      <c r="AV22">
        <v>14871</v>
      </c>
      <c r="AW22">
        <v>18175</v>
      </c>
      <c r="AX22">
        <v>1119485</v>
      </c>
      <c r="AY22">
        <v>9967</v>
      </c>
      <c r="AZ22">
        <v>1507614</v>
      </c>
      <c r="BA22">
        <v>9176</v>
      </c>
      <c r="BB22">
        <v>6904</v>
      </c>
      <c r="BC22">
        <v>960671</v>
      </c>
      <c r="BD22">
        <v>5638</v>
      </c>
      <c r="BE22">
        <v>4549</v>
      </c>
      <c r="BF22">
        <v>551797</v>
      </c>
      <c r="BG22">
        <v>636</v>
      </c>
      <c r="BH22">
        <v>799935</v>
      </c>
      <c r="BI22">
        <v>5463</v>
      </c>
      <c r="BJ22">
        <v>305</v>
      </c>
      <c r="BK22">
        <v>468995</v>
      </c>
      <c r="BL22">
        <v>3733</v>
      </c>
      <c r="BM22">
        <v>239</v>
      </c>
      <c r="BN22">
        <v>430062</v>
      </c>
      <c r="BO22">
        <v>1056</v>
      </c>
      <c r="BP22">
        <v>1054963</v>
      </c>
      <c r="BQ22">
        <v>24008</v>
      </c>
      <c r="BR22" t="s">
        <v>73</v>
      </c>
      <c r="BS22" t="s">
        <v>73</v>
      </c>
      <c r="BT22" t="s">
        <v>73</v>
      </c>
      <c r="BU22" t="s">
        <v>73</v>
      </c>
      <c r="BV22" t="s">
        <v>73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>
        <v>58</v>
      </c>
      <c r="CE22">
        <v>46</v>
      </c>
      <c r="CF22">
        <v>153</v>
      </c>
      <c r="CG22">
        <v>17</v>
      </c>
      <c r="CH22">
        <v>27</v>
      </c>
      <c r="CI22">
        <v>185</v>
      </c>
      <c r="CJ22">
        <v>5627</v>
      </c>
      <c r="CK22">
        <v>14</v>
      </c>
      <c r="CL22">
        <v>387164</v>
      </c>
      <c r="CM22">
        <v>15094</v>
      </c>
      <c r="CN22" t="s">
        <v>73</v>
      </c>
      <c r="CO22" t="s">
        <v>73</v>
      </c>
      <c r="CP22" t="s">
        <v>73</v>
      </c>
      <c r="CQ22" t="s">
        <v>73</v>
      </c>
      <c r="CR22">
        <v>36</v>
      </c>
      <c r="CS22">
        <v>663333</v>
      </c>
      <c r="CT22">
        <v>13971</v>
      </c>
    </row>
    <row r="23" spans="1:9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 t="s">
        <v>73</v>
      </c>
      <c r="S23">
        <v>17181</v>
      </c>
      <c r="T23">
        <v>343222</v>
      </c>
      <c r="U23">
        <v>1814</v>
      </c>
      <c r="V23">
        <v>16596</v>
      </c>
      <c r="W23">
        <v>341491</v>
      </c>
      <c r="X23">
        <v>1781</v>
      </c>
      <c r="Y23">
        <v>7276</v>
      </c>
      <c r="Z23">
        <v>24979</v>
      </c>
      <c r="AA23">
        <v>28230</v>
      </c>
      <c r="AB23">
        <v>614811</v>
      </c>
      <c r="AC23">
        <v>4432</v>
      </c>
      <c r="AD23">
        <v>19930</v>
      </c>
      <c r="AE23">
        <v>264926</v>
      </c>
      <c r="AF23">
        <v>2481</v>
      </c>
      <c r="AG23">
        <v>8770</v>
      </c>
      <c r="AH23">
        <v>75709</v>
      </c>
      <c r="AI23">
        <v>57761</v>
      </c>
      <c r="AJ23">
        <v>1148815</v>
      </c>
      <c r="AK23">
        <v>10512</v>
      </c>
      <c r="AL23">
        <v>53183</v>
      </c>
      <c r="AM23">
        <v>1044304</v>
      </c>
      <c r="AN23">
        <v>9311</v>
      </c>
      <c r="AO23">
        <v>35466</v>
      </c>
      <c r="AP23">
        <v>794161</v>
      </c>
      <c r="AQ23">
        <v>45989</v>
      </c>
      <c r="AR23">
        <v>2763657</v>
      </c>
      <c r="AS23">
        <v>20695</v>
      </c>
      <c r="AT23">
        <v>38570</v>
      </c>
      <c r="AU23">
        <v>2326532</v>
      </c>
      <c r="AV23">
        <v>16976</v>
      </c>
      <c r="AW23">
        <v>17991</v>
      </c>
      <c r="AX23">
        <v>1098787</v>
      </c>
      <c r="AY23">
        <v>9863</v>
      </c>
      <c r="AZ23">
        <v>1530648</v>
      </c>
      <c r="BA23">
        <v>9186</v>
      </c>
      <c r="BB23">
        <v>8470</v>
      </c>
      <c r="BC23">
        <v>1170299</v>
      </c>
      <c r="BD23">
        <v>6749</v>
      </c>
      <c r="BE23">
        <v>3942</v>
      </c>
      <c r="BF23">
        <v>482687</v>
      </c>
      <c r="BG23">
        <v>582</v>
      </c>
      <c r="BH23">
        <v>728502</v>
      </c>
      <c r="BI23">
        <v>4952</v>
      </c>
      <c r="BJ23">
        <v>297</v>
      </c>
      <c r="BK23">
        <v>511847</v>
      </c>
      <c r="BL23">
        <v>4766</v>
      </c>
      <c r="BM23">
        <v>214</v>
      </c>
      <c r="BN23">
        <v>346315</v>
      </c>
      <c r="BO23">
        <v>990</v>
      </c>
      <c r="BP23">
        <v>1140116</v>
      </c>
      <c r="BQ23">
        <v>28111</v>
      </c>
      <c r="BR23" t="s">
        <v>73</v>
      </c>
      <c r="BS23" t="s">
        <v>73</v>
      </c>
      <c r="BT23" t="s">
        <v>73</v>
      </c>
      <c r="BU23" t="s">
        <v>73</v>
      </c>
      <c r="BV23" t="s">
        <v>73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>
        <v>54</v>
      </c>
      <c r="CE23">
        <v>41</v>
      </c>
      <c r="CF23">
        <v>156</v>
      </c>
      <c r="CG23">
        <v>16</v>
      </c>
      <c r="CH23">
        <v>43</v>
      </c>
      <c r="CI23">
        <v>278</v>
      </c>
      <c r="CJ23">
        <v>13633</v>
      </c>
      <c r="CK23">
        <v>22</v>
      </c>
      <c r="CL23">
        <v>275026</v>
      </c>
      <c r="CM23">
        <v>11922</v>
      </c>
      <c r="CN23" t="s">
        <v>73</v>
      </c>
      <c r="CO23" t="s">
        <v>73</v>
      </c>
      <c r="CP23" t="s">
        <v>73</v>
      </c>
      <c r="CQ23" t="s">
        <v>73</v>
      </c>
      <c r="CR23">
        <v>33</v>
      </c>
      <c r="CS23">
        <v>972892</v>
      </c>
      <c r="CT23">
        <v>36322</v>
      </c>
    </row>
    <row r="24" spans="1:9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>
        <v>14737</v>
      </c>
      <c r="T24">
        <v>303058</v>
      </c>
      <c r="U24">
        <v>1678</v>
      </c>
      <c r="V24">
        <v>13128</v>
      </c>
      <c r="W24">
        <v>294633</v>
      </c>
      <c r="X24">
        <v>1600</v>
      </c>
      <c r="Y24">
        <v>6911</v>
      </c>
      <c r="Z24">
        <v>24811</v>
      </c>
      <c r="AA24">
        <v>28113</v>
      </c>
      <c r="AB24">
        <v>523565</v>
      </c>
      <c r="AC24">
        <v>4144</v>
      </c>
      <c r="AD24">
        <v>22909</v>
      </c>
      <c r="AE24">
        <v>403313</v>
      </c>
      <c r="AF24">
        <v>3721</v>
      </c>
      <c r="AG24">
        <v>10236</v>
      </c>
      <c r="AH24">
        <v>81738</v>
      </c>
      <c r="AI24">
        <v>48005</v>
      </c>
      <c r="AJ24">
        <v>847947</v>
      </c>
      <c r="AK24">
        <v>8405</v>
      </c>
      <c r="AL24">
        <v>56465</v>
      </c>
      <c r="AM24">
        <v>1069037</v>
      </c>
      <c r="AN24">
        <v>9570</v>
      </c>
      <c r="AO24">
        <v>25497</v>
      </c>
      <c r="AP24">
        <v>527139</v>
      </c>
      <c r="AQ24">
        <v>39951</v>
      </c>
      <c r="AR24">
        <v>2340367</v>
      </c>
      <c r="AS24">
        <v>17467</v>
      </c>
      <c r="AT24">
        <v>28337</v>
      </c>
      <c r="AU24">
        <v>1596557</v>
      </c>
      <c r="AV24">
        <v>11670</v>
      </c>
      <c r="AW24">
        <v>22490</v>
      </c>
      <c r="AX24">
        <v>1378835</v>
      </c>
      <c r="AY24">
        <v>9319</v>
      </c>
      <c r="AZ24">
        <v>1402131</v>
      </c>
      <c r="BA24">
        <v>8851</v>
      </c>
      <c r="BB24">
        <v>5801</v>
      </c>
      <c r="BC24">
        <v>809274</v>
      </c>
      <c r="BD24">
        <v>4827</v>
      </c>
      <c r="BE24">
        <v>5799</v>
      </c>
      <c r="BF24">
        <v>693837</v>
      </c>
      <c r="BG24">
        <v>553</v>
      </c>
      <c r="BH24">
        <v>737384</v>
      </c>
      <c r="BI24">
        <v>8004</v>
      </c>
      <c r="BJ24">
        <v>218</v>
      </c>
      <c r="BK24">
        <v>333963</v>
      </c>
      <c r="BL24">
        <v>5554</v>
      </c>
      <c r="BM24">
        <v>283</v>
      </c>
      <c r="BN24">
        <v>490992</v>
      </c>
      <c r="BO24">
        <v>1000</v>
      </c>
      <c r="BP24">
        <v>1006592</v>
      </c>
      <c r="BQ24">
        <v>26526</v>
      </c>
      <c r="BR24" t="s">
        <v>73</v>
      </c>
      <c r="BS24" t="s">
        <v>73</v>
      </c>
      <c r="BT24" t="s">
        <v>73</v>
      </c>
      <c r="BU24" t="s">
        <v>73</v>
      </c>
      <c r="BV24" t="s">
        <v>73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>
        <v>38</v>
      </c>
      <c r="CE24">
        <v>28</v>
      </c>
      <c r="CF24">
        <v>122</v>
      </c>
      <c r="CG24">
        <v>13</v>
      </c>
      <c r="CH24">
        <v>34</v>
      </c>
      <c r="CI24">
        <v>227</v>
      </c>
      <c r="CJ24">
        <v>3993</v>
      </c>
      <c r="CK24">
        <v>14</v>
      </c>
      <c r="CL24">
        <v>37532</v>
      </c>
      <c r="CM24">
        <v>674</v>
      </c>
      <c r="CN24" t="s">
        <v>73</v>
      </c>
      <c r="CO24" t="s">
        <v>73</v>
      </c>
      <c r="CP24" t="s">
        <v>73</v>
      </c>
      <c r="CQ24" t="s">
        <v>73</v>
      </c>
      <c r="CR24">
        <v>32</v>
      </c>
      <c r="CS24">
        <v>46220</v>
      </c>
      <c r="CT24">
        <v>2230</v>
      </c>
    </row>
    <row r="25" spans="1:9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 t="s">
        <v>73</v>
      </c>
      <c r="S25">
        <v>14932</v>
      </c>
      <c r="T25">
        <v>327855</v>
      </c>
      <c r="U25">
        <v>1835</v>
      </c>
      <c r="V25">
        <v>14558</v>
      </c>
      <c r="W25">
        <v>325345</v>
      </c>
      <c r="X25">
        <v>1774</v>
      </c>
      <c r="Y25">
        <v>4799</v>
      </c>
      <c r="Z25">
        <v>16466</v>
      </c>
      <c r="AA25">
        <v>32132</v>
      </c>
      <c r="AB25">
        <v>591210</v>
      </c>
      <c r="AC25">
        <v>4800</v>
      </c>
      <c r="AD25">
        <v>28418</v>
      </c>
      <c r="AE25">
        <v>472403</v>
      </c>
      <c r="AF25">
        <v>4609</v>
      </c>
      <c r="AG25">
        <v>9278</v>
      </c>
      <c r="AH25">
        <v>78157</v>
      </c>
      <c r="AI25">
        <v>51494</v>
      </c>
      <c r="AJ25">
        <v>930616</v>
      </c>
      <c r="AK25">
        <v>8962</v>
      </c>
      <c r="AL25">
        <v>48625</v>
      </c>
      <c r="AM25">
        <v>858420</v>
      </c>
      <c r="AN25">
        <v>8573</v>
      </c>
      <c r="AO25">
        <v>26541</v>
      </c>
      <c r="AP25">
        <v>581895</v>
      </c>
      <c r="AQ25">
        <v>43017</v>
      </c>
      <c r="AR25">
        <v>2486089</v>
      </c>
      <c r="AS25">
        <v>18999</v>
      </c>
      <c r="AT25">
        <v>37975</v>
      </c>
      <c r="AU25">
        <v>2122379</v>
      </c>
      <c r="AV25">
        <v>15400</v>
      </c>
      <c r="AW25">
        <v>19385</v>
      </c>
      <c r="AX25">
        <v>1268275</v>
      </c>
      <c r="AY25">
        <v>9451</v>
      </c>
      <c r="AZ25">
        <v>1424050</v>
      </c>
      <c r="BA25">
        <v>9151</v>
      </c>
      <c r="BB25">
        <v>7778</v>
      </c>
      <c r="BC25">
        <v>1041586</v>
      </c>
      <c r="BD25">
        <v>6108</v>
      </c>
      <c r="BE25">
        <v>5718</v>
      </c>
      <c r="BF25">
        <v>677657</v>
      </c>
      <c r="BG25">
        <v>562</v>
      </c>
      <c r="BH25">
        <v>700004</v>
      </c>
      <c r="BI25">
        <v>5296</v>
      </c>
      <c r="BJ25">
        <v>371</v>
      </c>
      <c r="BK25">
        <v>598315</v>
      </c>
      <c r="BL25">
        <v>5327</v>
      </c>
      <c r="BM25">
        <v>197</v>
      </c>
      <c r="BN25">
        <v>334114</v>
      </c>
      <c r="BO25">
        <v>1261</v>
      </c>
      <c r="BP25">
        <v>1092402</v>
      </c>
      <c r="BQ25">
        <v>26926</v>
      </c>
      <c r="BR25" t="s">
        <v>73</v>
      </c>
      <c r="BS25" t="s">
        <v>73</v>
      </c>
      <c r="BT25" t="s">
        <v>73</v>
      </c>
      <c r="BU25" t="s">
        <v>73</v>
      </c>
      <c r="BV25" t="s">
        <v>73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>
        <v>29</v>
      </c>
      <c r="CE25">
        <v>22</v>
      </c>
      <c r="CF25">
        <v>60</v>
      </c>
      <c r="CG25">
        <v>18</v>
      </c>
      <c r="CH25">
        <v>28</v>
      </c>
      <c r="CI25">
        <v>210</v>
      </c>
      <c r="CJ25">
        <v>7316</v>
      </c>
      <c r="CK25">
        <v>16</v>
      </c>
      <c r="CL25">
        <v>42967</v>
      </c>
      <c r="CM25">
        <v>936</v>
      </c>
      <c r="CN25" t="s">
        <v>73</v>
      </c>
      <c r="CO25" t="s">
        <v>73</v>
      </c>
      <c r="CP25" t="s">
        <v>73</v>
      </c>
      <c r="CQ25" t="s">
        <v>73</v>
      </c>
      <c r="CR25">
        <v>24</v>
      </c>
      <c r="CS25">
        <v>617471</v>
      </c>
      <c r="CT25">
        <v>18877</v>
      </c>
    </row>
    <row r="26" spans="1:9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 t="s">
        <v>73</v>
      </c>
      <c r="S26">
        <v>16202</v>
      </c>
      <c r="T26">
        <v>350715</v>
      </c>
      <c r="U26">
        <v>1940</v>
      </c>
      <c r="V26">
        <v>13201</v>
      </c>
      <c r="W26">
        <v>338171</v>
      </c>
      <c r="X26">
        <v>1842</v>
      </c>
      <c r="Y26">
        <v>5981</v>
      </c>
      <c r="Z26">
        <v>20738</v>
      </c>
      <c r="AA26">
        <v>35706</v>
      </c>
      <c r="AB26">
        <v>669956</v>
      </c>
      <c r="AC26">
        <v>5426</v>
      </c>
      <c r="AD26">
        <v>35004</v>
      </c>
      <c r="AE26">
        <v>547498</v>
      </c>
      <c r="AF26">
        <v>5248</v>
      </c>
      <c r="AG26">
        <v>4881</v>
      </c>
      <c r="AH26">
        <v>46894</v>
      </c>
      <c r="AI26">
        <v>48766</v>
      </c>
      <c r="AJ26">
        <v>837251</v>
      </c>
      <c r="AK26">
        <v>9845</v>
      </c>
      <c r="AL26">
        <v>49072</v>
      </c>
      <c r="AM26">
        <v>867230</v>
      </c>
      <c r="AN26">
        <v>8742</v>
      </c>
      <c r="AO26">
        <v>24315</v>
      </c>
      <c r="AP26">
        <v>519235</v>
      </c>
      <c r="AQ26">
        <v>39356</v>
      </c>
      <c r="AR26">
        <v>2160521</v>
      </c>
      <c r="AS26">
        <v>16834</v>
      </c>
      <c r="AT26">
        <v>35261</v>
      </c>
      <c r="AU26">
        <v>2003845</v>
      </c>
      <c r="AV26">
        <v>14148</v>
      </c>
      <c r="AW26">
        <v>14536</v>
      </c>
      <c r="AX26">
        <v>925908</v>
      </c>
      <c r="AY26">
        <v>9529</v>
      </c>
      <c r="AZ26">
        <v>1475929</v>
      </c>
      <c r="BA26">
        <v>9449</v>
      </c>
      <c r="BB26">
        <v>8523</v>
      </c>
      <c r="BC26">
        <v>1141545</v>
      </c>
      <c r="BD26">
        <v>7585</v>
      </c>
      <c r="BE26">
        <v>4717</v>
      </c>
      <c r="BF26">
        <v>794419</v>
      </c>
      <c r="BG26">
        <v>653</v>
      </c>
      <c r="BH26">
        <v>814585</v>
      </c>
      <c r="BI26">
        <v>6541</v>
      </c>
      <c r="BJ26">
        <v>319</v>
      </c>
      <c r="BK26">
        <v>496356</v>
      </c>
      <c r="BL26">
        <v>5010</v>
      </c>
      <c r="BM26">
        <v>214</v>
      </c>
      <c r="BN26">
        <v>353948</v>
      </c>
      <c r="BO26">
        <v>1479</v>
      </c>
      <c r="BP26">
        <v>1119506</v>
      </c>
      <c r="BQ26">
        <v>27482</v>
      </c>
      <c r="BR26" t="s">
        <v>73</v>
      </c>
      <c r="BS26" t="s">
        <v>73</v>
      </c>
      <c r="BT26" t="s">
        <v>73</v>
      </c>
      <c r="BU26" t="s">
        <v>73</v>
      </c>
      <c r="BV26" t="s">
        <v>73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>
        <v>50</v>
      </c>
      <c r="CE26">
        <v>37</v>
      </c>
      <c r="CF26">
        <v>126</v>
      </c>
      <c r="CG26">
        <v>13</v>
      </c>
      <c r="CH26">
        <v>61</v>
      </c>
      <c r="CI26">
        <v>206</v>
      </c>
      <c r="CJ26">
        <v>18967</v>
      </c>
      <c r="CK26">
        <v>14</v>
      </c>
      <c r="CL26">
        <v>230206</v>
      </c>
      <c r="CM26">
        <v>3213</v>
      </c>
      <c r="CN26" t="s">
        <v>73</v>
      </c>
      <c r="CO26" t="s">
        <v>73</v>
      </c>
      <c r="CP26" t="s">
        <v>73</v>
      </c>
      <c r="CQ26" t="s">
        <v>73</v>
      </c>
      <c r="CR26">
        <v>24</v>
      </c>
      <c r="CS26">
        <v>83033</v>
      </c>
      <c r="CT26">
        <v>4239</v>
      </c>
    </row>
    <row r="27" spans="1:9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>
        <v>18275</v>
      </c>
      <c r="T27">
        <v>367930</v>
      </c>
      <c r="U27">
        <v>2023</v>
      </c>
      <c r="V27">
        <v>15229</v>
      </c>
      <c r="W27">
        <v>354703</v>
      </c>
      <c r="X27">
        <v>1895</v>
      </c>
      <c r="Y27">
        <v>6204</v>
      </c>
      <c r="Z27">
        <v>21846</v>
      </c>
      <c r="AA27">
        <v>32701</v>
      </c>
      <c r="AB27">
        <v>734182</v>
      </c>
      <c r="AC27">
        <v>5664</v>
      </c>
      <c r="AD27">
        <v>26283</v>
      </c>
      <c r="AE27">
        <v>571949</v>
      </c>
      <c r="AF27">
        <v>5027</v>
      </c>
      <c r="AG27">
        <v>6212</v>
      </c>
      <c r="AH27">
        <v>66302</v>
      </c>
      <c r="AI27">
        <v>41033</v>
      </c>
      <c r="AJ27">
        <v>660220</v>
      </c>
      <c r="AK27">
        <v>7858</v>
      </c>
      <c r="AL27">
        <v>45893</v>
      </c>
      <c r="AM27">
        <v>798836</v>
      </c>
      <c r="AN27">
        <v>8001</v>
      </c>
      <c r="AO27">
        <v>17537</v>
      </c>
      <c r="AP27">
        <v>333066</v>
      </c>
      <c r="AQ27">
        <v>38248</v>
      </c>
      <c r="AR27">
        <v>2187025</v>
      </c>
      <c r="AS27">
        <v>17430</v>
      </c>
      <c r="AT27">
        <v>30116</v>
      </c>
      <c r="AU27">
        <v>1925831</v>
      </c>
      <c r="AV27">
        <v>12672</v>
      </c>
      <c r="AW27">
        <v>13945</v>
      </c>
      <c r="AX27">
        <v>888206</v>
      </c>
      <c r="AY27">
        <v>8575</v>
      </c>
      <c r="AZ27">
        <v>1395961</v>
      </c>
      <c r="BA27">
        <v>8821</v>
      </c>
      <c r="BB27">
        <v>7900</v>
      </c>
      <c r="BC27">
        <v>1153865</v>
      </c>
      <c r="BD27">
        <v>6612</v>
      </c>
      <c r="BE27">
        <v>3301</v>
      </c>
      <c r="BF27">
        <v>557122</v>
      </c>
      <c r="BG27">
        <v>595</v>
      </c>
      <c r="BH27">
        <v>726905</v>
      </c>
      <c r="BI27">
        <v>5461</v>
      </c>
      <c r="BJ27">
        <v>275</v>
      </c>
      <c r="BK27">
        <v>438849</v>
      </c>
      <c r="BL27">
        <v>4109</v>
      </c>
      <c r="BM27">
        <v>208</v>
      </c>
      <c r="BN27">
        <v>340016</v>
      </c>
      <c r="BO27">
        <v>1174</v>
      </c>
      <c r="BP27">
        <v>1061302</v>
      </c>
      <c r="BQ27">
        <v>26810</v>
      </c>
      <c r="BR27" t="s">
        <v>73</v>
      </c>
      <c r="BS27" t="s">
        <v>73</v>
      </c>
      <c r="BT27" t="s">
        <v>73</v>
      </c>
      <c r="BU27" t="s">
        <v>73</v>
      </c>
      <c r="BV27" t="s">
        <v>73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>
        <v>18</v>
      </c>
      <c r="CE27">
        <v>23</v>
      </c>
      <c r="CF27">
        <v>120</v>
      </c>
      <c r="CG27">
        <v>16</v>
      </c>
      <c r="CH27">
        <v>33</v>
      </c>
      <c r="CI27">
        <v>223</v>
      </c>
      <c r="CJ27">
        <v>5720</v>
      </c>
      <c r="CK27">
        <v>10</v>
      </c>
      <c r="CL27">
        <v>38074</v>
      </c>
      <c r="CM27">
        <v>798</v>
      </c>
      <c r="CN27" t="s">
        <v>73</v>
      </c>
      <c r="CO27" t="s">
        <v>73</v>
      </c>
      <c r="CP27" t="s">
        <v>73</v>
      </c>
      <c r="CQ27" t="s">
        <v>73</v>
      </c>
      <c r="CR27">
        <v>21</v>
      </c>
      <c r="CS27">
        <v>48460</v>
      </c>
      <c r="CT27">
        <v>3623</v>
      </c>
    </row>
    <row r="28" spans="1:9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 t="s">
        <v>73</v>
      </c>
      <c r="S28">
        <v>16447</v>
      </c>
      <c r="T28">
        <v>364170</v>
      </c>
      <c r="U28">
        <v>2021</v>
      </c>
      <c r="V28">
        <v>16524</v>
      </c>
      <c r="W28">
        <v>364203</v>
      </c>
      <c r="X28">
        <v>1992</v>
      </c>
      <c r="Y28">
        <v>4492</v>
      </c>
      <c r="Z28">
        <v>14816</v>
      </c>
      <c r="AA28">
        <v>30835</v>
      </c>
      <c r="AB28">
        <v>748578</v>
      </c>
      <c r="AC28">
        <v>5559</v>
      </c>
      <c r="AD28">
        <v>25889</v>
      </c>
      <c r="AE28">
        <v>599936</v>
      </c>
      <c r="AF28">
        <v>5051</v>
      </c>
      <c r="AG28">
        <v>6266</v>
      </c>
      <c r="AH28">
        <v>67298</v>
      </c>
      <c r="AI28">
        <v>43222</v>
      </c>
      <c r="AJ28">
        <v>714980</v>
      </c>
      <c r="AK28">
        <v>8013</v>
      </c>
      <c r="AL28">
        <v>39992</v>
      </c>
      <c r="AM28">
        <v>669718</v>
      </c>
      <c r="AN28">
        <v>6940</v>
      </c>
      <c r="AO28">
        <v>19017</v>
      </c>
      <c r="AP28">
        <v>349566</v>
      </c>
      <c r="AQ28">
        <v>36741</v>
      </c>
      <c r="AR28">
        <v>2093867</v>
      </c>
      <c r="AS28">
        <v>16433</v>
      </c>
      <c r="AT28">
        <v>29775</v>
      </c>
      <c r="AU28">
        <v>1703603</v>
      </c>
      <c r="AV28">
        <v>12702</v>
      </c>
      <c r="AW28">
        <v>13894</v>
      </c>
      <c r="AX28">
        <v>883383</v>
      </c>
      <c r="AY28">
        <v>8932</v>
      </c>
      <c r="AZ28">
        <v>1439164</v>
      </c>
      <c r="BA28">
        <v>9052</v>
      </c>
      <c r="BB28">
        <v>7542</v>
      </c>
      <c r="BC28">
        <v>1109287</v>
      </c>
      <c r="BD28">
        <v>6033</v>
      </c>
      <c r="BE28">
        <v>2587</v>
      </c>
      <c r="BF28">
        <v>420184</v>
      </c>
      <c r="BG28">
        <v>546</v>
      </c>
      <c r="BH28">
        <v>691495</v>
      </c>
      <c r="BI28">
        <v>4877</v>
      </c>
      <c r="BJ28">
        <v>256</v>
      </c>
      <c r="BK28">
        <v>397355</v>
      </c>
      <c r="BL28">
        <v>3151</v>
      </c>
      <c r="BM28">
        <v>220</v>
      </c>
      <c r="BN28">
        <v>363427</v>
      </c>
      <c r="BO28">
        <v>1394</v>
      </c>
      <c r="BP28">
        <v>1023493</v>
      </c>
      <c r="BQ28">
        <v>25309</v>
      </c>
      <c r="BR28" t="s">
        <v>73</v>
      </c>
      <c r="BS28" t="s">
        <v>73</v>
      </c>
      <c r="BT28" t="s">
        <v>73</v>
      </c>
      <c r="BU28" t="s">
        <v>73</v>
      </c>
      <c r="BV28" t="s">
        <v>73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>
        <v>30</v>
      </c>
      <c r="CE28">
        <v>21</v>
      </c>
      <c r="CF28">
        <v>119</v>
      </c>
      <c r="CG28">
        <v>18</v>
      </c>
      <c r="CH28">
        <v>58</v>
      </c>
      <c r="CI28">
        <v>280</v>
      </c>
      <c r="CJ28">
        <v>3079</v>
      </c>
      <c r="CK28">
        <v>11</v>
      </c>
      <c r="CL28">
        <v>92625</v>
      </c>
      <c r="CM28">
        <v>1523</v>
      </c>
      <c r="CN28" t="s">
        <v>73</v>
      </c>
      <c r="CO28" t="s">
        <v>73</v>
      </c>
      <c r="CP28" t="s">
        <v>73</v>
      </c>
      <c r="CQ28" t="s">
        <v>73</v>
      </c>
      <c r="CR28">
        <v>20</v>
      </c>
      <c r="CS28">
        <v>935271</v>
      </c>
      <c r="CT28">
        <v>45829</v>
      </c>
    </row>
    <row r="29" spans="1:9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 t="s">
        <v>73</v>
      </c>
      <c r="S29">
        <v>16852</v>
      </c>
      <c r="T29">
        <v>383221</v>
      </c>
      <c r="U29">
        <v>2100</v>
      </c>
      <c r="V29">
        <v>13467</v>
      </c>
      <c r="W29">
        <v>368797</v>
      </c>
      <c r="X29">
        <v>1973</v>
      </c>
      <c r="Y29">
        <v>5725</v>
      </c>
      <c r="Z29">
        <v>19952</v>
      </c>
      <c r="AA29">
        <v>31621</v>
      </c>
      <c r="AB29">
        <v>764223</v>
      </c>
      <c r="AC29">
        <v>5572</v>
      </c>
      <c r="AD29">
        <v>23824</v>
      </c>
      <c r="AE29">
        <v>560238</v>
      </c>
      <c r="AF29">
        <v>4873</v>
      </c>
      <c r="AG29">
        <v>8494</v>
      </c>
      <c r="AH29">
        <v>87773</v>
      </c>
      <c r="AI29">
        <v>50510</v>
      </c>
      <c r="AJ29">
        <v>870712</v>
      </c>
      <c r="AK29">
        <v>9285</v>
      </c>
      <c r="AL29">
        <v>48987</v>
      </c>
      <c r="AM29">
        <v>838121</v>
      </c>
      <c r="AN29">
        <v>8882</v>
      </c>
      <c r="AO29">
        <v>18588</v>
      </c>
      <c r="AP29">
        <v>361395</v>
      </c>
      <c r="AQ29">
        <v>44284</v>
      </c>
      <c r="AR29">
        <v>2595484</v>
      </c>
      <c r="AS29">
        <v>20248</v>
      </c>
      <c r="AT29">
        <v>35349</v>
      </c>
      <c r="AU29">
        <v>2077770</v>
      </c>
      <c r="AV29">
        <v>15139</v>
      </c>
      <c r="AW29">
        <v>13818</v>
      </c>
      <c r="AX29">
        <v>877108</v>
      </c>
      <c r="AY29">
        <v>9381</v>
      </c>
      <c r="AZ29">
        <v>1445517</v>
      </c>
      <c r="BA29">
        <v>9172</v>
      </c>
      <c r="BB29">
        <v>7293</v>
      </c>
      <c r="BC29">
        <v>1075069</v>
      </c>
      <c r="BD29">
        <v>5843</v>
      </c>
      <c r="BE29">
        <v>2562</v>
      </c>
      <c r="BF29">
        <v>381532</v>
      </c>
      <c r="BG29">
        <v>612</v>
      </c>
      <c r="BH29">
        <v>778076</v>
      </c>
      <c r="BI29">
        <v>6610</v>
      </c>
      <c r="BJ29">
        <v>346</v>
      </c>
      <c r="BK29">
        <v>534131</v>
      </c>
      <c r="BL29">
        <v>5498</v>
      </c>
      <c r="BM29">
        <v>213</v>
      </c>
      <c r="BN29">
        <v>352074</v>
      </c>
      <c r="BO29">
        <v>1552</v>
      </c>
      <c r="BP29">
        <v>1155036</v>
      </c>
      <c r="BQ29">
        <v>30960</v>
      </c>
      <c r="BR29" t="s">
        <v>73</v>
      </c>
      <c r="BS29" t="s">
        <v>73</v>
      </c>
      <c r="BT29" t="s">
        <v>73</v>
      </c>
      <c r="BU29" t="s">
        <v>73</v>
      </c>
      <c r="BV29" t="s">
        <v>73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>
        <v>25</v>
      </c>
      <c r="CE29">
        <v>23</v>
      </c>
      <c r="CF29">
        <v>72</v>
      </c>
      <c r="CG29">
        <v>17</v>
      </c>
      <c r="CH29">
        <v>30</v>
      </c>
      <c r="CI29">
        <v>213</v>
      </c>
      <c r="CJ29">
        <v>16040</v>
      </c>
      <c r="CK29">
        <v>11</v>
      </c>
      <c r="CL29">
        <v>279675</v>
      </c>
      <c r="CM29">
        <v>7667</v>
      </c>
      <c r="CN29" t="s">
        <v>73</v>
      </c>
      <c r="CO29" t="s">
        <v>73</v>
      </c>
      <c r="CP29" t="s">
        <v>73</v>
      </c>
      <c r="CQ29" t="s">
        <v>73</v>
      </c>
      <c r="CR29">
        <v>16</v>
      </c>
      <c r="CS29">
        <v>592074</v>
      </c>
      <c r="CT29">
        <v>7938</v>
      </c>
    </row>
    <row r="30" spans="1:9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 t="s">
        <v>73</v>
      </c>
      <c r="S30">
        <v>16840</v>
      </c>
      <c r="T30">
        <v>410892</v>
      </c>
      <c r="U30">
        <v>2212</v>
      </c>
      <c r="V30">
        <v>15012</v>
      </c>
      <c r="W30">
        <v>403098</v>
      </c>
      <c r="X30">
        <v>2129</v>
      </c>
      <c r="Y30">
        <v>5716</v>
      </c>
      <c r="Z30">
        <v>19974</v>
      </c>
      <c r="AA30">
        <v>33256</v>
      </c>
      <c r="AB30">
        <v>825428</v>
      </c>
      <c r="AC30">
        <v>6021</v>
      </c>
      <c r="AD30">
        <v>27493</v>
      </c>
      <c r="AE30">
        <v>630172</v>
      </c>
      <c r="AF30">
        <v>5465</v>
      </c>
      <c r="AG30">
        <v>7835</v>
      </c>
      <c r="AH30">
        <v>76151</v>
      </c>
      <c r="AI30">
        <v>53862</v>
      </c>
      <c r="AJ30">
        <v>904419</v>
      </c>
      <c r="AK30">
        <v>10077</v>
      </c>
      <c r="AL30">
        <v>51324</v>
      </c>
      <c r="AM30">
        <v>888193</v>
      </c>
      <c r="AN30">
        <v>9323</v>
      </c>
      <c r="AO30">
        <v>18856</v>
      </c>
      <c r="AP30">
        <v>363634</v>
      </c>
      <c r="AQ30">
        <v>45384</v>
      </c>
      <c r="AR30">
        <v>2677014</v>
      </c>
      <c r="AS30">
        <v>20821</v>
      </c>
      <c r="AT30">
        <v>36538</v>
      </c>
      <c r="AU30">
        <v>2195785</v>
      </c>
      <c r="AV30">
        <v>16404</v>
      </c>
      <c r="AW30">
        <v>14615</v>
      </c>
      <c r="AX30">
        <v>922212</v>
      </c>
      <c r="AY30">
        <v>10122</v>
      </c>
      <c r="AZ30">
        <v>1559221</v>
      </c>
      <c r="BA30">
        <v>9822</v>
      </c>
      <c r="BB30">
        <v>7586</v>
      </c>
      <c r="BC30">
        <v>1117600</v>
      </c>
      <c r="BD30">
        <v>6236</v>
      </c>
      <c r="BE30">
        <v>2934</v>
      </c>
      <c r="BF30">
        <v>446182</v>
      </c>
      <c r="BG30">
        <v>574</v>
      </c>
      <c r="BH30">
        <v>741398</v>
      </c>
      <c r="BI30">
        <v>5256</v>
      </c>
      <c r="BJ30">
        <v>304</v>
      </c>
      <c r="BK30">
        <v>453299</v>
      </c>
      <c r="BL30">
        <v>3451</v>
      </c>
      <c r="BM30">
        <v>246</v>
      </c>
      <c r="BN30">
        <v>419755</v>
      </c>
      <c r="BO30">
        <v>1572</v>
      </c>
      <c r="BP30">
        <v>1122339</v>
      </c>
      <c r="BQ30">
        <v>27282</v>
      </c>
      <c r="BR30" t="s">
        <v>73</v>
      </c>
      <c r="BS30" t="s">
        <v>73</v>
      </c>
      <c r="BT30" t="s">
        <v>73</v>
      </c>
      <c r="BU30" t="s">
        <v>73</v>
      </c>
      <c r="BV30" t="s">
        <v>73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>
        <v>45</v>
      </c>
      <c r="CE30">
        <v>30</v>
      </c>
      <c r="CF30">
        <v>79</v>
      </c>
      <c r="CG30">
        <v>11</v>
      </c>
      <c r="CH30">
        <v>25</v>
      </c>
      <c r="CI30">
        <v>151</v>
      </c>
      <c r="CJ30">
        <v>3369</v>
      </c>
      <c r="CK30">
        <v>25</v>
      </c>
      <c r="CL30">
        <v>310711</v>
      </c>
      <c r="CM30">
        <v>6814</v>
      </c>
      <c r="CN30" t="s">
        <v>73</v>
      </c>
      <c r="CO30" t="s">
        <v>73</v>
      </c>
      <c r="CP30" t="s">
        <v>73</v>
      </c>
      <c r="CQ30" t="s">
        <v>73</v>
      </c>
      <c r="CR30">
        <v>21</v>
      </c>
      <c r="CS30">
        <v>944094</v>
      </c>
      <c r="CT30">
        <v>21946</v>
      </c>
    </row>
    <row r="31" spans="1:9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 t="s">
        <v>73</v>
      </c>
      <c r="S31">
        <v>12368</v>
      </c>
      <c r="T31">
        <v>316443</v>
      </c>
      <c r="U31">
        <v>1691</v>
      </c>
      <c r="V31">
        <v>11935</v>
      </c>
      <c r="W31">
        <v>313518</v>
      </c>
      <c r="X31">
        <v>1667</v>
      </c>
      <c r="Y31">
        <v>4283</v>
      </c>
      <c r="Z31">
        <v>14841</v>
      </c>
      <c r="AA31">
        <v>25025</v>
      </c>
      <c r="AB31">
        <v>582255</v>
      </c>
      <c r="AC31">
        <v>4393</v>
      </c>
      <c r="AD31">
        <v>20925</v>
      </c>
      <c r="AE31">
        <v>469850</v>
      </c>
      <c r="AF31">
        <v>4046</v>
      </c>
      <c r="AG31">
        <v>7559</v>
      </c>
      <c r="AH31">
        <v>64902</v>
      </c>
      <c r="AI31">
        <v>42160</v>
      </c>
      <c r="AJ31">
        <v>693713</v>
      </c>
      <c r="AK31">
        <v>7671</v>
      </c>
      <c r="AL31">
        <v>43778</v>
      </c>
      <c r="AM31">
        <v>736012</v>
      </c>
      <c r="AN31">
        <v>7755</v>
      </c>
      <c r="AO31">
        <v>15522</v>
      </c>
      <c r="AP31">
        <v>306528</v>
      </c>
      <c r="AQ31">
        <v>32582</v>
      </c>
      <c r="AR31">
        <v>1923159</v>
      </c>
      <c r="AS31">
        <v>14641</v>
      </c>
      <c r="AT31">
        <v>27943</v>
      </c>
      <c r="AU31">
        <v>1652879</v>
      </c>
      <c r="AV31">
        <v>11825</v>
      </c>
      <c r="AW31">
        <v>12747</v>
      </c>
      <c r="AX31">
        <v>830845</v>
      </c>
      <c r="AY31">
        <v>7430</v>
      </c>
      <c r="AZ31">
        <v>1151433</v>
      </c>
      <c r="BA31">
        <v>7321</v>
      </c>
      <c r="BB31">
        <v>6161</v>
      </c>
      <c r="BC31">
        <v>899375</v>
      </c>
      <c r="BD31">
        <v>4863</v>
      </c>
      <c r="BE31">
        <v>2816</v>
      </c>
      <c r="BF31">
        <v>442537</v>
      </c>
      <c r="BG31">
        <v>405</v>
      </c>
      <c r="BH31">
        <v>509294</v>
      </c>
      <c r="BI31">
        <v>3851</v>
      </c>
      <c r="BJ31">
        <v>257</v>
      </c>
      <c r="BK31">
        <v>387994</v>
      </c>
      <c r="BL31">
        <v>3122</v>
      </c>
      <c r="BM31">
        <v>222</v>
      </c>
      <c r="BN31">
        <v>387831</v>
      </c>
      <c r="BO31">
        <v>1605</v>
      </c>
      <c r="BP31">
        <v>976014</v>
      </c>
      <c r="BQ31">
        <v>23490</v>
      </c>
      <c r="BR31" t="s">
        <v>73</v>
      </c>
      <c r="BS31" t="s">
        <v>73</v>
      </c>
      <c r="BT31" t="s">
        <v>73</v>
      </c>
      <c r="BU31" t="s">
        <v>73</v>
      </c>
      <c r="BV31" t="s">
        <v>73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>
        <v>60</v>
      </c>
      <c r="CE31">
        <v>39</v>
      </c>
      <c r="CF31">
        <v>119</v>
      </c>
      <c r="CG31">
        <v>13</v>
      </c>
      <c r="CH31">
        <v>35</v>
      </c>
      <c r="CI31">
        <v>243</v>
      </c>
      <c r="CJ31">
        <v>9422</v>
      </c>
      <c r="CK31">
        <v>16</v>
      </c>
      <c r="CL31">
        <v>25922</v>
      </c>
      <c r="CM31">
        <v>752</v>
      </c>
      <c r="CN31" t="s">
        <v>73</v>
      </c>
      <c r="CO31" t="s">
        <v>73</v>
      </c>
      <c r="CP31" t="s">
        <v>73</v>
      </c>
      <c r="CQ31" t="s">
        <v>73</v>
      </c>
      <c r="CR31">
        <v>17</v>
      </c>
      <c r="CS31">
        <v>479824</v>
      </c>
      <c r="CT31">
        <v>4865</v>
      </c>
    </row>
    <row r="32" spans="1:9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 t="s">
        <v>73</v>
      </c>
      <c r="S32">
        <v>21370</v>
      </c>
      <c r="T32">
        <v>425334</v>
      </c>
      <c r="U32">
        <v>2412</v>
      </c>
      <c r="V32">
        <v>15410</v>
      </c>
      <c r="W32">
        <v>402603</v>
      </c>
      <c r="X32">
        <v>2238</v>
      </c>
      <c r="Y32">
        <v>7859</v>
      </c>
      <c r="Z32">
        <v>27058</v>
      </c>
      <c r="AA32">
        <v>33018</v>
      </c>
      <c r="AB32">
        <v>837576</v>
      </c>
      <c r="AC32">
        <v>5985</v>
      </c>
      <c r="AD32">
        <v>26563</v>
      </c>
      <c r="AE32">
        <v>617690</v>
      </c>
      <c r="AF32">
        <v>5390</v>
      </c>
      <c r="AG32">
        <v>7505</v>
      </c>
      <c r="AH32">
        <v>67232</v>
      </c>
      <c r="AI32">
        <v>58626</v>
      </c>
      <c r="AJ32">
        <v>966403</v>
      </c>
      <c r="AK32">
        <v>10933</v>
      </c>
      <c r="AL32">
        <v>55635</v>
      </c>
      <c r="AM32">
        <v>970975</v>
      </c>
      <c r="AN32">
        <v>10464</v>
      </c>
      <c r="AO32">
        <v>16776</v>
      </c>
      <c r="AP32">
        <v>328584</v>
      </c>
      <c r="AQ32">
        <v>45273</v>
      </c>
      <c r="AR32">
        <v>2663221</v>
      </c>
      <c r="AS32">
        <v>21097</v>
      </c>
      <c r="AT32">
        <v>34478</v>
      </c>
      <c r="AU32">
        <v>2069254</v>
      </c>
      <c r="AV32">
        <v>15113</v>
      </c>
      <c r="AW32">
        <v>14054</v>
      </c>
      <c r="AX32">
        <v>881894</v>
      </c>
      <c r="AY32">
        <v>9624</v>
      </c>
      <c r="AZ32">
        <v>1501855</v>
      </c>
      <c r="BA32">
        <v>9511</v>
      </c>
      <c r="BB32">
        <v>7533</v>
      </c>
      <c r="BC32">
        <v>1108523</v>
      </c>
      <c r="BD32">
        <v>6079</v>
      </c>
      <c r="BE32">
        <v>2850</v>
      </c>
      <c r="BF32">
        <v>467588</v>
      </c>
      <c r="BG32">
        <v>502</v>
      </c>
      <c r="BH32">
        <v>658614</v>
      </c>
      <c r="BI32">
        <v>5878</v>
      </c>
      <c r="BJ32">
        <v>293</v>
      </c>
      <c r="BK32">
        <v>481874</v>
      </c>
      <c r="BL32">
        <v>5160</v>
      </c>
      <c r="BM32">
        <v>215</v>
      </c>
      <c r="BN32">
        <v>370910</v>
      </c>
      <c r="BO32">
        <v>1712</v>
      </c>
      <c r="BP32">
        <v>1273799</v>
      </c>
      <c r="BQ32">
        <v>34303</v>
      </c>
      <c r="BR32" t="s">
        <v>73</v>
      </c>
      <c r="BS32" t="s">
        <v>73</v>
      </c>
      <c r="BT32" t="s">
        <v>73</v>
      </c>
      <c r="BU32" t="s">
        <v>73</v>
      </c>
      <c r="BV32" t="s">
        <v>73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>
        <v>73</v>
      </c>
      <c r="CE32">
        <v>55</v>
      </c>
      <c r="CF32">
        <v>225</v>
      </c>
      <c r="CG32">
        <v>10</v>
      </c>
      <c r="CH32">
        <v>19</v>
      </c>
      <c r="CI32">
        <v>134</v>
      </c>
      <c r="CJ32">
        <v>19992</v>
      </c>
      <c r="CK32">
        <v>28</v>
      </c>
      <c r="CL32">
        <v>152605</v>
      </c>
      <c r="CM32">
        <v>2151</v>
      </c>
      <c r="CN32" t="s">
        <v>73</v>
      </c>
      <c r="CO32" t="s">
        <v>73</v>
      </c>
      <c r="CP32" t="s">
        <v>73</v>
      </c>
      <c r="CQ32" t="s">
        <v>73</v>
      </c>
      <c r="CR32">
        <v>15</v>
      </c>
      <c r="CS32">
        <v>23621</v>
      </c>
      <c r="CT32">
        <v>1207</v>
      </c>
    </row>
    <row r="33" spans="1:9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 t="s">
        <v>73</v>
      </c>
      <c r="S33">
        <v>18543</v>
      </c>
      <c r="T33">
        <v>408505</v>
      </c>
      <c r="U33">
        <v>2306</v>
      </c>
      <c r="V33">
        <v>16270</v>
      </c>
      <c r="W33">
        <v>399004</v>
      </c>
      <c r="X33">
        <v>2225</v>
      </c>
      <c r="Y33">
        <v>8750</v>
      </c>
      <c r="Z33">
        <v>30525</v>
      </c>
      <c r="AA33">
        <v>36240</v>
      </c>
      <c r="AB33">
        <v>856377</v>
      </c>
      <c r="AC33">
        <v>6256</v>
      </c>
      <c r="AD33">
        <v>27889</v>
      </c>
      <c r="AE33">
        <v>656093</v>
      </c>
      <c r="AF33">
        <v>5789</v>
      </c>
      <c r="AG33">
        <v>9759</v>
      </c>
      <c r="AH33">
        <v>79054</v>
      </c>
      <c r="AI33">
        <v>63048</v>
      </c>
      <c r="AJ33">
        <v>1057164</v>
      </c>
      <c r="AK33">
        <v>11595</v>
      </c>
      <c r="AL33">
        <v>60615</v>
      </c>
      <c r="AM33">
        <v>1089887</v>
      </c>
      <c r="AN33">
        <v>10902</v>
      </c>
      <c r="AO33">
        <v>16848</v>
      </c>
      <c r="AP33">
        <v>306863</v>
      </c>
      <c r="AQ33">
        <v>51555</v>
      </c>
      <c r="AR33">
        <v>3003398</v>
      </c>
      <c r="AS33">
        <v>23570</v>
      </c>
      <c r="AT33">
        <v>42264</v>
      </c>
      <c r="AU33">
        <v>2476956</v>
      </c>
      <c r="AV33">
        <v>18014</v>
      </c>
      <c r="AW33">
        <v>13687</v>
      </c>
      <c r="AX33">
        <v>867028</v>
      </c>
      <c r="AY33">
        <v>10123</v>
      </c>
      <c r="AZ33">
        <v>1545614</v>
      </c>
      <c r="BA33">
        <v>9920</v>
      </c>
      <c r="BB33">
        <v>7661</v>
      </c>
      <c r="BC33">
        <v>1143956</v>
      </c>
      <c r="BD33">
        <v>6155</v>
      </c>
      <c r="BE33">
        <v>3136</v>
      </c>
      <c r="BF33">
        <v>476739</v>
      </c>
      <c r="BG33">
        <v>547</v>
      </c>
      <c r="BH33">
        <v>686445</v>
      </c>
      <c r="BI33">
        <v>4911</v>
      </c>
      <c r="BJ33">
        <v>271</v>
      </c>
      <c r="BK33">
        <v>423659</v>
      </c>
      <c r="BL33">
        <v>3316</v>
      </c>
      <c r="BM33">
        <v>229</v>
      </c>
      <c r="BN33">
        <v>405431</v>
      </c>
      <c r="BO33">
        <v>2225</v>
      </c>
      <c r="BP33">
        <v>1324178</v>
      </c>
      <c r="BQ33">
        <v>34443</v>
      </c>
      <c r="BR33" t="s">
        <v>73</v>
      </c>
      <c r="BS33" t="s">
        <v>73</v>
      </c>
      <c r="BT33" t="s">
        <v>73</v>
      </c>
      <c r="BU33" t="s">
        <v>73</v>
      </c>
      <c r="BV33" t="s">
        <v>73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>
        <v>51</v>
      </c>
      <c r="CE33">
        <v>34</v>
      </c>
      <c r="CF33">
        <v>95</v>
      </c>
      <c r="CG33">
        <v>15</v>
      </c>
      <c r="CH33">
        <v>31</v>
      </c>
      <c r="CI33">
        <v>206</v>
      </c>
      <c r="CJ33">
        <v>5267</v>
      </c>
      <c r="CK33">
        <v>7</v>
      </c>
      <c r="CL33">
        <v>29843</v>
      </c>
      <c r="CM33">
        <v>1292</v>
      </c>
      <c r="CN33" t="s">
        <v>73</v>
      </c>
      <c r="CO33" t="s">
        <v>73</v>
      </c>
      <c r="CP33" t="s">
        <v>73</v>
      </c>
      <c r="CQ33" t="s">
        <v>73</v>
      </c>
      <c r="CR33">
        <v>28</v>
      </c>
      <c r="CS33">
        <v>53464</v>
      </c>
      <c r="CT33">
        <v>2805</v>
      </c>
    </row>
    <row r="34" spans="1:9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 t="s">
        <v>73</v>
      </c>
      <c r="S34">
        <v>18077</v>
      </c>
      <c r="T34">
        <v>375240</v>
      </c>
      <c r="U34">
        <v>2091</v>
      </c>
      <c r="V34">
        <v>14188</v>
      </c>
      <c r="W34">
        <v>360401</v>
      </c>
      <c r="X34">
        <v>1977</v>
      </c>
      <c r="Y34">
        <v>10543</v>
      </c>
      <c r="Z34">
        <v>36729</v>
      </c>
      <c r="AA34">
        <v>29973</v>
      </c>
      <c r="AB34">
        <v>735494</v>
      </c>
      <c r="AC34">
        <v>5541</v>
      </c>
      <c r="AD34">
        <v>24955</v>
      </c>
      <c r="AE34">
        <v>605439</v>
      </c>
      <c r="AF34">
        <v>5314</v>
      </c>
      <c r="AG34">
        <v>10049</v>
      </c>
      <c r="AH34">
        <v>75123</v>
      </c>
      <c r="AI34">
        <v>56453</v>
      </c>
      <c r="AJ34">
        <v>960405</v>
      </c>
      <c r="AK34">
        <v>10288</v>
      </c>
      <c r="AL34">
        <v>51966</v>
      </c>
      <c r="AM34">
        <v>921840</v>
      </c>
      <c r="AN34">
        <v>9226</v>
      </c>
      <c r="AO34">
        <v>19370</v>
      </c>
      <c r="AP34">
        <v>358694</v>
      </c>
      <c r="AQ34">
        <v>46760</v>
      </c>
      <c r="AR34">
        <v>2725142</v>
      </c>
      <c r="AS34">
        <v>21133</v>
      </c>
      <c r="AT34">
        <v>36011</v>
      </c>
      <c r="AU34">
        <v>2128743</v>
      </c>
      <c r="AV34">
        <v>15573</v>
      </c>
      <c r="AW34">
        <v>16356</v>
      </c>
      <c r="AX34">
        <v>1018137</v>
      </c>
      <c r="AY34">
        <v>9762</v>
      </c>
      <c r="AZ34">
        <v>1474128</v>
      </c>
      <c r="BA34">
        <v>9031</v>
      </c>
      <c r="BB34">
        <v>7709</v>
      </c>
      <c r="BC34">
        <v>1142455</v>
      </c>
      <c r="BD34">
        <v>5988</v>
      </c>
      <c r="BE34">
        <v>3524</v>
      </c>
      <c r="BF34">
        <v>497889</v>
      </c>
      <c r="BG34">
        <v>442</v>
      </c>
      <c r="BH34">
        <v>580928</v>
      </c>
      <c r="BI34">
        <v>6369</v>
      </c>
      <c r="BJ34">
        <v>269</v>
      </c>
      <c r="BK34">
        <v>420003</v>
      </c>
      <c r="BL34">
        <v>5616</v>
      </c>
      <c r="BM34">
        <v>223</v>
      </c>
      <c r="BN34">
        <v>365109</v>
      </c>
      <c r="BO34">
        <v>1286</v>
      </c>
      <c r="BP34">
        <v>1076926</v>
      </c>
      <c r="BQ34">
        <v>27932</v>
      </c>
      <c r="BR34" t="s">
        <v>73</v>
      </c>
      <c r="BS34" t="s">
        <v>73</v>
      </c>
      <c r="BT34" t="s">
        <v>73</v>
      </c>
      <c r="BU34" t="s">
        <v>73</v>
      </c>
      <c r="BV34" t="s">
        <v>73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>
        <v>52</v>
      </c>
      <c r="CE34">
        <v>37</v>
      </c>
      <c r="CF34">
        <v>96</v>
      </c>
      <c r="CG34">
        <v>13</v>
      </c>
      <c r="CH34">
        <v>48</v>
      </c>
      <c r="CI34">
        <v>212</v>
      </c>
      <c r="CJ34">
        <v>5485</v>
      </c>
      <c r="CK34">
        <v>11</v>
      </c>
      <c r="CL34">
        <v>91895</v>
      </c>
      <c r="CM34">
        <v>1237</v>
      </c>
      <c r="CN34" t="s">
        <v>73</v>
      </c>
      <c r="CO34" t="s">
        <v>73</v>
      </c>
      <c r="CP34" t="s">
        <v>73</v>
      </c>
      <c r="CQ34" t="s">
        <v>73</v>
      </c>
      <c r="CR34">
        <v>14</v>
      </c>
      <c r="CS34">
        <v>18187</v>
      </c>
      <c r="CT34">
        <v>1050</v>
      </c>
    </row>
    <row r="35" spans="1:9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 t="s">
        <v>73</v>
      </c>
      <c r="S35">
        <v>17088</v>
      </c>
      <c r="T35">
        <v>401109</v>
      </c>
      <c r="U35">
        <v>2232</v>
      </c>
      <c r="V35">
        <v>16188</v>
      </c>
      <c r="W35">
        <v>395615</v>
      </c>
      <c r="X35">
        <v>2172</v>
      </c>
      <c r="Y35">
        <v>9434</v>
      </c>
      <c r="Z35">
        <v>33511</v>
      </c>
      <c r="AA35">
        <v>32834</v>
      </c>
      <c r="AB35">
        <v>774154</v>
      </c>
      <c r="AC35">
        <v>5902</v>
      </c>
      <c r="AD35">
        <v>25495</v>
      </c>
      <c r="AE35">
        <v>602221</v>
      </c>
      <c r="AF35">
        <v>5432</v>
      </c>
      <c r="AG35">
        <v>12119</v>
      </c>
      <c r="AH35">
        <v>82357</v>
      </c>
      <c r="AI35">
        <v>60155</v>
      </c>
      <c r="AJ35">
        <v>1018155</v>
      </c>
      <c r="AK35">
        <v>10779</v>
      </c>
      <c r="AL35">
        <v>60110</v>
      </c>
      <c r="AM35">
        <v>1044062</v>
      </c>
      <c r="AN35">
        <v>10752</v>
      </c>
      <c r="AO35">
        <v>17427</v>
      </c>
      <c r="AP35">
        <v>333890</v>
      </c>
      <c r="AQ35">
        <v>51328</v>
      </c>
      <c r="AR35">
        <v>2992581</v>
      </c>
      <c r="AS35">
        <v>23533</v>
      </c>
      <c r="AT35">
        <v>42670</v>
      </c>
      <c r="AU35">
        <v>2478944</v>
      </c>
      <c r="AV35">
        <v>18544</v>
      </c>
      <c r="AW35">
        <v>15290</v>
      </c>
      <c r="AX35">
        <v>971511</v>
      </c>
      <c r="AY35">
        <v>9960</v>
      </c>
      <c r="AZ35">
        <v>1557748</v>
      </c>
      <c r="BA35">
        <v>9599</v>
      </c>
      <c r="BB35">
        <v>9094</v>
      </c>
      <c r="BC35">
        <v>1329385</v>
      </c>
      <c r="BD35">
        <v>7178</v>
      </c>
      <c r="BE35">
        <v>2531</v>
      </c>
      <c r="BF35">
        <v>357069</v>
      </c>
      <c r="BG35">
        <v>489</v>
      </c>
      <c r="BH35">
        <v>626397</v>
      </c>
      <c r="BI35">
        <v>5018</v>
      </c>
      <c r="BJ35">
        <v>351</v>
      </c>
      <c r="BK35">
        <v>515961</v>
      </c>
      <c r="BL35">
        <v>4460</v>
      </c>
      <c r="BM35">
        <v>198</v>
      </c>
      <c r="BN35">
        <v>331698</v>
      </c>
      <c r="BO35">
        <v>978</v>
      </c>
      <c r="BP35">
        <v>1073177</v>
      </c>
      <c r="BQ35">
        <v>29550</v>
      </c>
      <c r="BR35" t="s">
        <v>73</v>
      </c>
      <c r="BS35" t="s">
        <v>73</v>
      </c>
      <c r="BT35" t="s">
        <v>73</v>
      </c>
      <c r="BU35" t="s">
        <v>73</v>
      </c>
      <c r="BV35" t="s">
        <v>73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>
        <v>54</v>
      </c>
      <c r="CE35">
        <v>39</v>
      </c>
      <c r="CF35">
        <v>131</v>
      </c>
      <c r="CG35">
        <v>14</v>
      </c>
      <c r="CH35">
        <v>29</v>
      </c>
      <c r="CI35">
        <v>211</v>
      </c>
      <c r="CJ35">
        <v>12636</v>
      </c>
      <c r="CK35">
        <v>24</v>
      </c>
      <c r="CL35">
        <v>185886</v>
      </c>
      <c r="CM35">
        <v>2709</v>
      </c>
      <c r="CN35" t="s">
        <v>73</v>
      </c>
      <c r="CO35" t="s">
        <v>73</v>
      </c>
      <c r="CP35" t="s">
        <v>73</v>
      </c>
      <c r="CQ35" t="s">
        <v>73</v>
      </c>
      <c r="CR35">
        <v>28</v>
      </c>
      <c r="CS35">
        <v>92817</v>
      </c>
      <c r="CT35">
        <v>4741</v>
      </c>
    </row>
    <row r="36" spans="1:9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 t="s">
        <v>73</v>
      </c>
      <c r="S36">
        <v>18199</v>
      </c>
      <c r="T36">
        <v>393063</v>
      </c>
      <c r="U36">
        <v>2298</v>
      </c>
      <c r="V36">
        <v>14449</v>
      </c>
      <c r="W36">
        <v>378175</v>
      </c>
      <c r="X36">
        <v>2188</v>
      </c>
      <c r="Y36">
        <v>10067</v>
      </c>
      <c r="Z36">
        <v>35375</v>
      </c>
      <c r="AA36">
        <v>32450</v>
      </c>
      <c r="AB36">
        <v>735652</v>
      </c>
      <c r="AC36">
        <v>5873</v>
      </c>
      <c r="AD36">
        <v>27507</v>
      </c>
      <c r="AE36">
        <v>581557</v>
      </c>
      <c r="AF36">
        <v>5416</v>
      </c>
      <c r="AG36">
        <v>12839</v>
      </c>
      <c r="AH36">
        <v>90044</v>
      </c>
      <c r="AI36">
        <v>57628</v>
      </c>
      <c r="AJ36">
        <v>984831</v>
      </c>
      <c r="AK36">
        <v>10325</v>
      </c>
      <c r="AL36">
        <v>54825</v>
      </c>
      <c r="AM36">
        <v>976123</v>
      </c>
      <c r="AN36">
        <v>9840</v>
      </c>
      <c r="AO36">
        <v>18426</v>
      </c>
      <c r="AP36">
        <v>339398</v>
      </c>
      <c r="AQ36">
        <v>46220</v>
      </c>
      <c r="AR36">
        <v>2687695</v>
      </c>
      <c r="AS36">
        <v>21552</v>
      </c>
      <c r="AT36">
        <v>37509</v>
      </c>
      <c r="AU36">
        <v>2186768</v>
      </c>
      <c r="AV36">
        <v>16545</v>
      </c>
      <c r="AW36">
        <v>15751</v>
      </c>
      <c r="AX36">
        <v>1016241</v>
      </c>
      <c r="AY36">
        <v>9961</v>
      </c>
      <c r="AZ36">
        <v>1521815</v>
      </c>
      <c r="BA36">
        <v>9637</v>
      </c>
      <c r="BB36">
        <v>7556</v>
      </c>
      <c r="BC36">
        <v>1129819</v>
      </c>
      <c r="BD36">
        <v>6044</v>
      </c>
      <c r="BE36">
        <v>3183</v>
      </c>
      <c r="BF36">
        <v>454300</v>
      </c>
      <c r="BG36">
        <v>455</v>
      </c>
      <c r="BH36">
        <v>596413</v>
      </c>
      <c r="BI36">
        <v>4648</v>
      </c>
      <c r="BJ36">
        <v>244</v>
      </c>
      <c r="BK36">
        <v>386232</v>
      </c>
      <c r="BL36">
        <v>3247</v>
      </c>
      <c r="BM36">
        <v>228</v>
      </c>
      <c r="BN36">
        <v>375745</v>
      </c>
      <c r="BO36">
        <v>1063</v>
      </c>
      <c r="BP36">
        <v>1118702</v>
      </c>
      <c r="BQ36">
        <v>31530</v>
      </c>
      <c r="BR36" t="s">
        <v>73</v>
      </c>
      <c r="BS36" t="s">
        <v>73</v>
      </c>
      <c r="BT36" t="s">
        <v>73</v>
      </c>
      <c r="BU36" t="s">
        <v>73</v>
      </c>
      <c r="BV36" t="s">
        <v>73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>
        <v>39</v>
      </c>
      <c r="CE36">
        <v>26</v>
      </c>
      <c r="CF36">
        <v>75</v>
      </c>
      <c r="CG36">
        <v>11</v>
      </c>
      <c r="CH36">
        <v>18</v>
      </c>
      <c r="CI36">
        <v>132</v>
      </c>
      <c r="CJ36">
        <v>16701</v>
      </c>
      <c r="CK36">
        <v>11</v>
      </c>
      <c r="CL36">
        <v>19102</v>
      </c>
      <c r="CM36">
        <v>209</v>
      </c>
      <c r="CN36" t="s">
        <v>73</v>
      </c>
      <c r="CO36" t="s">
        <v>73</v>
      </c>
      <c r="CP36" t="s">
        <v>73</v>
      </c>
      <c r="CQ36" t="s">
        <v>73</v>
      </c>
      <c r="CR36">
        <v>17</v>
      </c>
      <c r="CS36">
        <v>60103</v>
      </c>
      <c r="CT36">
        <v>3446</v>
      </c>
    </row>
    <row r="37" spans="1:9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 t="s">
        <v>73</v>
      </c>
      <c r="S37">
        <v>18068</v>
      </c>
      <c r="T37">
        <v>379883</v>
      </c>
      <c r="U37">
        <v>2300</v>
      </c>
      <c r="V37">
        <v>18154</v>
      </c>
      <c r="W37">
        <v>379556</v>
      </c>
      <c r="X37">
        <v>2296</v>
      </c>
      <c r="Y37">
        <v>9119</v>
      </c>
      <c r="Z37">
        <v>31781</v>
      </c>
      <c r="AA37">
        <v>33685</v>
      </c>
      <c r="AB37">
        <v>715710</v>
      </c>
      <c r="AC37">
        <v>5785</v>
      </c>
      <c r="AD37">
        <v>30690</v>
      </c>
      <c r="AE37">
        <v>600201</v>
      </c>
      <c r="AF37">
        <v>5575</v>
      </c>
      <c r="AG37">
        <v>11542</v>
      </c>
      <c r="AH37">
        <v>90442</v>
      </c>
      <c r="AI37">
        <v>58216</v>
      </c>
      <c r="AJ37">
        <v>989364</v>
      </c>
      <c r="AK37">
        <v>10227</v>
      </c>
      <c r="AL37">
        <v>56816</v>
      </c>
      <c r="AM37">
        <v>1000656</v>
      </c>
      <c r="AN37">
        <v>9724</v>
      </c>
      <c r="AO37">
        <v>17770</v>
      </c>
      <c r="AP37">
        <v>325136</v>
      </c>
      <c r="AQ37">
        <v>47377</v>
      </c>
      <c r="AR37">
        <v>2711501</v>
      </c>
      <c r="AS37">
        <v>21839</v>
      </c>
      <c r="AT37">
        <v>37018</v>
      </c>
      <c r="AU37">
        <v>2141122</v>
      </c>
      <c r="AV37">
        <v>16071</v>
      </c>
      <c r="AW37">
        <v>16907</v>
      </c>
      <c r="AX37">
        <v>1064253</v>
      </c>
      <c r="AY37">
        <v>10128</v>
      </c>
      <c r="AZ37">
        <v>1540235</v>
      </c>
      <c r="BA37">
        <v>9552</v>
      </c>
      <c r="BB37">
        <v>7961</v>
      </c>
      <c r="BC37">
        <v>1167490</v>
      </c>
      <c r="BD37">
        <v>6341</v>
      </c>
      <c r="BE37">
        <v>3485</v>
      </c>
      <c r="BF37">
        <v>496839</v>
      </c>
      <c r="BG37">
        <v>400</v>
      </c>
      <c r="BH37">
        <v>551643</v>
      </c>
      <c r="BI37">
        <v>3962</v>
      </c>
      <c r="BJ37">
        <v>277</v>
      </c>
      <c r="BK37">
        <v>461713</v>
      </c>
      <c r="BL37">
        <v>3755</v>
      </c>
      <c r="BM37">
        <v>214</v>
      </c>
      <c r="BN37">
        <v>342046</v>
      </c>
      <c r="BO37">
        <v>1147</v>
      </c>
      <c r="BP37">
        <v>876661</v>
      </c>
      <c r="BQ37">
        <v>22971</v>
      </c>
      <c r="BR37" t="s">
        <v>73</v>
      </c>
      <c r="BS37" t="s">
        <v>73</v>
      </c>
      <c r="BT37" t="s">
        <v>73</v>
      </c>
      <c r="BU37" t="s">
        <v>73</v>
      </c>
      <c r="BV37" t="s">
        <v>73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>
        <v>31</v>
      </c>
      <c r="CE37">
        <v>23</v>
      </c>
      <c r="CF37">
        <v>91</v>
      </c>
      <c r="CG37">
        <v>15</v>
      </c>
      <c r="CH37">
        <v>43</v>
      </c>
      <c r="CI37">
        <v>220</v>
      </c>
      <c r="CJ37">
        <v>4993</v>
      </c>
      <c r="CK37">
        <v>23</v>
      </c>
      <c r="CL37">
        <v>124077</v>
      </c>
      <c r="CM37">
        <v>2205</v>
      </c>
      <c r="CN37" t="s">
        <v>73</v>
      </c>
      <c r="CO37" t="s">
        <v>73</v>
      </c>
      <c r="CP37" t="s">
        <v>73</v>
      </c>
      <c r="CQ37" t="s">
        <v>73</v>
      </c>
      <c r="CR37">
        <v>24</v>
      </c>
      <c r="CS37">
        <v>1516657</v>
      </c>
      <c r="CT37">
        <v>41391</v>
      </c>
    </row>
    <row r="38" spans="1:9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 t="s">
        <v>73</v>
      </c>
      <c r="S38">
        <v>21667</v>
      </c>
      <c r="T38">
        <v>460497</v>
      </c>
      <c r="U38">
        <v>2757</v>
      </c>
      <c r="V38">
        <v>20466</v>
      </c>
      <c r="W38">
        <v>454581</v>
      </c>
      <c r="X38">
        <v>2703</v>
      </c>
      <c r="Y38">
        <v>9131</v>
      </c>
      <c r="Z38">
        <v>32333</v>
      </c>
      <c r="AA38">
        <v>39029</v>
      </c>
      <c r="AB38">
        <v>773055</v>
      </c>
      <c r="AC38">
        <v>6215</v>
      </c>
      <c r="AD38">
        <v>35427</v>
      </c>
      <c r="AE38">
        <v>638704</v>
      </c>
      <c r="AF38">
        <v>6321</v>
      </c>
      <c r="AG38">
        <v>10522</v>
      </c>
      <c r="AH38">
        <v>91444</v>
      </c>
      <c r="AI38">
        <v>64603</v>
      </c>
      <c r="AJ38">
        <v>1074571</v>
      </c>
      <c r="AK38">
        <v>11529</v>
      </c>
      <c r="AL38">
        <v>66216</v>
      </c>
      <c r="AM38">
        <v>1162135</v>
      </c>
      <c r="AN38">
        <v>11611</v>
      </c>
      <c r="AO38">
        <v>13857</v>
      </c>
      <c r="AP38">
        <v>248639</v>
      </c>
      <c r="AQ38">
        <v>52559</v>
      </c>
      <c r="AR38">
        <v>3057609</v>
      </c>
      <c r="AS38">
        <v>24281</v>
      </c>
      <c r="AT38">
        <v>45240</v>
      </c>
      <c r="AU38">
        <v>2645634</v>
      </c>
      <c r="AV38">
        <v>19514</v>
      </c>
      <c r="AW38">
        <v>13946</v>
      </c>
      <c r="AX38">
        <v>889274</v>
      </c>
      <c r="AY38">
        <v>11358</v>
      </c>
      <c r="AZ38">
        <v>1749855</v>
      </c>
      <c r="BA38">
        <v>11352</v>
      </c>
      <c r="BB38">
        <v>10020</v>
      </c>
      <c r="BC38">
        <v>1478736</v>
      </c>
      <c r="BD38">
        <v>8312</v>
      </c>
      <c r="BE38">
        <v>2493</v>
      </c>
      <c r="BF38">
        <v>384041</v>
      </c>
      <c r="BG38">
        <v>510</v>
      </c>
      <c r="BH38">
        <v>656034</v>
      </c>
      <c r="BI38">
        <v>6287</v>
      </c>
      <c r="BJ38">
        <v>347</v>
      </c>
      <c r="BK38">
        <v>580126</v>
      </c>
      <c r="BL38">
        <v>6506</v>
      </c>
      <c r="BM38">
        <v>154</v>
      </c>
      <c r="BN38">
        <v>219593</v>
      </c>
      <c r="BO38">
        <v>1488</v>
      </c>
      <c r="BP38">
        <v>1319361</v>
      </c>
      <c r="BQ38">
        <v>36163</v>
      </c>
      <c r="BR38" t="s">
        <v>73</v>
      </c>
      <c r="BS38" t="s">
        <v>73</v>
      </c>
      <c r="BT38" t="s">
        <v>73</v>
      </c>
      <c r="BU38" t="s">
        <v>73</v>
      </c>
      <c r="BV38" t="s">
        <v>73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>
        <v>49</v>
      </c>
      <c r="CE38">
        <v>33</v>
      </c>
      <c r="CF38">
        <v>110</v>
      </c>
      <c r="CG38">
        <v>19</v>
      </c>
      <c r="CH38">
        <v>34</v>
      </c>
      <c r="CI38">
        <v>224</v>
      </c>
      <c r="CJ38">
        <v>27771</v>
      </c>
      <c r="CK38">
        <v>9</v>
      </c>
      <c r="CL38">
        <v>52898</v>
      </c>
      <c r="CM38">
        <v>1026</v>
      </c>
      <c r="CN38" t="s">
        <v>73</v>
      </c>
      <c r="CO38" t="s">
        <v>73</v>
      </c>
      <c r="CP38" t="s">
        <v>73</v>
      </c>
      <c r="CQ38" t="s">
        <v>73</v>
      </c>
      <c r="CR38">
        <v>33</v>
      </c>
      <c r="CS38">
        <v>1099346</v>
      </c>
      <c r="CT38">
        <v>32842</v>
      </c>
    </row>
    <row r="39" spans="1:98" x14ac:dyDescent="0.4">
      <c r="A39" s="1"/>
      <c r="B39" s="1"/>
    </row>
    <row r="40" spans="1:98" x14ac:dyDescent="0.4">
      <c r="A40" s="1"/>
      <c r="B40" s="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6BF9A-0DDE-4AEE-9C7C-7D0792FF5A69}">
  <dimension ref="A1:BN40"/>
  <sheetViews>
    <sheetView workbookViewId="0">
      <selection activeCell="C9" sqref="C9"/>
    </sheetView>
  </sheetViews>
  <sheetFormatPr defaultColWidth="15.625" defaultRowHeight="18.75" x14ac:dyDescent="0.4"/>
  <sheetData>
    <row r="1" spans="1:66" x14ac:dyDescent="0.4">
      <c r="A1" s="1" t="s">
        <v>66</v>
      </c>
      <c r="B1" s="1"/>
    </row>
    <row r="2" spans="1:66" x14ac:dyDescent="0.4">
      <c r="A2" s="4" t="str">
        <f>HYPERLINK("#'目次(Contents)'!A3","目次に戻る(Return to Contents)")</f>
        <v>目次に戻る(Return to Contents)</v>
      </c>
      <c r="B2" s="1"/>
    </row>
    <row r="3" spans="1:66" x14ac:dyDescent="0.4">
      <c r="A3" s="1"/>
      <c r="B3" s="2" t="s">
        <v>0</v>
      </c>
      <c r="C3" t="s">
        <v>308</v>
      </c>
      <c r="D3" t="s">
        <v>308</v>
      </c>
      <c r="E3" t="s">
        <v>308</v>
      </c>
      <c r="F3" t="s">
        <v>308</v>
      </c>
      <c r="G3" t="s">
        <v>308</v>
      </c>
      <c r="H3" t="s">
        <v>310</v>
      </c>
      <c r="I3" t="s">
        <v>310</v>
      </c>
      <c r="J3" t="s">
        <v>310</v>
      </c>
      <c r="K3" t="s">
        <v>310</v>
      </c>
      <c r="L3" t="s">
        <v>310</v>
      </c>
      <c r="M3" t="s">
        <v>312</v>
      </c>
      <c r="N3" t="s">
        <v>312</v>
      </c>
      <c r="O3" t="s">
        <v>312</v>
      </c>
      <c r="P3" t="s">
        <v>312</v>
      </c>
      <c r="Q3" t="s">
        <v>312</v>
      </c>
      <c r="R3" t="s">
        <v>314</v>
      </c>
      <c r="S3" t="s">
        <v>314</v>
      </c>
      <c r="T3" t="s">
        <v>314</v>
      </c>
      <c r="U3" t="s">
        <v>314</v>
      </c>
      <c r="V3" t="s">
        <v>314</v>
      </c>
      <c r="W3" t="s">
        <v>316</v>
      </c>
      <c r="X3" t="s">
        <v>316</v>
      </c>
      <c r="Y3" t="s">
        <v>316</v>
      </c>
      <c r="Z3" t="s">
        <v>316</v>
      </c>
      <c r="AA3" t="s">
        <v>316</v>
      </c>
      <c r="AB3" t="s">
        <v>318</v>
      </c>
      <c r="AC3" t="s">
        <v>318</v>
      </c>
      <c r="AD3" t="s">
        <v>318</v>
      </c>
      <c r="AE3" t="s">
        <v>318</v>
      </c>
      <c r="AF3" t="s">
        <v>318</v>
      </c>
      <c r="AG3" t="s">
        <v>320</v>
      </c>
      <c r="AH3" t="s">
        <v>320</v>
      </c>
      <c r="AI3" t="s">
        <v>320</v>
      </c>
      <c r="AJ3" t="s">
        <v>320</v>
      </c>
      <c r="AK3" t="s">
        <v>320</v>
      </c>
      <c r="AL3" t="s">
        <v>322</v>
      </c>
      <c r="AM3" t="s">
        <v>322</v>
      </c>
      <c r="AN3" t="s">
        <v>322</v>
      </c>
      <c r="AO3" t="s">
        <v>322</v>
      </c>
      <c r="AP3" t="s">
        <v>322</v>
      </c>
      <c r="AQ3" t="s">
        <v>324</v>
      </c>
      <c r="AR3" t="s">
        <v>324</v>
      </c>
      <c r="AS3" t="s">
        <v>324</v>
      </c>
      <c r="AT3" t="s">
        <v>324</v>
      </c>
      <c r="AU3" t="s">
        <v>324</v>
      </c>
      <c r="AV3" t="s">
        <v>326</v>
      </c>
      <c r="AW3" t="s">
        <v>326</v>
      </c>
      <c r="AX3" t="s">
        <v>326</v>
      </c>
      <c r="AY3" t="s">
        <v>326</v>
      </c>
      <c r="AZ3" t="s">
        <v>326</v>
      </c>
      <c r="BA3" t="s">
        <v>328</v>
      </c>
      <c r="BB3" t="s">
        <v>328</v>
      </c>
      <c r="BC3" t="s">
        <v>328</v>
      </c>
      <c r="BD3" t="s">
        <v>328</v>
      </c>
      <c r="BE3" t="s">
        <v>328</v>
      </c>
      <c r="BF3" t="s">
        <v>330</v>
      </c>
      <c r="BG3" t="s">
        <v>330</v>
      </c>
      <c r="BH3" t="s">
        <v>330</v>
      </c>
      <c r="BI3" t="s">
        <v>330</v>
      </c>
      <c r="BJ3" t="s">
        <v>330</v>
      </c>
      <c r="BK3" t="s">
        <v>332</v>
      </c>
      <c r="BL3" t="s">
        <v>332</v>
      </c>
      <c r="BM3" t="s">
        <v>334</v>
      </c>
      <c r="BN3" t="s">
        <v>334</v>
      </c>
    </row>
    <row r="4" spans="1:66" x14ac:dyDescent="0.4">
      <c r="A4" s="1"/>
      <c r="B4" s="2" t="s">
        <v>1</v>
      </c>
      <c r="C4" t="s">
        <v>309</v>
      </c>
      <c r="D4" t="s">
        <v>309</v>
      </c>
      <c r="E4" t="s">
        <v>309</v>
      </c>
      <c r="F4" t="s">
        <v>309</v>
      </c>
      <c r="G4" t="s">
        <v>309</v>
      </c>
      <c r="H4" t="s">
        <v>311</v>
      </c>
      <c r="I4" t="s">
        <v>311</v>
      </c>
      <c r="J4" t="s">
        <v>311</v>
      </c>
      <c r="K4" t="s">
        <v>311</v>
      </c>
      <c r="L4" t="s">
        <v>311</v>
      </c>
      <c r="M4" t="s">
        <v>313</v>
      </c>
      <c r="N4" t="s">
        <v>313</v>
      </c>
      <c r="O4" t="s">
        <v>313</v>
      </c>
      <c r="P4" t="s">
        <v>313</v>
      </c>
      <c r="Q4" t="s">
        <v>313</v>
      </c>
      <c r="R4" t="s">
        <v>315</v>
      </c>
      <c r="S4" t="s">
        <v>315</v>
      </c>
      <c r="T4" t="s">
        <v>315</v>
      </c>
      <c r="U4" t="s">
        <v>315</v>
      </c>
      <c r="V4" t="s">
        <v>315</v>
      </c>
      <c r="W4" t="s">
        <v>317</v>
      </c>
      <c r="X4" t="s">
        <v>317</v>
      </c>
      <c r="Y4" t="s">
        <v>317</v>
      </c>
      <c r="Z4" t="s">
        <v>317</v>
      </c>
      <c r="AA4" t="s">
        <v>317</v>
      </c>
      <c r="AB4" t="s">
        <v>319</v>
      </c>
      <c r="AC4" t="s">
        <v>319</v>
      </c>
      <c r="AD4" t="s">
        <v>319</v>
      </c>
      <c r="AE4" t="s">
        <v>319</v>
      </c>
      <c r="AF4" t="s">
        <v>319</v>
      </c>
      <c r="AG4" t="s">
        <v>321</v>
      </c>
      <c r="AH4" t="s">
        <v>321</v>
      </c>
      <c r="AI4" t="s">
        <v>321</v>
      </c>
      <c r="AJ4" t="s">
        <v>321</v>
      </c>
      <c r="AK4" t="s">
        <v>321</v>
      </c>
      <c r="AL4" t="s">
        <v>323</v>
      </c>
      <c r="AM4" t="s">
        <v>323</v>
      </c>
      <c r="AN4" t="s">
        <v>323</v>
      </c>
      <c r="AO4" t="s">
        <v>323</v>
      </c>
      <c r="AP4" t="s">
        <v>323</v>
      </c>
      <c r="AQ4" t="s">
        <v>325</v>
      </c>
      <c r="AR4" t="s">
        <v>325</v>
      </c>
      <c r="AS4" t="s">
        <v>325</v>
      </c>
      <c r="AT4" t="s">
        <v>325</v>
      </c>
      <c r="AU4" t="s">
        <v>325</v>
      </c>
      <c r="AV4" t="s">
        <v>327</v>
      </c>
      <c r="AW4" t="s">
        <v>327</v>
      </c>
      <c r="AX4" t="s">
        <v>327</v>
      </c>
      <c r="AY4" t="s">
        <v>327</v>
      </c>
      <c r="AZ4" t="s">
        <v>327</v>
      </c>
      <c r="BA4" t="s">
        <v>329</v>
      </c>
      <c r="BB4" t="s">
        <v>329</v>
      </c>
      <c r="BC4" t="s">
        <v>329</v>
      </c>
      <c r="BD4" t="s">
        <v>329</v>
      </c>
      <c r="BE4" t="s">
        <v>329</v>
      </c>
      <c r="BF4" t="s">
        <v>331</v>
      </c>
      <c r="BG4" t="s">
        <v>331</v>
      </c>
      <c r="BH4" t="s">
        <v>331</v>
      </c>
      <c r="BI4" t="s">
        <v>331</v>
      </c>
      <c r="BJ4" t="s">
        <v>331</v>
      </c>
      <c r="BK4" t="s">
        <v>333</v>
      </c>
      <c r="BL4" t="s">
        <v>333</v>
      </c>
      <c r="BM4" t="s">
        <v>335</v>
      </c>
      <c r="BN4" t="s">
        <v>335</v>
      </c>
    </row>
    <row r="5" spans="1:6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69</v>
      </c>
      <c r="BN5" t="s">
        <v>257</v>
      </c>
    </row>
    <row r="6" spans="1:6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72</v>
      </c>
      <c r="BN6" t="s">
        <v>259</v>
      </c>
    </row>
    <row r="7" spans="1:6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</row>
    <row r="8" spans="1:6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</row>
    <row r="9" spans="1:66" x14ac:dyDescent="0.4">
      <c r="A9" s="1" t="s">
        <v>6</v>
      </c>
      <c r="B9" s="3" t="s">
        <v>7</v>
      </c>
      <c r="C9">
        <v>1933</v>
      </c>
      <c r="D9">
        <v>75822</v>
      </c>
      <c r="E9">
        <v>1985</v>
      </c>
      <c r="F9">
        <v>79884</v>
      </c>
      <c r="G9">
        <v>618</v>
      </c>
      <c r="H9">
        <v>569</v>
      </c>
      <c r="I9">
        <v>53994</v>
      </c>
      <c r="J9">
        <v>550</v>
      </c>
      <c r="K9">
        <v>55063</v>
      </c>
      <c r="L9">
        <v>99</v>
      </c>
      <c r="M9">
        <v>132139</v>
      </c>
      <c r="N9">
        <v>407128</v>
      </c>
      <c r="O9">
        <v>130488</v>
      </c>
      <c r="P9">
        <v>423296</v>
      </c>
      <c r="Q9">
        <v>7386</v>
      </c>
      <c r="R9">
        <v>57800</v>
      </c>
      <c r="S9">
        <v>399221</v>
      </c>
      <c r="T9">
        <v>57504</v>
      </c>
      <c r="U9">
        <v>397866</v>
      </c>
      <c r="V9">
        <v>1482</v>
      </c>
      <c r="W9">
        <v>32313</v>
      </c>
      <c r="X9">
        <v>535569</v>
      </c>
      <c r="Y9">
        <v>32072</v>
      </c>
      <c r="Z9">
        <v>529917</v>
      </c>
      <c r="AA9">
        <v>1141</v>
      </c>
      <c r="AB9">
        <v>64</v>
      </c>
      <c r="AC9">
        <v>23373</v>
      </c>
      <c r="AD9">
        <v>64</v>
      </c>
      <c r="AE9">
        <v>23373</v>
      </c>
      <c r="AF9">
        <v>0</v>
      </c>
      <c r="AG9">
        <v>5024</v>
      </c>
      <c r="AH9">
        <v>14744</v>
      </c>
      <c r="AI9">
        <v>5019</v>
      </c>
      <c r="AJ9">
        <v>14935</v>
      </c>
      <c r="AK9">
        <v>646</v>
      </c>
      <c r="AL9">
        <v>69599</v>
      </c>
      <c r="AM9">
        <v>19849</v>
      </c>
      <c r="AN9">
        <v>68059</v>
      </c>
      <c r="AO9">
        <v>22170</v>
      </c>
      <c r="AP9">
        <v>7144</v>
      </c>
      <c r="AQ9">
        <v>551</v>
      </c>
      <c r="AR9">
        <v>15839</v>
      </c>
      <c r="AS9">
        <v>555</v>
      </c>
      <c r="AT9">
        <v>16377</v>
      </c>
      <c r="AU9">
        <v>16</v>
      </c>
      <c r="AV9">
        <v>85870</v>
      </c>
      <c r="AW9">
        <v>19170</v>
      </c>
      <c r="AX9">
        <v>85848</v>
      </c>
      <c r="AY9">
        <v>20520</v>
      </c>
      <c r="AZ9">
        <v>9994</v>
      </c>
      <c r="BA9">
        <v>1395</v>
      </c>
      <c r="BB9">
        <v>27390</v>
      </c>
      <c r="BC9">
        <v>1412</v>
      </c>
      <c r="BD9">
        <v>36944</v>
      </c>
      <c r="BE9">
        <v>62</v>
      </c>
      <c r="BF9">
        <v>4226</v>
      </c>
      <c r="BG9">
        <v>8975</v>
      </c>
      <c r="BH9">
        <v>4227</v>
      </c>
      <c r="BI9">
        <v>9059</v>
      </c>
      <c r="BJ9">
        <v>1</v>
      </c>
      <c r="BK9">
        <v>16269</v>
      </c>
      <c r="BL9">
        <v>15640</v>
      </c>
      <c r="BM9">
        <v>290</v>
      </c>
      <c r="BN9">
        <v>6663</v>
      </c>
    </row>
    <row r="10" spans="1:66" x14ac:dyDescent="0.4">
      <c r="A10" s="1" t="s">
        <v>8</v>
      </c>
      <c r="B10" s="3" t="s">
        <v>9</v>
      </c>
      <c r="C10">
        <v>2112</v>
      </c>
      <c r="D10">
        <v>83170</v>
      </c>
      <c r="E10">
        <v>2206</v>
      </c>
      <c r="F10">
        <v>89055</v>
      </c>
      <c r="G10">
        <v>524</v>
      </c>
      <c r="H10">
        <v>625</v>
      </c>
      <c r="I10">
        <v>61675</v>
      </c>
      <c r="J10">
        <v>664</v>
      </c>
      <c r="K10">
        <v>67041</v>
      </c>
      <c r="L10">
        <v>60</v>
      </c>
      <c r="M10">
        <v>136412</v>
      </c>
      <c r="N10">
        <v>429915</v>
      </c>
      <c r="O10">
        <v>138063</v>
      </c>
      <c r="P10">
        <v>461159</v>
      </c>
      <c r="Q10">
        <v>5973</v>
      </c>
      <c r="R10">
        <v>59538</v>
      </c>
      <c r="S10">
        <v>420401</v>
      </c>
      <c r="T10">
        <v>59383</v>
      </c>
      <c r="U10">
        <v>418564</v>
      </c>
      <c r="V10">
        <v>1314</v>
      </c>
      <c r="W10">
        <v>36207</v>
      </c>
      <c r="X10">
        <v>644345</v>
      </c>
      <c r="Y10">
        <v>36036</v>
      </c>
      <c r="Z10">
        <v>638139</v>
      </c>
      <c r="AA10">
        <v>1250</v>
      </c>
      <c r="AB10">
        <v>58</v>
      </c>
      <c r="AC10">
        <v>14084</v>
      </c>
      <c r="AD10">
        <v>58</v>
      </c>
      <c r="AE10">
        <v>14084</v>
      </c>
      <c r="AF10">
        <v>0</v>
      </c>
      <c r="AG10">
        <v>4649</v>
      </c>
      <c r="AH10">
        <v>14357</v>
      </c>
      <c r="AI10">
        <v>4746</v>
      </c>
      <c r="AJ10">
        <v>14749</v>
      </c>
      <c r="AK10">
        <v>549</v>
      </c>
      <c r="AL10">
        <v>65925</v>
      </c>
      <c r="AM10">
        <v>18825</v>
      </c>
      <c r="AN10">
        <v>67047</v>
      </c>
      <c r="AO10">
        <v>21530</v>
      </c>
      <c r="AP10">
        <v>6022</v>
      </c>
      <c r="AQ10">
        <v>534</v>
      </c>
      <c r="AR10">
        <v>12981</v>
      </c>
      <c r="AS10">
        <v>546</v>
      </c>
      <c r="AT10">
        <v>13619</v>
      </c>
      <c r="AU10">
        <v>4</v>
      </c>
      <c r="AV10">
        <v>107373</v>
      </c>
      <c r="AW10">
        <v>16898</v>
      </c>
      <c r="AX10">
        <v>106934</v>
      </c>
      <c r="AY10">
        <v>17484</v>
      </c>
      <c r="AZ10">
        <v>10433</v>
      </c>
      <c r="BA10">
        <v>1254</v>
      </c>
      <c r="BB10">
        <v>29238</v>
      </c>
      <c r="BC10">
        <v>1270</v>
      </c>
      <c r="BD10">
        <v>38092</v>
      </c>
      <c r="BE10">
        <v>46</v>
      </c>
      <c r="BF10">
        <v>4916</v>
      </c>
      <c r="BG10">
        <v>10538</v>
      </c>
      <c r="BH10">
        <v>4917</v>
      </c>
      <c r="BI10">
        <v>10574</v>
      </c>
      <c r="BJ10">
        <v>0</v>
      </c>
      <c r="BK10">
        <v>18879</v>
      </c>
      <c r="BL10">
        <v>18130</v>
      </c>
      <c r="BM10">
        <v>313</v>
      </c>
      <c r="BN10">
        <v>7260</v>
      </c>
    </row>
    <row r="11" spans="1:66" x14ac:dyDescent="0.4">
      <c r="A11" s="1" t="s">
        <v>10</v>
      </c>
      <c r="B11" s="3" t="s">
        <v>11</v>
      </c>
      <c r="C11">
        <v>2565</v>
      </c>
      <c r="D11">
        <v>95205</v>
      </c>
      <c r="E11">
        <v>2522</v>
      </c>
      <c r="F11">
        <v>95664</v>
      </c>
      <c r="G11">
        <v>567</v>
      </c>
      <c r="H11">
        <v>719</v>
      </c>
      <c r="I11">
        <v>71013</v>
      </c>
      <c r="J11">
        <v>678</v>
      </c>
      <c r="K11">
        <v>65057</v>
      </c>
      <c r="L11">
        <v>99</v>
      </c>
      <c r="M11">
        <v>146101</v>
      </c>
      <c r="N11">
        <v>472569</v>
      </c>
      <c r="O11">
        <v>146590</v>
      </c>
      <c r="P11">
        <v>504787</v>
      </c>
      <c r="Q11">
        <v>6656</v>
      </c>
      <c r="R11">
        <v>56305</v>
      </c>
      <c r="S11">
        <v>383048</v>
      </c>
      <c r="T11">
        <v>55667</v>
      </c>
      <c r="U11">
        <v>373379</v>
      </c>
      <c r="V11">
        <v>2071</v>
      </c>
      <c r="W11">
        <v>36480</v>
      </c>
      <c r="X11">
        <v>648531</v>
      </c>
      <c r="Y11">
        <v>36426</v>
      </c>
      <c r="Z11">
        <v>637233</v>
      </c>
      <c r="AA11">
        <v>1315</v>
      </c>
      <c r="AB11">
        <v>64</v>
      </c>
      <c r="AC11">
        <v>6808</v>
      </c>
      <c r="AD11">
        <v>64</v>
      </c>
      <c r="AE11">
        <v>6808</v>
      </c>
      <c r="AF11">
        <v>0</v>
      </c>
      <c r="AG11">
        <v>5288</v>
      </c>
      <c r="AH11">
        <v>16879</v>
      </c>
      <c r="AI11">
        <v>5182</v>
      </c>
      <c r="AJ11">
        <v>16541</v>
      </c>
      <c r="AK11">
        <v>655</v>
      </c>
      <c r="AL11">
        <v>56409</v>
      </c>
      <c r="AM11">
        <v>15926</v>
      </c>
      <c r="AN11">
        <v>53945</v>
      </c>
      <c r="AO11">
        <v>17215</v>
      </c>
      <c r="AP11">
        <v>8486</v>
      </c>
      <c r="AQ11">
        <v>522</v>
      </c>
      <c r="AR11">
        <v>11850</v>
      </c>
      <c r="AS11">
        <v>506</v>
      </c>
      <c r="AT11">
        <v>12013</v>
      </c>
      <c r="AU11">
        <v>20</v>
      </c>
      <c r="AV11">
        <v>76461</v>
      </c>
      <c r="AW11">
        <v>20426</v>
      </c>
      <c r="AX11">
        <v>74918</v>
      </c>
      <c r="AY11">
        <v>21461</v>
      </c>
      <c r="AZ11">
        <v>11976</v>
      </c>
      <c r="BA11">
        <v>1181</v>
      </c>
      <c r="BB11">
        <v>31496</v>
      </c>
      <c r="BC11">
        <v>1147</v>
      </c>
      <c r="BD11">
        <v>38832</v>
      </c>
      <c r="BE11">
        <v>80</v>
      </c>
      <c r="BF11">
        <v>4391</v>
      </c>
      <c r="BG11">
        <v>9651</v>
      </c>
      <c r="BH11">
        <v>4390</v>
      </c>
      <c r="BI11">
        <v>9669</v>
      </c>
      <c r="BJ11">
        <v>1</v>
      </c>
      <c r="BK11">
        <v>15321</v>
      </c>
      <c r="BL11">
        <v>18616</v>
      </c>
      <c r="BM11">
        <v>294</v>
      </c>
      <c r="BN11">
        <v>7370</v>
      </c>
    </row>
    <row r="12" spans="1:66" x14ac:dyDescent="0.4">
      <c r="A12" s="1" t="s">
        <v>12</v>
      </c>
      <c r="B12" s="3" t="s">
        <v>13</v>
      </c>
      <c r="C12">
        <v>2425</v>
      </c>
      <c r="D12">
        <v>88434</v>
      </c>
      <c r="E12">
        <v>2323</v>
      </c>
      <c r="F12">
        <v>84547</v>
      </c>
      <c r="G12">
        <v>669</v>
      </c>
      <c r="H12">
        <v>710</v>
      </c>
      <c r="I12">
        <v>72313</v>
      </c>
      <c r="J12">
        <v>722</v>
      </c>
      <c r="K12">
        <v>73617</v>
      </c>
      <c r="L12">
        <v>88</v>
      </c>
      <c r="M12">
        <v>118571</v>
      </c>
      <c r="N12">
        <v>409101</v>
      </c>
      <c r="O12">
        <v>119593</v>
      </c>
      <c r="P12">
        <v>447305</v>
      </c>
      <c r="Q12">
        <v>6883</v>
      </c>
      <c r="R12">
        <v>52800</v>
      </c>
      <c r="S12">
        <v>331477</v>
      </c>
      <c r="T12">
        <v>52860</v>
      </c>
      <c r="U12">
        <v>328170</v>
      </c>
      <c r="V12">
        <v>2037</v>
      </c>
      <c r="W12">
        <v>26325</v>
      </c>
      <c r="X12">
        <v>467143</v>
      </c>
      <c r="Y12">
        <v>26325</v>
      </c>
      <c r="Z12">
        <v>467122</v>
      </c>
      <c r="AA12">
        <v>1311</v>
      </c>
      <c r="AB12">
        <v>38</v>
      </c>
      <c r="AC12">
        <v>6477</v>
      </c>
      <c r="AD12">
        <v>38</v>
      </c>
      <c r="AE12">
        <v>6644</v>
      </c>
      <c r="AF12">
        <v>0</v>
      </c>
      <c r="AG12">
        <v>4088</v>
      </c>
      <c r="AH12">
        <v>13968</v>
      </c>
      <c r="AI12">
        <v>3914</v>
      </c>
      <c r="AJ12">
        <v>13785</v>
      </c>
      <c r="AK12">
        <v>829</v>
      </c>
      <c r="AL12">
        <v>54312</v>
      </c>
      <c r="AM12">
        <v>15978</v>
      </c>
      <c r="AN12">
        <v>52591</v>
      </c>
      <c r="AO12">
        <v>16928</v>
      </c>
      <c r="AP12">
        <v>10207</v>
      </c>
      <c r="AQ12">
        <v>446</v>
      </c>
      <c r="AR12">
        <v>13783</v>
      </c>
      <c r="AS12">
        <v>458</v>
      </c>
      <c r="AT12">
        <v>14238</v>
      </c>
      <c r="AU12">
        <v>8</v>
      </c>
      <c r="AV12">
        <v>69033</v>
      </c>
      <c r="AW12">
        <v>20294</v>
      </c>
      <c r="AX12">
        <v>69138</v>
      </c>
      <c r="AY12">
        <v>22138</v>
      </c>
      <c r="AZ12">
        <v>11871</v>
      </c>
      <c r="BA12">
        <v>1023</v>
      </c>
      <c r="BB12">
        <v>27133</v>
      </c>
      <c r="BC12">
        <v>1040</v>
      </c>
      <c r="BD12">
        <v>37472</v>
      </c>
      <c r="BE12">
        <v>63</v>
      </c>
      <c r="BF12">
        <v>3731</v>
      </c>
      <c r="BG12">
        <v>9645</v>
      </c>
      <c r="BH12">
        <v>3731</v>
      </c>
      <c r="BI12">
        <v>9663</v>
      </c>
      <c r="BJ12">
        <v>1</v>
      </c>
      <c r="BK12">
        <v>12219</v>
      </c>
      <c r="BL12">
        <v>15934</v>
      </c>
      <c r="BM12">
        <v>319</v>
      </c>
      <c r="BN12">
        <v>8096</v>
      </c>
    </row>
    <row r="13" spans="1:66" x14ac:dyDescent="0.4">
      <c r="A13" s="1" t="s">
        <v>14</v>
      </c>
      <c r="B13" s="3" t="s">
        <v>15</v>
      </c>
      <c r="C13">
        <v>2173</v>
      </c>
      <c r="D13">
        <v>83574</v>
      </c>
      <c r="E13">
        <v>2176</v>
      </c>
      <c r="F13">
        <v>83678</v>
      </c>
      <c r="G13">
        <v>664</v>
      </c>
      <c r="H13">
        <v>642</v>
      </c>
      <c r="I13">
        <v>63008</v>
      </c>
      <c r="J13">
        <v>662</v>
      </c>
      <c r="K13">
        <v>65364</v>
      </c>
      <c r="L13">
        <v>68</v>
      </c>
      <c r="M13">
        <v>106091</v>
      </c>
      <c r="N13">
        <v>386620</v>
      </c>
      <c r="O13">
        <v>106892</v>
      </c>
      <c r="P13">
        <v>434669</v>
      </c>
      <c r="Q13">
        <v>7111</v>
      </c>
      <c r="R13">
        <v>50065</v>
      </c>
      <c r="S13">
        <v>331307</v>
      </c>
      <c r="T13">
        <v>49976</v>
      </c>
      <c r="U13">
        <v>320870</v>
      </c>
      <c r="V13">
        <v>2246</v>
      </c>
      <c r="W13">
        <v>27723</v>
      </c>
      <c r="X13">
        <v>503963</v>
      </c>
      <c r="Y13">
        <v>28009</v>
      </c>
      <c r="Z13">
        <v>507007</v>
      </c>
      <c r="AA13">
        <v>879</v>
      </c>
      <c r="AB13">
        <v>47</v>
      </c>
      <c r="AC13">
        <v>4132</v>
      </c>
      <c r="AD13">
        <v>47</v>
      </c>
      <c r="AE13">
        <v>4132</v>
      </c>
      <c r="AF13">
        <v>0</v>
      </c>
      <c r="AG13">
        <v>3522</v>
      </c>
      <c r="AH13">
        <v>11663</v>
      </c>
      <c r="AI13">
        <v>3660</v>
      </c>
      <c r="AJ13">
        <v>12189</v>
      </c>
      <c r="AK13">
        <v>691</v>
      </c>
      <c r="AL13">
        <v>46591</v>
      </c>
      <c r="AM13">
        <v>13535</v>
      </c>
      <c r="AN13">
        <v>49187</v>
      </c>
      <c r="AO13">
        <v>15820</v>
      </c>
      <c r="AP13">
        <v>7611</v>
      </c>
      <c r="AQ13">
        <v>523</v>
      </c>
      <c r="AR13">
        <v>16418</v>
      </c>
      <c r="AS13">
        <v>512</v>
      </c>
      <c r="AT13">
        <v>16651</v>
      </c>
      <c r="AU13">
        <v>19</v>
      </c>
      <c r="AV13">
        <v>67778</v>
      </c>
      <c r="AW13">
        <v>23301</v>
      </c>
      <c r="AX13">
        <v>69588</v>
      </c>
      <c r="AY13">
        <v>25188</v>
      </c>
      <c r="AZ13">
        <v>10088</v>
      </c>
      <c r="BA13">
        <v>918</v>
      </c>
      <c r="BB13">
        <v>25221</v>
      </c>
      <c r="BC13">
        <v>938</v>
      </c>
      <c r="BD13">
        <v>35317</v>
      </c>
      <c r="BE13">
        <v>43</v>
      </c>
      <c r="BF13">
        <v>3173</v>
      </c>
      <c r="BG13">
        <v>9201</v>
      </c>
      <c r="BH13">
        <v>3174</v>
      </c>
      <c r="BI13">
        <v>9233</v>
      </c>
      <c r="BJ13">
        <v>0</v>
      </c>
      <c r="BK13">
        <v>10328</v>
      </c>
      <c r="BL13">
        <v>15242</v>
      </c>
      <c r="BM13">
        <v>291</v>
      </c>
      <c r="BN13">
        <v>6404</v>
      </c>
    </row>
    <row r="14" spans="1:66" x14ac:dyDescent="0.4">
      <c r="A14" s="1" t="s">
        <v>16</v>
      </c>
      <c r="B14" s="1" t="s">
        <v>17</v>
      </c>
      <c r="C14">
        <v>220</v>
      </c>
      <c r="D14">
        <v>7719</v>
      </c>
      <c r="E14">
        <v>321</v>
      </c>
      <c r="F14">
        <v>11877</v>
      </c>
      <c r="G14">
        <v>630</v>
      </c>
      <c r="H14">
        <v>54</v>
      </c>
      <c r="I14">
        <v>5213</v>
      </c>
      <c r="J14">
        <v>78</v>
      </c>
      <c r="K14">
        <v>8367</v>
      </c>
      <c r="L14">
        <v>84</v>
      </c>
      <c r="M14">
        <v>12101</v>
      </c>
      <c r="N14">
        <v>41501</v>
      </c>
      <c r="O14">
        <v>13124</v>
      </c>
      <c r="P14">
        <v>48565</v>
      </c>
      <c r="Q14">
        <v>6283</v>
      </c>
      <c r="R14">
        <v>4903</v>
      </c>
      <c r="S14">
        <v>31677</v>
      </c>
      <c r="T14">
        <v>5072</v>
      </c>
      <c r="U14">
        <v>33189</v>
      </c>
      <c r="V14">
        <v>1618</v>
      </c>
      <c r="W14">
        <v>2528</v>
      </c>
      <c r="X14">
        <v>44304</v>
      </c>
      <c r="Y14">
        <v>2653</v>
      </c>
      <c r="Z14">
        <v>49968</v>
      </c>
      <c r="AA14">
        <v>1460</v>
      </c>
      <c r="AB14">
        <v>9</v>
      </c>
      <c r="AC14">
        <v>3464</v>
      </c>
      <c r="AD14">
        <v>9</v>
      </c>
      <c r="AE14">
        <v>3464</v>
      </c>
      <c r="AF14">
        <v>0</v>
      </c>
      <c r="AG14">
        <v>318</v>
      </c>
      <c r="AH14">
        <v>963</v>
      </c>
      <c r="AI14">
        <v>321</v>
      </c>
      <c r="AJ14">
        <v>1092</v>
      </c>
      <c r="AK14">
        <v>828</v>
      </c>
      <c r="AL14">
        <v>4899</v>
      </c>
      <c r="AM14">
        <v>1479</v>
      </c>
      <c r="AN14">
        <v>4841</v>
      </c>
      <c r="AO14">
        <v>1547</v>
      </c>
      <c r="AP14">
        <v>8621</v>
      </c>
      <c r="AQ14">
        <v>39</v>
      </c>
      <c r="AR14">
        <v>3655</v>
      </c>
      <c r="AS14">
        <v>44</v>
      </c>
      <c r="AT14">
        <v>3846</v>
      </c>
      <c r="AU14">
        <v>14</v>
      </c>
      <c r="AV14">
        <v>6134</v>
      </c>
      <c r="AW14">
        <v>2616</v>
      </c>
      <c r="AX14">
        <v>6080</v>
      </c>
      <c r="AY14">
        <v>3310</v>
      </c>
      <c r="AZ14">
        <v>11854</v>
      </c>
      <c r="BA14">
        <v>91</v>
      </c>
      <c r="BB14">
        <v>1993</v>
      </c>
      <c r="BC14">
        <v>101</v>
      </c>
      <c r="BD14">
        <v>2960</v>
      </c>
      <c r="BE14">
        <v>55</v>
      </c>
      <c r="BF14">
        <v>327</v>
      </c>
      <c r="BG14">
        <v>799</v>
      </c>
      <c r="BH14">
        <v>327</v>
      </c>
      <c r="BI14">
        <v>799</v>
      </c>
      <c r="BJ14">
        <v>1</v>
      </c>
      <c r="BK14">
        <v>1117</v>
      </c>
      <c r="BL14">
        <v>1502</v>
      </c>
      <c r="BM14">
        <v>41</v>
      </c>
      <c r="BN14">
        <v>917</v>
      </c>
    </row>
    <row r="15" spans="1:66" x14ac:dyDescent="0.4">
      <c r="A15" s="1" t="s">
        <v>18</v>
      </c>
      <c r="B15" s="1" t="s">
        <v>19</v>
      </c>
      <c r="C15">
        <v>235</v>
      </c>
      <c r="D15">
        <v>8535</v>
      </c>
      <c r="E15">
        <v>136</v>
      </c>
      <c r="F15">
        <v>4206</v>
      </c>
      <c r="G15">
        <v>729</v>
      </c>
      <c r="H15">
        <v>62</v>
      </c>
      <c r="I15">
        <v>6573</v>
      </c>
      <c r="J15">
        <v>52</v>
      </c>
      <c r="K15">
        <v>5318</v>
      </c>
      <c r="L15">
        <v>94</v>
      </c>
      <c r="M15">
        <v>10820</v>
      </c>
      <c r="N15">
        <v>38335</v>
      </c>
      <c r="O15">
        <v>10545</v>
      </c>
      <c r="P15">
        <v>39990</v>
      </c>
      <c r="Q15">
        <v>6649</v>
      </c>
      <c r="R15">
        <v>4438</v>
      </c>
      <c r="S15">
        <v>28345</v>
      </c>
      <c r="T15">
        <v>4065</v>
      </c>
      <c r="U15">
        <v>24831</v>
      </c>
      <c r="V15">
        <v>2000</v>
      </c>
      <c r="W15">
        <v>2292</v>
      </c>
      <c r="X15">
        <v>38174</v>
      </c>
      <c r="Y15">
        <v>2177</v>
      </c>
      <c r="Z15">
        <v>36906</v>
      </c>
      <c r="AA15">
        <v>1574</v>
      </c>
      <c r="AB15">
        <v>2</v>
      </c>
      <c r="AC15">
        <v>394</v>
      </c>
      <c r="AD15">
        <v>2</v>
      </c>
      <c r="AE15">
        <v>394</v>
      </c>
      <c r="AF15">
        <v>0</v>
      </c>
      <c r="AG15">
        <v>321</v>
      </c>
      <c r="AH15">
        <v>1235</v>
      </c>
      <c r="AI15">
        <v>382</v>
      </c>
      <c r="AJ15">
        <v>1523</v>
      </c>
      <c r="AK15">
        <v>767</v>
      </c>
      <c r="AL15">
        <v>4615</v>
      </c>
      <c r="AM15">
        <v>1387</v>
      </c>
      <c r="AN15">
        <v>5120</v>
      </c>
      <c r="AO15">
        <v>1585</v>
      </c>
      <c r="AP15">
        <v>8116</v>
      </c>
      <c r="AQ15">
        <v>23</v>
      </c>
      <c r="AR15">
        <v>419</v>
      </c>
      <c r="AS15">
        <v>29</v>
      </c>
      <c r="AT15">
        <v>575</v>
      </c>
      <c r="AU15">
        <v>8</v>
      </c>
      <c r="AV15">
        <v>6208</v>
      </c>
      <c r="AW15">
        <v>1180</v>
      </c>
      <c r="AX15">
        <v>6116</v>
      </c>
      <c r="AY15">
        <v>1092</v>
      </c>
      <c r="AZ15">
        <v>11946</v>
      </c>
      <c r="BA15">
        <v>85</v>
      </c>
      <c r="BB15">
        <v>2169</v>
      </c>
      <c r="BC15">
        <v>88</v>
      </c>
      <c r="BD15">
        <v>3660</v>
      </c>
      <c r="BE15">
        <v>52</v>
      </c>
      <c r="BF15">
        <v>319</v>
      </c>
      <c r="BG15">
        <v>816</v>
      </c>
      <c r="BH15">
        <v>319</v>
      </c>
      <c r="BI15">
        <v>816</v>
      </c>
      <c r="BJ15">
        <v>1</v>
      </c>
      <c r="BK15">
        <v>1027</v>
      </c>
      <c r="BL15">
        <v>1458</v>
      </c>
      <c r="BM15">
        <v>31</v>
      </c>
      <c r="BN15">
        <v>662</v>
      </c>
    </row>
    <row r="16" spans="1:66" x14ac:dyDescent="0.4">
      <c r="A16" s="1" t="s">
        <v>20</v>
      </c>
      <c r="B16" s="1" t="s">
        <v>21</v>
      </c>
      <c r="C16">
        <v>229</v>
      </c>
      <c r="D16">
        <v>7682</v>
      </c>
      <c r="E16">
        <v>173</v>
      </c>
      <c r="F16">
        <v>6356</v>
      </c>
      <c r="G16">
        <v>785</v>
      </c>
      <c r="H16">
        <v>51</v>
      </c>
      <c r="I16">
        <v>5885</v>
      </c>
      <c r="J16">
        <v>59</v>
      </c>
      <c r="K16">
        <v>6381</v>
      </c>
      <c r="L16">
        <v>86</v>
      </c>
      <c r="M16">
        <v>10204</v>
      </c>
      <c r="N16">
        <v>36126</v>
      </c>
      <c r="O16">
        <v>9385</v>
      </c>
      <c r="P16">
        <v>35733</v>
      </c>
      <c r="Q16">
        <v>7580</v>
      </c>
      <c r="R16">
        <v>4442</v>
      </c>
      <c r="S16">
        <v>27864</v>
      </c>
      <c r="T16">
        <v>4258</v>
      </c>
      <c r="U16">
        <v>26956</v>
      </c>
      <c r="V16">
        <v>2195</v>
      </c>
      <c r="W16">
        <v>2388</v>
      </c>
      <c r="X16">
        <v>39280</v>
      </c>
      <c r="Y16">
        <v>2235</v>
      </c>
      <c r="Z16">
        <v>36736</v>
      </c>
      <c r="AA16">
        <v>1724</v>
      </c>
      <c r="AB16">
        <v>1</v>
      </c>
      <c r="AC16">
        <v>35</v>
      </c>
      <c r="AD16">
        <v>1</v>
      </c>
      <c r="AE16">
        <v>35</v>
      </c>
      <c r="AF16">
        <v>0</v>
      </c>
      <c r="AG16">
        <v>329</v>
      </c>
      <c r="AH16">
        <v>1080</v>
      </c>
      <c r="AI16">
        <v>328</v>
      </c>
      <c r="AJ16">
        <v>989</v>
      </c>
      <c r="AK16">
        <v>768</v>
      </c>
      <c r="AL16">
        <v>4623</v>
      </c>
      <c r="AM16">
        <v>1371</v>
      </c>
      <c r="AN16">
        <v>5075</v>
      </c>
      <c r="AO16">
        <v>1647</v>
      </c>
      <c r="AP16">
        <v>7664</v>
      </c>
      <c r="AQ16">
        <v>25</v>
      </c>
      <c r="AR16">
        <v>730</v>
      </c>
      <c r="AS16">
        <v>13</v>
      </c>
      <c r="AT16">
        <v>527</v>
      </c>
      <c r="AU16">
        <v>20</v>
      </c>
      <c r="AV16">
        <v>5470</v>
      </c>
      <c r="AW16">
        <v>1104</v>
      </c>
      <c r="AX16">
        <v>5742</v>
      </c>
      <c r="AY16">
        <v>1163</v>
      </c>
      <c r="AZ16">
        <v>11674</v>
      </c>
      <c r="BA16">
        <v>84</v>
      </c>
      <c r="BB16">
        <v>2274</v>
      </c>
      <c r="BC16">
        <v>78</v>
      </c>
      <c r="BD16">
        <v>2272</v>
      </c>
      <c r="BE16">
        <v>58</v>
      </c>
      <c r="BF16">
        <v>282</v>
      </c>
      <c r="BG16">
        <v>677</v>
      </c>
      <c r="BH16">
        <v>282</v>
      </c>
      <c r="BI16">
        <v>677</v>
      </c>
      <c r="BJ16">
        <v>1</v>
      </c>
      <c r="BK16">
        <v>1079</v>
      </c>
      <c r="BL16">
        <v>1215</v>
      </c>
      <c r="BM16">
        <v>30</v>
      </c>
      <c r="BN16">
        <v>709</v>
      </c>
    </row>
    <row r="17" spans="1:66" x14ac:dyDescent="0.4">
      <c r="A17" s="1" t="s">
        <v>22</v>
      </c>
      <c r="B17" s="1" t="s">
        <v>23</v>
      </c>
      <c r="C17">
        <v>207</v>
      </c>
      <c r="D17">
        <v>7256</v>
      </c>
      <c r="E17">
        <v>303</v>
      </c>
      <c r="F17">
        <v>10027</v>
      </c>
      <c r="G17">
        <v>689</v>
      </c>
      <c r="H17">
        <v>72</v>
      </c>
      <c r="I17">
        <v>7543</v>
      </c>
      <c r="J17">
        <v>79</v>
      </c>
      <c r="K17">
        <v>8104</v>
      </c>
      <c r="L17">
        <v>79</v>
      </c>
      <c r="M17">
        <v>9928</v>
      </c>
      <c r="N17">
        <v>34976</v>
      </c>
      <c r="O17">
        <v>9640</v>
      </c>
      <c r="P17">
        <v>37092</v>
      </c>
      <c r="Q17">
        <v>7966</v>
      </c>
      <c r="R17">
        <v>4918</v>
      </c>
      <c r="S17">
        <v>31030</v>
      </c>
      <c r="T17">
        <v>4784</v>
      </c>
      <c r="U17">
        <v>29596</v>
      </c>
      <c r="V17">
        <v>2342</v>
      </c>
      <c r="W17">
        <v>2366</v>
      </c>
      <c r="X17">
        <v>40250</v>
      </c>
      <c r="Y17">
        <v>2393</v>
      </c>
      <c r="Z17">
        <v>41916</v>
      </c>
      <c r="AA17">
        <v>1698</v>
      </c>
      <c r="AB17">
        <v>1</v>
      </c>
      <c r="AC17">
        <v>7</v>
      </c>
      <c r="AD17">
        <v>1</v>
      </c>
      <c r="AE17">
        <v>7</v>
      </c>
      <c r="AF17">
        <v>0</v>
      </c>
      <c r="AG17">
        <v>318</v>
      </c>
      <c r="AH17">
        <v>1165</v>
      </c>
      <c r="AI17">
        <v>251</v>
      </c>
      <c r="AJ17">
        <v>877</v>
      </c>
      <c r="AK17">
        <v>835</v>
      </c>
      <c r="AL17">
        <v>4428</v>
      </c>
      <c r="AM17">
        <v>1322</v>
      </c>
      <c r="AN17">
        <v>4198</v>
      </c>
      <c r="AO17">
        <v>1377</v>
      </c>
      <c r="AP17">
        <v>7894</v>
      </c>
      <c r="AQ17">
        <v>53</v>
      </c>
      <c r="AR17">
        <v>1488</v>
      </c>
      <c r="AS17">
        <v>59</v>
      </c>
      <c r="AT17">
        <v>1373</v>
      </c>
      <c r="AU17">
        <v>14</v>
      </c>
      <c r="AV17">
        <v>7016</v>
      </c>
      <c r="AW17">
        <v>1826</v>
      </c>
      <c r="AX17">
        <v>7288</v>
      </c>
      <c r="AY17">
        <v>1935</v>
      </c>
      <c r="AZ17">
        <v>11402</v>
      </c>
      <c r="BA17">
        <v>101</v>
      </c>
      <c r="BB17">
        <v>2059</v>
      </c>
      <c r="BC17">
        <v>96</v>
      </c>
      <c r="BD17">
        <v>2797</v>
      </c>
      <c r="BE17">
        <v>63</v>
      </c>
      <c r="BF17">
        <v>348</v>
      </c>
      <c r="BG17">
        <v>896</v>
      </c>
      <c r="BH17">
        <v>348</v>
      </c>
      <c r="BI17">
        <v>896</v>
      </c>
      <c r="BJ17">
        <v>1</v>
      </c>
      <c r="BK17">
        <v>1138</v>
      </c>
      <c r="BL17">
        <v>1323</v>
      </c>
      <c r="BM17">
        <v>20</v>
      </c>
      <c r="BN17">
        <v>602</v>
      </c>
    </row>
    <row r="18" spans="1:66" x14ac:dyDescent="0.4">
      <c r="A18" s="1" t="s">
        <v>24</v>
      </c>
      <c r="B18" s="1" t="s">
        <v>25</v>
      </c>
      <c r="C18">
        <v>216</v>
      </c>
      <c r="D18">
        <v>7516</v>
      </c>
      <c r="E18">
        <v>170</v>
      </c>
      <c r="F18">
        <v>5995</v>
      </c>
      <c r="G18">
        <v>735</v>
      </c>
      <c r="H18">
        <v>62</v>
      </c>
      <c r="I18">
        <v>5803</v>
      </c>
      <c r="J18">
        <v>48</v>
      </c>
      <c r="K18">
        <v>4766</v>
      </c>
      <c r="L18">
        <v>93</v>
      </c>
      <c r="M18">
        <v>10449</v>
      </c>
      <c r="N18">
        <v>35995</v>
      </c>
      <c r="O18">
        <v>10289</v>
      </c>
      <c r="P18">
        <v>38752</v>
      </c>
      <c r="Q18">
        <v>8233</v>
      </c>
      <c r="R18">
        <v>4650</v>
      </c>
      <c r="S18">
        <v>28383</v>
      </c>
      <c r="T18">
        <v>4758</v>
      </c>
      <c r="U18">
        <v>28968</v>
      </c>
      <c r="V18">
        <v>2235</v>
      </c>
      <c r="W18">
        <v>2000</v>
      </c>
      <c r="X18">
        <v>35674</v>
      </c>
      <c r="Y18">
        <v>2270</v>
      </c>
      <c r="Z18">
        <v>39856</v>
      </c>
      <c r="AA18">
        <v>1427</v>
      </c>
      <c r="AB18">
        <v>4</v>
      </c>
      <c r="AC18">
        <v>81</v>
      </c>
      <c r="AD18">
        <v>4</v>
      </c>
      <c r="AE18">
        <v>81</v>
      </c>
      <c r="AF18">
        <v>0</v>
      </c>
      <c r="AG18">
        <v>319</v>
      </c>
      <c r="AH18">
        <v>1192</v>
      </c>
      <c r="AI18">
        <v>356</v>
      </c>
      <c r="AJ18">
        <v>1193</v>
      </c>
      <c r="AK18">
        <v>798</v>
      </c>
      <c r="AL18">
        <v>4896</v>
      </c>
      <c r="AM18">
        <v>1443</v>
      </c>
      <c r="AN18">
        <v>4623</v>
      </c>
      <c r="AO18">
        <v>1489</v>
      </c>
      <c r="AP18">
        <v>8167</v>
      </c>
      <c r="AQ18">
        <v>43</v>
      </c>
      <c r="AR18">
        <v>1228</v>
      </c>
      <c r="AS18">
        <v>45</v>
      </c>
      <c r="AT18">
        <v>1317</v>
      </c>
      <c r="AU18">
        <v>12</v>
      </c>
      <c r="AV18">
        <v>5673</v>
      </c>
      <c r="AW18">
        <v>1717</v>
      </c>
      <c r="AX18">
        <v>5439</v>
      </c>
      <c r="AY18">
        <v>1859</v>
      </c>
      <c r="AZ18">
        <v>11636</v>
      </c>
      <c r="BA18">
        <v>77</v>
      </c>
      <c r="BB18">
        <v>1827</v>
      </c>
      <c r="BC18">
        <v>80</v>
      </c>
      <c r="BD18">
        <v>2516</v>
      </c>
      <c r="BE18">
        <v>60</v>
      </c>
      <c r="BF18">
        <v>298</v>
      </c>
      <c r="BG18">
        <v>845</v>
      </c>
      <c r="BH18">
        <v>298</v>
      </c>
      <c r="BI18">
        <v>845</v>
      </c>
      <c r="BJ18">
        <v>1</v>
      </c>
      <c r="BK18">
        <v>985</v>
      </c>
      <c r="BL18">
        <v>1223</v>
      </c>
      <c r="BM18">
        <v>32</v>
      </c>
      <c r="BN18">
        <v>895</v>
      </c>
    </row>
    <row r="19" spans="1:66" x14ac:dyDescent="0.4">
      <c r="A19" s="1" t="s">
        <v>26</v>
      </c>
      <c r="B19" s="1" t="s">
        <v>27</v>
      </c>
      <c r="C19">
        <v>164</v>
      </c>
      <c r="D19">
        <v>6853</v>
      </c>
      <c r="E19">
        <v>173</v>
      </c>
      <c r="F19">
        <v>6093</v>
      </c>
      <c r="G19">
        <v>726</v>
      </c>
      <c r="H19">
        <v>53</v>
      </c>
      <c r="I19">
        <v>5559</v>
      </c>
      <c r="J19">
        <v>36</v>
      </c>
      <c r="K19">
        <v>3699</v>
      </c>
      <c r="L19">
        <v>110</v>
      </c>
      <c r="M19">
        <v>7602</v>
      </c>
      <c r="N19">
        <v>26027</v>
      </c>
      <c r="O19">
        <v>7313</v>
      </c>
      <c r="P19">
        <v>27623</v>
      </c>
      <c r="Q19">
        <v>8645</v>
      </c>
      <c r="R19">
        <v>3465</v>
      </c>
      <c r="S19">
        <v>21182</v>
      </c>
      <c r="T19">
        <v>3245</v>
      </c>
      <c r="U19">
        <v>19503</v>
      </c>
      <c r="V19">
        <v>2427</v>
      </c>
      <c r="W19">
        <v>1706</v>
      </c>
      <c r="X19">
        <v>32131</v>
      </c>
      <c r="Y19">
        <v>1638</v>
      </c>
      <c r="Z19">
        <v>29720</v>
      </c>
      <c r="AA19">
        <v>1497</v>
      </c>
      <c r="AB19">
        <v>5</v>
      </c>
      <c r="AC19">
        <v>262</v>
      </c>
      <c r="AD19">
        <v>5</v>
      </c>
      <c r="AE19">
        <v>262</v>
      </c>
      <c r="AF19">
        <v>0</v>
      </c>
      <c r="AG19">
        <v>365</v>
      </c>
      <c r="AH19">
        <v>1293</v>
      </c>
      <c r="AI19">
        <v>281</v>
      </c>
      <c r="AJ19">
        <v>1032</v>
      </c>
      <c r="AK19">
        <v>882</v>
      </c>
      <c r="AL19">
        <v>4255</v>
      </c>
      <c r="AM19">
        <v>1239</v>
      </c>
      <c r="AN19">
        <v>3551</v>
      </c>
      <c r="AO19">
        <v>1178</v>
      </c>
      <c r="AP19">
        <v>8871</v>
      </c>
      <c r="AQ19">
        <v>37</v>
      </c>
      <c r="AR19">
        <v>710</v>
      </c>
      <c r="AS19">
        <v>35</v>
      </c>
      <c r="AT19">
        <v>704</v>
      </c>
      <c r="AU19">
        <v>14</v>
      </c>
      <c r="AV19">
        <v>4334</v>
      </c>
      <c r="AW19">
        <v>2104</v>
      </c>
      <c r="AX19">
        <v>4365</v>
      </c>
      <c r="AY19">
        <v>2060</v>
      </c>
      <c r="AZ19">
        <v>11605</v>
      </c>
      <c r="BA19">
        <v>76</v>
      </c>
      <c r="BB19">
        <v>2968</v>
      </c>
      <c r="BC19">
        <v>82</v>
      </c>
      <c r="BD19">
        <v>4469</v>
      </c>
      <c r="BE19">
        <v>54</v>
      </c>
      <c r="BF19">
        <v>275</v>
      </c>
      <c r="BG19">
        <v>718</v>
      </c>
      <c r="BH19">
        <v>275</v>
      </c>
      <c r="BI19">
        <v>718</v>
      </c>
      <c r="BJ19">
        <v>1</v>
      </c>
      <c r="BK19">
        <v>960</v>
      </c>
      <c r="BL19">
        <v>1207</v>
      </c>
      <c r="BM19">
        <v>22</v>
      </c>
      <c r="BN19">
        <v>823</v>
      </c>
    </row>
    <row r="20" spans="1:66" x14ac:dyDescent="0.4">
      <c r="A20" s="1" t="s">
        <v>28</v>
      </c>
      <c r="B20" s="1" t="s">
        <v>29</v>
      </c>
      <c r="C20">
        <v>176</v>
      </c>
      <c r="D20">
        <v>6775</v>
      </c>
      <c r="E20">
        <v>221</v>
      </c>
      <c r="F20">
        <v>9152</v>
      </c>
      <c r="G20">
        <v>681</v>
      </c>
      <c r="H20">
        <v>62</v>
      </c>
      <c r="I20">
        <v>6662</v>
      </c>
      <c r="J20">
        <v>72</v>
      </c>
      <c r="K20">
        <v>7747</v>
      </c>
      <c r="L20">
        <v>100</v>
      </c>
      <c r="M20">
        <v>9025</v>
      </c>
      <c r="N20">
        <v>30746</v>
      </c>
      <c r="O20">
        <v>10459</v>
      </c>
      <c r="P20">
        <v>38455</v>
      </c>
      <c r="Q20">
        <v>7319</v>
      </c>
      <c r="R20">
        <v>4240</v>
      </c>
      <c r="S20">
        <v>25405</v>
      </c>
      <c r="T20">
        <v>4551</v>
      </c>
      <c r="U20">
        <v>27572</v>
      </c>
      <c r="V20">
        <v>2117</v>
      </c>
      <c r="W20">
        <v>2002</v>
      </c>
      <c r="X20">
        <v>36586</v>
      </c>
      <c r="Y20">
        <v>1988</v>
      </c>
      <c r="Z20">
        <v>35565</v>
      </c>
      <c r="AA20">
        <v>1505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372</v>
      </c>
      <c r="AH20">
        <v>1241</v>
      </c>
      <c r="AI20">
        <v>407</v>
      </c>
      <c r="AJ20">
        <v>1306</v>
      </c>
      <c r="AK20">
        <v>847</v>
      </c>
      <c r="AL20">
        <v>4599</v>
      </c>
      <c r="AM20">
        <v>1356</v>
      </c>
      <c r="AN20">
        <v>4075</v>
      </c>
      <c r="AO20">
        <v>1306</v>
      </c>
      <c r="AP20">
        <v>9395</v>
      </c>
      <c r="AQ20">
        <v>38</v>
      </c>
      <c r="AR20">
        <v>1366</v>
      </c>
      <c r="AS20">
        <v>38</v>
      </c>
      <c r="AT20">
        <v>1395</v>
      </c>
      <c r="AU20">
        <v>14</v>
      </c>
      <c r="AV20">
        <v>5250</v>
      </c>
      <c r="AW20">
        <v>1761</v>
      </c>
      <c r="AX20">
        <v>5031</v>
      </c>
      <c r="AY20">
        <v>2357</v>
      </c>
      <c r="AZ20">
        <v>11824</v>
      </c>
      <c r="BA20">
        <v>91</v>
      </c>
      <c r="BB20">
        <v>1848</v>
      </c>
      <c r="BC20">
        <v>85</v>
      </c>
      <c r="BD20">
        <v>1923</v>
      </c>
      <c r="BE20">
        <v>60</v>
      </c>
      <c r="BF20">
        <v>312</v>
      </c>
      <c r="BG20">
        <v>593</v>
      </c>
      <c r="BH20">
        <v>312</v>
      </c>
      <c r="BI20">
        <v>593</v>
      </c>
      <c r="BJ20">
        <v>1</v>
      </c>
      <c r="BK20">
        <v>1190</v>
      </c>
      <c r="BL20">
        <v>1357</v>
      </c>
      <c r="BM20">
        <v>27</v>
      </c>
      <c r="BN20">
        <v>515</v>
      </c>
    </row>
    <row r="21" spans="1:66" x14ac:dyDescent="0.4">
      <c r="A21" s="1" t="s">
        <v>30</v>
      </c>
      <c r="B21" s="1" t="s">
        <v>31</v>
      </c>
      <c r="C21">
        <v>201</v>
      </c>
      <c r="D21">
        <v>7286</v>
      </c>
      <c r="E21">
        <v>161</v>
      </c>
      <c r="F21">
        <v>5347</v>
      </c>
      <c r="G21">
        <v>721</v>
      </c>
      <c r="H21">
        <v>58</v>
      </c>
      <c r="I21">
        <v>5636</v>
      </c>
      <c r="J21">
        <v>54</v>
      </c>
      <c r="K21">
        <v>5802</v>
      </c>
      <c r="L21">
        <v>104</v>
      </c>
      <c r="M21">
        <v>10017</v>
      </c>
      <c r="N21">
        <v>33723</v>
      </c>
      <c r="O21">
        <v>10169</v>
      </c>
      <c r="P21">
        <v>37332</v>
      </c>
      <c r="Q21">
        <v>7244</v>
      </c>
      <c r="R21">
        <v>4824</v>
      </c>
      <c r="S21">
        <v>30107</v>
      </c>
      <c r="T21">
        <v>4843</v>
      </c>
      <c r="U21">
        <v>29407</v>
      </c>
      <c r="V21">
        <v>2053</v>
      </c>
      <c r="W21">
        <v>2454</v>
      </c>
      <c r="X21">
        <v>44256</v>
      </c>
      <c r="Y21">
        <v>2286</v>
      </c>
      <c r="Z21">
        <v>40280</v>
      </c>
      <c r="AA21">
        <v>1671</v>
      </c>
      <c r="AB21">
        <v>3</v>
      </c>
      <c r="AC21">
        <v>210</v>
      </c>
      <c r="AD21">
        <v>3</v>
      </c>
      <c r="AE21">
        <v>377</v>
      </c>
      <c r="AF21">
        <v>0</v>
      </c>
      <c r="AG21">
        <v>405</v>
      </c>
      <c r="AH21">
        <v>1424</v>
      </c>
      <c r="AI21">
        <v>387</v>
      </c>
      <c r="AJ21">
        <v>1526</v>
      </c>
      <c r="AK21">
        <v>865</v>
      </c>
      <c r="AL21">
        <v>4608</v>
      </c>
      <c r="AM21">
        <v>1353</v>
      </c>
      <c r="AN21">
        <v>4890</v>
      </c>
      <c r="AO21">
        <v>1581</v>
      </c>
      <c r="AP21">
        <v>9113</v>
      </c>
      <c r="AQ21">
        <v>54</v>
      </c>
      <c r="AR21">
        <v>1048</v>
      </c>
      <c r="AS21">
        <v>47</v>
      </c>
      <c r="AT21">
        <v>949</v>
      </c>
      <c r="AU21">
        <v>21</v>
      </c>
      <c r="AV21">
        <v>5681</v>
      </c>
      <c r="AW21">
        <v>1076</v>
      </c>
      <c r="AX21">
        <v>6038</v>
      </c>
      <c r="AY21">
        <v>1072</v>
      </c>
      <c r="AZ21">
        <v>11467</v>
      </c>
      <c r="BA21">
        <v>85</v>
      </c>
      <c r="BB21">
        <v>2079</v>
      </c>
      <c r="BC21">
        <v>83</v>
      </c>
      <c r="BD21">
        <v>3340</v>
      </c>
      <c r="BE21">
        <v>62</v>
      </c>
      <c r="BF21">
        <v>355</v>
      </c>
      <c r="BG21">
        <v>1131</v>
      </c>
      <c r="BH21">
        <v>355</v>
      </c>
      <c r="BI21">
        <v>1131</v>
      </c>
      <c r="BJ21">
        <v>1</v>
      </c>
      <c r="BK21">
        <v>1123</v>
      </c>
      <c r="BL21">
        <v>1317</v>
      </c>
      <c r="BM21">
        <v>19</v>
      </c>
      <c r="BN21">
        <v>322</v>
      </c>
    </row>
    <row r="22" spans="1:66" x14ac:dyDescent="0.4">
      <c r="A22" s="1" t="s">
        <v>32</v>
      </c>
      <c r="B22" s="1" t="s">
        <v>33</v>
      </c>
      <c r="C22">
        <v>181</v>
      </c>
      <c r="D22">
        <v>7390</v>
      </c>
      <c r="E22">
        <v>158</v>
      </c>
      <c r="F22">
        <v>5962</v>
      </c>
      <c r="G22">
        <v>744</v>
      </c>
      <c r="H22">
        <v>60</v>
      </c>
      <c r="I22">
        <v>5769</v>
      </c>
      <c r="J22">
        <v>61</v>
      </c>
      <c r="K22">
        <v>5472</v>
      </c>
      <c r="L22">
        <v>103</v>
      </c>
      <c r="M22">
        <v>8818</v>
      </c>
      <c r="N22">
        <v>30009</v>
      </c>
      <c r="O22">
        <v>8070</v>
      </c>
      <c r="P22">
        <v>28746</v>
      </c>
      <c r="Q22">
        <v>8068</v>
      </c>
      <c r="R22">
        <v>3933</v>
      </c>
      <c r="S22">
        <v>25088</v>
      </c>
      <c r="T22">
        <v>3712</v>
      </c>
      <c r="U22">
        <v>22911</v>
      </c>
      <c r="V22">
        <v>2254</v>
      </c>
      <c r="W22">
        <v>1827</v>
      </c>
      <c r="X22">
        <v>34254</v>
      </c>
      <c r="Y22">
        <v>1805</v>
      </c>
      <c r="Z22">
        <v>33770</v>
      </c>
      <c r="AA22">
        <v>1692</v>
      </c>
      <c r="AB22">
        <v>4</v>
      </c>
      <c r="AC22">
        <v>303</v>
      </c>
      <c r="AD22">
        <v>4</v>
      </c>
      <c r="AE22">
        <v>303</v>
      </c>
      <c r="AF22">
        <v>0</v>
      </c>
      <c r="AG22">
        <v>335</v>
      </c>
      <c r="AH22">
        <v>987</v>
      </c>
      <c r="AI22">
        <v>389</v>
      </c>
      <c r="AJ22">
        <v>1154</v>
      </c>
      <c r="AK22">
        <v>811</v>
      </c>
      <c r="AL22">
        <v>4515</v>
      </c>
      <c r="AM22">
        <v>1291</v>
      </c>
      <c r="AN22">
        <v>2523</v>
      </c>
      <c r="AO22">
        <v>773</v>
      </c>
      <c r="AP22">
        <v>11105</v>
      </c>
      <c r="AQ22">
        <v>37</v>
      </c>
      <c r="AR22">
        <v>708</v>
      </c>
      <c r="AS22">
        <v>42</v>
      </c>
      <c r="AT22">
        <v>860</v>
      </c>
      <c r="AU22">
        <v>16</v>
      </c>
      <c r="AV22">
        <v>6202</v>
      </c>
      <c r="AW22">
        <v>1692</v>
      </c>
      <c r="AX22">
        <v>6025</v>
      </c>
      <c r="AY22">
        <v>1829</v>
      </c>
      <c r="AZ22">
        <v>11644</v>
      </c>
      <c r="BA22">
        <v>75</v>
      </c>
      <c r="BB22">
        <v>1963</v>
      </c>
      <c r="BC22">
        <v>81</v>
      </c>
      <c r="BD22">
        <v>2768</v>
      </c>
      <c r="BE22">
        <v>56</v>
      </c>
      <c r="BF22">
        <v>263</v>
      </c>
      <c r="BG22">
        <v>834</v>
      </c>
      <c r="BH22">
        <v>263</v>
      </c>
      <c r="BI22">
        <v>850</v>
      </c>
      <c r="BJ22">
        <v>1</v>
      </c>
      <c r="BK22">
        <v>1028</v>
      </c>
      <c r="BL22">
        <v>1176</v>
      </c>
      <c r="BM22">
        <v>25</v>
      </c>
      <c r="BN22">
        <v>641</v>
      </c>
    </row>
    <row r="23" spans="1:66" x14ac:dyDescent="0.4">
      <c r="A23" s="1" t="s">
        <v>34</v>
      </c>
      <c r="B23" s="1" t="s">
        <v>35</v>
      </c>
      <c r="C23">
        <v>162</v>
      </c>
      <c r="D23">
        <v>6262</v>
      </c>
      <c r="E23">
        <v>237</v>
      </c>
      <c r="F23">
        <v>9060</v>
      </c>
      <c r="G23">
        <v>669</v>
      </c>
      <c r="H23">
        <v>67</v>
      </c>
      <c r="I23">
        <v>6110</v>
      </c>
      <c r="J23">
        <v>82</v>
      </c>
      <c r="K23">
        <v>8632</v>
      </c>
      <c r="L23">
        <v>88</v>
      </c>
      <c r="M23">
        <v>8129</v>
      </c>
      <c r="N23">
        <v>27867</v>
      </c>
      <c r="O23">
        <v>9396</v>
      </c>
      <c r="P23">
        <v>36184</v>
      </c>
      <c r="Q23">
        <v>6883</v>
      </c>
      <c r="R23">
        <v>3827</v>
      </c>
      <c r="S23">
        <v>23893</v>
      </c>
      <c r="T23">
        <v>4057</v>
      </c>
      <c r="U23">
        <v>24736</v>
      </c>
      <c r="V23">
        <v>2037</v>
      </c>
      <c r="W23">
        <v>1880</v>
      </c>
      <c r="X23">
        <v>34111</v>
      </c>
      <c r="Y23">
        <v>2259</v>
      </c>
      <c r="Z23">
        <v>40154</v>
      </c>
      <c r="AA23">
        <v>1311</v>
      </c>
      <c r="AB23">
        <v>6</v>
      </c>
      <c r="AC23">
        <v>1090</v>
      </c>
      <c r="AD23">
        <v>6</v>
      </c>
      <c r="AE23">
        <v>1090</v>
      </c>
      <c r="AF23">
        <v>0</v>
      </c>
      <c r="AG23">
        <v>308</v>
      </c>
      <c r="AH23">
        <v>1099</v>
      </c>
      <c r="AI23">
        <v>290</v>
      </c>
      <c r="AJ23">
        <v>1003</v>
      </c>
      <c r="AK23">
        <v>829</v>
      </c>
      <c r="AL23">
        <v>4271</v>
      </c>
      <c r="AM23">
        <v>1239</v>
      </c>
      <c r="AN23">
        <v>5169</v>
      </c>
      <c r="AO23">
        <v>1701</v>
      </c>
      <c r="AP23">
        <v>10207</v>
      </c>
      <c r="AQ23">
        <v>32</v>
      </c>
      <c r="AR23">
        <v>623</v>
      </c>
      <c r="AS23">
        <v>40</v>
      </c>
      <c r="AT23">
        <v>806</v>
      </c>
      <c r="AU23">
        <v>8</v>
      </c>
      <c r="AV23">
        <v>5029</v>
      </c>
      <c r="AW23">
        <v>2018</v>
      </c>
      <c r="AX23">
        <v>4802</v>
      </c>
      <c r="AY23">
        <v>2096</v>
      </c>
      <c r="AZ23">
        <v>11871</v>
      </c>
      <c r="BA23">
        <v>103</v>
      </c>
      <c r="BB23">
        <v>2216</v>
      </c>
      <c r="BC23">
        <v>96</v>
      </c>
      <c r="BD23">
        <v>3289</v>
      </c>
      <c r="BE23">
        <v>63</v>
      </c>
      <c r="BF23">
        <v>286</v>
      </c>
      <c r="BG23">
        <v>800</v>
      </c>
      <c r="BH23">
        <v>286</v>
      </c>
      <c r="BI23">
        <v>800</v>
      </c>
      <c r="BJ23">
        <v>1</v>
      </c>
      <c r="BK23">
        <v>989</v>
      </c>
      <c r="BL23">
        <v>1405</v>
      </c>
      <c r="BM23">
        <v>20</v>
      </c>
      <c r="BN23">
        <v>478</v>
      </c>
    </row>
    <row r="24" spans="1:66" x14ac:dyDescent="0.4">
      <c r="A24" s="1" t="s">
        <v>36</v>
      </c>
      <c r="B24" s="1" t="s">
        <v>37</v>
      </c>
      <c r="C24">
        <v>191</v>
      </c>
      <c r="D24">
        <v>7505</v>
      </c>
      <c r="E24">
        <v>105</v>
      </c>
      <c r="F24">
        <v>4143</v>
      </c>
      <c r="G24">
        <v>755</v>
      </c>
      <c r="H24">
        <v>47</v>
      </c>
      <c r="I24">
        <v>4307</v>
      </c>
      <c r="J24">
        <v>39</v>
      </c>
      <c r="K24">
        <v>3622</v>
      </c>
      <c r="L24">
        <v>96</v>
      </c>
      <c r="M24">
        <v>7757</v>
      </c>
      <c r="N24">
        <v>28061</v>
      </c>
      <c r="O24">
        <v>6558</v>
      </c>
      <c r="P24">
        <v>24773</v>
      </c>
      <c r="Q24">
        <v>8188</v>
      </c>
      <c r="R24">
        <v>3532</v>
      </c>
      <c r="S24">
        <v>22837</v>
      </c>
      <c r="T24">
        <v>3322</v>
      </c>
      <c r="U24">
        <v>20832</v>
      </c>
      <c r="V24">
        <v>2254</v>
      </c>
      <c r="W24">
        <v>2155</v>
      </c>
      <c r="X24">
        <v>37193</v>
      </c>
      <c r="Y24">
        <v>1690</v>
      </c>
      <c r="Z24">
        <v>30189</v>
      </c>
      <c r="AA24">
        <v>1771</v>
      </c>
      <c r="AB24">
        <v>3</v>
      </c>
      <c r="AC24">
        <v>552</v>
      </c>
      <c r="AD24">
        <v>3</v>
      </c>
      <c r="AE24">
        <v>552</v>
      </c>
      <c r="AF24">
        <v>0</v>
      </c>
      <c r="AG24">
        <v>326</v>
      </c>
      <c r="AH24">
        <v>1083</v>
      </c>
      <c r="AI24">
        <v>266</v>
      </c>
      <c r="AJ24">
        <v>900</v>
      </c>
      <c r="AK24">
        <v>889</v>
      </c>
      <c r="AL24">
        <v>3947</v>
      </c>
      <c r="AM24">
        <v>1181</v>
      </c>
      <c r="AN24">
        <v>3007</v>
      </c>
      <c r="AO24">
        <v>976</v>
      </c>
      <c r="AP24">
        <v>11147</v>
      </c>
      <c r="AQ24">
        <v>25</v>
      </c>
      <c r="AR24">
        <v>470</v>
      </c>
      <c r="AS24">
        <v>21</v>
      </c>
      <c r="AT24">
        <v>416</v>
      </c>
      <c r="AU24">
        <v>12</v>
      </c>
      <c r="AV24">
        <v>7086</v>
      </c>
      <c r="AW24">
        <v>2239</v>
      </c>
      <c r="AX24">
        <v>6735</v>
      </c>
      <c r="AY24">
        <v>2255</v>
      </c>
      <c r="AZ24">
        <v>12222</v>
      </c>
      <c r="BA24">
        <v>70</v>
      </c>
      <c r="BB24">
        <v>1657</v>
      </c>
      <c r="BC24">
        <v>71</v>
      </c>
      <c r="BD24">
        <v>2340</v>
      </c>
      <c r="BE24">
        <v>62</v>
      </c>
      <c r="BF24">
        <v>264</v>
      </c>
      <c r="BG24">
        <v>812</v>
      </c>
      <c r="BH24">
        <v>264</v>
      </c>
      <c r="BI24">
        <v>812</v>
      </c>
      <c r="BJ24">
        <v>1</v>
      </c>
      <c r="BK24">
        <v>884</v>
      </c>
      <c r="BL24">
        <v>973</v>
      </c>
      <c r="BM24">
        <v>25</v>
      </c>
      <c r="BN24">
        <v>687</v>
      </c>
    </row>
    <row r="25" spans="1:66" x14ac:dyDescent="0.4">
      <c r="A25" s="1" t="s">
        <v>38</v>
      </c>
      <c r="B25" s="1" t="s">
        <v>39</v>
      </c>
      <c r="C25">
        <v>195</v>
      </c>
      <c r="D25">
        <v>6896</v>
      </c>
      <c r="E25">
        <v>145</v>
      </c>
      <c r="F25">
        <v>5175</v>
      </c>
      <c r="G25">
        <v>805</v>
      </c>
      <c r="H25">
        <v>45</v>
      </c>
      <c r="I25">
        <v>4488</v>
      </c>
      <c r="J25">
        <v>52</v>
      </c>
      <c r="K25">
        <v>4446</v>
      </c>
      <c r="L25">
        <v>89</v>
      </c>
      <c r="M25">
        <v>8552</v>
      </c>
      <c r="N25">
        <v>31793</v>
      </c>
      <c r="O25">
        <v>9041</v>
      </c>
      <c r="P25">
        <v>37855</v>
      </c>
      <c r="Q25">
        <v>7799</v>
      </c>
      <c r="R25">
        <v>3412</v>
      </c>
      <c r="S25">
        <v>22056</v>
      </c>
      <c r="T25">
        <v>3472</v>
      </c>
      <c r="U25">
        <v>22375</v>
      </c>
      <c r="V25">
        <v>2198</v>
      </c>
      <c r="W25">
        <v>2377</v>
      </c>
      <c r="X25">
        <v>42285</v>
      </c>
      <c r="Y25">
        <v>2263</v>
      </c>
      <c r="Z25">
        <v>41145</v>
      </c>
      <c r="AA25">
        <v>1885</v>
      </c>
      <c r="AB25">
        <v>2</v>
      </c>
      <c r="AC25">
        <v>63</v>
      </c>
      <c r="AD25">
        <v>2</v>
      </c>
      <c r="AE25">
        <v>63</v>
      </c>
      <c r="AF25">
        <v>0</v>
      </c>
      <c r="AG25">
        <v>236</v>
      </c>
      <c r="AH25">
        <v>737</v>
      </c>
      <c r="AI25">
        <v>253</v>
      </c>
      <c r="AJ25">
        <v>740</v>
      </c>
      <c r="AK25">
        <v>872</v>
      </c>
      <c r="AL25">
        <v>3956</v>
      </c>
      <c r="AM25">
        <v>1157</v>
      </c>
      <c r="AN25">
        <v>3488</v>
      </c>
      <c r="AO25">
        <v>1121</v>
      </c>
      <c r="AP25">
        <v>11615</v>
      </c>
      <c r="AQ25">
        <v>43</v>
      </c>
      <c r="AR25">
        <v>881</v>
      </c>
      <c r="AS25">
        <v>40</v>
      </c>
      <c r="AT25">
        <v>848</v>
      </c>
      <c r="AU25">
        <v>15</v>
      </c>
      <c r="AV25">
        <v>4669</v>
      </c>
      <c r="AW25">
        <v>1536</v>
      </c>
      <c r="AX25">
        <v>5012</v>
      </c>
      <c r="AY25">
        <v>1797</v>
      </c>
      <c r="AZ25">
        <v>11879</v>
      </c>
      <c r="BA25">
        <v>70</v>
      </c>
      <c r="BB25">
        <v>2734</v>
      </c>
      <c r="BC25">
        <v>72</v>
      </c>
      <c r="BD25">
        <v>3632</v>
      </c>
      <c r="BE25">
        <v>60</v>
      </c>
      <c r="BF25">
        <v>320</v>
      </c>
      <c r="BG25">
        <v>892</v>
      </c>
      <c r="BH25">
        <v>320</v>
      </c>
      <c r="BI25">
        <v>892</v>
      </c>
      <c r="BJ25">
        <v>1</v>
      </c>
      <c r="BK25">
        <v>963</v>
      </c>
      <c r="BL25">
        <v>1482</v>
      </c>
      <c r="BM25">
        <v>26</v>
      </c>
      <c r="BN25">
        <v>906</v>
      </c>
    </row>
    <row r="26" spans="1:66" x14ac:dyDescent="0.4">
      <c r="A26" s="1" t="s">
        <v>40</v>
      </c>
      <c r="B26" s="1" t="s">
        <v>41</v>
      </c>
      <c r="C26">
        <v>194</v>
      </c>
      <c r="D26">
        <v>7024</v>
      </c>
      <c r="E26">
        <v>289</v>
      </c>
      <c r="F26">
        <v>11747</v>
      </c>
      <c r="G26">
        <v>710</v>
      </c>
      <c r="H26">
        <v>55</v>
      </c>
      <c r="I26">
        <v>5802</v>
      </c>
      <c r="J26">
        <v>82</v>
      </c>
      <c r="K26">
        <v>9201</v>
      </c>
      <c r="L26">
        <v>62</v>
      </c>
      <c r="M26">
        <v>9071</v>
      </c>
      <c r="N26">
        <v>34453</v>
      </c>
      <c r="O26">
        <v>9539</v>
      </c>
      <c r="P26">
        <v>39486</v>
      </c>
      <c r="Q26">
        <v>7442</v>
      </c>
      <c r="R26">
        <v>4482</v>
      </c>
      <c r="S26">
        <v>28206</v>
      </c>
      <c r="T26">
        <v>4134</v>
      </c>
      <c r="U26">
        <v>27139</v>
      </c>
      <c r="V26">
        <v>2556</v>
      </c>
      <c r="W26">
        <v>2415</v>
      </c>
      <c r="X26">
        <v>43175</v>
      </c>
      <c r="Y26">
        <v>2701</v>
      </c>
      <c r="Z26">
        <v>51243</v>
      </c>
      <c r="AA26">
        <v>1601</v>
      </c>
      <c r="AB26">
        <v>11</v>
      </c>
      <c r="AC26">
        <v>1109</v>
      </c>
      <c r="AD26">
        <v>11</v>
      </c>
      <c r="AE26">
        <v>1109</v>
      </c>
      <c r="AF26">
        <v>0</v>
      </c>
      <c r="AG26">
        <v>245</v>
      </c>
      <c r="AH26">
        <v>838</v>
      </c>
      <c r="AI26">
        <v>236</v>
      </c>
      <c r="AJ26">
        <v>876</v>
      </c>
      <c r="AK26">
        <v>881</v>
      </c>
      <c r="AL26">
        <v>3800</v>
      </c>
      <c r="AM26">
        <v>1120</v>
      </c>
      <c r="AN26">
        <v>4880</v>
      </c>
      <c r="AO26">
        <v>1520</v>
      </c>
      <c r="AP26">
        <v>10535</v>
      </c>
      <c r="AQ26">
        <v>41</v>
      </c>
      <c r="AR26">
        <v>2977</v>
      </c>
      <c r="AS26">
        <v>43</v>
      </c>
      <c r="AT26">
        <v>3067</v>
      </c>
      <c r="AU26">
        <v>13</v>
      </c>
      <c r="AV26">
        <v>6725</v>
      </c>
      <c r="AW26">
        <v>3097</v>
      </c>
      <c r="AX26">
        <v>7021</v>
      </c>
      <c r="AY26">
        <v>3912</v>
      </c>
      <c r="AZ26">
        <v>11603</v>
      </c>
      <c r="BA26">
        <v>87</v>
      </c>
      <c r="BB26">
        <v>1968</v>
      </c>
      <c r="BC26">
        <v>114</v>
      </c>
      <c r="BD26">
        <v>3344</v>
      </c>
      <c r="BE26">
        <v>33</v>
      </c>
      <c r="BF26">
        <v>289</v>
      </c>
      <c r="BG26">
        <v>757</v>
      </c>
      <c r="BH26">
        <v>289</v>
      </c>
      <c r="BI26">
        <v>757</v>
      </c>
      <c r="BJ26">
        <v>1</v>
      </c>
      <c r="BK26">
        <v>878</v>
      </c>
      <c r="BL26">
        <v>1406</v>
      </c>
      <c r="BM26">
        <v>27</v>
      </c>
      <c r="BN26">
        <v>655</v>
      </c>
    </row>
    <row r="27" spans="1:66" x14ac:dyDescent="0.4">
      <c r="A27" s="1" t="s">
        <v>42</v>
      </c>
      <c r="B27" s="1" t="s">
        <v>43</v>
      </c>
      <c r="C27">
        <v>200</v>
      </c>
      <c r="D27">
        <v>7442</v>
      </c>
      <c r="E27">
        <v>140</v>
      </c>
      <c r="F27">
        <v>4765</v>
      </c>
      <c r="G27">
        <v>768</v>
      </c>
      <c r="H27">
        <v>51</v>
      </c>
      <c r="I27">
        <v>5114</v>
      </c>
      <c r="J27">
        <v>32</v>
      </c>
      <c r="K27">
        <v>2487</v>
      </c>
      <c r="L27">
        <v>81</v>
      </c>
      <c r="M27">
        <v>8628</v>
      </c>
      <c r="N27">
        <v>31596</v>
      </c>
      <c r="O27">
        <v>9475</v>
      </c>
      <c r="P27">
        <v>39474</v>
      </c>
      <c r="Q27">
        <v>6685</v>
      </c>
      <c r="R27">
        <v>3972</v>
      </c>
      <c r="S27">
        <v>31551</v>
      </c>
      <c r="T27">
        <v>3017</v>
      </c>
      <c r="U27">
        <v>19432</v>
      </c>
      <c r="V27">
        <v>3515</v>
      </c>
      <c r="W27">
        <v>2395</v>
      </c>
      <c r="X27">
        <v>44350</v>
      </c>
      <c r="Y27">
        <v>2123</v>
      </c>
      <c r="Z27">
        <v>39572</v>
      </c>
      <c r="AA27">
        <v>1856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251</v>
      </c>
      <c r="AH27">
        <v>836</v>
      </c>
      <c r="AI27">
        <v>249</v>
      </c>
      <c r="AJ27">
        <v>996</v>
      </c>
      <c r="AK27">
        <v>883</v>
      </c>
      <c r="AL27">
        <v>4004</v>
      </c>
      <c r="AM27">
        <v>1126</v>
      </c>
      <c r="AN27">
        <v>4816</v>
      </c>
      <c r="AO27">
        <v>1512</v>
      </c>
      <c r="AP27">
        <v>9723</v>
      </c>
      <c r="AQ27">
        <v>42</v>
      </c>
      <c r="AR27">
        <v>826</v>
      </c>
      <c r="AS27">
        <v>38</v>
      </c>
      <c r="AT27">
        <v>791</v>
      </c>
      <c r="AU27">
        <v>17</v>
      </c>
      <c r="AV27">
        <v>5019</v>
      </c>
      <c r="AW27">
        <v>1247</v>
      </c>
      <c r="AX27">
        <v>5322</v>
      </c>
      <c r="AY27">
        <v>1103</v>
      </c>
      <c r="AZ27">
        <v>11300</v>
      </c>
      <c r="BA27">
        <v>68</v>
      </c>
      <c r="BB27">
        <v>1635</v>
      </c>
      <c r="BC27">
        <v>73</v>
      </c>
      <c r="BD27">
        <v>2546</v>
      </c>
      <c r="BE27">
        <v>28</v>
      </c>
      <c r="BF27">
        <v>259</v>
      </c>
      <c r="BG27">
        <v>664</v>
      </c>
      <c r="BH27">
        <v>260</v>
      </c>
      <c r="BI27">
        <v>665</v>
      </c>
      <c r="BJ27">
        <v>0</v>
      </c>
      <c r="BK27">
        <v>940</v>
      </c>
      <c r="BL27">
        <v>1148</v>
      </c>
      <c r="BM27">
        <v>27</v>
      </c>
      <c r="BN27">
        <v>400</v>
      </c>
    </row>
    <row r="28" spans="1:66" x14ac:dyDescent="0.4">
      <c r="A28" s="1" t="s">
        <v>44</v>
      </c>
      <c r="B28" s="1" t="s">
        <v>45</v>
      </c>
      <c r="C28">
        <v>152</v>
      </c>
      <c r="D28">
        <v>6268</v>
      </c>
      <c r="E28">
        <v>194</v>
      </c>
      <c r="F28">
        <v>6777</v>
      </c>
      <c r="G28">
        <v>726</v>
      </c>
      <c r="H28">
        <v>49</v>
      </c>
      <c r="I28">
        <v>4797</v>
      </c>
      <c r="J28">
        <v>46</v>
      </c>
      <c r="K28">
        <v>4779</v>
      </c>
      <c r="L28">
        <v>84</v>
      </c>
      <c r="M28">
        <v>8250</v>
      </c>
      <c r="N28">
        <v>30101</v>
      </c>
      <c r="O28">
        <v>8014</v>
      </c>
      <c r="P28">
        <v>33206</v>
      </c>
      <c r="Q28">
        <v>7007</v>
      </c>
      <c r="R28">
        <v>3812</v>
      </c>
      <c r="S28">
        <v>24664</v>
      </c>
      <c r="T28">
        <v>4823</v>
      </c>
      <c r="U28">
        <v>30553</v>
      </c>
      <c r="V28">
        <v>2510</v>
      </c>
      <c r="W28">
        <v>2369</v>
      </c>
      <c r="X28">
        <v>43141</v>
      </c>
      <c r="Y28">
        <v>2253</v>
      </c>
      <c r="Z28">
        <v>40316</v>
      </c>
      <c r="AA28">
        <v>1955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211</v>
      </c>
      <c r="AH28">
        <v>683</v>
      </c>
      <c r="AI28">
        <v>254</v>
      </c>
      <c r="AJ28">
        <v>801</v>
      </c>
      <c r="AK28">
        <v>840</v>
      </c>
      <c r="AL28">
        <v>2763</v>
      </c>
      <c r="AM28">
        <v>774</v>
      </c>
      <c r="AN28">
        <v>3416</v>
      </c>
      <c r="AO28">
        <v>1075</v>
      </c>
      <c r="AP28">
        <v>9070</v>
      </c>
      <c r="AQ28">
        <v>39</v>
      </c>
      <c r="AR28">
        <v>754</v>
      </c>
      <c r="AS28">
        <v>37</v>
      </c>
      <c r="AT28">
        <v>743</v>
      </c>
      <c r="AU28">
        <v>19</v>
      </c>
      <c r="AV28">
        <v>5965</v>
      </c>
      <c r="AW28">
        <v>1708</v>
      </c>
      <c r="AX28">
        <v>5631</v>
      </c>
      <c r="AY28">
        <v>1707</v>
      </c>
      <c r="AZ28">
        <v>11634</v>
      </c>
      <c r="BA28">
        <v>73</v>
      </c>
      <c r="BB28">
        <v>2285</v>
      </c>
      <c r="BC28">
        <v>68</v>
      </c>
      <c r="BD28">
        <v>2822</v>
      </c>
      <c r="BE28">
        <v>33</v>
      </c>
      <c r="BF28">
        <v>238</v>
      </c>
      <c r="BG28">
        <v>693</v>
      </c>
      <c r="BH28">
        <v>238</v>
      </c>
      <c r="BI28">
        <v>693</v>
      </c>
      <c r="BJ28">
        <v>0</v>
      </c>
      <c r="BK28">
        <v>689</v>
      </c>
      <c r="BL28">
        <v>976</v>
      </c>
      <c r="BM28">
        <v>21</v>
      </c>
      <c r="BN28">
        <v>393</v>
      </c>
    </row>
    <row r="29" spans="1:66" x14ac:dyDescent="0.4">
      <c r="A29" s="1" t="s">
        <v>46</v>
      </c>
      <c r="B29" s="1" t="s">
        <v>47</v>
      </c>
      <c r="C29">
        <v>191</v>
      </c>
      <c r="D29">
        <v>7539</v>
      </c>
      <c r="E29">
        <v>239</v>
      </c>
      <c r="F29">
        <v>8661</v>
      </c>
      <c r="G29">
        <v>678</v>
      </c>
      <c r="H29">
        <v>63</v>
      </c>
      <c r="I29">
        <v>6357</v>
      </c>
      <c r="J29">
        <v>77</v>
      </c>
      <c r="K29">
        <v>7740</v>
      </c>
      <c r="L29">
        <v>70</v>
      </c>
      <c r="M29">
        <v>9273</v>
      </c>
      <c r="N29">
        <v>33899</v>
      </c>
      <c r="O29">
        <v>9293</v>
      </c>
      <c r="P29">
        <v>38481</v>
      </c>
      <c r="Q29">
        <v>7066</v>
      </c>
      <c r="R29">
        <v>4587</v>
      </c>
      <c r="S29">
        <v>29515</v>
      </c>
      <c r="T29">
        <v>4656</v>
      </c>
      <c r="U29">
        <v>29634</v>
      </c>
      <c r="V29">
        <v>2445</v>
      </c>
      <c r="W29">
        <v>2603</v>
      </c>
      <c r="X29">
        <v>47874</v>
      </c>
      <c r="Y29">
        <v>2803</v>
      </c>
      <c r="Z29">
        <v>51528</v>
      </c>
      <c r="AA29">
        <v>1739</v>
      </c>
      <c r="AB29">
        <v>6</v>
      </c>
      <c r="AC29">
        <v>411</v>
      </c>
      <c r="AD29">
        <v>6</v>
      </c>
      <c r="AE29">
        <v>411</v>
      </c>
      <c r="AF29">
        <v>0</v>
      </c>
      <c r="AG29">
        <v>302</v>
      </c>
      <c r="AH29">
        <v>860</v>
      </c>
      <c r="AI29">
        <v>340</v>
      </c>
      <c r="AJ29">
        <v>1012</v>
      </c>
      <c r="AK29">
        <v>802</v>
      </c>
      <c r="AL29">
        <v>3212</v>
      </c>
      <c r="AM29">
        <v>940</v>
      </c>
      <c r="AN29">
        <v>4392</v>
      </c>
      <c r="AO29">
        <v>1383</v>
      </c>
      <c r="AP29">
        <v>7890</v>
      </c>
      <c r="AQ29">
        <v>44</v>
      </c>
      <c r="AR29">
        <v>854</v>
      </c>
      <c r="AS29">
        <v>41</v>
      </c>
      <c r="AT29">
        <v>839</v>
      </c>
      <c r="AU29">
        <v>22</v>
      </c>
      <c r="AV29">
        <v>6214</v>
      </c>
      <c r="AW29">
        <v>1252</v>
      </c>
      <c r="AX29">
        <v>6400</v>
      </c>
      <c r="AY29">
        <v>1338</v>
      </c>
      <c r="AZ29">
        <v>11448</v>
      </c>
      <c r="BA29">
        <v>98</v>
      </c>
      <c r="BB29">
        <v>2692</v>
      </c>
      <c r="BC29">
        <v>97</v>
      </c>
      <c r="BD29">
        <v>3189</v>
      </c>
      <c r="BE29">
        <v>34</v>
      </c>
      <c r="BF29">
        <v>277</v>
      </c>
      <c r="BG29">
        <v>836</v>
      </c>
      <c r="BH29">
        <v>277</v>
      </c>
      <c r="BI29">
        <v>848</v>
      </c>
      <c r="BJ29">
        <v>0</v>
      </c>
      <c r="BK29">
        <v>808</v>
      </c>
      <c r="BL29">
        <v>1437</v>
      </c>
      <c r="BM29">
        <v>15</v>
      </c>
      <c r="BN29">
        <v>276</v>
      </c>
    </row>
    <row r="30" spans="1:66" x14ac:dyDescent="0.4">
      <c r="A30" s="1" t="s">
        <v>48</v>
      </c>
      <c r="B30" s="1" t="s">
        <v>49</v>
      </c>
      <c r="C30">
        <v>198</v>
      </c>
      <c r="D30">
        <v>7600</v>
      </c>
      <c r="E30">
        <v>148</v>
      </c>
      <c r="F30">
        <v>6097</v>
      </c>
      <c r="G30">
        <v>728</v>
      </c>
      <c r="H30">
        <v>55</v>
      </c>
      <c r="I30">
        <v>5723</v>
      </c>
      <c r="J30">
        <v>44</v>
      </c>
      <c r="K30">
        <v>4646</v>
      </c>
      <c r="L30">
        <v>81</v>
      </c>
      <c r="M30">
        <v>9848</v>
      </c>
      <c r="N30">
        <v>35665</v>
      </c>
      <c r="O30">
        <v>9175</v>
      </c>
      <c r="P30">
        <v>36346</v>
      </c>
      <c r="Q30">
        <v>7835</v>
      </c>
      <c r="R30">
        <v>4667</v>
      </c>
      <c r="S30">
        <v>30218</v>
      </c>
      <c r="T30">
        <v>3896</v>
      </c>
      <c r="U30">
        <v>25772</v>
      </c>
      <c r="V30">
        <v>3230</v>
      </c>
      <c r="W30">
        <v>2574</v>
      </c>
      <c r="X30">
        <v>46970</v>
      </c>
      <c r="Y30">
        <v>2353</v>
      </c>
      <c r="Z30">
        <v>43048</v>
      </c>
      <c r="AA30">
        <v>1945</v>
      </c>
      <c r="AB30">
        <v>3</v>
      </c>
      <c r="AC30">
        <v>180</v>
      </c>
      <c r="AD30">
        <v>3</v>
      </c>
      <c r="AE30">
        <v>180</v>
      </c>
      <c r="AF30">
        <v>0</v>
      </c>
      <c r="AG30">
        <v>275</v>
      </c>
      <c r="AH30">
        <v>983</v>
      </c>
      <c r="AI30">
        <v>390</v>
      </c>
      <c r="AJ30">
        <v>1134</v>
      </c>
      <c r="AK30">
        <v>687</v>
      </c>
      <c r="AL30">
        <v>4320</v>
      </c>
      <c r="AM30">
        <v>1258</v>
      </c>
      <c r="AN30">
        <v>4466</v>
      </c>
      <c r="AO30">
        <v>1436</v>
      </c>
      <c r="AP30">
        <v>7744</v>
      </c>
      <c r="AQ30">
        <v>45</v>
      </c>
      <c r="AR30">
        <v>965</v>
      </c>
      <c r="AS30">
        <v>39</v>
      </c>
      <c r="AT30">
        <v>872</v>
      </c>
      <c r="AU30">
        <v>28</v>
      </c>
      <c r="AV30">
        <v>6266</v>
      </c>
      <c r="AW30">
        <v>2667</v>
      </c>
      <c r="AX30">
        <v>6766</v>
      </c>
      <c r="AY30">
        <v>2859</v>
      </c>
      <c r="AZ30">
        <v>10948</v>
      </c>
      <c r="BA30">
        <v>76</v>
      </c>
      <c r="BB30">
        <v>1847</v>
      </c>
      <c r="BC30">
        <v>68</v>
      </c>
      <c r="BD30">
        <v>2198</v>
      </c>
      <c r="BE30">
        <v>42</v>
      </c>
      <c r="BF30">
        <v>303</v>
      </c>
      <c r="BG30">
        <v>978</v>
      </c>
      <c r="BH30">
        <v>303</v>
      </c>
      <c r="BI30">
        <v>979</v>
      </c>
      <c r="BJ30">
        <v>0</v>
      </c>
      <c r="BK30">
        <v>958</v>
      </c>
      <c r="BL30">
        <v>1580</v>
      </c>
      <c r="BM30">
        <v>21</v>
      </c>
      <c r="BN30">
        <v>425</v>
      </c>
    </row>
    <row r="31" spans="1:66" x14ac:dyDescent="0.4">
      <c r="A31" s="1" t="s">
        <v>50</v>
      </c>
      <c r="B31" s="1" t="s">
        <v>51</v>
      </c>
      <c r="C31">
        <v>145</v>
      </c>
      <c r="D31">
        <v>5659</v>
      </c>
      <c r="E31">
        <v>177</v>
      </c>
      <c r="F31">
        <v>6596</v>
      </c>
      <c r="G31">
        <v>696</v>
      </c>
      <c r="H31">
        <v>49</v>
      </c>
      <c r="I31">
        <v>4746</v>
      </c>
      <c r="J31">
        <v>41</v>
      </c>
      <c r="K31">
        <v>4188</v>
      </c>
      <c r="L31">
        <v>89</v>
      </c>
      <c r="M31">
        <v>7236</v>
      </c>
      <c r="N31">
        <v>25959</v>
      </c>
      <c r="O31">
        <v>7999</v>
      </c>
      <c r="P31">
        <v>33024</v>
      </c>
      <c r="Q31">
        <v>7150</v>
      </c>
      <c r="R31">
        <v>3319</v>
      </c>
      <c r="S31">
        <v>21450</v>
      </c>
      <c r="T31">
        <v>3036</v>
      </c>
      <c r="U31">
        <v>20081</v>
      </c>
      <c r="V31">
        <v>3525</v>
      </c>
      <c r="W31">
        <v>2058</v>
      </c>
      <c r="X31">
        <v>37644</v>
      </c>
      <c r="Y31">
        <v>2167</v>
      </c>
      <c r="Z31">
        <v>38167</v>
      </c>
      <c r="AA31">
        <v>1821</v>
      </c>
      <c r="AB31">
        <v>6</v>
      </c>
      <c r="AC31">
        <v>657</v>
      </c>
      <c r="AD31">
        <v>6</v>
      </c>
      <c r="AE31">
        <v>657</v>
      </c>
      <c r="AF31">
        <v>0</v>
      </c>
      <c r="AG31">
        <v>284</v>
      </c>
      <c r="AH31">
        <v>1031</v>
      </c>
      <c r="AI31">
        <v>230</v>
      </c>
      <c r="AJ31">
        <v>850</v>
      </c>
      <c r="AK31">
        <v>741</v>
      </c>
      <c r="AL31">
        <v>3830</v>
      </c>
      <c r="AM31">
        <v>1133</v>
      </c>
      <c r="AN31">
        <v>3863</v>
      </c>
      <c r="AO31">
        <v>1270</v>
      </c>
      <c r="AP31">
        <v>7711</v>
      </c>
      <c r="AQ31">
        <v>39</v>
      </c>
      <c r="AR31">
        <v>2028</v>
      </c>
      <c r="AS31">
        <v>38</v>
      </c>
      <c r="AT31">
        <v>2039</v>
      </c>
      <c r="AU31">
        <v>29</v>
      </c>
      <c r="AV31">
        <v>3643</v>
      </c>
      <c r="AW31">
        <v>2043</v>
      </c>
      <c r="AX31">
        <v>4460</v>
      </c>
      <c r="AY31">
        <v>2235</v>
      </c>
      <c r="AZ31">
        <v>10131</v>
      </c>
      <c r="BA31">
        <v>58</v>
      </c>
      <c r="BB31">
        <v>2117</v>
      </c>
      <c r="BC31">
        <v>51</v>
      </c>
      <c r="BD31">
        <v>2574</v>
      </c>
      <c r="BE31">
        <v>49</v>
      </c>
      <c r="BF31">
        <v>205</v>
      </c>
      <c r="BG31">
        <v>620</v>
      </c>
      <c r="BH31">
        <v>205</v>
      </c>
      <c r="BI31">
        <v>626</v>
      </c>
      <c r="BJ31">
        <v>0</v>
      </c>
      <c r="BK31">
        <v>821</v>
      </c>
      <c r="BL31">
        <v>1255</v>
      </c>
      <c r="BM31">
        <v>32</v>
      </c>
      <c r="BN31">
        <v>916</v>
      </c>
    </row>
    <row r="32" spans="1:66" x14ac:dyDescent="0.4">
      <c r="A32" s="1" t="s">
        <v>52</v>
      </c>
      <c r="B32" s="1" t="s">
        <v>53</v>
      </c>
      <c r="C32">
        <v>175</v>
      </c>
      <c r="D32">
        <v>6250</v>
      </c>
      <c r="E32">
        <v>190</v>
      </c>
      <c r="F32">
        <v>7020</v>
      </c>
      <c r="G32">
        <v>681</v>
      </c>
      <c r="H32">
        <v>50</v>
      </c>
      <c r="I32">
        <v>4653</v>
      </c>
      <c r="J32">
        <v>61</v>
      </c>
      <c r="K32">
        <v>6259</v>
      </c>
      <c r="L32">
        <v>78</v>
      </c>
      <c r="M32">
        <v>9404</v>
      </c>
      <c r="N32">
        <v>34592</v>
      </c>
      <c r="O32">
        <v>8702</v>
      </c>
      <c r="P32">
        <v>33815</v>
      </c>
      <c r="Q32">
        <v>7913</v>
      </c>
      <c r="R32">
        <v>4962</v>
      </c>
      <c r="S32">
        <v>34604</v>
      </c>
      <c r="T32">
        <v>5632</v>
      </c>
      <c r="U32">
        <v>36555</v>
      </c>
      <c r="V32">
        <v>2887</v>
      </c>
      <c r="W32">
        <v>2290</v>
      </c>
      <c r="X32">
        <v>47175</v>
      </c>
      <c r="Y32">
        <v>2416</v>
      </c>
      <c r="Z32">
        <v>44186</v>
      </c>
      <c r="AA32">
        <v>1679</v>
      </c>
      <c r="AB32">
        <v>2</v>
      </c>
      <c r="AC32">
        <v>208</v>
      </c>
      <c r="AD32">
        <v>2</v>
      </c>
      <c r="AE32">
        <v>208</v>
      </c>
      <c r="AF32">
        <v>0</v>
      </c>
      <c r="AG32">
        <v>341</v>
      </c>
      <c r="AH32">
        <v>1140</v>
      </c>
      <c r="AI32">
        <v>366</v>
      </c>
      <c r="AJ32">
        <v>1352</v>
      </c>
      <c r="AK32">
        <v>716</v>
      </c>
      <c r="AL32">
        <v>3878</v>
      </c>
      <c r="AM32">
        <v>1101</v>
      </c>
      <c r="AN32">
        <v>4252</v>
      </c>
      <c r="AO32">
        <v>1365</v>
      </c>
      <c r="AP32">
        <v>7337</v>
      </c>
      <c r="AQ32">
        <v>50</v>
      </c>
      <c r="AR32">
        <v>981</v>
      </c>
      <c r="AS32">
        <v>45</v>
      </c>
      <c r="AT32">
        <v>926</v>
      </c>
      <c r="AU32">
        <v>34</v>
      </c>
      <c r="AV32">
        <v>5605</v>
      </c>
      <c r="AW32">
        <v>1610</v>
      </c>
      <c r="AX32">
        <v>5551</v>
      </c>
      <c r="AY32">
        <v>2168</v>
      </c>
      <c r="AZ32">
        <v>10192</v>
      </c>
      <c r="BA32">
        <v>81</v>
      </c>
      <c r="BB32">
        <v>1938</v>
      </c>
      <c r="BC32">
        <v>81</v>
      </c>
      <c r="BD32">
        <v>3190</v>
      </c>
      <c r="BE32">
        <v>49</v>
      </c>
      <c r="BF32">
        <v>212</v>
      </c>
      <c r="BG32">
        <v>706</v>
      </c>
      <c r="BH32">
        <v>212</v>
      </c>
      <c r="BI32">
        <v>706</v>
      </c>
      <c r="BJ32">
        <v>0</v>
      </c>
      <c r="BK32">
        <v>850</v>
      </c>
      <c r="BL32">
        <v>1159</v>
      </c>
      <c r="BM32">
        <v>20</v>
      </c>
      <c r="BN32">
        <v>429</v>
      </c>
    </row>
    <row r="33" spans="1:66" x14ac:dyDescent="0.4">
      <c r="A33" s="1" t="s">
        <v>54</v>
      </c>
      <c r="B33" s="1" t="s">
        <v>55</v>
      </c>
      <c r="C33">
        <v>204</v>
      </c>
      <c r="D33">
        <v>9243</v>
      </c>
      <c r="E33">
        <v>165</v>
      </c>
      <c r="F33">
        <v>6656</v>
      </c>
      <c r="G33">
        <v>720</v>
      </c>
      <c r="H33">
        <v>55</v>
      </c>
      <c r="I33">
        <v>5407</v>
      </c>
      <c r="J33">
        <v>42</v>
      </c>
      <c r="K33">
        <v>4264</v>
      </c>
      <c r="L33">
        <v>91</v>
      </c>
      <c r="M33">
        <v>9605</v>
      </c>
      <c r="N33">
        <v>35153</v>
      </c>
      <c r="O33">
        <v>9972</v>
      </c>
      <c r="P33">
        <v>41068</v>
      </c>
      <c r="Q33">
        <v>7595</v>
      </c>
      <c r="R33">
        <v>4773</v>
      </c>
      <c r="S33">
        <v>31042</v>
      </c>
      <c r="T33">
        <v>5739</v>
      </c>
      <c r="U33">
        <v>35598</v>
      </c>
      <c r="V33">
        <v>1929</v>
      </c>
      <c r="W33">
        <v>2265</v>
      </c>
      <c r="X33">
        <v>39764</v>
      </c>
      <c r="Y33">
        <v>2314</v>
      </c>
      <c r="Z33">
        <v>41156</v>
      </c>
      <c r="AA33">
        <v>1615</v>
      </c>
      <c r="AB33">
        <v>3</v>
      </c>
      <c r="AC33">
        <v>208</v>
      </c>
      <c r="AD33">
        <v>3</v>
      </c>
      <c r="AE33">
        <v>208</v>
      </c>
      <c r="AF33">
        <v>0</v>
      </c>
      <c r="AG33">
        <v>412</v>
      </c>
      <c r="AH33">
        <v>1301</v>
      </c>
      <c r="AI33">
        <v>462</v>
      </c>
      <c r="AJ33">
        <v>1584</v>
      </c>
      <c r="AK33">
        <v>666</v>
      </c>
      <c r="AL33">
        <v>4394</v>
      </c>
      <c r="AM33">
        <v>1308</v>
      </c>
      <c r="AN33">
        <v>4468</v>
      </c>
      <c r="AO33">
        <v>1479</v>
      </c>
      <c r="AP33">
        <v>7263</v>
      </c>
      <c r="AQ33">
        <v>48</v>
      </c>
      <c r="AR33">
        <v>1473</v>
      </c>
      <c r="AS33">
        <v>50</v>
      </c>
      <c r="AT33">
        <v>1562</v>
      </c>
      <c r="AU33">
        <v>32</v>
      </c>
      <c r="AV33">
        <v>5102</v>
      </c>
      <c r="AW33">
        <v>2172</v>
      </c>
      <c r="AX33">
        <v>5380</v>
      </c>
      <c r="AY33">
        <v>1927</v>
      </c>
      <c r="AZ33">
        <v>9914</v>
      </c>
      <c r="BA33">
        <v>81</v>
      </c>
      <c r="BB33">
        <v>2803</v>
      </c>
      <c r="BC33">
        <v>85</v>
      </c>
      <c r="BD33">
        <v>3913</v>
      </c>
      <c r="BE33">
        <v>45</v>
      </c>
      <c r="BF33">
        <v>258</v>
      </c>
      <c r="BG33">
        <v>761</v>
      </c>
      <c r="BH33">
        <v>258</v>
      </c>
      <c r="BI33">
        <v>761</v>
      </c>
      <c r="BJ33">
        <v>0</v>
      </c>
      <c r="BK33">
        <v>1000</v>
      </c>
      <c r="BL33">
        <v>1384</v>
      </c>
      <c r="BM33">
        <v>26</v>
      </c>
      <c r="BN33">
        <v>477</v>
      </c>
    </row>
    <row r="34" spans="1:66" x14ac:dyDescent="0.4">
      <c r="A34" s="1" t="s">
        <v>56</v>
      </c>
      <c r="B34" s="1" t="s">
        <v>57</v>
      </c>
      <c r="C34">
        <v>162</v>
      </c>
      <c r="D34">
        <v>6112</v>
      </c>
      <c r="E34">
        <v>166</v>
      </c>
      <c r="F34">
        <v>6797</v>
      </c>
      <c r="G34">
        <v>716</v>
      </c>
      <c r="H34">
        <v>51</v>
      </c>
      <c r="I34">
        <v>4824</v>
      </c>
      <c r="J34">
        <v>70</v>
      </c>
      <c r="K34">
        <v>6905</v>
      </c>
      <c r="L34">
        <v>72</v>
      </c>
      <c r="M34">
        <v>8871</v>
      </c>
      <c r="N34">
        <v>31288</v>
      </c>
      <c r="O34">
        <v>9101</v>
      </c>
      <c r="P34">
        <v>36470</v>
      </c>
      <c r="Q34">
        <v>7463</v>
      </c>
      <c r="R34">
        <v>4253</v>
      </c>
      <c r="S34">
        <v>27115</v>
      </c>
      <c r="T34">
        <v>4222</v>
      </c>
      <c r="U34">
        <v>26834</v>
      </c>
      <c r="V34">
        <v>1973</v>
      </c>
      <c r="W34">
        <v>2075</v>
      </c>
      <c r="X34">
        <v>36115</v>
      </c>
      <c r="Y34">
        <v>2663</v>
      </c>
      <c r="Z34">
        <v>45282</v>
      </c>
      <c r="AA34">
        <v>1011</v>
      </c>
      <c r="AB34">
        <v>4</v>
      </c>
      <c r="AC34">
        <v>232</v>
      </c>
      <c r="AD34">
        <v>4</v>
      </c>
      <c r="AE34">
        <v>232</v>
      </c>
      <c r="AF34">
        <v>0</v>
      </c>
      <c r="AG34">
        <v>272</v>
      </c>
      <c r="AH34">
        <v>953</v>
      </c>
      <c r="AI34">
        <v>289</v>
      </c>
      <c r="AJ34">
        <v>899</v>
      </c>
      <c r="AK34">
        <v>649</v>
      </c>
      <c r="AL34">
        <v>3922</v>
      </c>
      <c r="AM34">
        <v>1151</v>
      </c>
      <c r="AN34">
        <v>3642</v>
      </c>
      <c r="AO34">
        <v>1195</v>
      </c>
      <c r="AP34">
        <v>7543</v>
      </c>
      <c r="AQ34">
        <v>61</v>
      </c>
      <c r="AR34">
        <v>1833</v>
      </c>
      <c r="AS34">
        <v>66</v>
      </c>
      <c r="AT34">
        <v>1956</v>
      </c>
      <c r="AU34">
        <v>27</v>
      </c>
      <c r="AV34">
        <v>5560</v>
      </c>
      <c r="AW34">
        <v>1635</v>
      </c>
      <c r="AX34">
        <v>5370</v>
      </c>
      <c r="AY34">
        <v>1731</v>
      </c>
      <c r="AZ34">
        <v>10104</v>
      </c>
      <c r="BA34">
        <v>88</v>
      </c>
      <c r="BB34">
        <v>2077</v>
      </c>
      <c r="BC34">
        <v>86</v>
      </c>
      <c r="BD34">
        <v>2741</v>
      </c>
      <c r="BE34">
        <v>47</v>
      </c>
      <c r="BF34">
        <v>291</v>
      </c>
      <c r="BG34">
        <v>654</v>
      </c>
      <c r="BH34">
        <v>291</v>
      </c>
      <c r="BI34">
        <v>654</v>
      </c>
      <c r="BJ34">
        <v>0</v>
      </c>
      <c r="BK34">
        <v>823</v>
      </c>
      <c r="BL34">
        <v>1193</v>
      </c>
      <c r="BM34">
        <v>25</v>
      </c>
      <c r="BN34">
        <v>365</v>
      </c>
    </row>
    <row r="35" spans="1:66" x14ac:dyDescent="0.4">
      <c r="A35" s="1" t="s">
        <v>58</v>
      </c>
      <c r="B35" s="1" t="s">
        <v>59</v>
      </c>
      <c r="C35">
        <v>166</v>
      </c>
      <c r="D35">
        <v>6036</v>
      </c>
      <c r="E35">
        <v>218</v>
      </c>
      <c r="F35">
        <v>9244</v>
      </c>
      <c r="G35">
        <v>664</v>
      </c>
      <c r="H35">
        <v>72</v>
      </c>
      <c r="I35">
        <v>6790</v>
      </c>
      <c r="J35">
        <v>76</v>
      </c>
      <c r="K35">
        <v>6827</v>
      </c>
      <c r="L35">
        <v>68</v>
      </c>
      <c r="M35">
        <v>9596</v>
      </c>
      <c r="N35">
        <v>34060</v>
      </c>
      <c r="O35">
        <v>10023</v>
      </c>
      <c r="P35">
        <v>40671</v>
      </c>
      <c r="Q35">
        <v>7111</v>
      </c>
      <c r="R35">
        <v>4294</v>
      </c>
      <c r="S35">
        <v>28049</v>
      </c>
      <c r="T35">
        <v>4027</v>
      </c>
      <c r="U35">
        <v>26065</v>
      </c>
      <c r="V35">
        <v>2246</v>
      </c>
      <c r="W35">
        <v>2147</v>
      </c>
      <c r="X35">
        <v>38277</v>
      </c>
      <c r="Y35">
        <v>2263</v>
      </c>
      <c r="Z35">
        <v>41175</v>
      </c>
      <c r="AA35">
        <v>879</v>
      </c>
      <c r="AB35">
        <v>7</v>
      </c>
      <c r="AC35">
        <v>512</v>
      </c>
      <c r="AD35">
        <v>7</v>
      </c>
      <c r="AE35">
        <v>512</v>
      </c>
      <c r="AF35">
        <v>0</v>
      </c>
      <c r="AG35">
        <v>367</v>
      </c>
      <c r="AH35">
        <v>1218</v>
      </c>
      <c r="AI35">
        <v>325</v>
      </c>
      <c r="AJ35">
        <v>1045</v>
      </c>
      <c r="AK35">
        <v>691</v>
      </c>
      <c r="AL35">
        <v>4565</v>
      </c>
      <c r="AM35">
        <v>1286</v>
      </c>
      <c r="AN35">
        <v>4497</v>
      </c>
      <c r="AO35">
        <v>1488</v>
      </c>
      <c r="AP35">
        <v>7611</v>
      </c>
      <c r="AQ35">
        <v>46</v>
      </c>
      <c r="AR35">
        <v>2376</v>
      </c>
      <c r="AS35">
        <v>54</v>
      </c>
      <c r="AT35">
        <v>2592</v>
      </c>
      <c r="AU35">
        <v>19</v>
      </c>
      <c r="AV35">
        <v>5924</v>
      </c>
      <c r="AW35">
        <v>2095</v>
      </c>
      <c r="AX35">
        <v>5940</v>
      </c>
      <c r="AY35">
        <v>2156</v>
      </c>
      <c r="AZ35">
        <v>10088</v>
      </c>
      <c r="BA35">
        <v>68</v>
      </c>
      <c r="BB35">
        <v>1468</v>
      </c>
      <c r="BC35">
        <v>72</v>
      </c>
      <c r="BD35">
        <v>2828</v>
      </c>
      <c r="BE35">
        <v>43</v>
      </c>
      <c r="BF35">
        <v>257</v>
      </c>
      <c r="BG35">
        <v>828</v>
      </c>
      <c r="BH35">
        <v>257</v>
      </c>
      <c r="BI35">
        <v>840</v>
      </c>
      <c r="BJ35">
        <v>0</v>
      </c>
      <c r="BK35">
        <v>714</v>
      </c>
      <c r="BL35">
        <v>1249</v>
      </c>
      <c r="BM35">
        <v>26</v>
      </c>
      <c r="BN35">
        <v>475</v>
      </c>
    </row>
    <row r="36" spans="1:66" x14ac:dyDescent="0.4">
      <c r="A36" s="1" t="s">
        <v>60</v>
      </c>
      <c r="B36" s="1" t="s">
        <v>61</v>
      </c>
      <c r="C36">
        <v>203</v>
      </c>
      <c r="D36">
        <v>7224</v>
      </c>
      <c r="E36">
        <v>107</v>
      </c>
      <c r="F36">
        <v>3943</v>
      </c>
      <c r="G36">
        <v>760</v>
      </c>
      <c r="H36">
        <v>41</v>
      </c>
      <c r="I36">
        <v>4357</v>
      </c>
      <c r="J36">
        <v>33</v>
      </c>
      <c r="K36">
        <v>3427</v>
      </c>
      <c r="L36">
        <v>76</v>
      </c>
      <c r="M36">
        <v>8989</v>
      </c>
      <c r="N36">
        <v>31765</v>
      </c>
      <c r="O36">
        <v>9084</v>
      </c>
      <c r="P36">
        <v>33333</v>
      </c>
      <c r="Q36">
        <v>7146</v>
      </c>
      <c r="R36">
        <v>4089</v>
      </c>
      <c r="S36">
        <v>26911</v>
      </c>
      <c r="T36">
        <v>3770</v>
      </c>
      <c r="U36">
        <v>25344</v>
      </c>
      <c r="V36">
        <v>2568</v>
      </c>
      <c r="W36">
        <v>2206</v>
      </c>
      <c r="X36">
        <v>39972</v>
      </c>
      <c r="Y36">
        <v>2001</v>
      </c>
      <c r="Z36">
        <v>35458</v>
      </c>
      <c r="AA36">
        <v>1069</v>
      </c>
      <c r="AB36">
        <v>5</v>
      </c>
      <c r="AC36">
        <v>555</v>
      </c>
      <c r="AD36">
        <v>5</v>
      </c>
      <c r="AE36">
        <v>555</v>
      </c>
      <c r="AF36">
        <v>0</v>
      </c>
      <c r="AG36">
        <v>291</v>
      </c>
      <c r="AH36">
        <v>843</v>
      </c>
      <c r="AI36">
        <v>270</v>
      </c>
      <c r="AJ36">
        <v>800</v>
      </c>
      <c r="AK36">
        <v>712</v>
      </c>
      <c r="AL36">
        <v>4634</v>
      </c>
      <c r="AM36">
        <v>1361</v>
      </c>
      <c r="AN36">
        <v>4045</v>
      </c>
      <c r="AO36">
        <v>1283</v>
      </c>
      <c r="AP36">
        <v>8200</v>
      </c>
      <c r="AQ36">
        <v>22</v>
      </c>
      <c r="AR36">
        <v>1241</v>
      </c>
      <c r="AS36">
        <v>20</v>
      </c>
      <c r="AT36">
        <v>1217</v>
      </c>
      <c r="AU36">
        <v>21</v>
      </c>
      <c r="AV36">
        <v>6425</v>
      </c>
      <c r="AW36">
        <v>1672</v>
      </c>
      <c r="AX36">
        <v>6506</v>
      </c>
      <c r="AY36">
        <v>1633</v>
      </c>
      <c r="AZ36">
        <v>10007</v>
      </c>
      <c r="BA36">
        <v>60</v>
      </c>
      <c r="BB36">
        <v>1505</v>
      </c>
      <c r="BC36">
        <v>60</v>
      </c>
      <c r="BD36">
        <v>2557</v>
      </c>
      <c r="BE36">
        <v>43</v>
      </c>
      <c r="BF36">
        <v>224</v>
      </c>
      <c r="BG36">
        <v>689</v>
      </c>
      <c r="BH36">
        <v>224</v>
      </c>
      <c r="BI36">
        <v>689</v>
      </c>
      <c r="BJ36">
        <v>0</v>
      </c>
      <c r="BK36">
        <v>786</v>
      </c>
      <c r="BL36">
        <v>1168</v>
      </c>
      <c r="BM36">
        <v>23</v>
      </c>
      <c r="BN36">
        <v>835</v>
      </c>
    </row>
    <row r="37" spans="1:66" x14ac:dyDescent="0.4">
      <c r="A37" s="1" t="s">
        <v>62</v>
      </c>
      <c r="B37" s="1" t="s">
        <v>63</v>
      </c>
      <c r="C37">
        <v>196</v>
      </c>
      <c r="D37">
        <v>7926</v>
      </c>
      <c r="E37">
        <v>133</v>
      </c>
      <c r="F37">
        <v>4732</v>
      </c>
      <c r="G37">
        <v>823</v>
      </c>
      <c r="H37">
        <v>55</v>
      </c>
      <c r="I37">
        <v>5362</v>
      </c>
      <c r="J37">
        <v>43</v>
      </c>
      <c r="K37">
        <v>4344</v>
      </c>
      <c r="L37">
        <v>88</v>
      </c>
      <c r="M37">
        <v>9188</v>
      </c>
      <c r="N37">
        <v>32418</v>
      </c>
      <c r="O37">
        <v>9439</v>
      </c>
      <c r="P37">
        <v>37701</v>
      </c>
      <c r="Q37">
        <v>7015</v>
      </c>
      <c r="R37">
        <v>4140</v>
      </c>
      <c r="S37">
        <v>27611</v>
      </c>
      <c r="T37">
        <v>4563</v>
      </c>
      <c r="U37">
        <v>30655</v>
      </c>
      <c r="V37">
        <v>2150</v>
      </c>
      <c r="W37">
        <v>2346</v>
      </c>
      <c r="X37">
        <v>41279</v>
      </c>
      <c r="Y37">
        <v>2333</v>
      </c>
      <c r="Z37">
        <v>40854</v>
      </c>
      <c r="AA37">
        <v>1067</v>
      </c>
      <c r="AB37">
        <v>5</v>
      </c>
      <c r="AC37">
        <v>322</v>
      </c>
      <c r="AD37">
        <v>5</v>
      </c>
      <c r="AE37">
        <v>322</v>
      </c>
      <c r="AF37">
        <v>0</v>
      </c>
      <c r="AG37">
        <v>379</v>
      </c>
      <c r="AH37">
        <v>1227</v>
      </c>
      <c r="AI37">
        <v>230</v>
      </c>
      <c r="AJ37">
        <v>872</v>
      </c>
      <c r="AK37">
        <v>861</v>
      </c>
      <c r="AL37">
        <v>5139</v>
      </c>
      <c r="AM37">
        <v>1520</v>
      </c>
      <c r="AN37">
        <v>4318</v>
      </c>
      <c r="AO37">
        <v>1432</v>
      </c>
      <c r="AP37">
        <v>9021</v>
      </c>
      <c r="AQ37">
        <v>39</v>
      </c>
      <c r="AR37">
        <v>1486</v>
      </c>
      <c r="AS37">
        <v>37</v>
      </c>
      <c r="AT37">
        <v>1480</v>
      </c>
      <c r="AU37">
        <v>23</v>
      </c>
      <c r="AV37">
        <v>4554</v>
      </c>
      <c r="AW37">
        <v>1407</v>
      </c>
      <c r="AX37">
        <v>4577</v>
      </c>
      <c r="AY37">
        <v>1641</v>
      </c>
      <c r="AZ37">
        <v>9984</v>
      </c>
      <c r="BA37">
        <v>62</v>
      </c>
      <c r="BB37">
        <v>2017</v>
      </c>
      <c r="BC37">
        <v>63</v>
      </c>
      <c r="BD37">
        <v>2653</v>
      </c>
      <c r="BE37">
        <v>42</v>
      </c>
      <c r="BF37">
        <v>283</v>
      </c>
      <c r="BG37">
        <v>951</v>
      </c>
      <c r="BH37">
        <v>283</v>
      </c>
      <c r="BI37">
        <v>965</v>
      </c>
      <c r="BJ37">
        <v>0</v>
      </c>
      <c r="BK37">
        <v>807</v>
      </c>
      <c r="BL37">
        <v>1549</v>
      </c>
      <c r="BM37">
        <v>43</v>
      </c>
      <c r="BN37">
        <v>609</v>
      </c>
    </row>
    <row r="38" spans="1:66" x14ac:dyDescent="0.4">
      <c r="A38" s="1" t="s">
        <v>64</v>
      </c>
      <c r="B38" s="1" t="s">
        <v>65</v>
      </c>
      <c r="C38">
        <v>199</v>
      </c>
      <c r="D38">
        <v>7951</v>
      </c>
      <c r="E38">
        <v>302</v>
      </c>
      <c r="F38">
        <v>12763</v>
      </c>
      <c r="G38">
        <v>720</v>
      </c>
      <c r="H38">
        <v>52</v>
      </c>
      <c r="I38">
        <v>4653</v>
      </c>
      <c r="J38">
        <v>81</v>
      </c>
      <c r="K38">
        <v>8379</v>
      </c>
      <c r="L38">
        <v>59</v>
      </c>
      <c r="M38">
        <v>10446</v>
      </c>
      <c r="N38">
        <v>40036</v>
      </c>
      <c r="O38">
        <v>10928</v>
      </c>
      <c r="P38">
        <v>46039</v>
      </c>
      <c r="Q38">
        <v>6652</v>
      </c>
      <c r="R38">
        <v>4869</v>
      </c>
      <c r="S38">
        <v>33568</v>
      </c>
      <c r="T38">
        <v>5776</v>
      </c>
      <c r="U38">
        <v>39859</v>
      </c>
      <c r="V38">
        <v>1247</v>
      </c>
      <c r="W38">
        <v>2430</v>
      </c>
      <c r="X38">
        <v>42481</v>
      </c>
      <c r="Y38">
        <v>2618</v>
      </c>
      <c r="Z38">
        <v>46792</v>
      </c>
      <c r="AA38">
        <v>861</v>
      </c>
      <c r="AB38">
        <v>8</v>
      </c>
      <c r="AC38">
        <v>1987</v>
      </c>
      <c r="AD38">
        <v>8</v>
      </c>
      <c r="AE38">
        <v>1987</v>
      </c>
      <c r="AF38">
        <v>0</v>
      </c>
      <c r="AG38">
        <v>369</v>
      </c>
      <c r="AH38">
        <v>1198</v>
      </c>
      <c r="AI38">
        <v>314</v>
      </c>
      <c r="AJ38">
        <v>1131</v>
      </c>
      <c r="AK38">
        <v>916</v>
      </c>
      <c r="AL38">
        <v>5350</v>
      </c>
      <c r="AM38">
        <v>1603</v>
      </c>
      <c r="AN38">
        <v>5577</v>
      </c>
      <c r="AO38">
        <v>1819</v>
      </c>
      <c r="AP38">
        <v>8794</v>
      </c>
      <c r="AQ38">
        <v>41</v>
      </c>
      <c r="AR38">
        <v>3024</v>
      </c>
      <c r="AS38">
        <v>42</v>
      </c>
      <c r="AT38">
        <v>3083</v>
      </c>
      <c r="AU38">
        <v>22</v>
      </c>
      <c r="AV38">
        <v>5195</v>
      </c>
      <c r="AW38">
        <v>2337</v>
      </c>
      <c r="AX38">
        <v>5527</v>
      </c>
      <c r="AY38">
        <v>2819</v>
      </c>
      <c r="AZ38">
        <v>9664</v>
      </c>
      <c r="BA38">
        <v>84</v>
      </c>
      <c r="BB38">
        <v>2083</v>
      </c>
      <c r="BC38">
        <v>80</v>
      </c>
      <c r="BD38">
        <v>3041</v>
      </c>
      <c r="BE38">
        <v>46</v>
      </c>
      <c r="BF38">
        <v>231</v>
      </c>
      <c r="BG38">
        <v>769</v>
      </c>
      <c r="BH38">
        <v>231</v>
      </c>
      <c r="BI38">
        <v>768</v>
      </c>
      <c r="BJ38">
        <v>0</v>
      </c>
      <c r="BK38">
        <v>871</v>
      </c>
      <c r="BL38">
        <v>1888</v>
      </c>
      <c r="BM38">
        <v>29</v>
      </c>
      <c r="BN38">
        <v>716</v>
      </c>
    </row>
    <row r="39" spans="1:66" x14ac:dyDescent="0.4">
      <c r="A39" s="1"/>
      <c r="B39" s="1"/>
    </row>
    <row r="40" spans="1:66" x14ac:dyDescent="0.4">
      <c r="A40" s="1"/>
      <c r="B40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0AC4E-D1AC-4936-8051-43DC71EC6EE1}">
  <dimension ref="A1:AI40"/>
  <sheetViews>
    <sheetView workbookViewId="0">
      <selection activeCell="C9" sqref="C9"/>
    </sheetView>
  </sheetViews>
  <sheetFormatPr defaultColWidth="15.625" defaultRowHeight="18.75" x14ac:dyDescent="0.4"/>
  <sheetData>
    <row r="1" spans="1:35" x14ac:dyDescent="0.4">
      <c r="A1" s="1" t="s">
        <v>66</v>
      </c>
      <c r="B1" s="1"/>
    </row>
    <row r="2" spans="1:35" x14ac:dyDescent="0.4">
      <c r="A2" s="4" t="str">
        <f>HYPERLINK("#'目次(Contents)'!A3","目次に戻る(Return to Contents)")</f>
        <v>目次に戻る(Return to Contents)</v>
      </c>
      <c r="B2" s="1"/>
    </row>
    <row r="3" spans="1:35" x14ac:dyDescent="0.4">
      <c r="A3" s="1"/>
      <c r="B3" s="2" t="s">
        <v>0</v>
      </c>
      <c r="C3" t="s">
        <v>336</v>
      </c>
      <c r="D3" t="s">
        <v>336</v>
      </c>
      <c r="E3" t="s">
        <v>336</v>
      </c>
      <c r="F3" t="s">
        <v>343</v>
      </c>
      <c r="G3" t="s">
        <v>343</v>
      </c>
      <c r="H3" t="s">
        <v>343</v>
      </c>
      <c r="I3" t="s">
        <v>345</v>
      </c>
      <c r="J3" t="s">
        <v>345</v>
      </c>
      <c r="K3" t="s">
        <v>345</v>
      </c>
      <c r="L3" t="s">
        <v>347</v>
      </c>
      <c r="M3" t="s">
        <v>347</v>
      </c>
      <c r="N3" t="s">
        <v>347</v>
      </c>
      <c r="O3" t="s">
        <v>349</v>
      </c>
      <c r="P3" t="s">
        <v>349</v>
      </c>
      <c r="Q3" t="s">
        <v>349</v>
      </c>
      <c r="R3" t="s">
        <v>351</v>
      </c>
      <c r="S3" t="s">
        <v>351</v>
      </c>
      <c r="T3" t="s">
        <v>351</v>
      </c>
      <c r="U3" t="s">
        <v>353</v>
      </c>
      <c r="V3" t="s">
        <v>353</v>
      </c>
      <c r="W3" t="s">
        <v>353</v>
      </c>
      <c r="X3" t="s">
        <v>355</v>
      </c>
      <c r="Y3" t="s">
        <v>355</v>
      </c>
      <c r="Z3" t="s">
        <v>355</v>
      </c>
      <c r="AA3" t="s">
        <v>357</v>
      </c>
      <c r="AB3" t="s">
        <v>357</v>
      </c>
      <c r="AC3" t="s">
        <v>357</v>
      </c>
      <c r="AD3" t="s">
        <v>359</v>
      </c>
      <c r="AE3" t="s">
        <v>359</v>
      </c>
      <c r="AF3" t="s">
        <v>359</v>
      </c>
      <c r="AG3" t="s">
        <v>362</v>
      </c>
      <c r="AH3" t="s">
        <v>362</v>
      </c>
      <c r="AI3" t="s">
        <v>362</v>
      </c>
    </row>
    <row r="4" spans="1:35" x14ac:dyDescent="0.4">
      <c r="A4" s="1"/>
      <c r="B4" s="2" t="s">
        <v>1</v>
      </c>
      <c r="C4" t="s">
        <v>337</v>
      </c>
      <c r="D4" t="s">
        <v>337</v>
      </c>
      <c r="E4" t="s">
        <v>337</v>
      </c>
      <c r="F4" t="s">
        <v>344</v>
      </c>
      <c r="G4" t="s">
        <v>344</v>
      </c>
      <c r="H4" t="s">
        <v>344</v>
      </c>
      <c r="I4" t="s">
        <v>346</v>
      </c>
      <c r="J4" t="s">
        <v>346</v>
      </c>
      <c r="K4" t="s">
        <v>346</v>
      </c>
      <c r="L4" t="s">
        <v>348</v>
      </c>
      <c r="M4" t="s">
        <v>348</v>
      </c>
      <c r="N4" t="s">
        <v>348</v>
      </c>
      <c r="O4" t="s">
        <v>350</v>
      </c>
      <c r="P4" t="s">
        <v>350</v>
      </c>
      <c r="Q4" t="s">
        <v>350</v>
      </c>
      <c r="R4" t="s">
        <v>352</v>
      </c>
      <c r="S4" t="s">
        <v>352</v>
      </c>
      <c r="T4" t="s">
        <v>352</v>
      </c>
      <c r="U4" t="s">
        <v>354</v>
      </c>
      <c r="V4" t="s">
        <v>354</v>
      </c>
      <c r="W4" t="s">
        <v>354</v>
      </c>
      <c r="X4" t="s">
        <v>356</v>
      </c>
      <c r="Y4" t="s">
        <v>356</v>
      </c>
      <c r="Z4" t="s">
        <v>356</v>
      </c>
      <c r="AA4" t="s">
        <v>358</v>
      </c>
      <c r="AB4" t="s">
        <v>358</v>
      </c>
      <c r="AC4" t="s">
        <v>358</v>
      </c>
      <c r="AD4" t="s">
        <v>361</v>
      </c>
      <c r="AE4" t="s">
        <v>361</v>
      </c>
      <c r="AF4" t="s">
        <v>361</v>
      </c>
      <c r="AG4" t="s">
        <v>363</v>
      </c>
      <c r="AH4" t="s">
        <v>363</v>
      </c>
      <c r="AI4" t="s">
        <v>363</v>
      </c>
    </row>
    <row r="5" spans="1:35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</row>
    <row r="6" spans="1:35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</row>
    <row r="7" spans="1:35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341</v>
      </c>
      <c r="L7" t="s">
        <v>251</v>
      </c>
      <c r="M7" t="s">
        <v>339</v>
      </c>
      <c r="N7" t="s">
        <v>341</v>
      </c>
      <c r="O7" t="s">
        <v>251</v>
      </c>
      <c r="P7" t="s">
        <v>339</v>
      </c>
      <c r="Q7" t="s">
        <v>341</v>
      </c>
      <c r="R7" t="s">
        <v>251</v>
      </c>
      <c r="S7" t="s">
        <v>339</v>
      </c>
      <c r="T7" t="s">
        <v>341</v>
      </c>
      <c r="U7" t="s">
        <v>251</v>
      </c>
      <c r="V7" t="s">
        <v>339</v>
      </c>
      <c r="W7" t="s">
        <v>341</v>
      </c>
      <c r="X7" t="s">
        <v>251</v>
      </c>
      <c r="Y7" t="s">
        <v>339</v>
      </c>
      <c r="Z7" t="s">
        <v>341</v>
      </c>
      <c r="AA7" t="s">
        <v>251</v>
      </c>
      <c r="AB7" t="s">
        <v>339</v>
      </c>
      <c r="AC7" t="s">
        <v>341</v>
      </c>
      <c r="AD7" t="s">
        <v>360</v>
      </c>
      <c r="AE7" t="s">
        <v>339</v>
      </c>
      <c r="AF7" t="s">
        <v>341</v>
      </c>
      <c r="AG7" t="s">
        <v>360</v>
      </c>
      <c r="AH7" t="s">
        <v>339</v>
      </c>
      <c r="AI7" t="s">
        <v>341</v>
      </c>
    </row>
    <row r="8" spans="1:35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</row>
    <row r="9" spans="1:35" x14ac:dyDescent="0.4">
      <c r="A9" s="1" t="s">
        <v>6</v>
      </c>
      <c r="B9" s="3" t="s">
        <v>7</v>
      </c>
      <c r="C9">
        <v>974</v>
      </c>
      <c r="D9">
        <v>3393352</v>
      </c>
      <c r="E9">
        <v>9393887</v>
      </c>
      <c r="F9">
        <v>5756</v>
      </c>
      <c r="G9">
        <v>3118256</v>
      </c>
      <c r="H9">
        <v>9482826</v>
      </c>
      <c r="I9">
        <v>41117</v>
      </c>
      <c r="J9">
        <v>9309337</v>
      </c>
      <c r="K9">
        <v>22907715</v>
      </c>
      <c r="L9">
        <v>2665</v>
      </c>
      <c r="M9">
        <v>5462203</v>
      </c>
      <c r="N9">
        <v>13401089</v>
      </c>
      <c r="O9">
        <v>14528</v>
      </c>
      <c r="P9">
        <v>13666866</v>
      </c>
      <c r="Q9">
        <v>21810524</v>
      </c>
      <c r="R9">
        <v>6884</v>
      </c>
      <c r="S9">
        <v>11086862</v>
      </c>
      <c r="T9">
        <v>39043137</v>
      </c>
      <c r="U9">
        <v>794</v>
      </c>
      <c r="V9">
        <v>11227455</v>
      </c>
      <c r="W9">
        <v>22390192</v>
      </c>
      <c r="X9">
        <v>1550</v>
      </c>
      <c r="Y9">
        <v>4230866</v>
      </c>
      <c r="Z9">
        <v>8031246</v>
      </c>
      <c r="AA9">
        <v>117860</v>
      </c>
      <c r="AB9">
        <v>2594596</v>
      </c>
      <c r="AC9">
        <v>8619052</v>
      </c>
      <c r="AD9">
        <v>676</v>
      </c>
      <c r="AE9">
        <v>9013984</v>
      </c>
      <c r="AF9">
        <v>12712176</v>
      </c>
      <c r="AG9">
        <v>259</v>
      </c>
      <c r="AH9">
        <v>6565673</v>
      </c>
      <c r="AI9">
        <v>9489107</v>
      </c>
    </row>
    <row r="10" spans="1:35" x14ac:dyDescent="0.4">
      <c r="A10" s="1" t="s">
        <v>8</v>
      </c>
      <c r="B10" s="3" t="s">
        <v>9</v>
      </c>
      <c r="C10">
        <v>909</v>
      </c>
      <c r="D10">
        <v>3132564</v>
      </c>
      <c r="E10">
        <v>9148833</v>
      </c>
      <c r="F10">
        <v>5927</v>
      </c>
      <c r="G10">
        <v>3095432</v>
      </c>
      <c r="H10">
        <v>10294092</v>
      </c>
      <c r="I10">
        <v>45235</v>
      </c>
      <c r="J10">
        <v>10161843</v>
      </c>
      <c r="K10">
        <v>23195379</v>
      </c>
      <c r="L10">
        <v>2590</v>
      </c>
      <c r="M10">
        <v>4077235</v>
      </c>
      <c r="N10">
        <v>10264609</v>
      </c>
      <c r="O10">
        <v>14846</v>
      </c>
      <c r="P10">
        <v>14067193</v>
      </c>
      <c r="Q10">
        <v>24206907</v>
      </c>
      <c r="R10">
        <v>7475</v>
      </c>
      <c r="S10">
        <v>11002638</v>
      </c>
      <c r="T10">
        <v>41401869</v>
      </c>
      <c r="U10">
        <v>710</v>
      </c>
      <c r="V10">
        <v>10848674</v>
      </c>
      <c r="W10">
        <v>11828861</v>
      </c>
      <c r="X10">
        <v>1352</v>
      </c>
      <c r="Y10">
        <v>6729579</v>
      </c>
      <c r="Z10">
        <v>12391296</v>
      </c>
      <c r="AA10">
        <v>117898</v>
      </c>
      <c r="AB10">
        <v>3202080</v>
      </c>
      <c r="AC10">
        <v>12268965</v>
      </c>
      <c r="AD10">
        <v>495</v>
      </c>
      <c r="AE10">
        <v>13700860</v>
      </c>
      <c r="AF10">
        <v>20115267</v>
      </c>
      <c r="AG10">
        <v>205</v>
      </c>
      <c r="AH10">
        <v>8486535</v>
      </c>
      <c r="AI10">
        <v>7489472</v>
      </c>
    </row>
    <row r="11" spans="1:35" x14ac:dyDescent="0.4">
      <c r="A11" s="1" t="s">
        <v>10</v>
      </c>
      <c r="B11" s="3" t="s">
        <v>11</v>
      </c>
      <c r="C11">
        <v>867</v>
      </c>
      <c r="D11">
        <v>4406681</v>
      </c>
      <c r="E11">
        <v>12860009</v>
      </c>
      <c r="F11">
        <v>5096</v>
      </c>
      <c r="G11">
        <v>3158304</v>
      </c>
      <c r="H11">
        <v>11686434</v>
      </c>
      <c r="I11">
        <v>41184</v>
      </c>
      <c r="J11">
        <v>9693211</v>
      </c>
      <c r="K11">
        <v>23932268</v>
      </c>
      <c r="L11">
        <v>2719</v>
      </c>
      <c r="M11">
        <v>4000344</v>
      </c>
      <c r="N11">
        <v>7894598</v>
      </c>
      <c r="O11">
        <v>14538</v>
      </c>
      <c r="P11">
        <v>13375330</v>
      </c>
      <c r="Q11">
        <v>25900576</v>
      </c>
      <c r="R11">
        <v>6517</v>
      </c>
      <c r="S11">
        <v>11058188</v>
      </c>
      <c r="T11">
        <v>38099974</v>
      </c>
      <c r="U11">
        <v>743</v>
      </c>
      <c r="V11">
        <v>6945707</v>
      </c>
      <c r="W11">
        <v>14170711</v>
      </c>
      <c r="X11">
        <v>1392</v>
      </c>
      <c r="Y11">
        <v>5031015</v>
      </c>
      <c r="Z11">
        <v>8633851</v>
      </c>
      <c r="AA11">
        <v>121353</v>
      </c>
      <c r="AB11">
        <v>3285726</v>
      </c>
      <c r="AC11">
        <v>12336789</v>
      </c>
      <c r="AD11">
        <v>519</v>
      </c>
      <c r="AE11">
        <v>6816925</v>
      </c>
      <c r="AF11">
        <v>10358381</v>
      </c>
      <c r="AG11">
        <v>224</v>
      </c>
      <c r="AH11">
        <v>8323024</v>
      </c>
      <c r="AI11">
        <v>9044064</v>
      </c>
    </row>
    <row r="12" spans="1:35" x14ac:dyDescent="0.4">
      <c r="A12" s="1" t="s">
        <v>12</v>
      </c>
      <c r="B12" s="3" t="s">
        <v>13</v>
      </c>
      <c r="C12">
        <v>799</v>
      </c>
      <c r="D12">
        <v>3676005</v>
      </c>
      <c r="E12">
        <v>10059843</v>
      </c>
      <c r="F12">
        <v>4375</v>
      </c>
      <c r="G12">
        <v>3631194</v>
      </c>
      <c r="H12">
        <v>10680734</v>
      </c>
      <c r="I12">
        <v>48007</v>
      </c>
      <c r="J12">
        <v>9774968</v>
      </c>
      <c r="K12">
        <v>24273494</v>
      </c>
      <c r="L12">
        <v>1127</v>
      </c>
      <c r="M12">
        <v>3694451</v>
      </c>
      <c r="N12">
        <v>7999874</v>
      </c>
      <c r="O12">
        <v>14449</v>
      </c>
      <c r="P12">
        <v>13513535</v>
      </c>
      <c r="Q12">
        <v>28224827</v>
      </c>
      <c r="R12">
        <v>6641</v>
      </c>
      <c r="S12">
        <v>13100173</v>
      </c>
      <c r="T12">
        <v>52912722</v>
      </c>
      <c r="U12">
        <v>951</v>
      </c>
      <c r="V12">
        <v>8066477</v>
      </c>
      <c r="W12">
        <v>22338381</v>
      </c>
      <c r="X12">
        <v>1359</v>
      </c>
      <c r="Y12">
        <v>7784543</v>
      </c>
      <c r="Z12">
        <v>15948109</v>
      </c>
      <c r="AA12">
        <v>107779</v>
      </c>
      <c r="AB12">
        <v>2555423</v>
      </c>
      <c r="AC12">
        <v>9475541</v>
      </c>
      <c r="AD12">
        <v>481</v>
      </c>
      <c r="AE12">
        <v>6434669</v>
      </c>
      <c r="AF12">
        <v>11810236</v>
      </c>
      <c r="AG12">
        <v>217</v>
      </c>
      <c r="AH12">
        <v>4520049</v>
      </c>
      <c r="AI12">
        <v>7815501</v>
      </c>
    </row>
    <row r="13" spans="1:35" x14ac:dyDescent="0.4">
      <c r="A13" s="1" t="s">
        <v>14</v>
      </c>
      <c r="B13" s="3" t="s">
        <v>15</v>
      </c>
      <c r="C13">
        <v>739</v>
      </c>
      <c r="D13">
        <v>3552384</v>
      </c>
      <c r="E13">
        <v>11741924</v>
      </c>
      <c r="F13">
        <v>5565</v>
      </c>
      <c r="G13">
        <v>3394375</v>
      </c>
      <c r="H13">
        <v>10198619</v>
      </c>
      <c r="I13">
        <v>36717</v>
      </c>
      <c r="J13">
        <v>8147584</v>
      </c>
      <c r="K13">
        <v>24222687</v>
      </c>
      <c r="L13">
        <v>1129</v>
      </c>
      <c r="M13">
        <v>3008009</v>
      </c>
      <c r="N13">
        <v>5974378</v>
      </c>
      <c r="O13">
        <v>15335</v>
      </c>
      <c r="P13">
        <v>17689233</v>
      </c>
      <c r="Q13">
        <v>41101250</v>
      </c>
      <c r="R13">
        <v>6576</v>
      </c>
      <c r="S13">
        <v>13356721</v>
      </c>
      <c r="T13">
        <v>53734551</v>
      </c>
      <c r="U13">
        <v>913</v>
      </c>
      <c r="V13">
        <v>7008818</v>
      </c>
      <c r="W13">
        <v>16213630</v>
      </c>
      <c r="X13">
        <v>1116</v>
      </c>
      <c r="Y13">
        <v>5950332</v>
      </c>
      <c r="Z13">
        <v>10925176</v>
      </c>
      <c r="AA13">
        <v>113559</v>
      </c>
      <c r="AB13">
        <v>3260118</v>
      </c>
      <c r="AC13">
        <v>13151811</v>
      </c>
      <c r="AD13">
        <v>475</v>
      </c>
      <c r="AE13">
        <v>6849929</v>
      </c>
      <c r="AF13">
        <v>11500757</v>
      </c>
      <c r="AG13">
        <v>220</v>
      </c>
      <c r="AH13">
        <v>11660502</v>
      </c>
      <c r="AI13">
        <v>10384899</v>
      </c>
    </row>
    <row r="14" spans="1:35" x14ac:dyDescent="0.4">
      <c r="A14" s="1" t="s">
        <v>16</v>
      </c>
      <c r="B14" s="1" t="s">
        <v>17</v>
      </c>
      <c r="C14">
        <v>95</v>
      </c>
      <c r="D14">
        <v>216940</v>
      </c>
      <c r="E14">
        <v>827325</v>
      </c>
      <c r="F14">
        <v>444</v>
      </c>
      <c r="G14">
        <v>848530</v>
      </c>
      <c r="H14">
        <v>2417476</v>
      </c>
      <c r="I14">
        <v>4673</v>
      </c>
      <c r="J14">
        <v>1030539</v>
      </c>
      <c r="K14">
        <v>2638653</v>
      </c>
      <c r="L14">
        <v>114</v>
      </c>
      <c r="M14">
        <v>436121</v>
      </c>
      <c r="N14">
        <v>1143004</v>
      </c>
      <c r="O14">
        <v>1277</v>
      </c>
      <c r="P14">
        <v>1291123</v>
      </c>
      <c r="Q14">
        <v>2990438</v>
      </c>
      <c r="R14">
        <v>797</v>
      </c>
      <c r="S14">
        <v>1592506</v>
      </c>
      <c r="T14">
        <v>10826853</v>
      </c>
      <c r="U14">
        <v>113</v>
      </c>
      <c r="V14">
        <v>1611893</v>
      </c>
      <c r="W14">
        <v>2159992</v>
      </c>
      <c r="X14">
        <v>141</v>
      </c>
      <c r="Y14">
        <v>299762</v>
      </c>
      <c r="Z14">
        <v>857583</v>
      </c>
      <c r="AA14">
        <v>7532</v>
      </c>
      <c r="AB14">
        <v>281107</v>
      </c>
      <c r="AC14">
        <v>1039640</v>
      </c>
      <c r="AD14">
        <v>41</v>
      </c>
      <c r="AE14">
        <v>333904</v>
      </c>
      <c r="AF14">
        <v>520050</v>
      </c>
      <c r="AG14">
        <v>30</v>
      </c>
      <c r="AH14">
        <v>297952</v>
      </c>
      <c r="AI14">
        <v>440289</v>
      </c>
    </row>
    <row r="15" spans="1:35" x14ac:dyDescent="0.4">
      <c r="A15" s="1" t="s">
        <v>18</v>
      </c>
      <c r="B15" s="1" t="s">
        <v>19</v>
      </c>
      <c r="C15">
        <v>50</v>
      </c>
      <c r="D15">
        <v>329680</v>
      </c>
      <c r="E15">
        <v>843943</v>
      </c>
      <c r="F15">
        <v>346</v>
      </c>
      <c r="G15">
        <v>246611</v>
      </c>
      <c r="H15">
        <v>671792</v>
      </c>
      <c r="I15">
        <v>3441</v>
      </c>
      <c r="J15">
        <v>739093</v>
      </c>
      <c r="K15">
        <v>1675804</v>
      </c>
      <c r="L15">
        <v>103</v>
      </c>
      <c r="M15">
        <v>290708</v>
      </c>
      <c r="N15">
        <v>609616</v>
      </c>
      <c r="O15">
        <v>1078</v>
      </c>
      <c r="P15">
        <v>878263</v>
      </c>
      <c r="Q15">
        <v>1654770</v>
      </c>
      <c r="R15">
        <v>465</v>
      </c>
      <c r="S15">
        <v>1046212</v>
      </c>
      <c r="T15">
        <v>2826325</v>
      </c>
      <c r="U15">
        <v>63</v>
      </c>
      <c r="V15">
        <v>527254</v>
      </c>
      <c r="W15">
        <v>1299150</v>
      </c>
      <c r="X15">
        <v>89</v>
      </c>
      <c r="Y15">
        <v>1010756</v>
      </c>
      <c r="Z15">
        <v>3860727</v>
      </c>
      <c r="AA15">
        <v>11745</v>
      </c>
      <c r="AB15">
        <v>187772</v>
      </c>
      <c r="AC15">
        <v>611533</v>
      </c>
      <c r="AD15">
        <v>36</v>
      </c>
      <c r="AE15">
        <v>296449</v>
      </c>
      <c r="AF15">
        <v>1725660</v>
      </c>
      <c r="AG15">
        <v>1</v>
      </c>
      <c r="AH15">
        <v>3700</v>
      </c>
      <c r="AI15">
        <v>5502</v>
      </c>
    </row>
    <row r="16" spans="1:35" x14ac:dyDescent="0.4">
      <c r="A16" s="1" t="s">
        <v>20</v>
      </c>
      <c r="B16" s="1" t="s">
        <v>21</v>
      </c>
      <c r="C16">
        <v>61</v>
      </c>
      <c r="D16">
        <v>348032</v>
      </c>
      <c r="E16">
        <v>708238</v>
      </c>
      <c r="F16">
        <v>326</v>
      </c>
      <c r="G16">
        <v>184438</v>
      </c>
      <c r="H16">
        <v>565676</v>
      </c>
      <c r="I16">
        <v>4235</v>
      </c>
      <c r="J16">
        <v>781604</v>
      </c>
      <c r="K16">
        <v>1716835</v>
      </c>
      <c r="L16">
        <v>126</v>
      </c>
      <c r="M16">
        <v>385643</v>
      </c>
      <c r="N16">
        <v>825624</v>
      </c>
      <c r="O16">
        <v>1158</v>
      </c>
      <c r="P16">
        <v>1148244</v>
      </c>
      <c r="Q16">
        <v>2648646</v>
      </c>
      <c r="R16">
        <v>461</v>
      </c>
      <c r="S16">
        <v>768910</v>
      </c>
      <c r="T16">
        <v>2142107</v>
      </c>
      <c r="U16">
        <v>84</v>
      </c>
      <c r="V16">
        <v>444381</v>
      </c>
      <c r="W16">
        <v>977616</v>
      </c>
      <c r="X16">
        <v>121</v>
      </c>
      <c r="Y16">
        <v>498770</v>
      </c>
      <c r="Z16">
        <v>820324</v>
      </c>
      <c r="AA16">
        <v>8973</v>
      </c>
      <c r="AB16">
        <v>264159</v>
      </c>
      <c r="AC16">
        <v>1254701</v>
      </c>
      <c r="AD16">
        <v>34</v>
      </c>
      <c r="AE16">
        <v>304926</v>
      </c>
      <c r="AF16">
        <v>541454</v>
      </c>
      <c r="AG16">
        <v>17</v>
      </c>
      <c r="AH16">
        <v>68165</v>
      </c>
      <c r="AI16">
        <v>81994</v>
      </c>
    </row>
    <row r="17" spans="1:35" x14ac:dyDescent="0.4">
      <c r="A17" s="1" t="s">
        <v>22</v>
      </c>
      <c r="B17" s="1" t="s">
        <v>23</v>
      </c>
      <c r="C17">
        <v>57</v>
      </c>
      <c r="D17">
        <v>117048</v>
      </c>
      <c r="E17">
        <v>718608</v>
      </c>
      <c r="F17">
        <v>356</v>
      </c>
      <c r="G17">
        <v>222546</v>
      </c>
      <c r="H17">
        <v>559030</v>
      </c>
      <c r="I17">
        <v>4752</v>
      </c>
      <c r="J17">
        <v>863970</v>
      </c>
      <c r="K17">
        <v>1786836</v>
      </c>
      <c r="L17">
        <v>97</v>
      </c>
      <c r="M17">
        <v>459109</v>
      </c>
      <c r="N17">
        <v>885771</v>
      </c>
      <c r="O17">
        <v>1076</v>
      </c>
      <c r="P17">
        <v>863693</v>
      </c>
      <c r="Q17">
        <v>2009645</v>
      </c>
      <c r="R17">
        <v>499</v>
      </c>
      <c r="S17">
        <v>831347</v>
      </c>
      <c r="T17">
        <v>2254629</v>
      </c>
      <c r="U17">
        <v>70</v>
      </c>
      <c r="V17">
        <v>457740</v>
      </c>
      <c r="W17">
        <v>987007</v>
      </c>
      <c r="X17">
        <v>94</v>
      </c>
      <c r="Y17">
        <v>297439</v>
      </c>
      <c r="Z17">
        <v>839961</v>
      </c>
      <c r="AA17">
        <v>9159</v>
      </c>
      <c r="AB17">
        <v>217231</v>
      </c>
      <c r="AC17">
        <v>938547</v>
      </c>
      <c r="AD17">
        <v>39</v>
      </c>
      <c r="AE17">
        <v>704662</v>
      </c>
      <c r="AF17">
        <v>1213330</v>
      </c>
      <c r="AG17">
        <v>13</v>
      </c>
      <c r="AH17">
        <v>398804</v>
      </c>
      <c r="AI17">
        <v>516815</v>
      </c>
    </row>
    <row r="18" spans="1:35" x14ac:dyDescent="0.4">
      <c r="A18" s="1" t="s">
        <v>24</v>
      </c>
      <c r="B18" s="1" t="s">
        <v>25</v>
      </c>
      <c r="C18">
        <v>86</v>
      </c>
      <c r="D18">
        <v>701713</v>
      </c>
      <c r="E18">
        <v>1456749</v>
      </c>
      <c r="F18">
        <v>325</v>
      </c>
      <c r="G18">
        <v>219958</v>
      </c>
      <c r="H18">
        <v>541059</v>
      </c>
      <c r="I18">
        <v>4574</v>
      </c>
      <c r="J18">
        <v>909347</v>
      </c>
      <c r="K18">
        <v>1964992</v>
      </c>
      <c r="L18">
        <v>89</v>
      </c>
      <c r="M18">
        <v>342904</v>
      </c>
      <c r="N18">
        <v>759374</v>
      </c>
      <c r="O18">
        <v>1202</v>
      </c>
      <c r="P18">
        <v>1100067</v>
      </c>
      <c r="Q18">
        <v>2436597</v>
      </c>
      <c r="R18">
        <v>500</v>
      </c>
      <c r="S18">
        <v>837338</v>
      </c>
      <c r="T18">
        <v>4215789</v>
      </c>
      <c r="U18">
        <v>99</v>
      </c>
      <c r="V18">
        <v>427385</v>
      </c>
      <c r="W18">
        <v>987286</v>
      </c>
      <c r="X18">
        <v>105</v>
      </c>
      <c r="Y18">
        <v>470435</v>
      </c>
      <c r="Z18">
        <v>1132963</v>
      </c>
      <c r="AA18">
        <v>11462</v>
      </c>
      <c r="AB18">
        <v>144201</v>
      </c>
      <c r="AC18">
        <v>436242</v>
      </c>
      <c r="AD18">
        <v>57</v>
      </c>
      <c r="AE18">
        <v>481074</v>
      </c>
      <c r="AF18">
        <v>867675</v>
      </c>
      <c r="AG18">
        <v>6</v>
      </c>
      <c r="AH18">
        <v>57746</v>
      </c>
      <c r="AI18">
        <v>106980</v>
      </c>
    </row>
    <row r="19" spans="1:35" x14ac:dyDescent="0.4">
      <c r="A19" s="1" t="s">
        <v>26</v>
      </c>
      <c r="B19" s="1" t="s">
        <v>27</v>
      </c>
      <c r="C19">
        <v>53</v>
      </c>
      <c r="D19">
        <v>97352</v>
      </c>
      <c r="E19">
        <v>410531</v>
      </c>
      <c r="F19">
        <v>347</v>
      </c>
      <c r="G19">
        <v>273188</v>
      </c>
      <c r="H19">
        <v>925050</v>
      </c>
      <c r="I19">
        <v>3402</v>
      </c>
      <c r="J19">
        <v>712682</v>
      </c>
      <c r="K19">
        <v>1731349</v>
      </c>
      <c r="L19">
        <v>75</v>
      </c>
      <c r="M19">
        <v>181902</v>
      </c>
      <c r="N19">
        <v>455358</v>
      </c>
      <c r="O19">
        <v>1345</v>
      </c>
      <c r="P19">
        <v>958537</v>
      </c>
      <c r="Q19">
        <v>1845811</v>
      </c>
      <c r="R19">
        <v>490</v>
      </c>
      <c r="S19">
        <v>1285411</v>
      </c>
      <c r="T19">
        <v>3160074</v>
      </c>
      <c r="U19">
        <v>80</v>
      </c>
      <c r="V19">
        <v>752842</v>
      </c>
      <c r="W19">
        <v>1674570</v>
      </c>
      <c r="X19">
        <v>144</v>
      </c>
      <c r="Y19">
        <v>1170015</v>
      </c>
      <c r="Z19">
        <v>3094191</v>
      </c>
      <c r="AA19">
        <v>11633</v>
      </c>
      <c r="AB19">
        <v>242590</v>
      </c>
      <c r="AC19">
        <v>654832</v>
      </c>
      <c r="AD19">
        <v>34</v>
      </c>
      <c r="AE19">
        <v>1004920</v>
      </c>
      <c r="AF19">
        <v>1502645</v>
      </c>
      <c r="AG19">
        <v>16</v>
      </c>
      <c r="AH19">
        <v>372827</v>
      </c>
      <c r="AI19">
        <v>589700</v>
      </c>
    </row>
    <row r="20" spans="1:35" x14ac:dyDescent="0.4">
      <c r="A20" s="1" t="s">
        <v>28</v>
      </c>
      <c r="B20" s="1" t="s">
        <v>29</v>
      </c>
      <c r="C20">
        <v>60</v>
      </c>
      <c r="D20">
        <v>199392</v>
      </c>
      <c r="E20">
        <v>842125</v>
      </c>
      <c r="F20">
        <v>419</v>
      </c>
      <c r="G20">
        <v>458337</v>
      </c>
      <c r="H20">
        <v>1418868</v>
      </c>
      <c r="I20">
        <v>3942</v>
      </c>
      <c r="J20">
        <v>808069</v>
      </c>
      <c r="K20">
        <v>2593620</v>
      </c>
      <c r="L20">
        <v>87</v>
      </c>
      <c r="M20">
        <v>255941</v>
      </c>
      <c r="N20">
        <v>609217</v>
      </c>
      <c r="O20">
        <v>1300</v>
      </c>
      <c r="P20">
        <v>1811457</v>
      </c>
      <c r="Q20">
        <v>4013295</v>
      </c>
      <c r="R20">
        <v>565</v>
      </c>
      <c r="S20">
        <v>1139002</v>
      </c>
      <c r="T20">
        <v>5759778</v>
      </c>
      <c r="U20">
        <v>116</v>
      </c>
      <c r="V20">
        <v>1253815</v>
      </c>
      <c r="W20">
        <v>3046066</v>
      </c>
      <c r="X20">
        <v>166</v>
      </c>
      <c r="Y20">
        <v>419136</v>
      </c>
      <c r="Z20">
        <v>703948</v>
      </c>
      <c r="AA20">
        <v>9765</v>
      </c>
      <c r="AB20">
        <v>261582</v>
      </c>
      <c r="AC20">
        <v>843413</v>
      </c>
      <c r="AD20">
        <v>60</v>
      </c>
      <c r="AE20">
        <v>514422</v>
      </c>
      <c r="AF20">
        <v>840150</v>
      </c>
      <c r="AG20">
        <v>19</v>
      </c>
      <c r="AH20">
        <v>94253</v>
      </c>
      <c r="AI20">
        <v>160390</v>
      </c>
    </row>
    <row r="21" spans="1:35" x14ac:dyDescent="0.4">
      <c r="A21" s="1" t="s">
        <v>30</v>
      </c>
      <c r="B21" s="1" t="s">
        <v>31</v>
      </c>
      <c r="C21">
        <v>61</v>
      </c>
      <c r="D21">
        <v>326663</v>
      </c>
      <c r="E21">
        <v>1111028</v>
      </c>
      <c r="F21">
        <v>344</v>
      </c>
      <c r="G21">
        <v>249254</v>
      </c>
      <c r="H21">
        <v>595916</v>
      </c>
      <c r="I21">
        <v>3774</v>
      </c>
      <c r="J21">
        <v>808497</v>
      </c>
      <c r="K21">
        <v>1954798</v>
      </c>
      <c r="L21">
        <v>102</v>
      </c>
      <c r="M21">
        <v>437776</v>
      </c>
      <c r="N21">
        <v>905091</v>
      </c>
      <c r="O21">
        <v>1344</v>
      </c>
      <c r="P21">
        <v>1253044</v>
      </c>
      <c r="Q21">
        <v>2410940</v>
      </c>
      <c r="R21">
        <v>510</v>
      </c>
      <c r="S21">
        <v>1184772</v>
      </c>
      <c r="T21">
        <v>5776176</v>
      </c>
      <c r="U21">
        <v>59</v>
      </c>
      <c r="V21">
        <v>280792</v>
      </c>
      <c r="W21">
        <v>652130</v>
      </c>
      <c r="X21">
        <v>141</v>
      </c>
      <c r="Y21">
        <v>1441702</v>
      </c>
      <c r="Z21">
        <v>1553277</v>
      </c>
      <c r="AA21">
        <v>7590</v>
      </c>
      <c r="AB21">
        <v>242353</v>
      </c>
      <c r="AC21">
        <v>960347</v>
      </c>
      <c r="AD21">
        <v>41</v>
      </c>
      <c r="AE21">
        <v>198258</v>
      </c>
      <c r="AF21">
        <v>296040</v>
      </c>
      <c r="AG21">
        <v>22</v>
      </c>
      <c r="AH21">
        <v>1314616</v>
      </c>
      <c r="AI21">
        <v>2223501</v>
      </c>
    </row>
    <row r="22" spans="1:35" x14ac:dyDescent="0.4">
      <c r="A22" s="1" t="s">
        <v>32</v>
      </c>
      <c r="B22" s="1" t="s">
        <v>33</v>
      </c>
      <c r="C22">
        <v>73</v>
      </c>
      <c r="D22">
        <v>475131</v>
      </c>
      <c r="E22">
        <v>1143133</v>
      </c>
      <c r="F22">
        <v>347</v>
      </c>
      <c r="G22">
        <v>237015</v>
      </c>
      <c r="H22">
        <v>922339</v>
      </c>
      <c r="I22">
        <v>3794</v>
      </c>
      <c r="J22">
        <v>693726</v>
      </c>
      <c r="K22">
        <v>2030387</v>
      </c>
      <c r="L22">
        <v>85</v>
      </c>
      <c r="M22">
        <v>237301</v>
      </c>
      <c r="N22">
        <v>465971</v>
      </c>
      <c r="O22">
        <v>1125</v>
      </c>
      <c r="P22">
        <v>973953</v>
      </c>
      <c r="Q22">
        <v>1864679</v>
      </c>
      <c r="R22">
        <v>506</v>
      </c>
      <c r="S22">
        <v>887304</v>
      </c>
      <c r="T22">
        <v>2720670</v>
      </c>
      <c r="U22">
        <v>69</v>
      </c>
      <c r="V22">
        <v>434632</v>
      </c>
      <c r="W22">
        <v>2351217</v>
      </c>
      <c r="X22">
        <v>61</v>
      </c>
      <c r="Y22">
        <v>366708</v>
      </c>
      <c r="Z22">
        <v>570890</v>
      </c>
      <c r="AA22">
        <v>6308</v>
      </c>
      <c r="AB22">
        <v>107338</v>
      </c>
      <c r="AC22">
        <v>333943</v>
      </c>
      <c r="AD22">
        <v>42</v>
      </c>
      <c r="AE22">
        <v>954147</v>
      </c>
      <c r="AF22">
        <v>1126822</v>
      </c>
      <c r="AG22">
        <v>23</v>
      </c>
      <c r="AH22">
        <v>195998</v>
      </c>
      <c r="AI22">
        <v>491950</v>
      </c>
    </row>
    <row r="23" spans="1:35" x14ac:dyDescent="0.4">
      <c r="A23" s="1" t="s">
        <v>34</v>
      </c>
      <c r="B23" s="1" t="s">
        <v>35</v>
      </c>
      <c r="C23">
        <v>49</v>
      </c>
      <c r="D23">
        <v>219157</v>
      </c>
      <c r="E23">
        <v>744879</v>
      </c>
      <c r="F23">
        <v>414</v>
      </c>
      <c r="G23">
        <v>283602</v>
      </c>
      <c r="H23">
        <v>838117</v>
      </c>
      <c r="I23">
        <v>3786</v>
      </c>
      <c r="J23">
        <v>741133</v>
      </c>
      <c r="K23">
        <v>1962634</v>
      </c>
      <c r="L23">
        <v>62</v>
      </c>
      <c r="M23">
        <v>210309</v>
      </c>
      <c r="N23">
        <v>287217</v>
      </c>
      <c r="O23">
        <v>1267</v>
      </c>
      <c r="P23">
        <v>1184380</v>
      </c>
      <c r="Q23">
        <v>2379527</v>
      </c>
      <c r="R23">
        <v>635</v>
      </c>
      <c r="S23">
        <v>1707559</v>
      </c>
      <c r="T23">
        <v>5742531</v>
      </c>
      <c r="U23">
        <v>94</v>
      </c>
      <c r="V23">
        <v>1261498</v>
      </c>
      <c r="W23">
        <v>6433569</v>
      </c>
      <c r="X23">
        <v>130</v>
      </c>
      <c r="Y23">
        <v>1070725</v>
      </c>
      <c r="Z23">
        <v>1166309</v>
      </c>
      <c r="AA23">
        <v>7195</v>
      </c>
      <c r="AB23">
        <v>212216</v>
      </c>
      <c r="AC23">
        <v>1054953</v>
      </c>
      <c r="AD23">
        <v>47</v>
      </c>
      <c r="AE23">
        <v>669072</v>
      </c>
      <c r="AF23">
        <v>1461045</v>
      </c>
      <c r="AG23">
        <v>29</v>
      </c>
      <c r="AH23">
        <v>813348</v>
      </c>
      <c r="AI23">
        <v>2380732</v>
      </c>
    </row>
    <row r="24" spans="1:35" x14ac:dyDescent="0.4">
      <c r="A24" s="1" t="s">
        <v>36</v>
      </c>
      <c r="B24" s="1" t="s">
        <v>37</v>
      </c>
      <c r="C24">
        <v>68</v>
      </c>
      <c r="D24">
        <v>174887</v>
      </c>
      <c r="E24">
        <v>774082</v>
      </c>
      <c r="F24">
        <v>414</v>
      </c>
      <c r="G24">
        <v>248287</v>
      </c>
      <c r="H24">
        <v>643801</v>
      </c>
      <c r="I24">
        <v>3154</v>
      </c>
      <c r="J24">
        <v>612274</v>
      </c>
      <c r="K24">
        <v>1854644</v>
      </c>
      <c r="L24">
        <v>55</v>
      </c>
      <c r="M24">
        <v>161759</v>
      </c>
      <c r="N24">
        <v>367893</v>
      </c>
      <c r="O24">
        <v>1184</v>
      </c>
      <c r="P24">
        <v>1431864</v>
      </c>
      <c r="Q24">
        <v>2789062</v>
      </c>
      <c r="R24">
        <v>549</v>
      </c>
      <c r="S24">
        <v>935296</v>
      </c>
      <c r="T24">
        <v>7398876</v>
      </c>
      <c r="U24">
        <v>53</v>
      </c>
      <c r="V24">
        <v>161696</v>
      </c>
      <c r="W24">
        <v>413721</v>
      </c>
      <c r="X24">
        <v>70</v>
      </c>
      <c r="Y24">
        <v>588132</v>
      </c>
      <c r="Z24">
        <v>1367134</v>
      </c>
      <c r="AA24">
        <v>5892</v>
      </c>
      <c r="AB24">
        <v>192588</v>
      </c>
      <c r="AC24">
        <v>769850</v>
      </c>
      <c r="AD24">
        <v>38</v>
      </c>
      <c r="AE24">
        <v>573907</v>
      </c>
      <c r="AF24">
        <v>989589</v>
      </c>
      <c r="AG24">
        <v>22</v>
      </c>
      <c r="AH24">
        <v>359441</v>
      </c>
      <c r="AI24">
        <v>564545</v>
      </c>
    </row>
    <row r="25" spans="1:35" x14ac:dyDescent="0.4">
      <c r="A25" s="1" t="s">
        <v>38</v>
      </c>
      <c r="B25" s="1" t="s">
        <v>39</v>
      </c>
      <c r="C25">
        <v>73</v>
      </c>
      <c r="D25">
        <v>349852</v>
      </c>
      <c r="E25">
        <v>1095657</v>
      </c>
      <c r="F25">
        <v>384</v>
      </c>
      <c r="G25">
        <v>242898</v>
      </c>
      <c r="H25">
        <v>707899</v>
      </c>
      <c r="I25">
        <v>3610</v>
      </c>
      <c r="J25">
        <v>905726</v>
      </c>
      <c r="K25">
        <v>3069277</v>
      </c>
      <c r="L25">
        <v>91</v>
      </c>
      <c r="M25">
        <v>224820</v>
      </c>
      <c r="N25">
        <v>420549</v>
      </c>
      <c r="O25">
        <v>1132</v>
      </c>
      <c r="P25">
        <v>954802</v>
      </c>
      <c r="Q25">
        <v>1980442</v>
      </c>
      <c r="R25">
        <v>552</v>
      </c>
      <c r="S25">
        <v>866360</v>
      </c>
      <c r="T25">
        <v>2759107</v>
      </c>
      <c r="U25">
        <v>72</v>
      </c>
      <c r="V25">
        <v>789514</v>
      </c>
      <c r="W25">
        <v>1892883</v>
      </c>
      <c r="X25">
        <v>77</v>
      </c>
      <c r="Y25">
        <v>165060</v>
      </c>
      <c r="Z25">
        <v>487303</v>
      </c>
      <c r="AA25">
        <v>10269</v>
      </c>
      <c r="AB25">
        <v>210012</v>
      </c>
      <c r="AC25">
        <v>1228220</v>
      </c>
      <c r="AD25">
        <v>34</v>
      </c>
      <c r="AE25">
        <v>1030665</v>
      </c>
      <c r="AF25">
        <v>799927</v>
      </c>
      <c r="AG25">
        <v>11</v>
      </c>
      <c r="AH25">
        <v>341476</v>
      </c>
      <c r="AI25">
        <v>321800</v>
      </c>
    </row>
    <row r="26" spans="1:35" x14ac:dyDescent="0.4">
      <c r="A26" s="1" t="s">
        <v>40</v>
      </c>
      <c r="B26" s="1" t="s">
        <v>41</v>
      </c>
      <c r="C26">
        <v>81</v>
      </c>
      <c r="D26">
        <v>381684</v>
      </c>
      <c r="E26">
        <v>1241272</v>
      </c>
      <c r="F26">
        <v>470</v>
      </c>
      <c r="G26">
        <v>300808</v>
      </c>
      <c r="H26">
        <v>1070258</v>
      </c>
      <c r="I26">
        <v>4276</v>
      </c>
      <c r="J26">
        <v>1060173</v>
      </c>
      <c r="K26">
        <v>2938328</v>
      </c>
      <c r="L26">
        <v>128</v>
      </c>
      <c r="M26">
        <v>414972</v>
      </c>
      <c r="N26">
        <v>878981</v>
      </c>
      <c r="O26">
        <v>1281</v>
      </c>
      <c r="P26">
        <v>1696812</v>
      </c>
      <c r="Q26">
        <v>3460410</v>
      </c>
      <c r="R26">
        <v>835</v>
      </c>
      <c r="S26">
        <v>1479755</v>
      </c>
      <c r="T26">
        <v>4912827</v>
      </c>
      <c r="U26">
        <v>110</v>
      </c>
      <c r="V26">
        <v>764674</v>
      </c>
      <c r="W26">
        <v>2402361</v>
      </c>
      <c r="X26">
        <v>154</v>
      </c>
      <c r="Y26">
        <v>929975</v>
      </c>
      <c r="Z26">
        <v>1031699</v>
      </c>
      <c r="AA26">
        <v>7749</v>
      </c>
      <c r="AB26">
        <v>157683</v>
      </c>
      <c r="AC26">
        <v>1066199</v>
      </c>
      <c r="AD26">
        <v>54</v>
      </c>
      <c r="AE26">
        <v>757784</v>
      </c>
      <c r="AF26">
        <v>1488588</v>
      </c>
      <c r="AG26">
        <v>37</v>
      </c>
      <c r="AH26">
        <v>2932710</v>
      </c>
      <c r="AI26">
        <v>2298929</v>
      </c>
    </row>
    <row r="27" spans="1:35" x14ac:dyDescent="0.4">
      <c r="A27" s="1" t="s">
        <v>42</v>
      </c>
      <c r="B27" s="1" t="s">
        <v>43</v>
      </c>
      <c r="C27">
        <v>50</v>
      </c>
      <c r="D27">
        <v>173003</v>
      </c>
      <c r="E27">
        <v>428417</v>
      </c>
      <c r="F27">
        <v>488</v>
      </c>
      <c r="G27">
        <v>319394</v>
      </c>
      <c r="H27">
        <v>939155</v>
      </c>
      <c r="I27">
        <v>2896</v>
      </c>
      <c r="J27">
        <v>516573</v>
      </c>
      <c r="K27">
        <v>1540464</v>
      </c>
      <c r="L27">
        <v>85</v>
      </c>
      <c r="M27">
        <v>171388</v>
      </c>
      <c r="N27">
        <v>360485</v>
      </c>
      <c r="O27">
        <v>1196</v>
      </c>
      <c r="P27">
        <v>1011143</v>
      </c>
      <c r="Q27">
        <v>1922093</v>
      </c>
      <c r="R27">
        <v>466</v>
      </c>
      <c r="S27">
        <v>1295546</v>
      </c>
      <c r="T27">
        <v>6949225</v>
      </c>
      <c r="U27">
        <v>74</v>
      </c>
      <c r="V27">
        <v>191257</v>
      </c>
      <c r="W27">
        <v>510766</v>
      </c>
      <c r="X27">
        <v>86</v>
      </c>
      <c r="Y27">
        <v>567110</v>
      </c>
      <c r="Z27">
        <v>1348433</v>
      </c>
      <c r="AA27">
        <v>11213</v>
      </c>
      <c r="AB27">
        <v>121207</v>
      </c>
      <c r="AC27">
        <v>612026</v>
      </c>
      <c r="AD27">
        <v>24</v>
      </c>
      <c r="AE27">
        <v>359202</v>
      </c>
      <c r="AF27">
        <v>926755</v>
      </c>
      <c r="AG27">
        <v>5</v>
      </c>
      <c r="AH27">
        <v>37594</v>
      </c>
      <c r="AI27">
        <v>45158</v>
      </c>
    </row>
    <row r="28" spans="1:35" x14ac:dyDescent="0.4">
      <c r="A28" s="1" t="s">
        <v>44</v>
      </c>
      <c r="B28" s="1" t="s">
        <v>45</v>
      </c>
      <c r="C28">
        <v>47</v>
      </c>
      <c r="D28">
        <v>370818</v>
      </c>
      <c r="E28">
        <v>768638</v>
      </c>
      <c r="F28">
        <v>397</v>
      </c>
      <c r="G28">
        <v>209601</v>
      </c>
      <c r="H28">
        <v>641207</v>
      </c>
      <c r="I28">
        <v>2631</v>
      </c>
      <c r="J28">
        <v>570632</v>
      </c>
      <c r="K28">
        <v>1621727</v>
      </c>
      <c r="L28">
        <v>173</v>
      </c>
      <c r="M28">
        <v>553608</v>
      </c>
      <c r="N28">
        <v>741337</v>
      </c>
      <c r="O28">
        <v>1138</v>
      </c>
      <c r="P28">
        <v>926541</v>
      </c>
      <c r="Q28">
        <v>2102532</v>
      </c>
      <c r="R28">
        <v>441</v>
      </c>
      <c r="S28">
        <v>1006211</v>
      </c>
      <c r="T28">
        <v>4723765</v>
      </c>
      <c r="U28">
        <v>80</v>
      </c>
      <c r="V28">
        <v>294286</v>
      </c>
      <c r="W28">
        <v>823987</v>
      </c>
      <c r="X28">
        <v>86</v>
      </c>
      <c r="Y28">
        <v>585537</v>
      </c>
      <c r="Z28">
        <v>633379</v>
      </c>
      <c r="AA28">
        <v>9799</v>
      </c>
      <c r="AB28">
        <v>240884</v>
      </c>
      <c r="AC28">
        <v>893752</v>
      </c>
      <c r="AD28">
        <v>39</v>
      </c>
      <c r="AE28">
        <v>531371</v>
      </c>
      <c r="AF28">
        <v>846820</v>
      </c>
      <c r="AG28">
        <v>13</v>
      </c>
      <c r="AH28">
        <v>1216006</v>
      </c>
      <c r="AI28">
        <v>967030</v>
      </c>
    </row>
    <row r="29" spans="1:35" x14ac:dyDescent="0.4">
      <c r="A29" s="1" t="s">
        <v>46</v>
      </c>
      <c r="B29" s="1" t="s">
        <v>47</v>
      </c>
      <c r="C29">
        <v>66</v>
      </c>
      <c r="D29">
        <v>472948</v>
      </c>
      <c r="E29">
        <v>978257</v>
      </c>
      <c r="F29">
        <v>463</v>
      </c>
      <c r="G29">
        <v>238684</v>
      </c>
      <c r="H29">
        <v>447019</v>
      </c>
      <c r="I29">
        <v>2692</v>
      </c>
      <c r="J29">
        <v>634265</v>
      </c>
      <c r="K29">
        <v>1748590</v>
      </c>
      <c r="L29">
        <v>88</v>
      </c>
      <c r="M29">
        <v>277160</v>
      </c>
      <c r="N29">
        <v>530866</v>
      </c>
      <c r="O29">
        <v>1408</v>
      </c>
      <c r="P29">
        <v>3563506</v>
      </c>
      <c r="Q29">
        <v>10364382</v>
      </c>
      <c r="R29">
        <v>485</v>
      </c>
      <c r="S29">
        <v>1088509</v>
      </c>
      <c r="T29">
        <v>2629265</v>
      </c>
      <c r="U29">
        <v>88</v>
      </c>
      <c r="V29">
        <v>1572763</v>
      </c>
      <c r="W29">
        <v>2007473</v>
      </c>
      <c r="X29">
        <v>67</v>
      </c>
      <c r="Y29">
        <v>214521</v>
      </c>
      <c r="Z29">
        <v>619717</v>
      </c>
      <c r="AA29">
        <v>10608</v>
      </c>
      <c r="AB29">
        <v>307382</v>
      </c>
      <c r="AC29">
        <v>1157736</v>
      </c>
      <c r="AD29">
        <v>33</v>
      </c>
      <c r="AE29">
        <v>268652</v>
      </c>
      <c r="AF29">
        <v>660336</v>
      </c>
      <c r="AG29">
        <v>10</v>
      </c>
      <c r="AH29">
        <v>1552537</v>
      </c>
      <c r="AI29">
        <v>1225363</v>
      </c>
    </row>
    <row r="30" spans="1:35" x14ac:dyDescent="0.4">
      <c r="A30" s="1" t="s">
        <v>48</v>
      </c>
      <c r="B30" s="1" t="s">
        <v>49</v>
      </c>
      <c r="C30">
        <v>71</v>
      </c>
      <c r="D30">
        <v>317224</v>
      </c>
      <c r="E30">
        <v>962112</v>
      </c>
      <c r="F30">
        <v>520</v>
      </c>
      <c r="G30">
        <v>301826</v>
      </c>
      <c r="H30">
        <v>884712</v>
      </c>
      <c r="I30">
        <v>3328</v>
      </c>
      <c r="J30">
        <v>609067</v>
      </c>
      <c r="K30">
        <v>1856045</v>
      </c>
      <c r="L30">
        <v>81</v>
      </c>
      <c r="M30">
        <v>210405</v>
      </c>
      <c r="N30">
        <v>500584</v>
      </c>
      <c r="O30">
        <v>1486</v>
      </c>
      <c r="P30">
        <v>1885926</v>
      </c>
      <c r="Q30">
        <v>3889811</v>
      </c>
      <c r="R30">
        <v>561</v>
      </c>
      <c r="S30">
        <v>1083554</v>
      </c>
      <c r="T30">
        <v>3620720</v>
      </c>
      <c r="U30">
        <v>81</v>
      </c>
      <c r="V30">
        <v>325712</v>
      </c>
      <c r="W30">
        <v>938743</v>
      </c>
      <c r="X30">
        <v>115</v>
      </c>
      <c r="Y30">
        <v>266076</v>
      </c>
      <c r="Z30">
        <v>713222</v>
      </c>
      <c r="AA30">
        <v>7800</v>
      </c>
      <c r="AB30">
        <v>350641</v>
      </c>
      <c r="AC30">
        <v>1444295</v>
      </c>
      <c r="AD30">
        <v>31</v>
      </c>
      <c r="AE30">
        <v>1134345</v>
      </c>
      <c r="AF30">
        <v>1497220</v>
      </c>
      <c r="AG30">
        <v>11</v>
      </c>
      <c r="AH30">
        <v>85515</v>
      </c>
      <c r="AI30">
        <v>149280</v>
      </c>
    </row>
    <row r="31" spans="1:35" x14ac:dyDescent="0.4">
      <c r="A31" s="1" t="s">
        <v>50</v>
      </c>
      <c r="B31" s="1" t="s">
        <v>51</v>
      </c>
      <c r="C31">
        <v>58</v>
      </c>
      <c r="D31">
        <v>297235</v>
      </c>
      <c r="E31">
        <v>1564574</v>
      </c>
      <c r="F31">
        <v>485</v>
      </c>
      <c r="G31">
        <v>287444</v>
      </c>
      <c r="H31">
        <v>910421</v>
      </c>
      <c r="I31">
        <v>2081</v>
      </c>
      <c r="J31">
        <v>546695</v>
      </c>
      <c r="K31">
        <v>1705339</v>
      </c>
      <c r="L31">
        <v>74</v>
      </c>
      <c r="M31">
        <v>189874</v>
      </c>
      <c r="N31">
        <v>395877</v>
      </c>
      <c r="O31">
        <v>1185</v>
      </c>
      <c r="P31">
        <v>1086711</v>
      </c>
      <c r="Q31">
        <v>2122567</v>
      </c>
      <c r="R31">
        <v>443</v>
      </c>
      <c r="S31">
        <v>1300559</v>
      </c>
      <c r="T31">
        <v>4171491</v>
      </c>
      <c r="U31">
        <v>71</v>
      </c>
      <c r="V31">
        <v>848118</v>
      </c>
      <c r="W31">
        <v>1814888</v>
      </c>
      <c r="X31">
        <v>92</v>
      </c>
      <c r="Y31">
        <v>541320</v>
      </c>
      <c r="Z31">
        <v>612393</v>
      </c>
      <c r="AA31">
        <v>8838</v>
      </c>
      <c r="AB31">
        <v>95319</v>
      </c>
      <c r="AC31">
        <v>335742</v>
      </c>
      <c r="AD31">
        <v>38</v>
      </c>
      <c r="AE31">
        <v>454588</v>
      </c>
      <c r="AF31">
        <v>1066726</v>
      </c>
      <c r="AG31">
        <v>37</v>
      </c>
      <c r="AH31">
        <v>181338</v>
      </c>
      <c r="AI31">
        <v>430060</v>
      </c>
    </row>
    <row r="32" spans="1:35" x14ac:dyDescent="0.4">
      <c r="A32" s="1" t="s">
        <v>52</v>
      </c>
      <c r="B32" s="1" t="s">
        <v>53</v>
      </c>
      <c r="C32">
        <v>42</v>
      </c>
      <c r="D32">
        <v>270588</v>
      </c>
      <c r="E32">
        <v>2040803</v>
      </c>
      <c r="F32">
        <v>494</v>
      </c>
      <c r="G32">
        <v>298039</v>
      </c>
      <c r="H32">
        <v>787755</v>
      </c>
      <c r="I32">
        <v>2873</v>
      </c>
      <c r="J32">
        <v>797276</v>
      </c>
      <c r="K32">
        <v>2476559</v>
      </c>
      <c r="L32">
        <v>86</v>
      </c>
      <c r="M32">
        <v>99576</v>
      </c>
      <c r="N32">
        <v>192083</v>
      </c>
      <c r="O32">
        <v>1267</v>
      </c>
      <c r="P32">
        <v>1450985</v>
      </c>
      <c r="Q32">
        <v>2833514</v>
      </c>
      <c r="R32">
        <v>622</v>
      </c>
      <c r="S32">
        <v>892157</v>
      </c>
      <c r="T32">
        <v>3158249</v>
      </c>
      <c r="U32">
        <v>68</v>
      </c>
      <c r="V32">
        <v>319898</v>
      </c>
      <c r="W32">
        <v>1435587</v>
      </c>
      <c r="X32">
        <v>98</v>
      </c>
      <c r="Y32">
        <v>418595</v>
      </c>
      <c r="Z32">
        <v>549288</v>
      </c>
      <c r="AA32">
        <v>9822</v>
      </c>
      <c r="AB32">
        <v>323200</v>
      </c>
      <c r="AC32">
        <v>1592070</v>
      </c>
      <c r="AD32">
        <v>68</v>
      </c>
      <c r="AE32">
        <v>782987</v>
      </c>
      <c r="AF32">
        <v>1366138</v>
      </c>
      <c r="AG32">
        <v>11</v>
      </c>
      <c r="AH32">
        <v>303451</v>
      </c>
      <c r="AI32">
        <v>902206</v>
      </c>
    </row>
    <row r="33" spans="1:35" x14ac:dyDescent="0.4">
      <c r="A33" s="1" t="s">
        <v>54</v>
      </c>
      <c r="B33" s="1" t="s">
        <v>55</v>
      </c>
      <c r="C33">
        <v>59</v>
      </c>
      <c r="D33">
        <v>126390</v>
      </c>
      <c r="E33">
        <v>337003</v>
      </c>
      <c r="F33">
        <v>459</v>
      </c>
      <c r="G33">
        <v>281452</v>
      </c>
      <c r="H33">
        <v>992469</v>
      </c>
      <c r="I33">
        <v>3092</v>
      </c>
      <c r="J33">
        <v>674244</v>
      </c>
      <c r="K33">
        <v>1655979</v>
      </c>
      <c r="L33">
        <v>94</v>
      </c>
      <c r="M33">
        <v>264877</v>
      </c>
      <c r="N33">
        <v>548115</v>
      </c>
      <c r="O33">
        <v>1430</v>
      </c>
      <c r="P33">
        <v>1080691</v>
      </c>
      <c r="Q33">
        <v>2017686</v>
      </c>
      <c r="R33">
        <v>558</v>
      </c>
      <c r="S33">
        <v>1156663</v>
      </c>
      <c r="T33">
        <v>4427778</v>
      </c>
      <c r="U33">
        <v>65</v>
      </c>
      <c r="V33">
        <v>1084844</v>
      </c>
      <c r="W33">
        <v>2288098</v>
      </c>
      <c r="X33">
        <v>73</v>
      </c>
      <c r="Y33">
        <v>205260</v>
      </c>
      <c r="Z33">
        <v>656743</v>
      </c>
      <c r="AA33">
        <v>12236</v>
      </c>
      <c r="AB33">
        <v>256747</v>
      </c>
      <c r="AC33">
        <v>924077</v>
      </c>
      <c r="AD33">
        <v>47</v>
      </c>
      <c r="AE33">
        <v>442802</v>
      </c>
      <c r="AF33">
        <v>864613</v>
      </c>
      <c r="AG33">
        <v>24</v>
      </c>
      <c r="AH33">
        <v>1925458</v>
      </c>
      <c r="AI33">
        <v>1418300</v>
      </c>
    </row>
    <row r="34" spans="1:35" x14ac:dyDescent="0.4">
      <c r="A34" s="1" t="s">
        <v>56</v>
      </c>
      <c r="B34" s="1" t="s">
        <v>57</v>
      </c>
      <c r="C34">
        <v>57</v>
      </c>
      <c r="D34">
        <v>368510</v>
      </c>
      <c r="E34">
        <v>897201</v>
      </c>
      <c r="F34">
        <v>513</v>
      </c>
      <c r="G34">
        <v>365226</v>
      </c>
      <c r="H34">
        <v>1352391</v>
      </c>
      <c r="I34">
        <v>2959</v>
      </c>
      <c r="J34">
        <v>547887</v>
      </c>
      <c r="K34">
        <v>1602971</v>
      </c>
      <c r="L34">
        <v>89</v>
      </c>
      <c r="M34">
        <v>320840</v>
      </c>
      <c r="N34">
        <v>783547</v>
      </c>
      <c r="O34">
        <v>1282</v>
      </c>
      <c r="P34">
        <v>1074087</v>
      </c>
      <c r="Q34">
        <v>2659887</v>
      </c>
      <c r="R34">
        <v>461</v>
      </c>
      <c r="S34">
        <v>786687</v>
      </c>
      <c r="T34">
        <v>1766438</v>
      </c>
      <c r="U34">
        <v>56</v>
      </c>
      <c r="V34">
        <v>195132</v>
      </c>
      <c r="W34">
        <v>563964</v>
      </c>
      <c r="X34">
        <v>94</v>
      </c>
      <c r="Y34">
        <v>453030</v>
      </c>
      <c r="Z34">
        <v>613794</v>
      </c>
      <c r="AA34">
        <v>9996</v>
      </c>
      <c r="AB34">
        <v>860252</v>
      </c>
      <c r="AC34">
        <v>2406884</v>
      </c>
      <c r="AD34">
        <v>31</v>
      </c>
      <c r="AE34">
        <v>286848</v>
      </c>
      <c r="AF34">
        <v>537147</v>
      </c>
      <c r="AG34">
        <v>15</v>
      </c>
      <c r="AH34">
        <v>798798</v>
      </c>
      <c r="AI34">
        <v>669950</v>
      </c>
    </row>
    <row r="35" spans="1:35" x14ac:dyDescent="0.4">
      <c r="A35" s="1" t="s">
        <v>58</v>
      </c>
      <c r="B35" s="1" t="s">
        <v>59</v>
      </c>
      <c r="C35">
        <v>67</v>
      </c>
      <c r="D35">
        <v>249245</v>
      </c>
      <c r="E35">
        <v>653908</v>
      </c>
      <c r="F35">
        <v>478</v>
      </c>
      <c r="G35">
        <v>300716</v>
      </c>
      <c r="H35">
        <v>821532</v>
      </c>
      <c r="I35">
        <v>3125</v>
      </c>
      <c r="J35">
        <v>672772</v>
      </c>
      <c r="K35">
        <v>2152764</v>
      </c>
      <c r="L35">
        <v>85</v>
      </c>
      <c r="M35">
        <v>118730</v>
      </c>
      <c r="N35">
        <v>254061</v>
      </c>
      <c r="O35">
        <v>1346</v>
      </c>
      <c r="P35">
        <v>1526165</v>
      </c>
      <c r="Q35">
        <v>4958864</v>
      </c>
      <c r="R35">
        <v>603</v>
      </c>
      <c r="S35">
        <v>1465424</v>
      </c>
      <c r="T35">
        <v>7216810</v>
      </c>
      <c r="U35">
        <v>95</v>
      </c>
      <c r="V35">
        <v>460924</v>
      </c>
      <c r="W35">
        <v>1121159</v>
      </c>
      <c r="X35">
        <v>104</v>
      </c>
      <c r="Y35">
        <v>1015716</v>
      </c>
      <c r="Z35">
        <v>2292071</v>
      </c>
      <c r="AA35">
        <v>9337</v>
      </c>
      <c r="AB35">
        <v>144203</v>
      </c>
      <c r="AC35">
        <v>720960</v>
      </c>
      <c r="AD35">
        <v>38</v>
      </c>
      <c r="AE35">
        <v>226778</v>
      </c>
      <c r="AF35">
        <v>456898</v>
      </c>
      <c r="AG35">
        <v>24</v>
      </c>
      <c r="AH35">
        <v>1926178</v>
      </c>
      <c r="AI35">
        <v>1392278</v>
      </c>
    </row>
    <row r="36" spans="1:35" x14ac:dyDescent="0.4">
      <c r="A36" s="1" t="s">
        <v>60</v>
      </c>
      <c r="B36" s="1" t="s">
        <v>61</v>
      </c>
      <c r="C36">
        <v>49</v>
      </c>
      <c r="D36">
        <v>219597</v>
      </c>
      <c r="E36">
        <v>547963</v>
      </c>
      <c r="F36">
        <v>490</v>
      </c>
      <c r="G36">
        <v>266199</v>
      </c>
      <c r="H36">
        <v>881418</v>
      </c>
      <c r="I36">
        <v>2906</v>
      </c>
      <c r="J36">
        <v>492929</v>
      </c>
      <c r="K36">
        <v>1324629</v>
      </c>
      <c r="L36">
        <v>72</v>
      </c>
      <c r="M36">
        <v>194765</v>
      </c>
      <c r="N36">
        <v>303140</v>
      </c>
      <c r="O36">
        <v>1244</v>
      </c>
      <c r="P36">
        <v>1589976</v>
      </c>
      <c r="Q36">
        <v>2491931</v>
      </c>
      <c r="R36">
        <v>495</v>
      </c>
      <c r="S36">
        <v>1271141</v>
      </c>
      <c r="T36">
        <v>3986504</v>
      </c>
      <c r="U36">
        <v>67</v>
      </c>
      <c r="V36">
        <v>190535</v>
      </c>
      <c r="W36">
        <v>576846</v>
      </c>
      <c r="X36">
        <v>109</v>
      </c>
      <c r="Y36">
        <v>583051</v>
      </c>
      <c r="Z36">
        <v>648091</v>
      </c>
      <c r="AA36">
        <v>9083</v>
      </c>
      <c r="AB36">
        <v>85439</v>
      </c>
      <c r="AC36">
        <v>394239</v>
      </c>
      <c r="AD36">
        <v>28</v>
      </c>
      <c r="AE36">
        <v>323296</v>
      </c>
      <c r="AF36">
        <v>713014</v>
      </c>
      <c r="AG36">
        <v>13</v>
      </c>
      <c r="AH36">
        <v>23019</v>
      </c>
      <c r="AI36">
        <v>71628</v>
      </c>
    </row>
    <row r="37" spans="1:35" x14ac:dyDescent="0.4">
      <c r="A37" s="1" t="s">
        <v>62</v>
      </c>
      <c r="B37" s="1" t="s">
        <v>63</v>
      </c>
      <c r="C37">
        <v>59</v>
      </c>
      <c r="D37">
        <v>164648</v>
      </c>
      <c r="E37">
        <v>572143</v>
      </c>
      <c r="F37">
        <v>506</v>
      </c>
      <c r="G37">
        <v>337608</v>
      </c>
      <c r="H37">
        <v>1486590</v>
      </c>
      <c r="I37">
        <v>3088</v>
      </c>
      <c r="J37">
        <v>593962</v>
      </c>
      <c r="K37">
        <v>1558192</v>
      </c>
      <c r="L37">
        <v>96</v>
      </c>
      <c r="M37">
        <v>381315</v>
      </c>
      <c r="N37">
        <v>750468</v>
      </c>
      <c r="O37">
        <v>1497</v>
      </c>
      <c r="P37">
        <v>1250295</v>
      </c>
      <c r="Q37">
        <v>3001818</v>
      </c>
      <c r="R37">
        <v>640</v>
      </c>
      <c r="S37">
        <v>1211536</v>
      </c>
      <c r="T37">
        <v>6595944</v>
      </c>
      <c r="U37">
        <v>81</v>
      </c>
      <c r="V37">
        <v>423662</v>
      </c>
      <c r="W37">
        <v>1510355</v>
      </c>
      <c r="X37">
        <v>92</v>
      </c>
      <c r="Y37">
        <v>327308</v>
      </c>
      <c r="Z37">
        <v>403496</v>
      </c>
      <c r="AA37">
        <v>10274</v>
      </c>
      <c r="AB37">
        <v>299781</v>
      </c>
      <c r="AC37">
        <v>1413175</v>
      </c>
      <c r="AD37">
        <v>45</v>
      </c>
      <c r="AE37">
        <v>548599</v>
      </c>
      <c r="AF37">
        <v>1084611</v>
      </c>
      <c r="AG37">
        <v>19</v>
      </c>
      <c r="AH37">
        <v>73869</v>
      </c>
      <c r="AI37">
        <v>163450</v>
      </c>
    </row>
    <row r="38" spans="1:35" x14ac:dyDescent="0.4">
      <c r="A38" s="1" t="s">
        <v>64</v>
      </c>
      <c r="B38" s="1" t="s">
        <v>65</v>
      </c>
      <c r="C38">
        <v>74</v>
      </c>
      <c r="D38">
        <v>312372</v>
      </c>
      <c r="E38">
        <v>1307976</v>
      </c>
      <c r="F38">
        <v>512</v>
      </c>
      <c r="G38">
        <v>352348</v>
      </c>
      <c r="H38">
        <v>986231</v>
      </c>
      <c r="I38">
        <v>3644</v>
      </c>
      <c r="J38">
        <v>839450</v>
      </c>
      <c r="K38">
        <v>2667856</v>
      </c>
      <c r="L38">
        <v>122</v>
      </c>
      <c r="M38">
        <v>534125</v>
      </c>
      <c r="N38">
        <v>1429208</v>
      </c>
      <c r="O38">
        <v>1124</v>
      </c>
      <c r="P38">
        <v>1352111</v>
      </c>
      <c r="Q38">
        <v>2198737</v>
      </c>
      <c r="R38">
        <v>801</v>
      </c>
      <c r="S38">
        <v>2177670</v>
      </c>
      <c r="T38">
        <v>9212864</v>
      </c>
      <c r="U38">
        <v>77</v>
      </c>
      <c r="V38">
        <v>392210</v>
      </c>
      <c r="W38">
        <v>1253836</v>
      </c>
      <c r="X38">
        <v>123</v>
      </c>
      <c r="Y38">
        <v>399687</v>
      </c>
      <c r="Z38">
        <v>973866</v>
      </c>
      <c r="AA38">
        <v>8010</v>
      </c>
      <c r="AB38">
        <v>264802</v>
      </c>
      <c r="AC38">
        <v>1038987</v>
      </c>
      <c r="AD38">
        <v>40</v>
      </c>
      <c r="AE38">
        <v>284001</v>
      </c>
      <c r="AF38">
        <v>659411</v>
      </c>
      <c r="AG38">
        <v>38</v>
      </c>
      <c r="AH38">
        <v>5232073</v>
      </c>
      <c r="AI38">
        <v>3808030</v>
      </c>
    </row>
    <row r="39" spans="1:35" x14ac:dyDescent="0.4">
      <c r="A39" s="1"/>
      <c r="B39" s="1"/>
    </row>
    <row r="40" spans="1:35" x14ac:dyDescent="0.4">
      <c r="A40" s="1"/>
      <c r="B4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FC7DA-A020-4144-BCB9-7E9E6A052BED}">
  <dimension ref="A1:AT40"/>
  <sheetViews>
    <sheetView workbookViewId="0">
      <selection activeCell="C9" sqref="C9"/>
    </sheetView>
  </sheetViews>
  <sheetFormatPr defaultColWidth="15.62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364</v>
      </c>
      <c r="D3" t="s">
        <v>364</v>
      </c>
      <c r="E3" t="s">
        <v>364</v>
      </c>
      <c r="F3" t="s">
        <v>366</v>
      </c>
      <c r="G3" t="s">
        <v>366</v>
      </c>
      <c r="H3" t="s">
        <v>366</v>
      </c>
      <c r="I3" t="s">
        <v>368</v>
      </c>
      <c r="J3" t="s">
        <v>368</v>
      </c>
      <c r="K3" t="s">
        <v>368</v>
      </c>
      <c r="L3" t="s">
        <v>370</v>
      </c>
      <c r="M3" t="s">
        <v>370</v>
      </c>
      <c r="N3" t="s">
        <v>370</v>
      </c>
      <c r="O3" t="s">
        <v>372</v>
      </c>
      <c r="P3" t="s">
        <v>372</v>
      </c>
      <c r="Q3" t="s">
        <v>372</v>
      </c>
      <c r="R3" t="s">
        <v>374</v>
      </c>
      <c r="S3" t="s">
        <v>374</v>
      </c>
      <c r="T3" t="s">
        <v>374</v>
      </c>
      <c r="U3" t="s">
        <v>376</v>
      </c>
      <c r="V3" t="s">
        <v>376</v>
      </c>
      <c r="W3" t="s">
        <v>376</v>
      </c>
      <c r="X3" t="s">
        <v>378</v>
      </c>
      <c r="Y3" t="s">
        <v>378</v>
      </c>
      <c r="Z3" t="s">
        <v>378</v>
      </c>
      <c r="AA3" t="s">
        <v>380</v>
      </c>
      <c r="AB3" t="s">
        <v>380</v>
      </c>
      <c r="AC3" t="s">
        <v>380</v>
      </c>
      <c r="AD3" t="s">
        <v>382</v>
      </c>
      <c r="AE3" t="s">
        <v>382</v>
      </c>
      <c r="AF3" t="s">
        <v>382</v>
      </c>
      <c r="AG3" t="s">
        <v>384</v>
      </c>
      <c r="AH3" t="s">
        <v>384</v>
      </c>
      <c r="AI3" t="s">
        <v>384</v>
      </c>
      <c r="AJ3" t="s">
        <v>386</v>
      </c>
      <c r="AK3" t="s">
        <v>386</v>
      </c>
      <c r="AL3" t="s">
        <v>386</v>
      </c>
      <c r="AM3" t="s">
        <v>388</v>
      </c>
      <c r="AN3" t="s">
        <v>388</v>
      </c>
      <c r="AO3" t="s">
        <v>390</v>
      </c>
      <c r="AP3" t="s">
        <v>390</v>
      </c>
      <c r="AQ3" t="s">
        <v>392</v>
      </c>
      <c r="AR3" t="s">
        <v>392</v>
      </c>
      <c r="AS3" t="s">
        <v>394</v>
      </c>
      <c r="AT3" t="s">
        <v>394</v>
      </c>
    </row>
    <row r="4" spans="1:46" x14ac:dyDescent="0.4">
      <c r="A4" s="1"/>
      <c r="B4" s="2" t="s">
        <v>1</v>
      </c>
      <c r="C4" t="s">
        <v>365</v>
      </c>
      <c r="D4" t="s">
        <v>365</v>
      </c>
      <c r="E4" t="s">
        <v>365</v>
      </c>
      <c r="F4" t="s">
        <v>367</v>
      </c>
      <c r="G4" t="s">
        <v>367</v>
      </c>
      <c r="H4" t="s">
        <v>367</v>
      </c>
      <c r="I4" t="s">
        <v>369</v>
      </c>
      <c r="J4" t="s">
        <v>369</v>
      </c>
      <c r="K4" t="s">
        <v>369</v>
      </c>
      <c r="L4" t="s">
        <v>371</v>
      </c>
      <c r="M4" t="s">
        <v>371</v>
      </c>
      <c r="N4" t="s">
        <v>371</v>
      </c>
      <c r="O4" t="s">
        <v>373</v>
      </c>
      <c r="P4" t="s">
        <v>373</v>
      </c>
      <c r="Q4" t="s">
        <v>373</v>
      </c>
      <c r="R4" t="s">
        <v>375</v>
      </c>
      <c r="S4" t="s">
        <v>375</v>
      </c>
      <c r="T4" t="s">
        <v>375</v>
      </c>
      <c r="U4" t="s">
        <v>377</v>
      </c>
      <c r="V4" t="s">
        <v>377</v>
      </c>
      <c r="W4" t="s">
        <v>377</v>
      </c>
      <c r="X4" t="s">
        <v>379</v>
      </c>
      <c r="Y4" t="s">
        <v>379</v>
      </c>
      <c r="Z4" t="s">
        <v>379</v>
      </c>
      <c r="AA4" t="s">
        <v>381</v>
      </c>
      <c r="AB4" t="s">
        <v>381</v>
      </c>
      <c r="AC4" t="s">
        <v>381</v>
      </c>
      <c r="AD4" t="s">
        <v>383</v>
      </c>
      <c r="AE4" t="s">
        <v>383</v>
      </c>
      <c r="AF4" t="s">
        <v>383</v>
      </c>
      <c r="AG4" t="s">
        <v>385</v>
      </c>
      <c r="AH4" t="s">
        <v>385</v>
      </c>
      <c r="AI4" t="s">
        <v>385</v>
      </c>
      <c r="AJ4" t="s">
        <v>387</v>
      </c>
      <c r="AK4" t="s">
        <v>387</v>
      </c>
      <c r="AL4" t="s">
        <v>387</v>
      </c>
      <c r="AM4" t="s">
        <v>389</v>
      </c>
      <c r="AN4" t="s">
        <v>389</v>
      </c>
      <c r="AO4" t="s">
        <v>391</v>
      </c>
      <c r="AP4" t="s">
        <v>391</v>
      </c>
      <c r="AQ4" t="s">
        <v>393</v>
      </c>
      <c r="AR4" t="s">
        <v>393</v>
      </c>
      <c r="AS4" t="s">
        <v>395</v>
      </c>
      <c r="AT4" t="s">
        <v>395</v>
      </c>
    </row>
    <row r="5" spans="1:4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</row>
    <row r="6" spans="1:4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</row>
    <row r="7" spans="1:4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258</v>
      </c>
      <c r="AJ7" t="s">
        <v>251</v>
      </c>
      <c r="AK7" t="s">
        <v>70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</row>
    <row r="8" spans="1:4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260</v>
      </c>
      <c r="AJ8" t="s">
        <v>253</v>
      </c>
      <c r="AK8" t="s">
        <v>70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</row>
    <row r="9" spans="1:46" x14ac:dyDescent="0.4">
      <c r="A9" s="1" t="s">
        <v>6</v>
      </c>
      <c r="B9" s="3" t="s">
        <v>7</v>
      </c>
      <c r="C9">
        <v>3845</v>
      </c>
      <c r="D9">
        <v>9666</v>
      </c>
      <c r="E9">
        <v>23777</v>
      </c>
      <c r="F9">
        <v>5854</v>
      </c>
      <c r="G9">
        <v>33243</v>
      </c>
      <c r="H9">
        <v>51929</v>
      </c>
      <c r="I9">
        <v>3490</v>
      </c>
      <c r="J9">
        <v>52470</v>
      </c>
      <c r="K9">
        <v>51588</v>
      </c>
      <c r="L9">
        <v>553</v>
      </c>
      <c r="M9">
        <v>27527</v>
      </c>
      <c r="N9">
        <v>25870</v>
      </c>
      <c r="O9">
        <v>312</v>
      </c>
      <c r="P9">
        <v>4173</v>
      </c>
      <c r="Q9">
        <v>18749</v>
      </c>
      <c r="R9">
        <v>717</v>
      </c>
      <c r="S9">
        <v>5021</v>
      </c>
      <c r="T9">
        <v>14105</v>
      </c>
      <c r="U9">
        <v>460</v>
      </c>
      <c r="V9">
        <v>5864</v>
      </c>
      <c r="W9">
        <v>16193</v>
      </c>
      <c r="X9">
        <v>43</v>
      </c>
      <c r="Y9">
        <v>4665</v>
      </c>
      <c r="Z9">
        <v>12116</v>
      </c>
      <c r="AA9">
        <v>554</v>
      </c>
      <c r="AB9">
        <v>16058</v>
      </c>
      <c r="AC9">
        <v>42942</v>
      </c>
      <c r="AD9" t="s">
        <v>73</v>
      </c>
      <c r="AE9" t="s">
        <v>73</v>
      </c>
      <c r="AF9" t="s">
        <v>73</v>
      </c>
      <c r="AG9">
        <v>17220</v>
      </c>
      <c r="AH9">
        <v>8202</v>
      </c>
      <c r="AI9">
        <v>27830</v>
      </c>
      <c r="AJ9" t="s">
        <v>73</v>
      </c>
      <c r="AK9" t="s">
        <v>73</v>
      </c>
      <c r="AL9" t="s">
        <v>73</v>
      </c>
      <c r="AM9">
        <v>591</v>
      </c>
      <c r="AN9">
        <v>6202</v>
      </c>
      <c r="AO9">
        <v>9303</v>
      </c>
      <c r="AP9">
        <v>8037</v>
      </c>
      <c r="AQ9">
        <v>51</v>
      </c>
      <c r="AR9">
        <v>6701</v>
      </c>
      <c r="AS9">
        <v>265</v>
      </c>
      <c r="AT9">
        <v>31020</v>
      </c>
    </row>
    <row r="10" spans="1:46" x14ac:dyDescent="0.4">
      <c r="A10" s="1" t="s">
        <v>8</v>
      </c>
      <c r="B10" s="3" t="s">
        <v>9</v>
      </c>
      <c r="C10">
        <v>3535</v>
      </c>
      <c r="D10">
        <v>9005</v>
      </c>
      <c r="E10">
        <v>22290</v>
      </c>
      <c r="F10">
        <v>5692</v>
      </c>
      <c r="G10">
        <v>32157</v>
      </c>
      <c r="H10">
        <v>51758</v>
      </c>
      <c r="I10">
        <v>3272</v>
      </c>
      <c r="J10">
        <v>48341</v>
      </c>
      <c r="K10">
        <v>48485</v>
      </c>
      <c r="L10">
        <v>615</v>
      </c>
      <c r="M10">
        <v>32934</v>
      </c>
      <c r="N10">
        <v>31266</v>
      </c>
      <c r="O10">
        <v>268</v>
      </c>
      <c r="P10">
        <v>3993</v>
      </c>
      <c r="Q10">
        <v>20809</v>
      </c>
      <c r="R10">
        <v>829</v>
      </c>
      <c r="S10">
        <v>10765</v>
      </c>
      <c r="T10">
        <v>25406</v>
      </c>
      <c r="U10">
        <v>324</v>
      </c>
      <c r="V10">
        <v>4857</v>
      </c>
      <c r="W10">
        <v>13032</v>
      </c>
      <c r="X10">
        <v>54</v>
      </c>
      <c r="Y10">
        <v>4384</v>
      </c>
      <c r="Z10">
        <v>10190</v>
      </c>
      <c r="AA10">
        <v>542</v>
      </c>
      <c r="AB10">
        <v>16382</v>
      </c>
      <c r="AC10">
        <v>51252</v>
      </c>
      <c r="AD10" t="s">
        <v>73</v>
      </c>
      <c r="AE10" t="s">
        <v>73</v>
      </c>
      <c r="AF10" t="s">
        <v>73</v>
      </c>
      <c r="AG10">
        <v>16101</v>
      </c>
      <c r="AH10">
        <v>9513</v>
      </c>
      <c r="AI10">
        <v>32219</v>
      </c>
      <c r="AJ10" t="s">
        <v>73</v>
      </c>
      <c r="AK10" t="s">
        <v>73</v>
      </c>
      <c r="AL10" t="s">
        <v>73</v>
      </c>
      <c r="AM10">
        <v>571</v>
      </c>
      <c r="AN10">
        <v>5073</v>
      </c>
      <c r="AO10">
        <v>9762</v>
      </c>
      <c r="AP10">
        <v>10924</v>
      </c>
      <c r="AQ10">
        <v>50</v>
      </c>
      <c r="AR10">
        <v>8863</v>
      </c>
      <c r="AS10">
        <v>286</v>
      </c>
      <c r="AT10">
        <v>40176</v>
      </c>
    </row>
    <row r="11" spans="1:46" x14ac:dyDescent="0.4">
      <c r="A11" s="1" t="s">
        <v>10</v>
      </c>
      <c r="B11" s="3" t="s">
        <v>11</v>
      </c>
      <c r="C11">
        <v>2376</v>
      </c>
      <c r="D11">
        <v>5781</v>
      </c>
      <c r="E11">
        <v>16082</v>
      </c>
      <c r="F11">
        <v>4300</v>
      </c>
      <c r="G11">
        <v>23840</v>
      </c>
      <c r="H11">
        <v>40152</v>
      </c>
      <c r="I11">
        <v>2412</v>
      </c>
      <c r="J11">
        <v>36834</v>
      </c>
      <c r="K11">
        <v>37566</v>
      </c>
      <c r="L11">
        <v>598</v>
      </c>
      <c r="M11">
        <v>32439</v>
      </c>
      <c r="N11">
        <v>35484</v>
      </c>
      <c r="O11">
        <v>356</v>
      </c>
      <c r="P11">
        <v>3600</v>
      </c>
      <c r="Q11">
        <v>23470</v>
      </c>
      <c r="R11">
        <v>1428</v>
      </c>
      <c r="S11">
        <v>21840</v>
      </c>
      <c r="T11">
        <v>58330</v>
      </c>
      <c r="U11">
        <v>311</v>
      </c>
      <c r="V11">
        <v>4669</v>
      </c>
      <c r="W11">
        <v>13317</v>
      </c>
      <c r="X11">
        <v>56</v>
      </c>
      <c r="Y11">
        <v>6806</v>
      </c>
      <c r="Z11">
        <v>17025</v>
      </c>
      <c r="AA11">
        <v>563</v>
      </c>
      <c r="AB11">
        <v>17278</v>
      </c>
      <c r="AC11">
        <v>57888</v>
      </c>
      <c r="AD11" t="s">
        <v>73</v>
      </c>
      <c r="AE11" t="s">
        <v>73</v>
      </c>
      <c r="AF11" t="s">
        <v>73</v>
      </c>
      <c r="AG11">
        <v>16010</v>
      </c>
      <c r="AH11">
        <v>11537</v>
      </c>
      <c r="AI11">
        <v>37153</v>
      </c>
      <c r="AJ11" t="s">
        <v>73</v>
      </c>
      <c r="AK11" t="s">
        <v>73</v>
      </c>
      <c r="AL11" t="s">
        <v>73</v>
      </c>
      <c r="AM11">
        <v>455</v>
      </c>
      <c r="AN11">
        <v>5056</v>
      </c>
      <c r="AO11">
        <v>9696</v>
      </c>
      <c r="AP11">
        <v>10585</v>
      </c>
      <c r="AQ11">
        <v>51</v>
      </c>
      <c r="AR11">
        <v>6739</v>
      </c>
      <c r="AS11">
        <v>283</v>
      </c>
      <c r="AT11">
        <v>42069</v>
      </c>
    </row>
    <row r="12" spans="1:46" x14ac:dyDescent="0.4">
      <c r="A12" s="1" t="s">
        <v>12</v>
      </c>
      <c r="B12" s="3" t="s">
        <v>13</v>
      </c>
      <c r="C12">
        <v>2871</v>
      </c>
      <c r="D12">
        <v>7606</v>
      </c>
      <c r="E12">
        <v>19944</v>
      </c>
      <c r="F12">
        <v>4489</v>
      </c>
      <c r="G12">
        <v>25412</v>
      </c>
      <c r="H12">
        <v>39944</v>
      </c>
      <c r="I12">
        <v>2325</v>
      </c>
      <c r="J12">
        <v>34386</v>
      </c>
      <c r="K12">
        <v>37713</v>
      </c>
      <c r="L12">
        <v>533</v>
      </c>
      <c r="M12">
        <v>30318</v>
      </c>
      <c r="N12">
        <v>37221</v>
      </c>
      <c r="O12">
        <v>356</v>
      </c>
      <c r="P12">
        <v>2735</v>
      </c>
      <c r="Q12">
        <v>16899</v>
      </c>
      <c r="R12">
        <v>808</v>
      </c>
      <c r="S12">
        <v>11276</v>
      </c>
      <c r="T12">
        <v>26185</v>
      </c>
      <c r="U12">
        <v>311</v>
      </c>
      <c r="V12">
        <v>5214</v>
      </c>
      <c r="W12">
        <v>13178</v>
      </c>
      <c r="X12">
        <v>46</v>
      </c>
      <c r="Y12">
        <v>6659</v>
      </c>
      <c r="Z12">
        <v>17873</v>
      </c>
      <c r="AA12">
        <v>541</v>
      </c>
      <c r="AB12">
        <v>16769</v>
      </c>
      <c r="AC12">
        <v>62020</v>
      </c>
      <c r="AD12" t="s">
        <v>73</v>
      </c>
      <c r="AE12" t="s">
        <v>73</v>
      </c>
      <c r="AF12" t="s">
        <v>73</v>
      </c>
      <c r="AG12">
        <v>17206</v>
      </c>
      <c r="AH12">
        <v>12542</v>
      </c>
      <c r="AI12">
        <v>43550</v>
      </c>
      <c r="AJ12" t="s">
        <v>73</v>
      </c>
      <c r="AK12" t="s">
        <v>73</v>
      </c>
      <c r="AL12" t="s">
        <v>73</v>
      </c>
      <c r="AM12">
        <v>423</v>
      </c>
      <c r="AN12">
        <v>4743</v>
      </c>
      <c r="AO12">
        <v>12464</v>
      </c>
      <c r="AP12">
        <v>12437</v>
      </c>
      <c r="AQ12">
        <v>45</v>
      </c>
      <c r="AR12">
        <v>4897</v>
      </c>
      <c r="AS12">
        <v>277</v>
      </c>
      <c r="AT12">
        <v>32629</v>
      </c>
    </row>
    <row r="13" spans="1:46" x14ac:dyDescent="0.4">
      <c r="A13" s="1" t="s">
        <v>14</v>
      </c>
      <c r="B13" s="3" t="s">
        <v>15</v>
      </c>
      <c r="C13">
        <v>2690</v>
      </c>
      <c r="D13">
        <v>7069</v>
      </c>
      <c r="E13">
        <v>18697</v>
      </c>
      <c r="F13">
        <v>4207</v>
      </c>
      <c r="G13">
        <v>23896</v>
      </c>
      <c r="H13">
        <v>39742</v>
      </c>
      <c r="I13">
        <v>2363</v>
      </c>
      <c r="J13">
        <v>34745</v>
      </c>
      <c r="K13">
        <v>38226</v>
      </c>
      <c r="L13">
        <v>556</v>
      </c>
      <c r="M13">
        <v>32191</v>
      </c>
      <c r="N13">
        <v>43294</v>
      </c>
      <c r="O13">
        <v>253</v>
      </c>
      <c r="P13">
        <v>1818</v>
      </c>
      <c r="Q13">
        <v>11027</v>
      </c>
      <c r="R13">
        <v>597</v>
      </c>
      <c r="S13">
        <v>829</v>
      </c>
      <c r="T13">
        <v>6158</v>
      </c>
      <c r="U13">
        <v>339</v>
      </c>
      <c r="V13">
        <v>5867</v>
      </c>
      <c r="W13">
        <v>14900</v>
      </c>
      <c r="X13">
        <v>51</v>
      </c>
      <c r="Y13">
        <v>4658</v>
      </c>
      <c r="Z13">
        <v>15788</v>
      </c>
      <c r="AA13">
        <v>467</v>
      </c>
      <c r="AB13">
        <v>15295</v>
      </c>
      <c r="AC13">
        <v>60192</v>
      </c>
      <c r="AD13" t="s">
        <v>73</v>
      </c>
      <c r="AE13" t="s">
        <v>73</v>
      </c>
      <c r="AF13" t="s">
        <v>73</v>
      </c>
      <c r="AG13">
        <v>14307</v>
      </c>
      <c r="AH13">
        <v>11183</v>
      </c>
      <c r="AI13">
        <v>42829</v>
      </c>
      <c r="AJ13" t="s">
        <v>73</v>
      </c>
      <c r="AK13" t="s">
        <v>73</v>
      </c>
      <c r="AL13" t="s">
        <v>73</v>
      </c>
      <c r="AM13">
        <v>422</v>
      </c>
      <c r="AN13">
        <v>5377</v>
      </c>
      <c r="AO13">
        <v>11805</v>
      </c>
      <c r="AP13">
        <v>12415</v>
      </c>
      <c r="AQ13">
        <v>49</v>
      </c>
      <c r="AR13">
        <v>4363</v>
      </c>
      <c r="AS13">
        <v>243</v>
      </c>
      <c r="AT13">
        <v>33810</v>
      </c>
    </row>
    <row r="14" spans="1:46" x14ac:dyDescent="0.4">
      <c r="A14" s="1" t="s">
        <v>16</v>
      </c>
      <c r="B14" s="1" t="s">
        <v>17</v>
      </c>
      <c r="C14">
        <v>298</v>
      </c>
      <c r="D14">
        <v>797</v>
      </c>
      <c r="E14">
        <v>2175</v>
      </c>
      <c r="F14">
        <v>295</v>
      </c>
      <c r="G14">
        <v>1629</v>
      </c>
      <c r="H14">
        <v>2660</v>
      </c>
      <c r="I14">
        <v>202</v>
      </c>
      <c r="J14">
        <v>3068</v>
      </c>
      <c r="K14">
        <v>3769</v>
      </c>
      <c r="L14">
        <v>45</v>
      </c>
      <c r="M14">
        <v>2939</v>
      </c>
      <c r="N14">
        <v>3800</v>
      </c>
      <c r="O14">
        <v>31</v>
      </c>
      <c r="P14">
        <v>259</v>
      </c>
      <c r="Q14">
        <v>1671</v>
      </c>
      <c r="R14">
        <v>105</v>
      </c>
      <c r="S14">
        <v>1579</v>
      </c>
      <c r="T14">
        <v>4299</v>
      </c>
      <c r="U14">
        <v>26</v>
      </c>
      <c r="V14">
        <v>427</v>
      </c>
      <c r="W14">
        <v>1112</v>
      </c>
      <c r="X14">
        <v>12</v>
      </c>
      <c r="Y14">
        <v>1183</v>
      </c>
      <c r="Z14">
        <v>3365</v>
      </c>
      <c r="AA14">
        <v>72</v>
      </c>
      <c r="AB14">
        <v>2122</v>
      </c>
      <c r="AC14">
        <v>7353</v>
      </c>
      <c r="AD14" t="s">
        <v>73</v>
      </c>
      <c r="AE14" t="s">
        <v>73</v>
      </c>
      <c r="AF14" t="s">
        <v>73</v>
      </c>
      <c r="AG14">
        <v>1565</v>
      </c>
      <c r="AH14">
        <v>1542</v>
      </c>
      <c r="AI14">
        <v>5538</v>
      </c>
      <c r="AJ14" t="s">
        <v>73</v>
      </c>
      <c r="AK14" t="s">
        <v>73</v>
      </c>
      <c r="AL14" t="s">
        <v>73</v>
      </c>
      <c r="AM14">
        <v>31</v>
      </c>
      <c r="AN14">
        <v>266</v>
      </c>
      <c r="AO14">
        <v>977</v>
      </c>
      <c r="AP14">
        <v>948</v>
      </c>
      <c r="AQ14">
        <v>3</v>
      </c>
      <c r="AR14">
        <v>190</v>
      </c>
      <c r="AS14">
        <v>36</v>
      </c>
      <c r="AT14">
        <v>5102</v>
      </c>
    </row>
    <row r="15" spans="1:46" x14ac:dyDescent="0.4">
      <c r="A15" s="1" t="s">
        <v>18</v>
      </c>
      <c r="B15" s="1" t="s">
        <v>19</v>
      </c>
      <c r="C15">
        <v>231</v>
      </c>
      <c r="D15">
        <v>638</v>
      </c>
      <c r="E15">
        <v>1681</v>
      </c>
      <c r="F15">
        <v>335</v>
      </c>
      <c r="G15">
        <v>1900</v>
      </c>
      <c r="H15">
        <v>3077</v>
      </c>
      <c r="I15">
        <v>173</v>
      </c>
      <c r="J15">
        <v>2572</v>
      </c>
      <c r="K15">
        <v>2700</v>
      </c>
      <c r="L15">
        <v>32</v>
      </c>
      <c r="M15">
        <v>1899</v>
      </c>
      <c r="N15">
        <v>2503</v>
      </c>
      <c r="O15">
        <v>25</v>
      </c>
      <c r="P15">
        <v>268</v>
      </c>
      <c r="Q15">
        <v>856</v>
      </c>
      <c r="R15">
        <v>47</v>
      </c>
      <c r="S15">
        <v>530</v>
      </c>
      <c r="T15">
        <v>221</v>
      </c>
      <c r="U15">
        <v>29</v>
      </c>
      <c r="V15">
        <v>442</v>
      </c>
      <c r="W15">
        <v>1637</v>
      </c>
      <c r="X15">
        <v>1</v>
      </c>
      <c r="Y15">
        <v>463</v>
      </c>
      <c r="Z15">
        <v>910</v>
      </c>
      <c r="AA15">
        <v>56</v>
      </c>
      <c r="AB15">
        <v>1724</v>
      </c>
      <c r="AC15">
        <v>5288</v>
      </c>
      <c r="AD15" t="s">
        <v>73</v>
      </c>
      <c r="AE15" t="s">
        <v>73</v>
      </c>
      <c r="AF15" t="s">
        <v>73</v>
      </c>
      <c r="AG15">
        <v>1353</v>
      </c>
      <c r="AH15">
        <v>748</v>
      </c>
      <c r="AI15">
        <v>2774</v>
      </c>
      <c r="AJ15" t="s">
        <v>73</v>
      </c>
      <c r="AK15" t="s">
        <v>73</v>
      </c>
      <c r="AL15" t="s">
        <v>73</v>
      </c>
      <c r="AM15">
        <v>37</v>
      </c>
      <c r="AN15">
        <v>375</v>
      </c>
      <c r="AO15">
        <v>1184</v>
      </c>
      <c r="AP15">
        <v>1000</v>
      </c>
      <c r="AQ15">
        <v>0</v>
      </c>
      <c r="AR15">
        <v>0</v>
      </c>
      <c r="AS15">
        <v>18</v>
      </c>
      <c r="AT15">
        <v>2190</v>
      </c>
    </row>
    <row r="16" spans="1:46" x14ac:dyDescent="0.4">
      <c r="A16" s="1" t="s">
        <v>20</v>
      </c>
      <c r="B16" s="1" t="s">
        <v>21</v>
      </c>
      <c r="C16">
        <v>186</v>
      </c>
      <c r="D16">
        <v>477</v>
      </c>
      <c r="E16">
        <v>1236</v>
      </c>
      <c r="F16">
        <v>347</v>
      </c>
      <c r="G16">
        <v>1919</v>
      </c>
      <c r="H16">
        <v>2943</v>
      </c>
      <c r="I16">
        <v>159</v>
      </c>
      <c r="J16">
        <v>2292</v>
      </c>
      <c r="K16">
        <v>2466</v>
      </c>
      <c r="L16">
        <v>38</v>
      </c>
      <c r="M16">
        <v>1772</v>
      </c>
      <c r="N16">
        <v>2153</v>
      </c>
      <c r="O16">
        <v>18</v>
      </c>
      <c r="P16">
        <v>171</v>
      </c>
      <c r="Q16">
        <v>990</v>
      </c>
      <c r="R16">
        <v>33</v>
      </c>
      <c r="S16">
        <v>1068</v>
      </c>
      <c r="T16">
        <v>628</v>
      </c>
      <c r="U16">
        <v>22</v>
      </c>
      <c r="V16">
        <v>396</v>
      </c>
      <c r="W16">
        <v>840</v>
      </c>
      <c r="X16">
        <v>1</v>
      </c>
      <c r="Y16">
        <v>24</v>
      </c>
      <c r="Z16">
        <v>21</v>
      </c>
      <c r="AA16">
        <v>43</v>
      </c>
      <c r="AB16">
        <v>1392</v>
      </c>
      <c r="AC16">
        <v>4883</v>
      </c>
      <c r="AD16" t="s">
        <v>73</v>
      </c>
      <c r="AE16" t="s">
        <v>73</v>
      </c>
      <c r="AF16" t="s">
        <v>73</v>
      </c>
      <c r="AG16">
        <v>1351</v>
      </c>
      <c r="AH16">
        <v>708</v>
      </c>
      <c r="AI16">
        <v>2301</v>
      </c>
      <c r="AJ16" t="s">
        <v>73</v>
      </c>
      <c r="AK16" t="s">
        <v>73</v>
      </c>
      <c r="AL16" t="s">
        <v>73</v>
      </c>
      <c r="AM16">
        <v>35</v>
      </c>
      <c r="AN16">
        <v>320</v>
      </c>
      <c r="AO16">
        <v>1171</v>
      </c>
      <c r="AP16">
        <v>1201</v>
      </c>
      <c r="AQ16">
        <v>6</v>
      </c>
      <c r="AR16">
        <v>449</v>
      </c>
      <c r="AS16">
        <v>27</v>
      </c>
      <c r="AT16">
        <v>2206</v>
      </c>
    </row>
    <row r="17" spans="1:46" x14ac:dyDescent="0.4">
      <c r="A17" s="1" t="s">
        <v>22</v>
      </c>
      <c r="B17" s="1" t="s">
        <v>23</v>
      </c>
      <c r="C17">
        <v>192</v>
      </c>
      <c r="D17">
        <v>496</v>
      </c>
      <c r="E17">
        <v>1319</v>
      </c>
      <c r="F17">
        <v>426</v>
      </c>
      <c r="G17">
        <v>2425</v>
      </c>
      <c r="H17">
        <v>3867</v>
      </c>
      <c r="I17">
        <v>193</v>
      </c>
      <c r="J17">
        <v>2799</v>
      </c>
      <c r="K17">
        <v>3144</v>
      </c>
      <c r="L17">
        <v>51</v>
      </c>
      <c r="M17">
        <v>2847</v>
      </c>
      <c r="N17">
        <v>3134</v>
      </c>
      <c r="O17">
        <v>27</v>
      </c>
      <c r="P17">
        <v>509</v>
      </c>
      <c r="Q17">
        <v>2025</v>
      </c>
      <c r="R17">
        <v>43</v>
      </c>
      <c r="S17">
        <v>921</v>
      </c>
      <c r="T17">
        <v>315</v>
      </c>
      <c r="U17">
        <v>22</v>
      </c>
      <c r="V17">
        <v>352</v>
      </c>
      <c r="W17">
        <v>733</v>
      </c>
      <c r="X17">
        <v>1</v>
      </c>
      <c r="Y17">
        <v>100</v>
      </c>
      <c r="Z17">
        <v>613</v>
      </c>
      <c r="AA17">
        <v>42</v>
      </c>
      <c r="AB17">
        <v>1422</v>
      </c>
      <c r="AC17">
        <v>5098</v>
      </c>
      <c r="AD17" t="s">
        <v>73</v>
      </c>
      <c r="AE17" t="s">
        <v>73</v>
      </c>
      <c r="AF17" t="s">
        <v>73</v>
      </c>
      <c r="AG17">
        <v>1462</v>
      </c>
      <c r="AH17">
        <v>971</v>
      </c>
      <c r="AI17">
        <v>3228</v>
      </c>
      <c r="AJ17" t="s">
        <v>73</v>
      </c>
      <c r="AK17" t="s">
        <v>73</v>
      </c>
      <c r="AL17" t="s">
        <v>73</v>
      </c>
      <c r="AM17">
        <v>32</v>
      </c>
      <c r="AN17">
        <v>225</v>
      </c>
      <c r="AO17">
        <v>1046</v>
      </c>
      <c r="AP17">
        <v>830</v>
      </c>
      <c r="AQ17">
        <v>0</v>
      </c>
      <c r="AR17">
        <v>0</v>
      </c>
      <c r="AS17">
        <v>19</v>
      </c>
      <c r="AT17">
        <v>1215</v>
      </c>
    </row>
    <row r="18" spans="1:46" x14ac:dyDescent="0.4">
      <c r="A18" s="1" t="s">
        <v>24</v>
      </c>
      <c r="B18" s="1" t="s">
        <v>25</v>
      </c>
      <c r="C18">
        <v>214</v>
      </c>
      <c r="D18">
        <v>564</v>
      </c>
      <c r="E18">
        <v>1419</v>
      </c>
      <c r="F18">
        <v>472</v>
      </c>
      <c r="G18">
        <v>2671</v>
      </c>
      <c r="H18">
        <v>4255</v>
      </c>
      <c r="I18">
        <v>196</v>
      </c>
      <c r="J18">
        <v>2824</v>
      </c>
      <c r="K18">
        <v>3130</v>
      </c>
      <c r="L18">
        <v>48</v>
      </c>
      <c r="M18">
        <v>2637</v>
      </c>
      <c r="N18">
        <v>2636</v>
      </c>
      <c r="O18">
        <v>17</v>
      </c>
      <c r="P18">
        <v>132</v>
      </c>
      <c r="Q18">
        <v>824</v>
      </c>
      <c r="R18">
        <v>41</v>
      </c>
      <c r="S18">
        <v>131</v>
      </c>
      <c r="T18">
        <v>678</v>
      </c>
      <c r="U18">
        <v>26</v>
      </c>
      <c r="V18">
        <v>432</v>
      </c>
      <c r="W18">
        <v>997</v>
      </c>
      <c r="X18">
        <v>0</v>
      </c>
      <c r="Y18">
        <v>0</v>
      </c>
      <c r="Z18">
        <v>0</v>
      </c>
      <c r="AA18">
        <v>39</v>
      </c>
      <c r="AB18">
        <v>1128</v>
      </c>
      <c r="AC18">
        <v>3783</v>
      </c>
      <c r="AD18" t="s">
        <v>73</v>
      </c>
      <c r="AE18" t="s">
        <v>73</v>
      </c>
      <c r="AF18" t="s">
        <v>73</v>
      </c>
      <c r="AG18">
        <v>1427</v>
      </c>
      <c r="AH18">
        <v>934</v>
      </c>
      <c r="AI18">
        <v>3232</v>
      </c>
      <c r="AJ18" t="s">
        <v>73</v>
      </c>
      <c r="AK18" t="s">
        <v>73</v>
      </c>
      <c r="AL18" t="s">
        <v>73</v>
      </c>
      <c r="AM18">
        <v>26</v>
      </c>
      <c r="AN18">
        <v>462</v>
      </c>
      <c r="AO18">
        <v>1302</v>
      </c>
      <c r="AP18">
        <v>1458</v>
      </c>
      <c r="AQ18">
        <v>3</v>
      </c>
      <c r="AR18">
        <v>1084</v>
      </c>
      <c r="AS18">
        <v>23</v>
      </c>
      <c r="AT18">
        <v>3260</v>
      </c>
    </row>
    <row r="19" spans="1:46" x14ac:dyDescent="0.4">
      <c r="A19" s="1" t="s">
        <v>26</v>
      </c>
      <c r="B19" s="1" t="s">
        <v>27</v>
      </c>
      <c r="C19">
        <v>229</v>
      </c>
      <c r="D19">
        <v>605</v>
      </c>
      <c r="E19">
        <v>1629</v>
      </c>
      <c r="F19">
        <v>373</v>
      </c>
      <c r="G19">
        <v>2122</v>
      </c>
      <c r="H19">
        <v>3265</v>
      </c>
      <c r="I19">
        <v>174</v>
      </c>
      <c r="J19">
        <v>2592</v>
      </c>
      <c r="K19">
        <v>2764</v>
      </c>
      <c r="L19">
        <v>49</v>
      </c>
      <c r="M19">
        <v>2580</v>
      </c>
      <c r="N19">
        <v>3024</v>
      </c>
      <c r="O19">
        <v>33</v>
      </c>
      <c r="P19">
        <v>144</v>
      </c>
      <c r="Q19">
        <v>1441</v>
      </c>
      <c r="R19">
        <v>67</v>
      </c>
      <c r="S19">
        <v>563</v>
      </c>
      <c r="T19">
        <v>2368</v>
      </c>
      <c r="U19">
        <v>25</v>
      </c>
      <c r="V19">
        <v>438</v>
      </c>
      <c r="W19">
        <v>1051</v>
      </c>
      <c r="X19">
        <v>4</v>
      </c>
      <c r="Y19">
        <v>1132</v>
      </c>
      <c r="Z19">
        <v>1977</v>
      </c>
      <c r="AA19">
        <v>37</v>
      </c>
      <c r="AB19">
        <v>1174</v>
      </c>
      <c r="AC19">
        <v>4504</v>
      </c>
      <c r="AD19" t="s">
        <v>73</v>
      </c>
      <c r="AE19" t="s">
        <v>73</v>
      </c>
      <c r="AF19" t="s">
        <v>73</v>
      </c>
      <c r="AG19">
        <v>1379</v>
      </c>
      <c r="AH19">
        <v>868</v>
      </c>
      <c r="AI19">
        <v>3190</v>
      </c>
      <c r="AJ19" t="s">
        <v>73</v>
      </c>
      <c r="AK19" t="s">
        <v>73</v>
      </c>
      <c r="AL19" t="s">
        <v>73</v>
      </c>
      <c r="AM19">
        <v>35</v>
      </c>
      <c r="AN19">
        <v>301</v>
      </c>
      <c r="AO19">
        <v>880</v>
      </c>
      <c r="AP19">
        <v>938</v>
      </c>
      <c r="AQ19">
        <v>8</v>
      </c>
      <c r="AR19">
        <v>608</v>
      </c>
      <c r="AS19">
        <v>27</v>
      </c>
      <c r="AT19">
        <v>3101</v>
      </c>
    </row>
    <row r="20" spans="1:46" x14ac:dyDescent="0.4">
      <c r="A20" s="1" t="s">
        <v>28</v>
      </c>
      <c r="B20" s="1" t="s">
        <v>29</v>
      </c>
      <c r="C20">
        <v>347</v>
      </c>
      <c r="D20">
        <v>926</v>
      </c>
      <c r="E20">
        <v>2453</v>
      </c>
      <c r="F20">
        <v>372</v>
      </c>
      <c r="G20">
        <v>2119</v>
      </c>
      <c r="H20">
        <v>3265</v>
      </c>
      <c r="I20">
        <v>249</v>
      </c>
      <c r="J20">
        <v>3671</v>
      </c>
      <c r="K20">
        <v>3963</v>
      </c>
      <c r="L20">
        <v>45</v>
      </c>
      <c r="M20">
        <v>2856</v>
      </c>
      <c r="N20">
        <v>3733</v>
      </c>
      <c r="O20">
        <v>22</v>
      </c>
      <c r="P20">
        <v>89</v>
      </c>
      <c r="Q20">
        <v>940</v>
      </c>
      <c r="R20">
        <v>49</v>
      </c>
      <c r="S20">
        <v>638</v>
      </c>
      <c r="T20">
        <v>1870</v>
      </c>
      <c r="U20">
        <v>27</v>
      </c>
      <c r="V20">
        <v>494</v>
      </c>
      <c r="W20">
        <v>1348</v>
      </c>
      <c r="X20">
        <v>5</v>
      </c>
      <c r="Y20">
        <v>297</v>
      </c>
      <c r="Z20">
        <v>1188</v>
      </c>
      <c r="AA20">
        <v>41</v>
      </c>
      <c r="AB20">
        <v>1164</v>
      </c>
      <c r="AC20">
        <v>5035</v>
      </c>
      <c r="AD20" t="s">
        <v>73</v>
      </c>
      <c r="AE20" t="s">
        <v>73</v>
      </c>
      <c r="AF20" t="s">
        <v>73</v>
      </c>
      <c r="AG20">
        <v>1598</v>
      </c>
      <c r="AH20">
        <v>1372</v>
      </c>
      <c r="AI20">
        <v>4968</v>
      </c>
      <c r="AJ20" t="s">
        <v>73</v>
      </c>
      <c r="AK20" t="s">
        <v>73</v>
      </c>
      <c r="AL20" t="s">
        <v>73</v>
      </c>
      <c r="AM20">
        <v>49</v>
      </c>
      <c r="AN20">
        <v>436</v>
      </c>
      <c r="AO20">
        <v>1152</v>
      </c>
      <c r="AP20">
        <v>1172</v>
      </c>
      <c r="AQ20">
        <v>2</v>
      </c>
      <c r="AR20">
        <v>155</v>
      </c>
      <c r="AS20">
        <v>24</v>
      </c>
      <c r="AT20">
        <v>2369</v>
      </c>
    </row>
    <row r="21" spans="1:46" x14ac:dyDescent="0.4">
      <c r="A21" s="1" t="s">
        <v>30</v>
      </c>
      <c r="B21" s="1" t="s">
        <v>31</v>
      </c>
      <c r="C21">
        <v>303</v>
      </c>
      <c r="D21">
        <v>810</v>
      </c>
      <c r="E21">
        <v>2107</v>
      </c>
      <c r="F21">
        <v>438</v>
      </c>
      <c r="G21">
        <v>2521</v>
      </c>
      <c r="H21">
        <v>3970</v>
      </c>
      <c r="I21">
        <v>218</v>
      </c>
      <c r="J21">
        <v>3162</v>
      </c>
      <c r="K21">
        <v>3540</v>
      </c>
      <c r="L21">
        <v>33</v>
      </c>
      <c r="M21">
        <v>2482</v>
      </c>
      <c r="N21">
        <v>3270</v>
      </c>
      <c r="O21">
        <v>28</v>
      </c>
      <c r="P21">
        <v>189</v>
      </c>
      <c r="Q21">
        <v>2499</v>
      </c>
      <c r="R21">
        <v>55</v>
      </c>
      <c r="S21">
        <v>431</v>
      </c>
      <c r="T21">
        <v>1334</v>
      </c>
      <c r="U21">
        <v>27</v>
      </c>
      <c r="V21">
        <v>389</v>
      </c>
      <c r="W21">
        <v>806</v>
      </c>
      <c r="X21">
        <v>5</v>
      </c>
      <c r="Y21">
        <v>538</v>
      </c>
      <c r="Z21">
        <v>2196</v>
      </c>
      <c r="AA21">
        <v>43</v>
      </c>
      <c r="AB21">
        <v>1347</v>
      </c>
      <c r="AC21">
        <v>4679</v>
      </c>
      <c r="AD21" t="s">
        <v>73</v>
      </c>
      <c r="AE21" t="s">
        <v>73</v>
      </c>
      <c r="AF21" t="s">
        <v>73</v>
      </c>
      <c r="AG21">
        <v>1551</v>
      </c>
      <c r="AH21">
        <v>1326</v>
      </c>
      <c r="AI21">
        <v>4383</v>
      </c>
      <c r="AJ21" t="s">
        <v>73</v>
      </c>
      <c r="AK21" t="s">
        <v>73</v>
      </c>
      <c r="AL21" t="s">
        <v>73</v>
      </c>
      <c r="AM21">
        <v>44</v>
      </c>
      <c r="AN21">
        <v>451</v>
      </c>
      <c r="AO21">
        <v>995</v>
      </c>
      <c r="AP21">
        <v>1029</v>
      </c>
      <c r="AQ21">
        <v>6</v>
      </c>
      <c r="AR21">
        <v>179</v>
      </c>
      <c r="AS21">
        <v>22</v>
      </c>
      <c r="AT21">
        <v>2940</v>
      </c>
    </row>
    <row r="22" spans="1:46" x14ac:dyDescent="0.4">
      <c r="A22" s="1" t="s">
        <v>32</v>
      </c>
      <c r="B22" s="1" t="s">
        <v>33</v>
      </c>
      <c r="C22">
        <v>237</v>
      </c>
      <c r="D22">
        <v>636</v>
      </c>
      <c r="E22">
        <v>1508</v>
      </c>
      <c r="F22">
        <v>439</v>
      </c>
      <c r="G22">
        <v>2535</v>
      </c>
      <c r="H22">
        <v>3732</v>
      </c>
      <c r="I22">
        <v>192</v>
      </c>
      <c r="J22">
        <v>2742</v>
      </c>
      <c r="K22">
        <v>2923</v>
      </c>
      <c r="L22">
        <v>50</v>
      </c>
      <c r="M22">
        <v>3178</v>
      </c>
      <c r="N22">
        <v>3772</v>
      </c>
      <c r="O22">
        <v>70</v>
      </c>
      <c r="P22">
        <v>236</v>
      </c>
      <c r="Q22">
        <v>1196</v>
      </c>
      <c r="R22">
        <v>125</v>
      </c>
      <c r="S22">
        <v>626</v>
      </c>
      <c r="T22">
        <v>2591</v>
      </c>
      <c r="U22">
        <v>29</v>
      </c>
      <c r="V22">
        <v>549</v>
      </c>
      <c r="W22">
        <v>1528</v>
      </c>
      <c r="X22">
        <v>2</v>
      </c>
      <c r="Y22">
        <v>888</v>
      </c>
      <c r="Z22">
        <v>1966</v>
      </c>
      <c r="AA22">
        <v>40</v>
      </c>
      <c r="AB22">
        <v>1163</v>
      </c>
      <c r="AC22">
        <v>5161</v>
      </c>
      <c r="AD22" t="s">
        <v>73</v>
      </c>
      <c r="AE22" t="s">
        <v>73</v>
      </c>
      <c r="AF22" t="s">
        <v>73</v>
      </c>
      <c r="AG22">
        <v>1509</v>
      </c>
      <c r="AH22">
        <v>1003</v>
      </c>
      <c r="AI22">
        <v>3573</v>
      </c>
      <c r="AJ22" t="s">
        <v>73</v>
      </c>
      <c r="AK22" t="s">
        <v>73</v>
      </c>
      <c r="AL22" t="s">
        <v>73</v>
      </c>
      <c r="AM22">
        <v>36</v>
      </c>
      <c r="AN22">
        <v>340</v>
      </c>
      <c r="AO22">
        <v>1075</v>
      </c>
      <c r="AP22">
        <v>1081</v>
      </c>
      <c r="AQ22">
        <v>2</v>
      </c>
      <c r="AR22">
        <v>1136</v>
      </c>
      <c r="AS22">
        <v>20</v>
      </c>
      <c r="AT22">
        <v>3082</v>
      </c>
    </row>
    <row r="23" spans="1:46" x14ac:dyDescent="0.4">
      <c r="A23" s="1" t="s">
        <v>34</v>
      </c>
      <c r="B23" s="1" t="s">
        <v>35</v>
      </c>
      <c r="C23">
        <v>184</v>
      </c>
      <c r="D23">
        <v>495</v>
      </c>
      <c r="E23">
        <v>1273</v>
      </c>
      <c r="F23">
        <v>360</v>
      </c>
      <c r="G23">
        <v>2086</v>
      </c>
      <c r="H23">
        <v>3179</v>
      </c>
      <c r="I23">
        <v>231</v>
      </c>
      <c r="J23">
        <v>3440</v>
      </c>
      <c r="K23">
        <v>3940</v>
      </c>
      <c r="L23">
        <v>60</v>
      </c>
      <c r="M23">
        <v>2632</v>
      </c>
      <c r="N23">
        <v>3228</v>
      </c>
      <c r="O23">
        <v>26</v>
      </c>
      <c r="P23">
        <v>252</v>
      </c>
      <c r="Q23">
        <v>1418</v>
      </c>
      <c r="R23">
        <v>51</v>
      </c>
      <c r="S23">
        <v>304</v>
      </c>
      <c r="T23">
        <v>996</v>
      </c>
      <c r="U23">
        <v>34</v>
      </c>
      <c r="V23">
        <v>555</v>
      </c>
      <c r="W23">
        <v>1339</v>
      </c>
      <c r="X23">
        <v>3</v>
      </c>
      <c r="Y23">
        <v>202</v>
      </c>
      <c r="Z23">
        <v>1536</v>
      </c>
      <c r="AA23">
        <v>41</v>
      </c>
      <c r="AB23">
        <v>1351</v>
      </c>
      <c r="AC23">
        <v>5781</v>
      </c>
      <c r="AD23" t="s">
        <v>73</v>
      </c>
      <c r="AE23" t="s">
        <v>73</v>
      </c>
      <c r="AF23" t="s">
        <v>73</v>
      </c>
      <c r="AG23">
        <v>1296</v>
      </c>
      <c r="AH23">
        <v>1271</v>
      </c>
      <c r="AI23">
        <v>4171</v>
      </c>
      <c r="AJ23" t="s">
        <v>73</v>
      </c>
      <c r="AK23" t="s">
        <v>73</v>
      </c>
      <c r="AL23" t="s">
        <v>73</v>
      </c>
      <c r="AM23">
        <v>33</v>
      </c>
      <c r="AN23">
        <v>318</v>
      </c>
      <c r="AO23">
        <v>1003</v>
      </c>
      <c r="AP23">
        <v>1204</v>
      </c>
      <c r="AQ23">
        <v>5</v>
      </c>
      <c r="AR23">
        <v>763</v>
      </c>
      <c r="AS23">
        <v>23</v>
      </c>
      <c r="AT23">
        <v>2426</v>
      </c>
    </row>
    <row r="24" spans="1:46" x14ac:dyDescent="0.4">
      <c r="A24" s="1" t="s">
        <v>36</v>
      </c>
      <c r="B24" s="1" t="s">
        <v>37</v>
      </c>
      <c r="C24">
        <v>192</v>
      </c>
      <c r="D24">
        <v>505</v>
      </c>
      <c r="E24">
        <v>1352</v>
      </c>
      <c r="F24">
        <v>325</v>
      </c>
      <c r="G24">
        <v>1907</v>
      </c>
      <c r="H24">
        <v>2852</v>
      </c>
      <c r="I24">
        <v>169</v>
      </c>
      <c r="J24">
        <v>2445</v>
      </c>
      <c r="K24">
        <v>2654</v>
      </c>
      <c r="L24">
        <v>45</v>
      </c>
      <c r="M24">
        <v>2836</v>
      </c>
      <c r="N24">
        <v>3342</v>
      </c>
      <c r="O24">
        <v>17</v>
      </c>
      <c r="P24">
        <v>45</v>
      </c>
      <c r="Q24">
        <v>318</v>
      </c>
      <c r="R24">
        <v>52</v>
      </c>
      <c r="S24">
        <v>46</v>
      </c>
      <c r="T24">
        <v>306</v>
      </c>
      <c r="U24">
        <v>26</v>
      </c>
      <c r="V24">
        <v>462</v>
      </c>
      <c r="W24">
        <v>1303</v>
      </c>
      <c r="X24">
        <v>2</v>
      </c>
      <c r="Y24">
        <v>134</v>
      </c>
      <c r="Z24">
        <v>599</v>
      </c>
      <c r="AA24">
        <v>33</v>
      </c>
      <c r="AB24">
        <v>1050</v>
      </c>
      <c r="AC24">
        <v>4013</v>
      </c>
      <c r="AD24" t="s">
        <v>73</v>
      </c>
      <c r="AE24" t="s">
        <v>73</v>
      </c>
      <c r="AF24" t="s">
        <v>73</v>
      </c>
      <c r="AG24">
        <v>1069</v>
      </c>
      <c r="AH24">
        <v>925</v>
      </c>
      <c r="AI24">
        <v>3477</v>
      </c>
      <c r="AJ24" t="s">
        <v>73</v>
      </c>
      <c r="AK24" t="s">
        <v>73</v>
      </c>
      <c r="AL24" t="s">
        <v>73</v>
      </c>
      <c r="AM24">
        <v>40</v>
      </c>
      <c r="AN24">
        <v>495</v>
      </c>
      <c r="AO24">
        <v>937</v>
      </c>
      <c r="AP24">
        <v>1044</v>
      </c>
      <c r="AQ24">
        <v>1</v>
      </c>
      <c r="AR24">
        <v>1</v>
      </c>
      <c r="AS24">
        <v>20</v>
      </c>
      <c r="AT24">
        <v>3221</v>
      </c>
    </row>
    <row r="25" spans="1:46" x14ac:dyDescent="0.4">
      <c r="A25" s="1" t="s">
        <v>38</v>
      </c>
      <c r="B25" s="1" t="s">
        <v>39</v>
      </c>
      <c r="C25">
        <v>279</v>
      </c>
      <c r="D25">
        <v>704</v>
      </c>
      <c r="E25">
        <v>1862</v>
      </c>
      <c r="F25">
        <v>276</v>
      </c>
      <c r="G25">
        <v>1671</v>
      </c>
      <c r="H25">
        <v>2665</v>
      </c>
      <c r="I25">
        <v>217</v>
      </c>
      <c r="J25">
        <v>3113</v>
      </c>
      <c r="K25">
        <v>3515</v>
      </c>
      <c r="L25">
        <v>45</v>
      </c>
      <c r="M25">
        <v>3205</v>
      </c>
      <c r="N25">
        <v>4546</v>
      </c>
      <c r="O25">
        <v>24</v>
      </c>
      <c r="P25">
        <v>222</v>
      </c>
      <c r="Q25">
        <v>1174</v>
      </c>
      <c r="R25">
        <v>32</v>
      </c>
      <c r="S25">
        <v>58</v>
      </c>
      <c r="T25">
        <v>519</v>
      </c>
      <c r="U25">
        <v>30</v>
      </c>
      <c r="V25">
        <v>475</v>
      </c>
      <c r="W25">
        <v>1151</v>
      </c>
      <c r="X25">
        <v>4</v>
      </c>
      <c r="Y25">
        <v>176</v>
      </c>
      <c r="Z25">
        <v>446</v>
      </c>
      <c r="AA25">
        <v>52</v>
      </c>
      <c r="AB25">
        <v>1830</v>
      </c>
      <c r="AC25">
        <v>6438</v>
      </c>
      <c r="AD25" t="s">
        <v>73</v>
      </c>
      <c r="AE25" t="s">
        <v>73</v>
      </c>
      <c r="AF25" t="s">
        <v>73</v>
      </c>
      <c r="AG25">
        <v>1259</v>
      </c>
      <c r="AH25">
        <v>1162</v>
      </c>
      <c r="AI25">
        <v>4273</v>
      </c>
      <c r="AJ25" t="s">
        <v>73</v>
      </c>
      <c r="AK25" t="s">
        <v>73</v>
      </c>
      <c r="AL25" t="s">
        <v>73</v>
      </c>
      <c r="AM25">
        <v>30</v>
      </c>
      <c r="AN25">
        <v>251</v>
      </c>
      <c r="AO25">
        <v>1147</v>
      </c>
      <c r="AP25">
        <v>1295</v>
      </c>
      <c r="AQ25">
        <v>9</v>
      </c>
      <c r="AR25">
        <v>554</v>
      </c>
      <c r="AS25">
        <v>20</v>
      </c>
      <c r="AT25">
        <v>2931</v>
      </c>
    </row>
    <row r="26" spans="1:46" x14ac:dyDescent="0.4">
      <c r="A26" s="1" t="s">
        <v>40</v>
      </c>
      <c r="B26" s="1" t="s">
        <v>41</v>
      </c>
      <c r="C26">
        <v>181</v>
      </c>
      <c r="D26">
        <v>450</v>
      </c>
      <c r="E26">
        <v>1372</v>
      </c>
      <c r="F26">
        <v>393</v>
      </c>
      <c r="G26">
        <v>2212</v>
      </c>
      <c r="H26">
        <v>3856</v>
      </c>
      <c r="I26">
        <v>250</v>
      </c>
      <c r="J26">
        <v>3603</v>
      </c>
      <c r="K26">
        <v>3935</v>
      </c>
      <c r="L26">
        <v>53</v>
      </c>
      <c r="M26">
        <v>3511</v>
      </c>
      <c r="N26">
        <v>5121</v>
      </c>
      <c r="O26">
        <v>19</v>
      </c>
      <c r="P26">
        <v>118</v>
      </c>
      <c r="Q26">
        <v>1365</v>
      </c>
      <c r="R26">
        <v>53</v>
      </c>
      <c r="S26">
        <v>45</v>
      </c>
      <c r="T26">
        <v>319</v>
      </c>
      <c r="U26">
        <v>32</v>
      </c>
      <c r="V26">
        <v>611</v>
      </c>
      <c r="W26">
        <v>1892</v>
      </c>
      <c r="X26">
        <v>7</v>
      </c>
      <c r="Y26">
        <v>425</v>
      </c>
      <c r="Z26">
        <v>1405</v>
      </c>
      <c r="AA26">
        <v>63</v>
      </c>
      <c r="AB26">
        <v>2194</v>
      </c>
      <c r="AC26">
        <v>8313</v>
      </c>
      <c r="AD26" t="s">
        <v>73</v>
      </c>
      <c r="AE26" t="s">
        <v>73</v>
      </c>
      <c r="AF26" t="s">
        <v>73</v>
      </c>
      <c r="AG26">
        <v>1351</v>
      </c>
      <c r="AH26">
        <v>1609</v>
      </c>
      <c r="AI26">
        <v>5254</v>
      </c>
      <c r="AJ26" t="s">
        <v>73</v>
      </c>
      <c r="AK26" t="s">
        <v>73</v>
      </c>
      <c r="AL26" t="s">
        <v>73</v>
      </c>
      <c r="AM26">
        <v>35</v>
      </c>
      <c r="AN26">
        <v>779</v>
      </c>
      <c r="AO26">
        <v>1250</v>
      </c>
      <c r="AP26">
        <v>1257</v>
      </c>
      <c r="AQ26">
        <v>2</v>
      </c>
      <c r="AR26">
        <v>80</v>
      </c>
      <c r="AS26">
        <v>29</v>
      </c>
      <c r="AT26">
        <v>3924</v>
      </c>
    </row>
    <row r="27" spans="1:46" x14ac:dyDescent="0.4">
      <c r="A27" s="1" t="s">
        <v>42</v>
      </c>
      <c r="B27" s="1" t="s">
        <v>43</v>
      </c>
      <c r="C27">
        <v>151</v>
      </c>
      <c r="D27">
        <v>417</v>
      </c>
      <c r="E27">
        <v>1062</v>
      </c>
      <c r="F27">
        <v>345</v>
      </c>
      <c r="G27">
        <v>1923</v>
      </c>
      <c r="H27">
        <v>3227</v>
      </c>
      <c r="I27">
        <v>213</v>
      </c>
      <c r="J27">
        <v>3171</v>
      </c>
      <c r="K27">
        <v>3366</v>
      </c>
      <c r="L27">
        <v>41</v>
      </c>
      <c r="M27">
        <v>2444</v>
      </c>
      <c r="N27">
        <v>3400</v>
      </c>
      <c r="O27">
        <v>17</v>
      </c>
      <c r="P27">
        <v>217</v>
      </c>
      <c r="Q27">
        <v>1143</v>
      </c>
      <c r="R27">
        <v>65</v>
      </c>
      <c r="S27">
        <v>66</v>
      </c>
      <c r="T27">
        <v>446</v>
      </c>
      <c r="U27">
        <v>32</v>
      </c>
      <c r="V27">
        <v>518</v>
      </c>
      <c r="W27">
        <v>1399</v>
      </c>
      <c r="X27">
        <v>1</v>
      </c>
      <c r="Y27">
        <v>10</v>
      </c>
      <c r="Z27">
        <v>43</v>
      </c>
      <c r="AA27">
        <v>39</v>
      </c>
      <c r="AB27">
        <v>1132</v>
      </c>
      <c r="AC27">
        <v>4009</v>
      </c>
      <c r="AD27" t="s">
        <v>73</v>
      </c>
      <c r="AE27" t="s">
        <v>73</v>
      </c>
      <c r="AF27" t="s">
        <v>73</v>
      </c>
      <c r="AG27">
        <v>1523</v>
      </c>
      <c r="AH27">
        <v>781</v>
      </c>
      <c r="AI27">
        <v>3371</v>
      </c>
      <c r="AJ27" t="s">
        <v>73</v>
      </c>
      <c r="AK27" t="s">
        <v>73</v>
      </c>
      <c r="AL27" t="s">
        <v>73</v>
      </c>
      <c r="AM27">
        <v>38</v>
      </c>
      <c r="AN27">
        <v>339</v>
      </c>
      <c r="AO27">
        <v>998</v>
      </c>
      <c r="AP27">
        <v>1102</v>
      </c>
      <c r="AQ27">
        <v>4</v>
      </c>
      <c r="AR27">
        <v>1051</v>
      </c>
      <c r="AS27">
        <v>15</v>
      </c>
      <c r="AT27">
        <v>1564</v>
      </c>
    </row>
    <row r="28" spans="1:46" x14ac:dyDescent="0.4">
      <c r="A28" s="1" t="s">
        <v>44</v>
      </c>
      <c r="B28" s="1" t="s">
        <v>45</v>
      </c>
      <c r="C28">
        <v>206</v>
      </c>
      <c r="D28">
        <v>533</v>
      </c>
      <c r="E28">
        <v>1433</v>
      </c>
      <c r="F28">
        <v>356</v>
      </c>
      <c r="G28">
        <v>1961</v>
      </c>
      <c r="H28">
        <v>3103</v>
      </c>
      <c r="I28">
        <v>165</v>
      </c>
      <c r="J28">
        <v>2517</v>
      </c>
      <c r="K28">
        <v>2901</v>
      </c>
      <c r="L28">
        <v>57</v>
      </c>
      <c r="M28">
        <v>3174</v>
      </c>
      <c r="N28">
        <v>4364</v>
      </c>
      <c r="O28">
        <v>15</v>
      </c>
      <c r="P28">
        <v>34</v>
      </c>
      <c r="Q28">
        <v>428</v>
      </c>
      <c r="R28">
        <v>26</v>
      </c>
      <c r="S28">
        <v>8</v>
      </c>
      <c r="T28">
        <v>260</v>
      </c>
      <c r="U28">
        <v>28</v>
      </c>
      <c r="V28">
        <v>482</v>
      </c>
      <c r="W28">
        <v>1065</v>
      </c>
      <c r="X28">
        <v>3</v>
      </c>
      <c r="Y28">
        <v>324</v>
      </c>
      <c r="Z28">
        <v>509</v>
      </c>
      <c r="AA28">
        <v>34</v>
      </c>
      <c r="AB28">
        <v>891</v>
      </c>
      <c r="AC28">
        <v>3510</v>
      </c>
      <c r="AD28" t="s">
        <v>73</v>
      </c>
      <c r="AE28" t="s">
        <v>73</v>
      </c>
      <c r="AF28" t="s">
        <v>73</v>
      </c>
      <c r="AG28">
        <v>1387</v>
      </c>
      <c r="AH28">
        <v>937</v>
      </c>
      <c r="AI28">
        <v>2972</v>
      </c>
      <c r="AJ28" t="s">
        <v>73</v>
      </c>
      <c r="AK28" t="s">
        <v>73</v>
      </c>
      <c r="AL28" t="s">
        <v>73</v>
      </c>
      <c r="AM28">
        <v>33</v>
      </c>
      <c r="AN28">
        <v>293</v>
      </c>
      <c r="AO28">
        <v>1160</v>
      </c>
      <c r="AP28">
        <v>1181</v>
      </c>
      <c r="AQ28">
        <v>6</v>
      </c>
      <c r="AR28">
        <v>311</v>
      </c>
      <c r="AS28">
        <v>17</v>
      </c>
      <c r="AT28">
        <v>2268</v>
      </c>
    </row>
    <row r="29" spans="1:46" x14ac:dyDescent="0.4">
      <c r="A29" s="1" t="s">
        <v>46</v>
      </c>
      <c r="B29" s="1" t="s">
        <v>47</v>
      </c>
      <c r="C29">
        <v>192</v>
      </c>
      <c r="D29">
        <v>499</v>
      </c>
      <c r="E29">
        <v>1440</v>
      </c>
      <c r="F29">
        <v>407</v>
      </c>
      <c r="G29">
        <v>2161</v>
      </c>
      <c r="H29">
        <v>3523</v>
      </c>
      <c r="I29">
        <v>214</v>
      </c>
      <c r="J29">
        <v>3108</v>
      </c>
      <c r="K29">
        <v>3375</v>
      </c>
      <c r="L29">
        <v>42</v>
      </c>
      <c r="M29">
        <v>1918</v>
      </c>
      <c r="N29">
        <v>2243</v>
      </c>
      <c r="O29">
        <v>18</v>
      </c>
      <c r="P29">
        <v>104</v>
      </c>
      <c r="Q29">
        <v>517</v>
      </c>
      <c r="R29">
        <v>45</v>
      </c>
      <c r="S29">
        <v>160</v>
      </c>
      <c r="T29">
        <v>612</v>
      </c>
      <c r="U29">
        <v>21</v>
      </c>
      <c r="V29">
        <v>329</v>
      </c>
      <c r="W29">
        <v>702</v>
      </c>
      <c r="X29">
        <v>8</v>
      </c>
      <c r="Y29">
        <v>463</v>
      </c>
      <c r="Z29">
        <v>1619</v>
      </c>
      <c r="AA29">
        <v>35</v>
      </c>
      <c r="AB29">
        <v>1333</v>
      </c>
      <c r="AC29">
        <v>5283</v>
      </c>
      <c r="AD29" t="s">
        <v>73</v>
      </c>
      <c r="AE29" t="s">
        <v>73</v>
      </c>
      <c r="AF29" t="s">
        <v>73</v>
      </c>
      <c r="AG29">
        <v>1413</v>
      </c>
      <c r="AH29">
        <v>782</v>
      </c>
      <c r="AI29">
        <v>2995</v>
      </c>
      <c r="AJ29" t="s">
        <v>73</v>
      </c>
      <c r="AK29" t="s">
        <v>73</v>
      </c>
      <c r="AL29" t="s">
        <v>73</v>
      </c>
      <c r="AM29">
        <v>45</v>
      </c>
      <c r="AN29">
        <v>523</v>
      </c>
      <c r="AO29">
        <v>984</v>
      </c>
      <c r="AP29">
        <v>992</v>
      </c>
      <c r="AQ29">
        <v>0</v>
      </c>
      <c r="AR29">
        <v>0</v>
      </c>
      <c r="AS29">
        <v>11</v>
      </c>
      <c r="AT29">
        <v>2106</v>
      </c>
    </row>
    <row r="30" spans="1:46" x14ac:dyDescent="0.4">
      <c r="A30" s="1" t="s">
        <v>48</v>
      </c>
      <c r="B30" s="1" t="s">
        <v>49</v>
      </c>
      <c r="C30">
        <v>223</v>
      </c>
      <c r="D30">
        <v>611</v>
      </c>
      <c r="E30">
        <v>1536</v>
      </c>
      <c r="F30">
        <v>367</v>
      </c>
      <c r="G30">
        <v>2038</v>
      </c>
      <c r="H30">
        <v>3505</v>
      </c>
      <c r="I30">
        <v>194</v>
      </c>
      <c r="J30">
        <v>2822</v>
      </c>
      <c r="K30">
        <v>3113</v>
      </c>
      <c r="L30">
        <v>56</v>
      </c>
      <c r="M30">
        <v>3364</v>
      </c>
      <c r="N30">
        <v>4336</v>
      </c>
      <c r="O30">
        <v>13</v>
      </c>
      <c r="P30">
        <v>38</v>
      </c>
      <c r="Q30">
        <v>378</v>
      </c>
      <c r="R30">
        <v>29</v>
      </c>
      <c r="S30">
        <v>24</v>
      </c>
      <c r="T30">
        <v>220</v>
      </c>
      <c r="U30">
        <v>21</v>
      </c>
      <c r="V30">
        <v>371</v>
      </c>
      <c r="W30">
        <v>691</v>
      </c>
      <c r="X30">
        <v>2</v>
      </c>
      <c r="Y30">
        <v>475</v>
      </c>
      <c r="Z30">
        <v>1188</v>
      </c>
      <c r="AA30">
        <v>32</v>
      </c>
      <c r="AB30">
        <v>1100</v>
      </c>
      <c r="AC30">
        <v>3958</v>
      </c>
      <c r="AD30" t="s">
        <v>73</v>
      </c>
      <c r="AE30" t="s">
        <v>73</v>
      </c>
      <c r="AF30" t="s">
        <v>73</v>
      </c>
      <c r="AG30">
        <v>1456</v>
      </c>
      <c r="AH30">
        <v>800</v>
      </c>
      <c r="AI30">
        <v>2912</v>
      </c>
      <c r="AJ30" t="s">
        <v>73</v>
      </c>
      <c r="AK30" t="s">
        <v>73</v>
      </c>
      <c r="AL30" t="s">
        <v>73</v>
      </c>
      <c r="AM30">
        <v>29</v>
      </c>
      <c r="AN30">
        <v>322</v>
      </c>
      <c r="AO30">
        <v>916</v>
      </c>
      <c r="AP30">
        <v>907</v>
      </c>
      <c r="AQ30">
        <v>5</v>
      </c>
      <c r="AR30">
        <v>319</v>
      </c>
      <c r="AS30">
        <v>22</v>
      </c>
      <c r="AT30">
        <v>2609</v>
      </c>
    </row>
    <row r="31" spans="1:46" x14ac:dyDescent="0.4">
      <c r="A31" s="1" t="s">
        <v>50</v>
      </c>
      <c r="B31" s="1" t="s">
        <v>51</v>
      </c>
      <c r="C31">
        <v>200</v>
      </c>
      <c r="D31">
        <v>542</v>
      </c>
      <c r="E31">
        <v>1330</v>
      </c>
      <c r="F31">
        <v>283</v>
      </c>
      <c r="G31">
        <v>1618</v>
      </c>
      <c r="H31">
        <v>2653</v>
      </c>
      <c r="I31">
        <v>160</v>
      </c>
      <c r="J31">
        <v>2305</v>
      </c>
      <c r="K31">
        <v>2542</v>
      </c>
      <c r="L31">
        <v>47</v>
      </c>
      <c r="M31">
        <v>2206</v>
      </c>
      <c r="N31">
        <v>2952</v>
      </c>
      <c r="O31">
        <v>38</v>
      </c>
      <c r="P31">
        <v>104</v>
      </c>
      <c r="Q31">
        <v>838</v>
      </c>
      <c r="R31">
        <v>64</v>
      </c>
      <c r="S31">
        <v>72</v>
      </c>
      <c r="T31">
        <v>593</v>
      </c>
      <c r="U31">
        <v>36</v>
      </c>
      <c r="V31">
        <v>625</v>
      </c>
      <c r="W31">
        <v>1806</v>
      </c>
      <c r="X31">
        <v>6</v>
      </c>
      <c r="Y31">
        <v>675</v>
      </c>
      <c r="Z31">
        <v>2120</v>
      </c>
      <c r="AA31">
        <v>35</v>
      </c>
      <c r="AB31">
        <v>1307</v>
      </c>
      <c r="AC31">
        <v>5640</v>
      </c>
      <c r="AD31" t="s">
        <v>73</v>
      </c>
      <c r="AE31" t="s">
        <v>73</v>
      </c>
      <c r="AF31" t="s">
        <v>73</v>
      </c>
      <c r="AG31">
        <v>1105</v>
      </c>
      <c r="AH31">
        <v>809</v>
      </c>
      <c r="AI31">
        <v>3083</v>
      </c>
      <c r="AJ31" t="s">
        <v>73</v>
      </c>
      <c r="AK31" t="s">
        <v>73</v>
      </c>
      <c r="AL31" t="s">
        <v>73</v>
      </c>
      <c r="AM31">
        <v>28</v>
      </c>
      <c r="AN31">
        <v>269</v>
      </c>
      <c r="AO31">
        <v>889</v>
      </c>
      <c r="AP31">
        <v>905</v>
      </c>
      <c r="AQ31">
        <v>7</v>
      </c>
      <c r="AR31">
        <v>793</v>
      </c>
      <c r="AS31">
        <v>27</v>
      </c>
      <c r="AT31">
        <v>2774</v>
      </c>
    </row>
    <row r="32" spans="1:46" x14ac:dyDescent="0.4">
      <c r="A32" s="1" t="s">
        <v>52</v>
      </c>
      <c r="B32" s="1" t="s">
        <v>53</v>
      </c>
      <c r="C32">
        <v>249</v>
      </c>
      <c r="D32">
        <v>651</v>
      </c>
      <c r="E32">
        <v>1692</v>
      </c>
      <c r="F32">
        <v>327</v>
      </c>
      <c r="G32">
        <v>1830</v>
      </c>
      <c r="H32">
        <v>3152</v>
      </c>
      <c r="I32">
        <v>160</v>
      </c>
      <c r="J32">
        <v>2367</v>
      </c>
      <c r="K32">
        <v>2838</v>
      </c>
      <c r="L32">
        <v>52</v>
      </c>
      <c r="M32">
        <v>2951</v>
      </c>
      <c r="N32">
        <v>4740</v>
      </c>
      <c r="O32">
        <v>24</v>
      </c>
      <c r="P32">
        <v>50</v>
      </c>
      <c r="Q32">
        <v>414</v>
      </c>
      <c r="R32">
        <v>33</v>
      </c>
      <c r="S32">
        <v>8</v>
      </c>
      <c r="T32">
        <v>119</v>
      </c>
      <c r="U32">
        <v>32</v>
      </c>
      <c r="V32">
        <v>606</v>
      </c>
      <c r="W32">
        <v>1541</v>
      </c>
      <c r="X32">
        <v>7</v>
      </c>
      <c r="Y32">
        <v>675</v>
      </c>
      <c r="Z32">
        <v>2457</v>
      </c>
      <c r="AA32">
        <v>34</v>
      </c>
      <c r="AB32">
        <v>993</v>
      </c>
      <c r="AC32">
        <v>4158</v>
      </c>
      <c r="AD32" t="s">
        <v>73</v>
      </c>
      <c r="AE32" t="s">
        <v>73</v>
      </c>
      <c r="AF32" t="s">
        <v>73</v>
      </c>
      <c r="AG32">
        <v>1172</v>
      </c>
      <c r="AH32">
        <v>927</v>
      </c>
      <c r="AI32">
        <v>3600</v>
      </c>
      <c r="AJ32" t="s">
        <v>73</v>
      </c>
      <c r="AK32" t="s">
        <v>73</v>
      </c>
      <c r="AL32" t="s">
        <v>73</v>
      </c>
      <c r="AM32">
        <v>48</v>
      </c>
      <c r="AN32">
        <v>485</v>
      </c>
      <c r="AO32">
        <v>1321</v>
      </c>
      <c r="AP32">
        <v>1322</v>
      </c>
      <c r="AQ32">
        <v>4</v>
      </c>
      <c r="AR32">
        <v>275</v>
      </c>
      <c r="AS32">
        <v>27</v>
      </c>
      <c r="AT32">
        <v>4200</v>
      </c>
    </row>
    <row r="33" spans="1:46" x14ac:dyDescent="0.4">
      <c r="A33" s="1" t="s">
        <v>54</v>
      </c>
      <c r="B33" s="1" t="s">
        <v>55</v>
      </c>
      <c r="C33">
        <v>239</v>
      </c>
      <c r="D33">
        <v>634</v>
      </c>
      <c r="E33">
        <v>1639</v>
      </c>
      <c r="F33">
        <v>378</v>
      </c>
      <c r="G33">
        <v>2210</v>
      </c>
      <c r="H33">
        <v>3833</v>
      </c>
      <c r="I33">
        <v>189</v>
      </c>
      <c r="J33">
        <v>2879</v>
      </c>
      <c r="K33">
        <v>3150</v>
      </c>
      <c r="L33">
        <v>38</v>
      </c>
      <c r="M33">
        <v>2606</v>
      </c>
      <c r="N33">
        <v>3131</v>
      </c>
      <c r="O33">
        <v>16</v>
      </c>
      <c r="P33">
        <v>232</v>
      </c>
      <c r="Q33">
        <v>1036</v>
      </c>
      <c r="R33">
        <v>98</v>
      </c>
      <c r="S33">
        <v>189</v>
      </c>
      <c r="T33">
        <v>1299</v>
      </c>
      <c r="U33">
        <v>31</v>
      </c>
      <c r="V33">
        <v>480</v>
      </c>
      <c r="W33">
        <v>1285</v>
      </c>
      <c r="X33">
        <v>5</v>
      </c>
      <c r="Y33">
        <v>937</v>
      </c>
      <c r="Z33">
        <v>3433</v>
      </c>
      <c r="AA33">
        <v>30</v>
      </c>
      <c r="AB33">
        <v>948</v>
      </c>
      <c r="AC33">
        <v>3964</v>
      </c>
      <c r="AD33" t="s">
        <v>73</v>
      </c>
      <c r="AE33" t="s">
        <v>73</v>
      </c>
      <c r="AF33" t="s">
        <v>73</v>
      </c>
      <c r="AG33">
        <v>929</v>
      </c>
      <c r="AH33">
        <v>950</v>
      </c>
      <c r="AI33">
        <v>3769</v>
      </c>
      <c r="AJ33" t="s">
        <v>73</v>
      </c>
      <c r="AK33" t="s">
        <v>73</v>
      </c>
      <c r="AL33" t="s">
        <v>73</v>
      </c>
      <c r="AM33">
        <v>38</v>
      </c>
      <c r="AN33">
        <v>294</v>
      </c>
      <c r="AO33">
        <v>849</v>
      </c>
      <c r="AP33">
        <v>999</v>
      </c>
      <c r="AQ33">
        <v>4</v>
      </c>
      <c r="AR33">
        <v>267</v>
      </c>
      <c r="AS33">
        <v>18</v>
      </c>
      <c r="AT33">
        <v>2929</v>
      </c>
    </row>
    <row r="34" spans="1:46" x14ac:dyDescent="0.4">
      <c r="A34" s="1" t="s">
        <v>56</v>
      </c>
      <c r="B34" s="1" t="s">
        <v>57</v>
      </c>
      <c r="C34">
        <v>258</v>
      </c>
      <c r="D34">
        <v>670</v>
      </c>
      <c r="E34">
        <v>1727</v>
      </c>
      <c r="F34">
        <v>366</v>
      </c>
      <c r="G34">
        <v>2165</v>
      </c>
      <c r="H34">
        <v>3680</v>
      </c>
      <c r="I34">
        <v>181</v>
      </c>
      <c r="J34">
        <v>2671</v>
      </c>
      <c r="K34">
        <v>2781</v>
      </c>
      <c r="L34">
        <v>41</v>
      </c>
      <c r="M34">
        <v>1897</v>
      </c>
      <c r="N34">
        <v>1979</v>
      </c>
      <c r="O34">
        <v>22</v>
      </c>
      <c r="P34">
        <v>257</v>
      </c>
      <c r="Q34">
        <v>1260</v>
      </c>
      <c r="R34">
        <v>67</v>
      </c>
      <c r="S34">
        <v>132</v>
      </c>
      <c r="T34">
        <v>1234</v>
      </c>
      <c r="U34">
        <v>25</v>
      </c>
      <c r="V34">
        <v>384</v>
      </c>
      <c r="W34">
        <v>827</v>
      </c>
      <c r="X34">
        <v>4</v>
      </c>
      <c r="Y34">
        <v>220</v>
      </c>
      <c r="Z34">
        <v>1404</v>
      </c>
      <c r="AA34">
        <v>39</v>
      </c>
      <c r="AB34">
        <v>1258</v>
      </c>
      <c r="AC34">
        <v>5603</v>
      </c>
      <c r="AD34" t="s">
        <v>73</v>
      </c>
      <c r="AE34" t="s">
        <v>73</v>
      </c>
      <c r="AF34" t="s">
        <v>73</v>
      </c>
      <c r="AG34">
        <v>796</v>
      </c>
      <c r="AH34">
        <v>539</v>
      </c>
      <c r="AI34">
        <v>3129</v>
      </c>
      <c r="AJ34" t="s">
        <v>73</v>
      </c>
      <c r="AK34" t="s">
        <v>73</v>
      </c>
      <c r="AL34" t="s">
        <v>73</v>
      </c>
      <c r="AM34">
        <v>24</v>
      </c>
      <c r="AN34">
        <v>630</v>
      </c>
      <c r="AO34">
        <v>711</v>
      </c>
      <c r="AP34">
        <v>795</v>
      </c>
      <c r="AQ34">
        <v>3</v>
      </c>
      <c r="AR34">
        <v>110</v>
      </c>
      <c r="AS34">
        <v>17</v>
      </c>
      <c r="AT34">
        <v>1823</v>
      </c>
    </row>
    <row r="35" spans="1:46" x14ac:dyDescent="0.4">
      <c r="A35" s="1" t="s">
        <v>58</v>
      </c>
      <c r="B35" s="1" t="s">
        <v>59</v>
      </c>
      <c r="C35">
        <v>320</v>
      </c>
      <c r="D35">
        <v>853</v>
      </c>
      <c r="E35">
        <v>2252</v>
      </c>
      <c r="F35">
        <v>384</v>
      </c>
      <c r="G35">
        <v>2200</v>
      </c>
      <c r="H35">
        <v>3693</v>
      </c>
      <c r="I35">
        <v>251</v>
      </c>
      <c r="J35">
        <v>3744</v>
      </c>
      <c r="K35">
        <v>4056</v>
      </c>
      <c r="L35">
        <v>39</v>
      </c>
      <c r="M35">
        <v>2079</v>
      </c>
      <c r="N35">
        <v>3140</v>
      </c>
      <c r="O35">
        <v>30</v>
      </c>
      <c r="P35">
        <v>397</v>
      </c>
      <c r="Q35">
        <v>2156</v>
      </c>
      <c r="R35">
        <v>33</v>
      </c>
      <c r="S35">
        <v>21</v>
      </c>
      <c r="T35">
        <v>231</v>
      </c>
      <c r="U35">
        <v>25</v>
      </c>
      <c r="V35">
        <v>524</v>
      </c>
      <c r="W35">
        <v>1238</v>
      </c>
      <c r="X35">
        <v>2</v>
      </c>
      <c r="Y35">
        <v>144</v>
      </c>
      <c r="Z35">
        <v>565</v>
      </c>
      <c r="AA35">
        <v>41</v>
      </c>
      <c r="AB35">
        <v>1259</v>
      </c>
      <c r="AC35">
        <v>5303</v>
      </c>
      <c r="AD35" t="s">
        <v>73</v>
      </c>
      <c r="AE35" t="s">
        <v>73</v>
      </c>
      <c r="AF35" t="s">
        <v>73</v>
      </c>
      <c r="AG35">
        <v>847</v>
      </c>
      <c r="AH35">
        <v>962</v>
      </c>
      <c r="AI35">
        <v>3994</v>
      </c>
      <c r="AJ35" t="s">
        <v>73</v>
      </c>
      <c r="AK35" t="s">
        <v>73</v>
      </c>
      <c r="AL35" t="s">
        <v>73</v>
      </c>
      <c r="AM35">
        <v>34</v>
      </c>
      <c r="AN35">
        <v>697</v>
      </c>
      <c r="AO35">
        <v>643</v>
      </c>
      <c r="AP35">
        <v>616</v>
      </c>
      <c r="AQ35">
        <v>4</v>
      </c>
      <c r="AR35">
        <v>602</v>
      </c>
      <c r="AS35">
        <v>20</v>
      </c>
      <c r="AT35">
        <v>3461</v>
      </c>
    </row>
    <row r="36" spans="1:46" x14ac:dyDescent="0.4">
      <c r="A36" s="1" t="s">
        <v>60</v>
      </c>
      <c r="B36" s="1" t="s">
        <v>61</v>
      </c>
      <c r="C36">
        <v>268</v>
      </c>
      <c r="D36">
        <v>729</v>
      </c>
      <c r="E36">
        <v>1760</v>
      </c>
      <c r="F36">
        <v>379</v>
      </c>
      <c r="G36">
        <v>2111</v>
      </c>
      <c r="H36">
        <v>3534</v>
      </c>
      <c r="I36">
        <v>172</v>
      </c>
      <c r="J36">
        <v>2677</v>
      </c>
      <c r="K36">
        <v>2799</v>
      </c>
      <c r="L36">
        <v>43</v>
      </c>
      <c r="M36">
        <v>2539</v>
      </c>
      <c r="N36">
        <v>3283</v>
      </c>
      <c r="O36">
        <v>23</v>
      </c>
      <c r="P36">
        <v>157</v>
      </c>
      <c r="Q36">
        <v>2378</v>
      </c>
      <c r="R36">
        <v>28</v>
      </c>
      <c r="S36">
        <v>262</v>
      </c>
      <c r="T36">
        <v>1125</v>
      </c>
      <c r="U36">
        <v>23</v>
      </c>
      <c r="V36">
        <v>413</v>
      </c>
      <c r="W36">
        <v>1077</v>
      </c>
      <c r="X36">
        <v>3</v>
      </c>
      <c r="Y36">
        <v>193</v>
      </c>
      <c r="Z36">
        <v>960</v>
      </c>
      <c r="AA36">
        <v>29</v>
      </c>
      <c r="AB36">
        <v>962</v>
      </c>
      <c r="AC36">
        <v>4472</v>
      </c>
      <c r="AD36" t="s">
        <v>73</v>
      </c>
      <c r="AE36" t="s">
        <v>73</v>
      </c>
      <c r="AF36" t="s">
        <v>73</v>
      </c>
      <c r="AG36">
        <v>890</v>
      </c>
      <c r="AH36">
        <v>714</v>
      </c>
      <c r="AI36">
        <v>3536</v>
      </c>
      <c r="AJ36" t="s">
        <v>73</v>
      </c>
      <c r="AK36" t="s">
        <v>73</v>
      </c>
      <c r="AL36" t="s">
        <v>73</v>
      </c>
      <c r="AM36">
        <v>38</v>
      </c>
      <c r="AN36">
        <v>510</v>
      </c>
      <c r="AO36">
        <v>729</v>
      </c>
      <c r="AP36">
        <v>754</v>
      </c>
      <c r="AQ36">
        <v>3</v>
      </c>
      <c r="AR36">
        <v>129</v>
      </c>
      <c r="AS36">
        <v>16</v>
      </c>
      <c r="AT36">
        <v>2868</v>
      </c>
    </row>
    <row r="37" spans="1:46" x14ac:dyDescent="0.4">
      <c r="A37" s="1" t="s">
        <v>62</v>
      </c>
      <c r="B37" s="1" t="s">
        <v>63</v>
      </c>
      <c r="C37">
        <v>271</v>
      </c>
      <c r="D37">
        <v>715</v>
      </c>
      <c r="E37">
        <v>1888</v>
      </c>
      <c r="F37">
        <v>379</v>
      </c>
      <c r="G37">
        <v>2156</v>
      </c>
      <c r="H37">
        <v>3634</v>
      </c>
      <c r="I37">
        <v>197</v>
      </c>
      <c r="J37">
        <v>2889</v>
      </c>
      <c r="K37">
        <v>3064</v>
      </c>
      <c r="L37">
        <v>36</v>
      </c>
      <c r="M37">
        <v>2092</v>
      </c>
      <c r="N37">
        <v>2450</v>
      </c>
      <c r="O37">
        <v>30</v>
      </c>
      <c r="P37">
        <v>274</v>
      </c>
      <c r="Q37">
        <v>1570</v>
      </c>
      <c r="R37">
        <v>79</v>
      </c>
      <c r="S37">
        <v>284</v>
      </c>
      <c r="T37">
        <v>249</v>
      </c>
      <c r="U37">
        <v>27</v>
      </c>
      <c r="V37">
        <v>400</v>
      </c>
      <c r="W37">
        <v>1072</v>
      </c>
      <c r="X37">
        <v>4</v>
      </c>
      <c r="Y37">
        <v>187</v>
      </c>
      <c r="Z37">
        <v>629</v>
      </c>
      <c r="AA37">
        <v>32</v>
      </c>
      <c r="AB37">
        <v>881</v>
      </c>
      <c r="AC37">
        <v>3781</v>
      </c>
      <c r="AD37" t="s">
        <v>73</v>
      </c>
      <c r="AE37" t="s">
        <v>73</v>
      </c>
      <c r="AF37" t="s">
        <v>73</v>
      </c>
      <c r="AG37">
        <v>961</v>
      </c>
      <c r="AH37">
        <v>611</v>
      </c>
      <c r="AI37">
        <v>3355</v>
      </c>
      <c r="AJ37" t="s">
        <v>73</v>
      </c>
      <c r="AK37" t="s">
        <v>73</v>
      </c>
      <c r="AL37" t="s">
        <v>73</v>
      </c>
      <c r="AM37">
        <v>30</v>
      </c>
      <c r="AN37">
        <v>283</v>
      </c>
      <c r="AO37">
        <v>588</v>
      </c>
      <c r="AP37">
        <v>621</v>
      </c>
      <c r="AQ37">
        <v>5</v>
      </c>
      <c r="AR37">
        <v>399</v>
      </c>
      <c r="AS37">
        <v>22</v>
      </c>
      <c r="AT37">
        <v>2545</v>
      </c>
    </row>
    <row r="38" spans="1:46" x14ac:dyDescent="0.4">
      <c r="A38" s="1" t="s">
        <v>64</v>
      </c>
      <c r="B38" s="1" t="s">
        <v>65</v>
      </c>
      <c r="C38">
        <v>317</v>
      </c>
      <c r="D38">
        <v>863</v>
      </c>
      <c r="E38">
        <v>2150</v>
      </c>
      <c r="F38">
        <v>495</v>
      </c>
      <c r="G38">
        <v>2813</v>
      </c>
      <c r="H38">
        <v>4548</v>
      </c>
      <c r="I38">
        <v>236</v>
      </c>
      <c r="J38">
        <v>3534</v>
      </c>
      <c r="K38">
        <v>3882</v>
      </c>
      <c r="L38">
        <v>45</v>
      </c>
      <c r="M38">
        <v>2703</v>
      </c>
      <c r="N38">
        <v>3166</v>
      </c>
      <c r="O38">
        <v>33</v>
      </c>
      <c r="P38">
        <v>97</v>
      </c>
      <c r="Q38">
        <v>1155</v>
      </c>
      <c r="R38">
        <v>38</v>
      </c>
      <c r="S38">
        <v>31</v>
      </c>
      <c r="T38">
        <v>277</v>
      </c>
      <c r="U38">
        <v>28</v>
      </c>
      <c r="V38">
        <v>546</v>
      </c>
      <c r="W38">
        <v>1577</v>
      </c>
      <c r="X38">
        <v>3</v>
      </c>
      <c r="Y38">
        <v>46</v>
      </c>
      <c r="Z38">
        <v>154</v>
      </c>
      <c r="AA38">
        <v>52</v>
      </c>
      <c r="AB38">
        <v>1733</v>
      </c>
      <c r="AC38">
        <v>7625</v>
      </c>
      <c r="AD38" t="s">
        <v>73</v>
      </c>
      <c r="AE38" t="s">
        <v>73</v>
      </c>
      <c r="AF38" t="s">
        <v>73</v>
      </c>
      <c r="AG38">
        <v>938</v>
      </c>
      <c r="AH38">
        <v>1248</v>
      </c>
      <c r="AI38">
        <v>4805</v>
      </c>
      <c r="AJ38" t="s">
        <v>73</v>
      </c>
      <c r="AK38" t="s">
        <v>73</v>
      </c>
      <c r="AL38" t="s">
        <v>73</v>
      </c>
      <c r="AM38">
        <v>33</v>
      </c>
      <c r="AN38">
        <v>428</v>
      </c>
      <c r="AO38">
        <v>809</v>
      </c>
      <c r="AP38">
        <v>736</v>
      </c>
      <c r="AQ38">
        <v>3</v>
      </c>
      <c r="AR38">
        <v>140</v>
      </c>
      <c r="AS38">
        <v>36</v>
      </c>
      <c r="AT38">
        <v>5360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AF379-02A1-43B4-8A8F-0DD6D045EF58}">
  <dimension ref="A1:DW40"/>
  <sheetViews>
    <sheetView workbookViewId="0">
      <selection activeCell="C9" sqref="C9"/>
    </sheetView>
  </sheetViews>
  <sheetFormatPr defaultColWidth="15.625" defaultRowHeight="18.75" x14ac:dyDescent="0.4"/>
  <sheetData>
    <row r="1" spans="1:127" x14ac:dyDescent="0.4">
      <c r="A1" s="1" t="s">
        <v>66</v>
      </c>
      <c r="B1" s="1"/>
    </row>
    <row r="2" spans="1:127" x14ac:dyDescent="0.4">
      <c r="A2" s="4" t="str">
        <f>HYPERLINK("#'目次(Contents)'!A3","目次に戻る(Return to Contents)")</f>
        <v>目次に戻る(Return to Contents)</v>
      </c>
      <c r="B2" s="1"/>
    </row>
    <row r="3" spans="1:127" x14ac:dyDescent="0.4">
      <c r="A3" s="1"/>
      <c r="B3" s="2" t="s">
        <v>0</v>
      </c>
      <c r="C3" t="s">
        <v>396</v>
      </c>
      <c r="D3" t="s">
        <v>396</v>
      </c>
      <c r="E3" t="s">
        <v>396</v>
      </c>
      <c r="F3" t="s">
        <v>396</v>
      </c>
      <c r="G3" t="s">
        <v>396</v>
      </c>
      <c r="H3" t="s">
        <v>396</v>
      </c>
      <c r="I3" t="s">
        <v>396</v>
      </c>
      <c r="J3" t="s">
        <v>396</v>
      </c>
      <c r="K3" t="s">
        <v>402</v>
      </c>
      <c r="L3" t="s">
        <v>402</v>
      </c>
      <c r="M3" t="s">
        <v>402</v>
      </c>
      <c r="N3" t="s">
        <v>402</v>
      </c>
      <c r="O3" t="s">
        <v>402</v>
      </c>
      <c r="P3" t="s">
        <v>402</v>
      </c>
      <c r="Q3" t="s">
        <v>402</v>
      </c>
      <c r="R3" t="s">
        <v>402</v>
      </c>
      <c r="S3" t="s">
        <v>404</v>
      </c>
      <c r="T3" t="s">
        <v>404</v>
      </c>
      <c r="U3" t="s">
        <v>404</v>
      </c>
      <c r="V3" t="s">
        <v>404</v>
      </c>
      <c r="W3" t="s">
        <v>404</v>
      </c>
      <c r="X3" t="s">
        <v>404</v>
      </c>
      <c r="Y3" t="s">
        <v>404</v>
      </c>
      <c r="Z3" t="s">
        <v>404</v>
      </c>
      <c r="AA3" t="s">
        <v>406</v>
      </c>
      <c r="AB3" t="s">
        <v>406</v>
      </c>
      <c r="AC3" t="s">
        <v>406</v>
      </c>
      <c r="AD3" t="s">
        <v>406</v>
      </c>
      <c r="AE3" t="s">
        <v>406</v>
      </c>
      <c r="AF3" t="s">
        <v>406</v>
      </c>
      <c r="AG3" t="s">
        <v>406</v>
      </c>
      <c r="AH3" t="s">
        <v>406</v>
      </c>
      <c r="AI3" t="s">
        <v>408</v>
      </c>
      <c r="AJ3" t="s">
        <v>408</v>
      </c>
      <c r="AK3" t="s">
        <v>408</v>
      </c>
      <c r="AL3" t="s">
        <v>408</v>
      </c>
      <c r="AM3" t="s">
        <v>408</v>
      </c>
      <c r="AN3" t="s">
        <v>408</v>
      </c>
      <c r="AO3" t="s">
        <v>408</v>
      </c>
      <c r="AP3" t="s">
        <v>408</v>
      </c>
      <c r="AQ3" t="s">
        <v>410</v>
      </c>
      <c r="AR3" t="s">
        <v>410</v>
      </c>
      <c r="AS3" t="s">
        <v>410</v>
      </c>
      <c r="AT3" t="s">
        <v>410</v>
      </c>
      <c r="AU3" t="s">
        <v>410</v>
      </c>
      <c r="AV3" t="s">
        <v>410</v>
      </c>
      <c r="AW3" t="s">
        <v>410</v>
      </c>
      <c r="AX3" t="s">
        <v>410</v>
      </c>
      <c r="AY3" t="s">
        <v>412</v>
      </c>
      <c r="AZ3" t="s">
        <v>412</v>
      </c>
      <c r="BA3" t="s">
        <v>412</v>
      </c>
      <c r="BB3" t="s">
        <v>412</v>
      </c>
      <c r="BC3" t="s">
        <v>412</v>
      </c>
      <c r="BD3" t="s">
        <v>412</v>
      </c>
      <c r="BE3" t="s">
        <v>412</v>
      </c>
      <c r="BF3" t="s">
        <v>412</v>
      </c>
      <c r="BG3" t="s">
        <v>414</v>
      </c>
      <c r="BH3" t="s">
        <v>414</v>
      </c>
      <c r="BI3" t="s">
        <v>414</v>
      </c>
      <c r="BJ3" t="s">
        <v>414</v>
      </c>
      <c r="BK3" t="s">
        <v>414</v>
      </c>
      <c r="BL3" t="s">
        <v>414</v>
      </c>
      <c r="BM3" t="s">
        <v>414</v>
      </c>
      <c r="BN3" t="s">
        <v>414</v>
      </c>
      <c r="BO3" t="s">
        <v>416</v>
      </c>
      <c r="BP3" t="s">
        <v>416</v>
      </c>
      <c r="BQ3" t="s">
        <v>416</v>
      </c>
      <c r="BR3" t="s">
        <v>416</v>
      </c>
      <c r="BS3" t="s">
        <v>416</v>
      </c>
      <c r="BT3" t="s">
        <v>418</v>
      </c>
      <c r="BU3" t="s">
        <v>418</v>
      </c>
      <c r="BV3" t="s">
        <v>418</v>
      </c>
      <c r="BW3" t="s">
        <v>418</v>
      </c>
      <c r="BX3" t="s">
        <v>418</v>
      </c>
      <c r="BY3" t="s">
        <v>418</v>
      </c>
      <c r="BZ3" t="s">
        <v>418</v>
      </c>
      <c r="CA3" t="s">
        <v>418</v>
      </c>
      <c r="CB3" t="s">
        <v>420</v>
      </c>
      <c r="CC3" t="s">
        <v>420</v>
      </c>
      <c r="CD3" t="s">
        <v>420</v>
      </c>
      <c r="CE3" t="s">
        <v>420</v>
      </c>
      <c r="CF3" t="s">
        <v>420</v>
      </c>
      <c r="CG3" t="s">
        <v>420</v>
      </c>
      <c r="CH3" t="s">
        <v>420</v>
      </c>
      <c r="CI3" t="s">
        <v>420</v>
      </c>
      <c r="CJ3" t="s">
        <v>422</v>
      </c>
      <c r="CK3" t="s">
        <v>422</v>
      </c>
      <c r="CL3" t="s">
        <v>422</v>
      </c>
      <c r="CM3" t="s">
        <v>422</v>
      </c>
      <c r="CN3" t="s">
        <v>422</v>
      </c>
      <c r="CO3" t="s">
        <v>422</v>
      </c>
      <c r="CP3" t="s">
        <v>422</v>
      </c>
      <c r="CQ3" t="s">
        <v>422</v>
      </c>
      <c r="CR3" t="s">
        <v>424</v>
      </c>
      <c r="CS3" t="s">
        <v>424</v>
      </c>
      <c r="CT3" t="s">
        <v>424</v>
      </c>
      <c r="CU3" t="s">
        <v>424</v>
      </c>
      <c r="CV3" t="s">
        <v>424</v>
      </c>
      <c r="CW3" t="s">
        <v>424</v>
      </c>
      <c r="CX3" t="s">
        <v>424</v>
      </c>
      <c r="CY3" t="s">
        <v>424</v>
      </c>
      <c r="CZ3" t="s">
        <v>426</v>
      </c>
      <c r="DA3" t="s">
        <v>426</v>
      </c>
      <c r="DB3" t="s">
        <v>426</v>
      </c>
      <c r="DC3" t="s">
        <v>426</v>
      </c>
      <c r="DD3" t="s">
        <v>426</v>
      </c>
      <c r="DE3" t="s">
        <v>426</v>
      </c>
      <c r="DF3" t="s">
        <v>426</v>
      </c>
      <c r="DG3" t="s">
        <v>426</v>
      </c>
      <c r="DH3" t="s">
        <v>428</v>
      </c>
      <c r="DI3" t="s">
        <v>428</v>
      </c>
      <c r="DJ3" t="s">
        <v>428</v>
      </c>
      <c r="DK3" t="s">
        <v>428</v>
      </c>
      <c r="DL3" t="s">
        <v>428</v>
      </c>
      <c r="DM3" t="s">
        <v>428</v>
      </c>
      <c r="DN3" t="s">
        <v>428</v>
      </c>
      <c r="DO3" t="s">
        <v>428</v>
      </c>
      <c r="DP3" t="s">
        <v>430</v>
      </c>
      <c r="DQ3" t="s">
        <v>430</v>
      </c>
      <c r="DR3" t="s">
        <v>430</v>
      </c>
      <c r="DS3" t="s">
        <v>430</v>
      </c>
      <c r="DT3" t="s">
        <v>430</v>
      </c>
      <c r="DU3" t="s">
        <v>430</v>
      </c>
      <c r="DV3" t="s">
        <v>430</v>
      </c>
      <c r="DW3" t="s">
        <v>430</v>
      </c>
    </row>
    <row r="4" spans="1:127" x14ac:dyDescent="0.4">
      <c r="A4" s="1"/>
      <c r="B4" s="2" t="s">
        <v>1</v>
      </c>
      <c r="C4" t="s">
        <v>397</v>
      </c>
      <c r="D4" t="s">
        <v>397</v>
      </c>
      <c r="E4" t="s">
        <v>397</v>
      </c>
      <c r="F4" t="s">
        <v>397</v>
      </c>
      <c r="G4" t="s">
        <v>397</v>
      </c>
      <c r="H4" t="s">
        <v>397</v>
      </c>
      <c r="I4" t="s">
        <v>397</v>
      </c>
      <c r="J4" t="s">
        <v>397</v>
      </c>
      <c r="K4" t="s">
        <v>403</v>
      </c>
      <c r="L4" t="s">
        <v>403</v>
      </c>
      <c r="M4" t="s">
        <v>403</v>
      </c>
      <c r="N4" t="s">
        <v>403</v>
      </c>
      <c r="O4" t="s">
        <v>403</v>
      </c>
      <c r="P4" t="s">
        <v>403</v>
      </c>
      <c r="Q4" t="s">
        <v>403</v>
      </c>
      <c r="R4" t="s">
        <v>403</v>
      </c>
      <c r="S4" t="s">
        <v>405</v>
      </c>
      <c r="T4" t="s">
        <v>405</v>
      </c>
      <c r="U4" t="s">
        <v>405</v>
      </c>
      <c r="V4" t="s">
        <v>405</v>
      </c>
      <c r="W4" t="s">
        <v>405</v>
      </c>
      <c r="X4" t="s">
        <v>405</v>
      </c>
      <c r="Y4" t="s">
        <v>405</v>
      </c>
      <c r="Z4" t="s">
        <v>405</v>
      </c>
      <c r="AA4" t="s">
        <v>407</v>
      </c>
      <c r="AB4" t="s">
        <v>407</v>
      </c>
      <c r="AC4" t="s">
        <v>407</v>
      </c>
      <c r="AD4" t="s">
        <v>407</v>
      </c>
      <c r="AE4" t="s">
        <v>407</v>
      </c>
      <c r="AF4" t="s">
        <v>407</v>
      </c>
      <c r="AG4" t="s">
        <v>407</v>
      </c>
      <c r="AH4" t="s">
        <v>407</v>
      </c>
      <c r="AI4" t="s">
        <v>409</v>
      </c>
      <c r="AJ4" t="s">
        <v>409</v>
      </c>
      <c r="AK4" t="s">
        <v>409</v>
      </c>
      <c r="AL4" t="s">
        <v>409</v>
      </c>
      <c r="AM4" t="s">
        <v>409</v>
      </c>
      <c r="AN4" t="s">
        <v>409</v>
      </c>
      <c r="AO4" t="s">
        <v>409</v>
      </c>
      <c r="AP4" t="s">
        <v>409</v>
      </c>
      <c r="AQ4" t="s">
        <v>411</v>
      </c>
      <c r="AR4" t="s">
        <v>411</v>
      </c>
      <c r="AS4" t="s">
        <v>411</v>
      </c>
      <c r="AT4" t="s">
        <v>411</v>
      </c>
      <c r="AU4" t="s">
        <v>411</v>
      </c>
      <c r="AV4" t="s">
        <v>411</v>
      </c>
      <c r="AW4" t="s">
        <v>411</v>
      </c>
      <c r="AX4" t="s">
        <v>411</v>
      </c>
      <c r="AY4" t="s">
        <v>413</v>
      </c>
      <c r="AZ4" t="s">
        <v>413</v>
      </c>
      <c r="BA4" t="s">
        <v>413</v>
      </c>
      <c r="BB4" t="s">
        <v>413</v>
      </c>
      <c r="BC4" t="s">
        <v>413</v>
      </c>
      <c r="BD4" t="s">
        <v>413</v>
      </c>
      <c r="BE4" t="s">
        <v>413</v>
      </c>
      <c r="BF4" t="s">
        <v>413</v>
      </c>
      <c r="BG4" t="s">
        <v>415</v>
      </c>
      <c r="BH4" t="s">
        <v>415</v>
      </c>
      <c r="BI4" t="s">
        <v>415</v>
      </c>
      <c r="BJ4" t="s">
        <v>415</v>
      </c>
      <c r="BK4" t="s">
        <v>415</v>
      </c>
      <c r="BL4" t="s">
        <v>415</v>
      </c>
      <c r="BM4" t="s">
        <v>415</v>
      </c>
      <c r="BN4" t="s">
        <v>415</v>
      </c>
      <c r="BO4" t="s">
        <v>417</v>
      </c>
      <c r="BP4" t="s">
        <v>417</v>
      </c>
      <c r="BQ4" t="s">
        <v>417</v>
      </c>
      <c r="BR4" t="s">
        <v>417</v>
      </c>
      <c r="BS4" t="s">
        <v>417</v>
      </c>
      <c r="BT4" t="s">
        <v>419</v>
      </c>
      <c r="BU4" t="s">
        <v>419</v>
      </c>
      <c r="BV4" t="s">
        <v>419</v>
      </c>
      <c r="BW4" t="s">
        <v>419</v>
      </c>
      <c r="BX4" t="s">
        <v>419</v>
      </c>
      <c r="BY4" t="s">
        <v>419</v>
      </c>
      <c r="BZ4" t="s">
        <v>419</v>
      </c>
      <c r="CA4" t="s">
        <v>419</v>
      </c>
      <c r="CB4" t="s">
        <v>421</v>
      </c>
      <c r="CC4" t="s">
        <v>421</v>
      </c>
      <c r="CD4" t="s">
        <v>421</v>
      </c>
      <c r="CE4" t="s">
        <v>421</v>
      </c>
      <c r="CF4" t="s">
        <v>421</v>
      </c>
      <c r="CG4" t="s">
        <v>421</v>
      </c>
      <c r="CH4" t="s">
        <v>421</v>
      </c>
      <c r="CI4" t="s">
        <v>421</v>
      </c>
      <c r="CJ4" t="s">
        <v>423</v>
      </c>
      <c r="CK4" t="s">
        <v>423</v>
      </c>
      <c r="CL4" t="s">
        <v>423</v>
      </c>
      <c r="CM4" t="s">
        <v>423</v>
      </c>
      <c r="CN4" t="s">
        <v>423</v>
      </c>
      <c r="CO4" t="s">
        <v>423</v>
      </c>
      <c r="CP4" t="s">
        <v>423</v>
      </c>
      <c r="CQ4" t="s">
        <v>423</v>
      </c>
      <c r="CR4" t="s">
        <v>425</v>
      </c>
      <c r="CS4" t="s">
        <v>425</v>
      </c>
      <c r="CT4" t="s">
        <v>425</v>
      </c>
      <c r="CU4" t="s">
        <v>425</v>
      </c>
      <c r="CV4" t="s">
        <v>425</v>
      </c>
      <c r="CW4" t="s">
        <v>425</v>
      </c>
      <c r="CX4" t="s">
        <v>425</v>
      </c>
      <c r="CY4" t="s">
        <v>425</v>
      </c>
      <c r="CZ4" t="s">
        <v>427</v>
      </c>
      <c r="DA4" t="s">
        <v>427</v>
      </c>
      <c r="DB4" t="s">
        <v>427</v>
      </c>
      <c r="DC4" t="s">
        <v>427</v>
      </c>
      <c r="DD4" t="s">
        <v>427</v>
      </c>
      <c r="DE4" t="s">
        <v>427</v>
      </c>
      <c r="DF4" t="s">
        <v>427</v>
      </c>
      <c r="DG4" t="s">
        <v>427</v>
      </c>
      <c r="DH4" t="s">
        <v>429</v>
      </c>
      <c r="DI4" t="s">
        <v>429</v>
      </c>
      <c r="DJ4" t="s">
        <v>429</v>
      </c>
      <c r="DK4" t="s">
        <v>429</v>
      </c>
      <c r="DL4" t="s">
        <v>429</v>
      </c>
      <c r="DM4" t="s">
        <v>429</v>
      </c>
      <c r="DN4" t="s">
        <v>429</v>
      </c>
      <c r="DO4" t="s">
        <v>429</v>
      </c>
      <c r="DP4" t="s">
        <v>431</v>
      </c>
      <c r="DQ4" t="s">
        <v>431</v>
      </c>
      <c r="DR4" t="s">
        <v>431</v>
      </c>
      <c r="DS4" t="s">
        <v>431</v>
      </c>
      <c r="DT4" t="s">
        <v>431</v>
      </c>
      <c r="DU4" t="s">
        <v>431</v>
      </c>
      <c r="DV4" t="s">
        <v>431</v>
      </c>
      <c r="DW4" t="s">
        <v>431</v>
      </c>
    </row>
    <row r="5" spans="1:12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257</v>
      </c>
      <c r="BQ5" t="s">
        <v>74</v>
      </c>
      <c r="BR5" t="s">
        <v>263</v>
      </c>
      <c r="BS5" t="s">
        <v>76</v>
      </c>
      <c r="BT5" t="s">
        <v>69</v>
      </c>
      <c r="BU5" t="s">
        <v>338</v>
      </c>
      <c r="BV5" t="s">
        <v>257</v>
      </c>
      <c r="BW5" t="s">
        <v>74</v>
      </c>
      <c r="BX5" t="s">
        <v>398</v>
      </c>
      <c r="BY5" t="s">
        <v>263</v>
      </c>
      <c r="BZ5" t="s">
        <v>76</v>
      </c>
      <c r="CA5" t="s">
        <v>400</v>
      </c>
      <c r="CB5" t="s">
        <v>69</v>
      </c>
      <c r="CC5" t="s">
        <v>338</v>
      </c>
      <c r="CD5" t="s">
        <v>257</v>
      </c>
      <c r="CE5" t="s">
        <v>74</v>
      </c>
      <c r="CF5" t="s">
        <v>398</v>
      </c>
      <c r="CG5" t="s">
        <v>263</v>
      </c>
      <c r="CH5" t="s">
        <v>76</v>
      </c>
      <c r="CI5" t="s">
        <v>400</v>
      </c>
      <c r="CJ5" t="s">
        <v>69</v>
      </c>
      <c r="CK5" t="s">
        <v>338</v>
      </c>
      <c r="CL5" t="s">
        <v>257</v>
      </c>
      <c r="CM5" t="s">
        <v>74</v>
      </c>
      <c r="CN5" t="s">
        <v>398</v>
      </c>
      <c r="CO5" t="s">
        <v>263</v>
      </c>
      <c r="CP5" t="s">
        <v>76</v>
      </c>
      <c r="CQ5" t="s">
        <v>400</v>
      </c>
      <c r="CR5" t="s">
        <v>69</v>
      </c>
      <c r="CS5" t="s">
        <v>338</v>
      </c>
      <c r="CT5" t="s">
        <v>257</v>
      </c>
      <c r="CU5" t="s">
        <v>74</v>
      </c>
      <c r="CV5" t="s">
        <v>398</v>
      </c>
      <c r="CW5" t="s">
        <v>263</v>
      </c>
      <c r="CX5" t="s">
        <v>76</v>
      </c>
      <c r="CY5" t="s">
        <v>400</v>
      </c>
      <c r="CZ5" t="s">
        <v>69</v>
      </c>
      <c r="DA5" t="s">
        <v>338</v>
      </c>
      <c r="DB5" t="s">
        <v>257</v>
      </c>
      <c r="DC5" t="s">
        <v>74</v>
      </c>
      <c r="DD5" t="s">
        <v>398</v>
      </c>
      <c r="DE5" t="s">
        <v>263</v>
      </c>
      <c r="DF5" t="s">
        <v>76</v>
      </c>
      <c r="DG5" t="s">
        <v>400</v>
      </c>
      <c r="DH5" t="s">
        <v>69</v>
      </c>
      <c r="DI5" t="s">
        <v>338</v>
      </c>
      <c r="DJ5" t="s">
        <v>257</v>
      </c>
      <c r="DK5" t="s">
        <v>74</v>
      </c>
      <c r="DL5" t="s">
        <v>398</v>
      </c>
      <c r="DM5" t="s">
        <v>263</v>
      </c>
      <c r="DN5" t="s">
        <v>76</v>
      </c>
      <c r="DO5" t="s">
        <v>400</v>
      </c>
      <c r="DP5" t="s">
        <v>69</v>
      </c>
      <c r="DQ5" t="s">
        <v>338</v>
      </c>
      <c r="DR5" t="s">
        <v>257</v>
      </c>
      <c r="DS5" t="s">
        <v>74</v>
      </c>
      <c r="DT5" t="s">
        <v>398</v>
      </c>
      <c r="DU5" t="s">
        <v>263</v>
      </c>
      <c r="DV5" t="s">
        <v>76</v>
      </c>
      <c r="DW5" t="s">
        <v>400</v>
      </c>
    </row>
    <row r="6" spans="1:12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259</v>
      </c>
      <c r="BQ6" t="s">
        <v>75</v>
      </c>
      <c r="BR6" t="s">
        <v>264</v>
      </c>
      <c r="BS6" t="s">
        <v>77</v>
      </c>
      <c r="BT6" t="s">
        <v>72</v>
      </c>
      <c r="BU6" t="s">
        <v>340</v>
      </c>
      <c r="BV6" t="s">
        <v>259</v>
      </c>
      <c r="BW6" t="s">
        <v>75</v>
      </c>
      <c r="BX6" t="s">
        <v>399</v>
      </c>
      <c r="BY6" t="s">
        <v>264</v>
      </c>
      <c r="BZ6" t="s">
        <v>77</v>
      </c>
      <c r="CA6" t="s">
        <v>401</v>
      </c>
      <c r="CB6" t="s">
        <v>72</v>
      </c>
      <c r="CC6" t="s">
        <v>340</v>
      </c>
      <c r="CD6" t="s">
        <v>259</v>
      </c>
      <c r="CE6" t="s">
        <v>75</v>
      </c>
      <c r="CF6" t="s">
        <v>399</v>
      </c>
      <c r="CG6" t="s">
        <v>264</v>
      </c>
      <c r="CH6" t="s">
        <v>77</v>
      </c>
      <c r="CI6" t="s">
        <v>401</v>
      </c>
      <c r="CJ6" t="s">
        <v>72</v>
      </c>
      <c r="CK6" t="s">
        <v>340</v>
      </c>
      <c r="CL6" t="s">
        <v>259</v>
      </c>
      <c r="CM6" t="s">
        <v>75</v>
      </c>
      <c r="CN6" t="s">
        <v>399</v>
      </c>
      <c r="CO6" t="s">
        <v>264</v>
      </c>
      <c r="CP6" t="s">
        <v>77</v>
      </c>
      <c r="CQ6" t="s">
        <v>401</v>
      </c>
      <c r="CR6" t="s">
        <v>72</v>
      </c>
      <c r="CS6" t="s">
        <v>340</v>
      </c>
      <c r="CT6" t="s">
        <v>259</v>
      </c>
      <c r="CU6" t="s">
        <v>75</v>
      </c>
      <c r="CV6" t="s">
        <v>399</v>
      </c>
      <c r="CW6" t="s">
        <v>264</v>
      </c>
      <c r="CX6" t="s">
        <v>77</v>
      </c>
      <c r="CY6" t="s">
        <v>401</v>
      </c>
      <c r="CZ6" t="s">
        <v>72</v>
      </c>
      <c r="DA6" t="s">
        <v>340</v>
      </c>
      <c r="DB6" t="s">
        <v>259</v>
      </c>
      <c r="DC6" t="s">
        <v>75</v>
      </c>
      <c r="DD6" t="s">
        <v>399</v>
      </c>
      <c r="DE6" t="s">
        <v>264</v>
      </c>
      <c r="DF6" t="s">
        <v>77</v>
      </c>
      <c r="DG6" t="s">
        <v>401</v>
      </c>
      <c r="DH6" t="s">
        <v>72</v>
      </c>
      <c r="DI6" t="s">
        <v>340</v>
      </c>
      <c r="DJ6" t="s">
        <v>259</v>
      </c>
      <c r="DK6" t="s">
        <v>75</v>
      </c>
      <c r="DL6" t="s">
        <v>399</v>
      </c>
      <c r="DM6" t="s">
        <v>264</v>
      </c>
      <c r="DN6" t="s">
        <v>77</v>
      </c>
      <c r="DO6" t="s">
        <v>401</v>
      </c>
      <c r="DP6" t="s">
        <v>72</v>
      </c>
      <c r="DQ6" t="s">
        <v>340</v>
      </c>
      <c r="DR6" t="s">
        <v>259</v>
      </c>
      <c r="DS6" t="s">
        <v>75</v>
      </c>
      <c r="DT6" t="s">
        <v>399</v>
      </c>
      <c r="DU6" t="s">
        <v>264</v>
      </c>
      <c r="DV6" t="s">
        <v>77</v>
      </c>
      <c r="DW6" t="s">
        <v>401</v>
      </c>
    </row>
    <row r="7" spans="1:127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251</v>
      </c>
      <c r="L7" t="s">
        <v>339</v>
      </c>
      <c r="M7" t="s">
        <v>341</v>
      </c>
      <c r="N7" t="s">
        <v>251</v>
      </c>
      <c r="O7" t="s">
        <v>339</v>
      </c>
      <c r="P7" t="s">
        <v>341</v>
      </c>
      <c r="Q7" t="s">
        <v>251</v>
      </c>
      <c r="R7" t="s">
        <v>339</v>
      </c>
      <c r="S7" t="s">
        <v>251</v>
      </c>
      <c r="T7" t="s">
        <v>339</v>
      </c>
      <c r="U7" t="s">
        <v>341</v>
      </c>
      <c r="V7" t="s">
        <v>251</v>
      </c>
      <c r="W7" t="s">
        <v>339</v>
      </c>
      <c r="X7" t="s">
        <v>341</v>
      </c>
      <c r="Y7" t="s">
        <v>251</v>
      </c>
      <c r="Z7" t="s">
        <v>339</v>
      </c>
      <c r="AA7" t="s">
        <v>251</v>
      </c>
      <c r="AB7" t="s">
        <v>339</v>
      </c>
      <c r="AC7" t="s">
        <v>341</v>
      </c>
      <c r="AD7" t="s">
        <v>251</v>
      </c>
      <c r="AE7" t="s">
        <v>339</v>
      </c>
      <c r="AF7" t="s">
        <v>341</v>
      </c>
      <c r="AG7" t="s">
        <v>251</v>
      </c>
      <c r="AH7" t="s">
        <v>339</v>
      </c>
      <c r="AI7" t="s">
        <v>251</v>
      </c>
      <c r="AJ7" t="s">
        <v>339</v>
      </c>
      <c r="AK7" t="s">
        <v>341</v>
      </c>
      <c r="AL7" t="s">
        <v>251</v>
      </c>
      <c r="AM7" t="s">
        <v>339</v>
      </c>
      <c r="AN7" t="s">
        <v>341</v>
      </c>
      <c r="AO7" t="s">
        <v>251</v>
      </c>
      <c r="AP7" t="s">
        <v>339</v>
      </c>
      <c r="AQ7" t="s">
        <v>251</v>
      </c>
      <c r="AR7" t="s">
        <v>339</v>
      </c>
      <c r="AS7" t="s">
        <v>341</v>
      </c>
      <c r="AT7" t="s">
        <v>251</v>
      </c>
      <c r="AU7" t="s">
        <v>339</v>
      </c>
      <c r="AV7" t="s">
        <v>341</v>
      </c>
      <c r="AW7" t="s">
        <v>251</v>
      </c>
      <c r="AX7" t="s">
        <v>339</v>
      </c>
      <c r="AY7" t="s">
        <v>251</v>
      </c>
      <c r="AZ7" t="s">
        <v>339</v>
      </c>
      <c r="BA7" t="s">
        <v>341</v>
      </c>
      <c r="BB7" t="s">
        <v>251</v>
      </c>
      <c r="BC7" t="s">
        <v>339</v>
      </c>
      <c r="BD7" t="s">
        <v>341</v>
      </c>
      <c r="BE7" t="s">
        <v>251</v>
      </c>
      <c r="BF7" t="s">
        <v>339</v>
      </c>
      <c r="BG7" t="s">
        <v>251</v>
      </c>
      <c r="BH7" t="s">
        <v>339</v>
      </c>
      <c r="BI7" t="s">
        <v>341</v>
      </c>
      <c r="BJ7" t="s">
        <v>251</v>
      </c>
      <c r="BK7" t="s">
        <v>339</v>
      </c>
      <c r="BL7" t="s">
        <v>341</v>
      </c>
      <c r="BM7" t="s">
        <v>251</v>
      </c>
      <c r="BN7" t="s">
        <v>339</v>
      </c>
      <c r="BO7" t="s">
        <v>251</v>
      </c>
      <c r="BP7" t="s">
        <v>341</v>
      </c>
      <c r="BQ7" t="s">
        <v>251</v>
      </c>
      <c r="BR7" t="s">
        <v>341</v>
      </c>
      <c r="BS7" t="s">
        <v>251</v>
      </c>
      <c r="BT7" t="s">
        <v>251</v>
      </c>
      <c r="BU7" t="s">
        <v>339</v>
      </c>
      <c r="BV7" t="s">
        <v>341</v>
      </c>
      <c r="BW7" t="s">
        <v>251</v>
      </c>
      <c r="BX7" t="s">
        <v>339</v>
      </c>
      <c r="BY7" t="s">
        <v>341</v>
      </c>
      <c r="BZ7" t="s">
        <v>251</v>
      </c>
      <c r="CA7" t="s">
        <v>339</v>
      </c>
      <c r="CB7" t="s">
        <v>251</v>
      </c>
      <c r="CC7" t="s">
        <v>339</v>
      </c>
      <c r="CD7" t="s">
        <v>341</v>
      </c>
      <c r="CE7" t="s">
        <v>251</v>
      </c>
      <c r="CF7" t="s">
        <v>339</v>
      </c>
      <c r="CG7" t="s">
        <v>341</v>
      </c>
      <c r="CH7" t="s">
        <v>251</v>
      </c>
      <c r="CI7" t="s">
        <v>339</v>
      </c>
      <c r="CJ7" t="s">
        <v>251</v>
      </c>
      <c r="CK7" t="s">
        <v>339</v>
      </c>
      <c r="CL7" t="s">
        <v>341</v>
      </c>
      <c r="CM7" t="s">
        <v>251</v>
      </c>
      <c r="CN7" t="s">
        <v>339</v>
      </c>
      <c r="CO7" t="s">
        <v>341</v>
      </c>
      <c r="CP7" t="s">
        <v>251</v>
      </c>
      <c r="CQ7" t="s">
        <v>339</v>
      </c>
      <c r="CR7" t="s">
        <v>251</v>
      </c>
      <c r="CS7" t="s">
        <v>339</v>
      </c>
      <c r="CT7" t="s">
        <v>341</v>
      </c>
      <c r="CU7" t="s">
        <v>251</v>
      </c>
      <c r="CV7" t="s">
        <v>339</v>
      </c>
      <c r="CW7" t="s">
        <v>341</v>
      </c>
      <c r="CX7" t="s">
        <v>251</v>
      </c>
      <c r="CY7" t="s">
        <v>339</v>
      </c>
      <c r="CZ7" t="s">
        <v>251</v>
      </c>
      <c r="DA7" t="s">
        <v>339</v>
      </c>
      <c r="DB7" t="s">
        <v>341</v>
      </c>
      <c r="DC7" t="s">
        <v>251</v>
      </c>
      <c r="DD7" t="s">
        <v>339</v>
      </c>
      <c r="DE7" t="s">
        <v>341</v>
      </c>
      <c r="DF7" t="s">
        <v>251</v>
      </c>
      <c r="DG7" t="s">
        <v>339</v>
      </c>
      <c r="DH7" t="s">
        <v>251</v>
      </c>
      <c r="DI7" t="s">
        <v>339</v>
      </c>
      <c r="DJ7" t="s">
        <v>341</v>
      </c>
      <c r="DK7" t="s">
        <v>251</v>
      </c>
      <c r="DL7" t="s">
        <v>339</v>
      </c>
      <c r="DM7" t="s">
        <v>341</v>
      </c>
      <c r="DN7" t="s">
        <v>251</v>
      </c>
      <c r="DO7" t="s">
        <v>339</v>
      </c>
      <c r="DP7" t="s">
        <v>251</v>
      </c>
      <c r="DQ7" t="s">
        <v>339</v>
      </c>
      <c r="DR7" t="s">
        <v>341</v>
      </c>
      <c r="DS7" t="s">
        <v>251</v>
      </c>
      <c r="DT7" t="s">
        <v>339</v>
      </c>
      <c r="DU7" t="s">
        <v>341</v>
      </c>
      <c r="DV7" t="s">
        <v>251</v>
      </c>
      <c r="DW7" t="s">
        <v>339</v>
      </c>
    </row>
    <row r="8" spans="1:12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253</v>
      </c>
      <c r="L8" t="s">
        <v>339</v>
      </c>
      <c r="M8" t="s">
        <v>342</v>
      </c>
      <c r="N8" t="s">
        <v>253</v>
      </c>
      <c r="O8" t="s">
        <v>339</v>
      </c>
      <c r="P8" t="s">
        <v>342</v>
      </c>
      <c r="Q8" t="s">
        <v>253</v>
      </c>
      <c r="R8" t="s">
        <v>339</v>
      </c>
      <c r="S8" t="s">
        <v>253</v>
      </c>
      <c r="T8" t="s">
        <v>339</v>
      </c>
      <c r="U8" t="s">
        <v>342</v>
      </c>
      <c r="V8" t="s">
        <v>253</v>
      </c>
      <c r="W8" t="s">
        <v>339</v>
      </c>
      <c r="X8" t="s">
        <v>342</v>
      </c>
      <c r="Y8" t="s">
        <v>253</v>
      </c>
      <c r="Z8" t="s">
        <v>339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253</v>
      </c>
      <c r="AJ8" t="s">
        <v>339</v>
      </c>
      <c r="AK8" t="s">
        <v>342</v>
      </c>
      <c r="AL8" t="s">
        <v>253</v>
      </c>
      <c r="AM8" t="s">
        <v>339</v>
      </c>
      <c r="AN8" t="s">
        <v>342</v>
      </c>
      <c r="AO8" t="s">
        <v>253</v>
      </c>
      <c r="AP8" t="s">
        <v>339</v>
      </c>
      <c r="AQ8" t="s">
        <v>253</v>
      </c>
      <c r="AR8" t="s">
        <v>339</v>
      </c>
      <c r="AS8" t="s">
        <v>342</v>
      </c>
      <c r="AT8" t="s">
        <v>253</v>
      </c>
      <c r="AU8" t="s">
        <v>339</v>
      </c>
      <c r="AV8" t="s">
        <v>342</v>
      </c>
      <c r="AW8" t="s">
        <v>253</v>
      </c>
      <c r="AX8" t="s">
        <v>339</v>
      </c>
      <c r="AY8" t="s">
        <v>253</v>
      </c>
      <c r="AZ8" t="s">
        <v>339</v>
      </c>
      <c r="BA8" t="s">
        <v>342</v>
      </c>
      <c r="BB8" t="s">
        <v>253</v>
      </c>
      <c r="BC8" t="s">
        <v>339</v>
      </c>
      <c r="BD8" t="s">
        <v>342</v>
      </c>
      <c r="BE8" t="s">
        <v>253</v>
      </c>
      <c r="BF8" t="s">
        <v>339</v>
      </c>
      <c r="BG8" t="s">
        <v>253</v>
      </c>
      <c r="BH8" t="s">
        <v>339</v>
      </c>
      <c r="BI8" t="s">
        <v>342</v>
      </c>
      <c r="BJ8" t="s">
        <v>253</v>
      </c>
      <c r="BK8" t="s">
        <v>339</v>
      </c>
      <c r="BL8" t="s">
        <v>342</v>
      </c>
      <c r="BM8" t="s">
        <v>253</v>
      </c>
      <c r="BN8" t="s">
        <v>339</v>
      </c>
      <c r="BO8" t="s">
        <v>253</v>
      </c>
      <c r="BP8" t="s">
        <v>342</v>
      </c>
      <c r="BQ8" t="s">
        <v>253</v>
      </c>
      <c r="BR8" t="s">
        <v>342</v>
      </c>
      <c r="BS8" t="s">
        <v>253</v>
      </c>
      <c r="BT8" t="s">
        <v>253</v>
      </c>
      <c r="BU8" t="s">
        <v>339</v>
      </c>
      <c r="BV8" t="s">
        <v>342</v>
      </c>
      <c r="BW8" t="s">
        <v>253</v>
      </c>
      <c r="BX8" t="s">
        <v>339</v>
      </c>
      <c r="BY8" t="s">
        <v>342</v>
      </c>
      <c r="BZ8" t="s">
        <v>253</v>
      </c>
      <c r="CA8" t="s">
        <v>339</v>
      </c>
      <c r="CB8" t="s">
        <v>253</v>
      </c>
      <c r="CC8" t="s">
        <v>339</v>
      </c>
      <c r="CD8" t="s">
        <v>342</v>
      </c>
      <c r="CE8" t="s">
        <v>253</v>
      </c>
      <c r="CF8" t="s">
        <v>339</v>
      </c>
      <c r="CG8" t="s">
        <v>342</v>
      </c>
      <c r="CH8" t="s">
        <v>253</v>
      </c>
      <c r="CI8" t="s">
        <v>339</v>
      </c>
      <c r="CJ8" t="s">
        <v>253</v>
      </c>
      <c r="CK8" t="s">
        <v>339</v>
      </c>
      <c r="CL8" t="s">
        <v>342</v>
      </c>
      <c r="CM8" t="s">
        <v>253</v>
      </c>
      <c r="CN8" t="s">
        <v>339</v>
      </c>
      <c r="CO8" t="s">
        <v>342</v>
      </c>
      <c r="CP8" t="s">
        <v>253</v>
      </c>
      <c r="CQ8" t="s">
        <v>339</v>
      </c>
      <c r="CR8" t="s">
        <v>253</v>
      </c>
      <c r="CS8" t="s">
        <v>339</v>
      </c>
      <c r="CT8" t="s">
        <v>342</v>
      </c>
      <c r="CU8" t="s">
        <v>253</v>
      </c>
      <c r="CV8" t="s">
        <v>339</v>
      </c>
      <c r="CW8" t="s">
        <v>342</v>
      </c>
      <c r="CX8" t="s">
        <v>253</v>
      </c>
      <c r="CY8" t="s">
        <v>339</v>
      </c>
      <c r="CZ8" t="s">
        <v>253</v>
      </c>
      <c r="DA8" t="s">
        <v>339</v>
      </c>
      <c r="DB8" t="s">
        <v>342</v>
      </c>
      <c r="DC8" t="s">
        <v>253</v>
      </c>
      <c r="DD8" t="s">
        <v>339</v>
      </c>
      <c r="DE8" t="s">
        <v>342</v>
      </c>
      <c r="DF8" t="s">
        <v>253</v>
      </c>
      <c r="DG8" t="s">
        <v>339</v>
      </c>
      <c r="DH8" t="s">
        <v>253</v>
      </c>
      <c r="DI8" t="s">
        <v>339</v>
      </c>
      <c r="DJ8" t="s">
        <v>342</v>
      </c>
      <c r="DK8" t="s">
        <v>253</v>
      </c>
      <c r="DL8" t="s">
        <v>339</v>
      </c>
      <c r="DM8" t="s">
        <v>342</v>
      </c>
      <c r="DN8" t="s">
        <v>253</v>
      </c>
      <c r="DO8" t="s">
        <v>339</v>
      </c>
      <c r="DP8" t="s">
        <v>253</v>
      </c>
      <c r="DQ8" t="s">
        <v>339</v>
      </c>
      <c r="DR8" t="s">
        <v>342</v>
      </c>
      <c r="DS8" t="s">
        <v>253</v>
      </c>
      <c r="DT8" t="s">
        <v>339</v>
      </c>
      <c r="DU8" t="s">
        <v>342</v>
      </c>
      <c r="DV8" t="s">
        <v>253</v>
      </c>
      <c r="DW8" t="s">
        <v>339</v>
      </c>
    </row>
    <row r="9" spans="1:127" x14ac:dyDescent="0.4">
      <c r="A9" s="1" t="s">
        <v>6</v>
      </c>
      <c r="B9" s="3" t="s">
        <v>7</v>
      </c>
      <c r="C9">
        <v>262228</v>
      </c>
      <c r="D9">
        <v>25138429</v>
      </c>
      <c r="E9">
        <v>37189551</v>
      </c>
      <c r="F9">
        <v>279110</v>
      </c>
      <c r="G9">
        <v>26002133</v>
      </c>
      <c r="H9">
        <v>39184326</v>
      </c>
      <c r="I9">
        <v>56082</v>
      </c>
      <c r="J9">
        <v>2373953</v>
      </c>
      <c r="K9">
        <v>106940</v>
      </c>
      <c r="L9">
        <v>20777169</v>
      </c>
      <c r="M9">
        <v>44073480</v>
      </c>
      <c r="N9">
        <v>106872</v>
      </c>
      <c r="O9">
        <v>20927250</v>
      </c>
      <c r="P9">
        <v>44382929</v>
      </c>
      <c r="Q9">
        <v>3989</v>
      </c>
      <c r="R9">
        <v>635786</v>
      </c>
      <c r="S9">
        <v>436</v>
      </c>
      <c r="T9">
        <v>4545659</v>
      </c>
      <c r="U9">
        <v>21237716</v>
      </c>
      <c r="V9">
        <v>452</v>
      </c>
      <c r="W9">
        <v>4643334</v>
      </c>
      <c r="X9">
        <v>22108284</v>
      </c>
      <c r="Y9">
        <v>12</v>
      </c>
      <c r="Z9">
        <v>125700</v>
      </c>
      <c r="AA9">
        <v>429094</v>
      </c>
      <c r="AB9">
        <v>7477159</v>
      </c>
      <c r="AC9">
        <v>14843396</v>
      </c>
      <c r="AD9">
        <v>432686</v>
      </c>
      <c r="AE9">
        <v>9559395</v>
      </c>
      <c r="AF9">
        <v>18864846</v>
      </c>
      <c r="AG9">
        <v>3339</v>
      </c>
      <c r="AH9">
        <v>95973</v>
      </c>
      <c r="AI9">
        <v>790644</v>
      </c>
      <c r="AJ9">
        <v>4635730</v>
      </c>
      <c r="AK9">
        <v>45475028</v>
      </c>
      <c r="AL9">
        <v>800051</v>
      </c>
      <c r="AM9">
        <v>4674619</v>
      </c>
      <c r="AN9">
        <v>45114613</v>
      </c>
      <c r="AO9">
        <v>39229</v>
      </c>
      <c r="AP9">
        <v>148569</v>
      </c>
      <c r="AQ9">
        <v>406625</v>
      </c>
      <c r="AR9">
        <v>12364094</v>
      </c>
      <c r="AS9">
        <v>21558032</v>
      </c>
      <c r="AT9">
        <v>871532</v>
      </c>
      <c r="AU9">
        <v>22684826</v>
      </c>
      <c r="AV9">
        <v>35701416</v>
      </c>
      <c r="AW9">
        <v>121109</v>
      </c>
      <c r="AX9">
        <v>2874282</v>
      </c>
      <c r="AY9">
        <v>35244</v>
      </c>
      <c r="AZ9">
        <v>2835361</v>
      </c>
      <c r="BA9">
        <v>7475703</v>
      </c>
      <c r="BB9">
        <v>35003</v>
      </c>
      <c r="BC9">
        <v>2692012</v>
      </c>
      <c r="BD9">
        <v>6798893</v>
      </c>
      <c r="BE9">
        <v>5378</v>
      </c>
      <c r="BF9">
        <v>579521</v>
      </c>
      <c r="BG9">
        <v>395626</v>
      </c>
      <c r="BH9">
        <v>10034224</v>
      </c>
      <c r="BI9">
        <v>23734097</v>
      </c>
      <c r="BJ9">
        <v>393504</v>
      </c>
      <c r="BK9">
        <v>10115734</v>
      </c>
      <c r="BL9">
        <v>27192033</v>
      </c>
      <c r="BM9">
        <v>24032</v>
      </c>
      <c r="BN9">
        <v>731129</v>
      </c>
      <c r="BO9">
        <v>94675</v>
      </c>
      <c r="BP9">
        <v>65030103</v>
      </c>
      <c r="BQ9">
        <v>93678</v>
      </c>
      <c r="BR9">
        <v>68390724</v>
      </c>
      <c r="BS9">
        <v>3074</v>
      </c>
      <c r="BT9">
        <v>203190</v>
      </c>
      <c r="BU9">
        <v>5186457</v>
      </c>
      <c r="BV9">
        <v>8226170</v>
      </c>
      <c r="BW9">
        <v>201362</v>
      </c>
      <c r="BX9">
        <v>5225020</v>
      </c>
      <c r="BY9">
        <v>8370602</v>
      </c>
      <c r="BZ9">
        <v>14711</v>
      </c>
      <c r="CA9">
        <v>441844</v>
      </c>
      <c r="CB9">
        <v>9632</v>
      </c>
      <c r="CC9">
        <v>5585171</v>
      </c>
      <c r="CD9">
        <v>12130492</v>
      </c>
      <c r="CE9">
        <v>9785</v>
      </c>
      <c r="CF9">
        <v>5642421</v>
      </c>
      <c r="CG9">
        <v>12271656</v>
      </c>
      <c r="CH9">
        <v>145</v>
      </c>
      <c r="CI9">
        <v>408738</v>
      </c>
      <c r="CJ9">
        <v>19423</v>
      </c>
      <c r="CK9">
        <v>16860756</v>
      </c>
      <c r="CL9">
        <v>21086504</v>
      </c>
      <c r="CM9">
        <v>19121</v>
      </c>
      <c r="CN9">
        <v>16578855</v>
      </c>
      <c r="CO9">
        <v>20750482</v>
      </c>
      <c r="CP9">
        <v>1479</v>
      </c>
      <c r="CQ9">
        <v>1301292</v>
      </c>
      <c r="CR9">
        <v>18596</v>
      </c>
      <c r="CS9">
        <v>13955520</v>
      </c>
      <c r="CT9">
        <v>35076582</v>
      </c>
      <c r="CU9">
        <v>18500</v>
      </c>
      <c r="CV9">
        <v>13875493</v>
      </c>
      <c r="CW9">
        <v>35329173</v>
      </c>
      <c r="CX9">
        <v>1201</v>
      </c>
      <c r="CY9">
        <v>810493</v>
      </c>
      <c r="CZ9">
        <v>766</v>
      </c>
      <c r="DA9">
        <v>10483640</v>
      </c>
      <c r="DB9">
        <v>35908920</v>
      </c>
      <c r="DC9">
        <v>766</v>
      </c>
      <c r="DD9">
        <v>10483640</v>
      </c>
      <c r="DE9">
        <v>35908920</v>
      </c>
      <c r="DF9">
        <v>0</v>
      </c>
      <c r="DG9">
        <v>0</v>
      </c>
      <c r="DH9">
        <v>102948</v>
      </c>
      <c r="DI9">
        <v>5454364</v>
      </c>
      <c r="DJ9">
        <v>13321382</v>
      </c>
      <c r="DK9">
        <v>103051</v>
      </c>
      <c r="DL9">
        <v>5405426</v>
      </c>
      <c r="DM9">
        <v>13155555</v>
      </c>
      <c r="DN9">
        <v>1333</v>
      </c>
      <c r="DO9">
        <v>343453</v>
      </c>
      <c r="DP9">
        <v>112792</v>
      </c>
      <c r="DQ9">
        <v>12978061</v>
      </c>
      <c r="DR9">
        <v>19029618</v>
      </c>
      <c r="DS9">
        <v>110834</v>
      </c>
      <c r="DT9">
        <v>12912561</v>
      </c>
      <c r="DU9">
        <v>21173657</v>
      </c>
      <c r="DV9">
        <v>13242</v>
      </c>
      <c r="DW9">
        <v>760800</v>
      </c>
    </row>
    <row r="10" spans="1:127" x14ac:dyDescent="0.4">
      <c r="A10" s="1" t="s">
        <v>8</v>
      </c>
      <c r="B10" s="3" t="s">
        <v>9</v>
      </c>
      <c r="C10">
        <v>278806</v>
      </c>
      <c r="D10">
        <v>25613997</v>
      </c>
      <c r="E10">
        <v>41537346</v>
      </c>
      <c r="F10">
        <v>280660</v>
      </c>
      <c r="G10">
        <v>25594816</v>
      </c>
      <c r="H10">
        <v>42626944</v>
      </c>
      <c r="I10">
        <v>57903</v>
      </c>
      <c r="J10">
        <v>2485807</v>
      </c>
      <c r="K10">
        <v>96616</v>
      </c>
      <c r="L10">
        <v>18258247</v>
      </c>
      <c r="M10">
        <v>37530274</v>
      </c>
      <c r="N10">
        <v>95980</v>
      </c>
      <c r="O10">
        <v>18471674</v>
      </c>
      <c r="P10">
        <v>38169684</v>
      </c>
      <c r="Q10">
        <v>5183</v>
      </c>
      <c r="R10">
        <v>725986</v>
      </c>
      <c r="S10">
        <v>455</v>
      </c>
      <c r="T10">
        <v>5313884</v>
      </c>
      <c r="U10">
        <v>24962854</v>
      </c>
      <c r="V10">
        <v>453</v>
      </c>
      <c r="W10">
        <v>5374574</v>
      </c>
      <c r="X10">
        <v>25555392</v>
      </c>
      <c r="Y10">
        <v>6</v>
      </c>
      <c r="Z10">
        <v>64600</v>
      </c>
      <c r="AA10">
        <v>474015</v>
      </c>
      <c r="AB10">
        <v>8062760</v>
      </c>
      <c r="AC10">
        <v>16179600</v>
      </c>
      <c r="AD10">
        <v>473564</v>
      </c>
      <c r="AE10">
        <v>10178667</v>
      </c>
      <c r="AF10">
        <v>20238559</v>
      </c>
      <c r="AG10">
        <v>5956</v>
      </c>
      <c r="AH10">
        <v>235047</v>
      </c>
      <c r="AI10">
        <v>792862</v>
      </c>
      <c r="AJ10">
        <v>4925361</v>
      </c>
      <c r="AK10">
        <v>52545124</v>
      </c>
      <c r="AL10">
        <v>825372</v>
      </c>
      <c r="AM10">
        <v>5038582</v>
      </c>
      <c r="AN10">
        <v>51681275</v>
      </c>
      <c r="AO10">
        <v>28012</v>
      </c>
      <c r="AP10">
        <v>123086</v>
      </c>
      <c r="AQ10">
        <v>419518</v>
      </c>
      <c r="AR10">
        <v>12705558</v>
      </c>
      <c r="AS10">
        <v>23169615</v>
      </c>
      <c r="AT10">
        <v>917735</v>
      </c>
      <c r="AU10">
        <v>23788660</v>
      </c>
      <c r="AV10">
        <v>40845324</v>
      </c>
      <c r="AW10">
        <v>158651</v>
      </c>
      <c r="AX10">
        <v>3661123</v>
      </c>
      <c r="AY10">
        <v>33348</v>
      </c>
      <c r="AZ10">
        <v>2298576</v>
      </c>
      <c r="BA10">
        <v>6573720</v>
      </c>
      <c r="BB10">
        <v>33530</v>
      </c>
      <c r="BC10">
        <v>2494506</v>
      </c>
      <c r="BD10">
        <v>6640124</v>
      </c>
      <c r="BE10">
        <v>5169</v>
      </c>
      <c r="BF10">
        <v>382202</v>
      </c>
      <c r="BG10">
        <v>402025</v>
      </c>
      <c r="BH10">
        <v>9057480</v>
      </c>
      <c r="BI10">
        <v>23109414</v>
      </c>
      <c r="BJ10">
        <v>399838</v>
      </c>
      <c r="BK10">
        <v>8972650</v>
      </c>
      <c r="BL10">
        <v>26607430</v>
      </c>
      <c r="BM10">
        <v>27056</v>
      </c>
      <c r="BN10">
        <v>834451</v>
      </c>
      <c r="BO10">
        <v>86468</v>
      </c>
      <c r="BP10">
        <v>72726202</v>
      </c>
      <c r="BQ10">
        <v>89486</v>
      </c>
      <c r="BR10">
        <v>77005832</v>
      </c>
      <c r="BS10">
        <v>2053</v>
      </c>
      <c r="BT10">
        <v>203389</v>
      </c>
      <c r="BU10">
        <v>5462156</v>
      </c>
      <c r="BV10">
        <v>8881446</v>
      </c>
      <c r="BW10">
        <v>211428</v>
      </c>
      <c r="BX10">
        <v>5421585</v>
      </c>
      <c r="BY10">
        <v>9323866</v>
      </c>
      <c r="BZ10">
        <v>6672</v>
      </c>
      <c r="CA10">
        <v>467471</v>
      </c>
      <c r="CB10">
        <v>10253</v>
      </c>
      <c r="CC10">
        <v>6351061</v>
      </c>
      <c r="CD10">
        <v>9812610</v>
      </c>
      <c r="CE10">
        <v>9893</v>
      </c>
      <c r="CF10">
        <v>6200686</v>
      </c>
      <c r="CG10">
        <v>9636029</v>
      </c>
      <c r="CH10">
        <v>505</v>
      </c>
      <c r="CI10">
        <v>559113</v>
      </c>
      <c r="CJ10">
        <v>21062</v>
      </c>
      <c r="CK10">
        <v>17643890</v>
      </c>
      <c r="CL10">
        <v>22596115</v>
      </c>
      <c r="CM10">
        <v>20845</v>
      </c>
      <c r="CN10">
        <v>17611952</v>
      </c>
      <c r="CO10">
        <v>22486087</v>
      </c>
      <c r="CP10">
        <v>1678</v>
      </c>
      <c r="CQ10">
        <v>1325776</v>
      </c>
      <c r="CR10">
        <v>19564</v>
      </c>
      <c r="CS10">
        <v>15250045</v>
      </c>
      <c r="CT10">
        <v>37578727</v>
      </c>
      <c r="CU10">
        <v>19608</v>
      </c>
      <c r="CV10">
        <v>15411788</v>
      </c>
      <c r="CW10">
        <v>38528384</v>
      </c>
      <c r="CX10">
        <v>1157</v>
      </c>
      <c r="CY10">
        <v>648750</v>
      </c>
      <c r="CZ10">
        <v>954</v>
      </c>
      <c r="DA10">
        <v>10372521</v>
      </c>
      <c r="DB10">
        <v>32330930</v>
      </c>
      <c r="DC10">
        <v>954</v>
      </c>
      <c r="DD10">
        <v>10372521</v>
      </c>
      <c r="DE10">
        <v>32330930</v>
      </c>
      <c r="DF10">
        <v>0</v>
      </c>
      <c r="DG10">
        <v>0</v>
      </c>
      <c r="DH10">
        <v>97168</v>
      </c>
      <c r="DI10">
        <v>5453396</v>
      </c>
      <c r="DJ10">
        <v>13384401</v>
      </c>
      <c r="DK10">
        <v>97057</v>
      </c>
      <c r="DL10">
        <v>5343125</v>
      </c>
      <c r="DM10">
        <v>13066574</v>
      </c>
      <c r="DN10">
        <v>1444</v>
      </c>
      <c r="DO10">
        <v>427004</v>
      </c>
      <c r="DP10">
        <v>104765</v>
      </c>
      <c r="DQ10">
        <v>12379067</v>
      </c>
      <c r="DR10">
        <v>18845708</v>
      </c>
      <c r="DS10">
        <v>108112</v>
      </c>
      <c r="DT10">
        <v>12482607</v>
      </c>
      <c r="DU10">
        <v>21379545</v>
      </c>
      <c r="DV10">
        <v>11838</v>
      </c>
      <c r="DW10">
        <v>751324</v>
      </c>
    </row>
    <row r="11" spans="1:127" x14ac:dyDescent="0.4">
      <c r="A11" s="1" t="s">
        <v>10</v>
      </c>
      <c r="B11" s="3" t="s">
        <v>11</v>
      </c>
      <c r="C11">
        <v>261299</v>
      </c>
      <c r="D11">
        <v>26580396</v>
      </c>
      <c r="E11">
        <v>45152286</v>
      </c>
      <c r="F11">
        <v>264557</v>
      </c>
      <c r="G11">
        <v>26589789</v>
      </c>
      <c r="H11">
        <v>47892424</v>
      </c>
      <c r="I11">
        <v>57197</v>
      </c>
      <c r="J11">
        <v>2624877</v>
      </c>
      <c r="K11">
        <v>106485</v>
      </c>
      <c r="L11">
        <v>20767999</v>
      </c>
      <c r="M11">
        <v>51284613</v>
      </c>
      <c r="N11">
        <v>107245</v>
      </c>
      <c r="O11">
        <v>21001184</v>
      </c>
      <c r="P11">
        <v>53881562</v>
      </c>
      <c r="Q11">
        <v>5270</v>
      </c>
      <c r="R11">
        <v>832802</v>
      </c>
      <c r="S11">
        <v>552</v>
      </c>
      <c r="T11">
        <v>7156431</v>
      </c>
      <c r="U11">
        <v>36212817</v>
      </c>
      <c r="V11">
        <v>548</v>
      </c>
      <c r="W11">
        <v>7078788</v>
      </c>
      <c r="X11">
        <v>35913259</v>
      </c>
      <c r="Y11">
        <v>18</v>
      </c>
      <c r="Z11">
        <v>144050</v>
      </c>
      <c r="AA11">
        <v>456533</v>
      </c>
      <c r="AB11">
        <v>7898169</v>
      </c>
      <c r="AC11">
        <v>16924014</v>
      </c>
      <c r="AD11">
        <v>455257</v>
      </c>
      <c r="AE11">
        <v>10543066</v>
      </c>
      <c r="AF11">
        <v>22120871</v>
      </c>
      <c r="AG11">
        <v>9403</v>
      </c>
      <c r="AH11">
        <v>205628</v>
      </c>
      <c r="AI11">
        <v>826993</v>
      </c>
      <c r="AJ11">
        <v>4921613</v>
      </c>
      <c r="AK11">
        <v>58263322</v>
      </c>
      <c r="AL11">
        <v>834059</v>
      </c>
      <c r="AM11">
        <v>4969206</v>
      </c>
      <c r="AN11">
        <v>54641719</v>
      </c>
      <c r="AO11">
        <v>35336</v>
      </c>
      <c r="AP11">
        <v>136657</v>
      </c>
      <c r="AQ11">
        <v>366103</v>
      </c>
      <c r="AR11">
        <v>11425795</v>
      </c>
      <c r="AS11">
        <v>22153343</v>
      </c>
      <c r="AT11">
        <v>729896</v>
      </c>
      <c r="AU11">
        <v>19259010</v>
      </c>
      <c r="AV11">
        <v>38356365</v>
      </c>
      <c r="AW11">
        <v>127031</v>
      </c>
      <c r="AX11">
        <v>3140736</v>
      </c>
      <c r="AY11">
        <v>30986</v>
      </c>
      <c r="AZ11">
        <v>2368159</v>
      </c>
      <c r="BA11">
        <v>6774294</v>
      </c>
      <c r="BB11">
        <v>32068</v>
      </c>
      <c r="BC11">
        <v>2467417</v>
      </c>
      <c r="BD11">
        <v>6872126</v>
      </c>
      <c r="BE11">
        <v>4060</v>
      </c>
      <c r="BF11">
        <v>286555</v>
      </c>
      <c r="BG11">
        <v>355166</v>
      </c>
      <c r="BH11">
        <v>8644119</v>
      </c>
      <c r="BI11">
        <v>23132803</v>
      </c>
      <c r="BJ11">
        <v>364458</v>
      </c>
      <c r="BK11">
        <v>8548916</v>
      </c>
      <c r="BL11">
        <v>26488096</v>
      </c>
      <c r="BM11">
        <v>18718</v>
      </c>
      <c r="BN11">
        <v>950738</v>
      </c>
      <c r="BO11">
        <v>80101</v>
      </c>
      <c r="BP11">
        <v>73716164</v>
      </c>
      <c r="BQ11">
        <v>85531</v>
      </c>
      <c r="BR11">
        <v>81556768</v>
      </c>
      <c r="BS11">
        <v>1349</v>
      </c>
      <c r="BT11">
        <v>199418</v>
      </c>
      <c r="BU11">
        <v>5175098</v>
      </c>
      <c r="BV11">
        <v>8436053</v>
      </c>
      <c r="BW11">
        <v>192019</v>
      </c>
      <c r="BX11">
        <v>5204704</v>
      </c>
      <c r="BY11">
        <v>9058288</v>
      </c>
      <c r="BZ11">
        <v>8128</v>
      </c>
      <c r="CA11">
        <v>397258</v>
      </c>
      <c r="CB11">
        <v>9448</v>
      </c>
      <c r="CC11">
        <v>6261844</v>
      </c>
      <c r="CD11">
        <v>15917973</v>
      </c>
      <c r="CE11">
        <v>9582</v>
      </c>
      <c r="CF11">
        <v>6215594</v>
      </c>
      <c r="CG11">
        <v>15635259</v>
      </c>
      <c r="CH11">
        <v>371</v>
      </c>
      <c r="CI11">
        <v>605363</v>
      </c>
      <c r="CJ11">
        <v>20606</v>
      </c>
      <c r="CK11">
        <v>16976955</v>
      </c>
      <c r="CL11">
        <v>24151697</v>
      </c>
      <c r="CM11">
        <v>20671</v>
      </c>
      <c r="CN11">
        <v>17004408</v>
      </c>
      <c r="CO11">
        <v>24270441</v>
      </c>
      <c r="CP11">
        <v>1631</v>
      </c>
      <c r="CQ11">
        <v>1304315</v>
      </c>
      <c r="CR11">
        <v>19581</v>
      </c>
      <c r="CS11">
        <v>15763513</v>
      </c>
      <c r="CT11">
        <v>42607398</v>
      </c>
      <c r="CU11">
        <v>19453</v>
      </c>
      <c r="CV11">
        <v>15566521</v>
      </c>
      <c r="CW11">
        <v>42935684</v>
      </c>
      <c r="CX11">
        <v>1285</v>
      </c>
      <c r="CY11">
        <v>845742</v>
      </c>
      <c r="CZ11">
        <v>830</v>
      </c>
      <c r="DA11">
        <v>8435432</v>
      </c>
      <c r="DB11">
        <v>29571039</v>
      </c>
      <c r="DC11">
        <v>830</v>
      </c>
      <c r="DD11">
        <v>8435432</v>
      </c>
      <c r="DE11">
        <v>29571039</v>
      </c>
      <c r="DF11">
        <v>0</v>
      </c>
      <c r="DG11">
        <v>0</v>
      </c>
      <c r="DH11">
        <v>91836</v>
      </c>
      <c r="DI11">
        <v>4955481</v>
      </c>
      <c r="DJ11">
        <v>14451624</v>
      </c>
      <c r="DK11">
        <v>92086</v>
      </c>
      <c r="DL11">
        <v>5000109</v>
      </c>
      <c r="DM11">
        <v>14596295</v>
      </c>
      <c r="DN11">
        <v>1194</v>
      </c>
      <c r="DO11">
        <v>384528</v>
      </c>
      <c r="DP11">
        <v>105693</v>
      </c>
      <c r="DQ11">
        <v>13289469</v>
      </c>
      <c r="DR11">
        <v>21595701</v>
      </c>
      <c r="DS11">
        <v>106996</v>
      </c>
      <c r="DT11">
        <v>13426275</v>
      </c>
      <c r="DU11">
        <v>24950755</v>
      </c>
      <c r="DV11">
        <v>10956</v>
      </c>
      <c r="DW11">
        <v>718053</v>
      </c>
    </row>
    <row r="12" spans="1:127" x14ac:dyDescent="0.4">
      <c r="A12" s="1" t="s">
        <v>12</v>
      </c>
      <c r="B12" s="3" t="s">
        <v>13</v>
      </c>
      <c r="C12">
        <v>263688</v>
      </c>
      <c r="D12">
        <v>28731545</v>
      </c>
      <c r="E12">
        <v>58641715</v>
      </c>
      <c r="F12">
        <v>263279</v>
      </c>
      <c r="G12">
        <v>28527866</v>
      </c>
      <c r="H12">
        <v>61858221</v>
      </c>
      <c r="I12">
        <v>59144</v>
      </c>
      <c r="J12">
        <v>2718072</v>
      </c>
      <c r="K12">
        <v>98960</v>
      </c>
      <c r="L12">
        <v>19894962</v>
      </c>
      <c r="M12">
        <v>54138025</v>
      </c>
      <c r="N12">
        <v>101407</v>
      </c>
      <c r="O12">
        <v>20653168</v>
      </c>
      <c r="P12">
        <v>57316043</v>
      </c>
      <c r="Q12">
        <v>5318</v>
      </c>
      <c r="R12">
        <v>697570</v>
      </c>
      <c r="S12">
        <v>525</v>
      </c>
      <c r="T12">
        <v>5229494</v>
      </c>
      <c r="U12">
        <v>27408290</v>
      </c>
      <c r="V12">
        <v>525</v>
      </c>
      <c r="W12">
        <v>5178814</v>
      </c>
      <c r="X12">
        <v>27403349</v>
      </c>
      <c r="Y12">
        <v>17</v>
      </c>
      <c r="Z12">
        <v>194510</v>
      </c>
      <c r="AA12">
        <v>441948</v>
      </c>
      <c r="AB12">
        <v>7411318</v>
      </c>
      <c r="AC12">
        <v>17324032</v>
      </c>
      <c r="AD12">
        <v>447389</v>
      </c>
      <c r="AE12">
        <v>9930797</v>
      </c>
      <c r="AF12">
        <v>22488796</v>
      </c>
      <c r="AG12">
        <v>5821</v>
      </c>
      <c r="AH12">
        <v>140680</v>
      </c>
      <c r="AI12">
        <v>875092</v>
      </c>
      <c r="AJ12">
        <v>4986248</v>
      </c>
      <c r="AK12">
        <v>63669117</v>
      </c>
      <c r="AL12">
        <v>882601</v>
      </c>
      <c r="AM12">
        <v>5013467</v>
      </c>
      <c r="AN12">
        <v>57097967</v>
      </c>
      <c r="AO12">
        <v>35731</v>
      </c>
      <c r="AP12">
        <v>171268</v>
      </c>
      <c r="AQ12">
        <v>361976</v>
      </c>
      <c r="AR12">
        <v>11286456</v>
      </c>
      <c r="AS12">
        <v>22723935</v>
      </c>
      <c r="AT12">
        <v>818890</v>
      </c>
      <c r="AU12">
        <v>21479802</v>
      </c>
      <c r="AV12">
        <v>42855720</v>
      </c>
      <c r="AW12">
        <v>113707</v>
      </c>
      <c r="AX12">
        <v>2785015</v>
      </c>
      <c r="AY12">
        <v>29869</v>
      </c>
      <c r="AZ12">
        <v>2279298</v>
      </c>
      <c r="BA12">
        <v>6856938</v>
      </c>
      <c r="BB12">
        <v>29118</v>
      </c>
      <c r="BC12">
        <v>2214090</v>
      </c>
      <c r="BD12">
        <v>6962776</v>
      </c>
      <c r="BE12">
        <v>4428</v>
      </c>
      <c r="BF12">
        <v>297573</v>
      </c>
      <c r="BG12">
        <v>309898</v>
      </c>
      <c r="BH12">
        <v>8690932</v>
      </c>
      <c r="BI12">
        <v>20285474</v>
      </c>
      <c r="BJ12">
        <v>299819</v>
      </c>
      <c r="BK12">
        <v>8515628</v>
      </c>
      <c r="BL12">
        <v>24471693</v>
      </c>
      <c r="BM12">
        <v>29304</v>
      </c>
      <c r="BN12">
        <v>1145167</v>
      </c>
      <c r="BO12">
        <v>80297</v>
      </c>
      <c r="BP12">
        <v>68919430</v>
      </c>
      <c r="BQ12">
        <v>82516</v>
      </c>
      <c r="BR12">
        <v>75076740</v>
      </c>
      <c r="BS12">
        <v>1593</v>
      </c>
      <c r="BT12">
        <v>206647</v>
      </c>
      <c r="BU12">
        <v>5040552</v>
      </c>
      <c r="BV12">
        <v>8423598</v>
      </c>
      <c r="BW12">
        <v>182478</v>
      </c>
      <c r="BX12">
        <v>5052560</v>
      </c>
      <c r="BY12">
        <v>8866695</v>
      </c>
      <c r="BZ12">
        <v>8525</v>
      </c>
      <c r="CA12">
        <v>360856</v>
      </c>
      <c r="CB12">
        <v>9021</v>
      </c>
      <c r="CC12">
        <v>5689686</v>
      </c>
      <c r="CD12">
        <v>16251251</v>
      </c>
      <c r="CE12">
        <v>8986</v>
      </c>
      <c r="CF12">
        <v>5637186</v>
      </c>
      <c r="CG12">
        <v>16089126</v>
      </c>
      <c r="CH12">
        <v>406</v>
      </c>
      <c r="CI12">
        <v>657863</v>
      </c>
      <c r="CJ12">
        <v>17358</v>
      </c>
      <c r="CK12">
        <v>15040599</v>
      </c>
      <c r="CL12">
        <v>25889498</v>
      </c>
      <c r="CM12">
        <v>17766</v>
      </c>
      <c r="CN12">
        <v>15228001</v>
      </c>
      <c r="CO12">
        <v>25322364</v>
      </c>
      <c r="CP12">
        <v>1223</v>
      </c>
      <c r="CQ12">
        <v>1115782</v>
      </c>
      <c r="CR12">
        <v>17330</v>
      </c>
      <c r="CS12">
        <v>14417358</v>
      </c>
      <c r="CT12">
        <v>47205695</v>
      </c>
      <c r="CU12">
        <v>17274</v>
      </c>
      <c r="CV12">
        <v>14327374</v>
      </c>
      <c r="CW12">
        <v>47664398</v>
      </c>
      <c r="CX12">
        <v>1341</v>
      </c>
      <c r="CY12">
        <v>935726</v>
      </c>
      <c r="CZ12">
        <v>691</v>
      </c>
      <c r="DA12">
        <v>10265293</v>
      </c>
      <c r="DB12">
        <v>53358577</v>
      </c>
      <c r="DC12">
        <v>691</v>
      </c>
      <c r="DD12">
        <v>10265293</v>
      </c>
      <c r="DE12">
        <v>53358577</v>
      </c>
      <c r="DF12">
        <v>0</v>
      </c>
      <c r="DG12">
        <v>0</v>
      </c>
      <c r="DH12">
        <v>83883</v>
      </c>
      <c r="DI12">
        <v>5204717</v>
      </c>
      <c r="DJ12">
        <v>15869455</v>
      </c>
      <c r="DK12">
        <v>83835</v>
      </c>
      <c r="DL12">
        <v>5029506</v>
      </c>
      <c r="DM12">
        <v>15331469</v>
      </c>
      <c r="DN12">
        <v>1242</v>
      </c>
      <c r="DO12">
        <v>560920</v>
      </c>
      <c r="DP12">
        <v>98239</v>
      </c>
      <c r="DQ12">
        <v>11587855</v>
      </c>
      <c r="DR12">
        <v>20243341</v>
      </c>
      <c r="DS12">
        <v>99340</v>
      </c>
      <c r="DT12">
        <v>11752825</v>
      </c>
      <c r="DU12">
        <v>24463964</v>
      </c>
      <c r="DV12">
        <v>10335</v>
      </c>
      <c r="DW12">
        <v>645857</v>
      </c>
    </row>
    <row r="13" spans="1:127" x14ac:dyDescent="0.4">
      <c r="A13" s="1" t="s">
        <v>14</v>
      </c>
      <c r="B13" s="3" t="s">
        <v>15</v>
      </c>
      <c r="C13">
        <v>258840</v>
      </c>
      <c r="D13">
        <v>30354887</v>
      </c>
      <c r="E13">
        <v>67616554</v>
      </c>
      <c r="F13">
        <v>260764</v>
      </c>
      <c r="G13">
        <v>30479395</v>
      </c>
      <c r="H13">
        <v>71585453</v>
      </c>
      <c r="I13">
        <v>49570</v>
      </c>
      <c r="J13">
        <v>2327886</v>
      </c>
      <c r="K13">
        <v>96781</v>
      </c>
      <c r="L13">
        <v>22065430</v>
      </c>
      <c r="M13">
        <v>59534580</v>
      </c>
      <c r="N13">
        <v>97967</v>
      </c>
      <c r="O13">
        <v>22299961</v>
      </c>
      <c r="P13">
        <v>62611270</v>
      </c>
      <c r="Q13">
        <v>4594</v>
      </c>
      <c r="R13">
        <v>694453</v>
      </c>
      <c r="S13">
        <v>444</v>
      </c>
      <c r="T13">
        <v>4350763</v>
      </c>
      <c r="U13">
        <v>27253013</v>
      </c>
      <c r="V13">
        <v>440</v>
      </c>
      <c r="W13">
        <v>4303303</v>
      </c>
      <c r="X13">
        <v>27217729</v>
      </c>
      <c r="Y13">
        <v>22</v>
      </c>
      <c r="Z13">
        <v>242170</v>
      </c>
      <c r="AA13">
        <v>413148</v>
      </c>
      <c r="AB13">
        <v>7710321</v>
      </c>
      <c r="AC13">
        <v>19425711</v>
      </c>
      <c r="AD13">
        <v>417103</v>
      </c>
      <c r="AE13">
        <v>9905182</v>
      </c>
      <c r="AF13">
        <v>24115049</v>
      </c>
      <c r="AG13">
        <v>3226</v>
      </c>
      <c r="AH13">
        <v>89587</v>
      </c>
      <c r="AI13">
        <v>874187</v>
      </c>
      <c r="AJ13">
        <v>4843058</v>
      </c>
      <c r="AK13">
        <v>64028384</v>
      </c>
      <c r="AL13">
        <v>882759</v>
      </c>
      <c r="AM13">
        <v>4955873</v>
      </c>
      <c r="AN13">
        <v>57819445</v>
      </c>
      <c r="AO13">
        <v>35666</v>
      </c>
      <c r="AP13">
        <v>139563</v>
      </c>
      <c r="AQ13">
        <v>382153</v>
      </c>
      <c r="AR13">
        <v>11727790</v>
      </c>
      <c r="AS13">
        <v>25144092</v>
      </c>
      <c r="AT13">
        <v>788638</v>
      </c>
      <c r="AU13">
        <v>20746307</v>
      </c>
      <c r="AV13">
        <v>43926460</v>
      </c>
      <c r="AW13">
        <v>120675</v>
      </c>
      <c r="AX13">
        <v>2889331</v>
      </c>
      <c r="AY13">
        <v>30164</v>
      </c>
      <c r="AZ13">
        <v>2228716</v>
      </c>
      <c r="BA13">
        <v>6526315</v>
      </c>
      <c r="BB13">
        <v>29227</v>
      </c>
      <c r="BC13">
        <v>2196034</v>
      </c>
      <c r="BD13">
        <v>6730386</v>
      </c>
      <c r="BE13">
        <v>4867</v>
      </c>
      <c r="BF13">
        <v>316388</v>
      </c>
      <c r="BG13">
        <v>303903</v>
      </c>
      <c r="BH13">
        <v>10295017</v>
      </c>
      <c r="BI13">
        <v>24780243</v>
      </c>
      <c r="BJ13">
        <v>308972</v>
      </c>
      <c r="BK13">
        <v>10967688</v>
      </c>
      <c r="BL13">
        <v>30511288</v>
      </c>
      <c r="BM13">
        <v>24990</v>
      </c>
      <c r="BN13">
        <v>490754</v>
      </c>
      <c r="BO13">
        <v>81014</v>
      </c>
      <c r="BP13">
        <v>67108165</v>
      </c>
      <c r="BQ13">
        <v>83786</v>
      </c>
      <c r="BR13">
        <v>73541887</v>
      </c>
      <c r="BS13">
        <v>2147</v>
      </c>
      <c r="BT13">
        <v>204336</v>
      </c>
      <c r="BU13">
        <v>4735111</v>
      </c>
      <c r="BV13">
        <v>8604639</v>
      </c>
      <c r="BW13">
        <v>180905</v>
      </c>
      <c r="BX13">
        <v>4735158</v>
      </c>
      <c r="BY13">
        <v>8791788</v>
      </c>
      <c r="BZ13">
        <v>8184</v>
      </c>
      <c r="CA13">
        <v>341706</v>
      </c>
      <c r="CB13">
        <v>8497</v>
      </c>
      <c r="CC13">
        <v>6285815</v>
      </c>
      <c r="CD13">
        <v>20874327</v>
      </c>
      <c r="CE13">
        <v>8659</v>
      </c>
      <c r="CF13">
        <v>6468565</v>
      </c>
      <c r="CG13">
        <v>22066202</v>
      </c>
      <c r="CH13">
        <v>244</v>
      </c>
      <c r="CI13">
        <v>475113</v>
      </c>
      <c r="CJ13">
        <v>20355</v>
      </c>
      <c r="CK13">
        <v>17559962</v>
      </c>
      <c r="CL13">
        <v>28919073</v>
      </c>
      <c r="CM13">
        <v>18854</v>
      </c>
      <c r="CN13">
        <v>16357521</v>
      </c>
      <c r="CO13">
        <v>26632490</v>
      </c>
      <c r="CP13">
        <v>2723</v>
      </c>
      <c r="CQ13">
        <v>2317983</v>
      </c>
      <c r="CR13">
        <v>17385</v>
      </c>
      <c r="CS13">
        <v>14787516</v>
      </c>
      <c r="CT13">
        <v>51451847</v>
      </c>
      <c r="CU13">
        <v>17425</v>
      </c>
      <c r="CV13">
        <v>14820566</v>
      </c>
      <c r="CW13">
        <v>52180526</v>
      </c>
      <c r="CX13">
        <v>1301</v>
      </c>
      <c r="CY13">
        <v>902676</v>
      </c>
      <c r="CZ13">
        <v>595</v>
      </c>
      <c r="DA13">
        <v>7976221</v>
      </c>
      <c r="DB13">
        <v>38205275</v>
      </c>
      <c r="DC13">
        <v>595</v>
      </c>
      <c r="DD13">
        <v>7976221</v>
      </c>
      <c r="DE13">
        <v>38205275</v>
      </c>
      <c r="DF13">
        <v>0</v>
      </c>
      <c r="DG13">
        <v>0</v>
      </c>
      <c r="DH13">
        <v>81466</v>
      </c>
      <c r="DI13">
        <v>4789897</v>
      </c>
      <c r="DJ13">
        <v>13281885</v>
      </c>
      <c r="DK13">
        <v>81538</v>
      </c>
      <c r="DL13">
        <v>4872119</v>
      </c>
      <c r="DM13">
        <v>13605416</v>
      </c>
      <c r="DN13">
        <v>1147</v>
      </c>
      <c r="DO13">
        <v>474839</v>
      </c>
      <c r="DP13">
        <v>90752</v>
      </c>
      <c r="DQ13">
        <v>10897225</v>
      </c>
      <c r="DR13">
        <v>22935902</v>
      </c>
      <c r="DS13">
        <v>92277</v>
      </c>
      <c r="DT13">
        <v>11046914</v>
      </c>
      <c r="DU13">
        <v>27275725</v>
      </c>
      <c r="DV13">
        <v>9104</v>
      </c>
      <c r="DW13">
        <v>570861</v>
      </c>
    </row>
    <row r="14" spans="1:127" x14ac:dyDescent="0.4">
      <c r="A14" s="1" t="s">
        <v>16</v>
      </c>
      <c r="B14" s="1" t="s">
        <v>17</v>
      </c>
      <c r="C14">
        <v>20543</v>
      </c>
      <c r="D14">
        <v>2692643</v>
      </c>
      <c r="E14">
        <v>5728580</v>
      </c>
      <c r="F14">
        <v>24447</v>
      </c>
      <c r="G14">
        <v>2868594</v>
      </c>
      <c r="H14">
        <v>6166776</v>
      </c>
      <c r="I14">
        <v>52753</v>
      </c>
      <c r="J14">
        <v>2409921</v>
      </c>
      <c r="K14">
        <v>8389</v>
      </c>
      <c r="L14">
        <v>1603189</v>
      </c>
      <c r="M14">
        <v>4141060</v>
      </c>
      <c r="N14">
        <v>8572</v>
      </c>
      <c r="O14">
        <v>1629128</v>
      </c>
      <c r="P14">
        <v>4316355</v>
      </c>
      <c r="Q14">
        <v>5129</v>
      </c>
      <c r="R14">
        <v>711587</v>
      </c>
      <c r="S14">
        <v>64</v>
      </c>
      <c r="T14">
        <v>818296</v>
      </c>
      <c r="U14">
        <v>4033947</v>
      </c>
      <c r="V14">
        <v>85</v>
      </c>
      <c r="W14">
        <v>1031386</v>
      </c>
      <c r="X14">
        <v>5224523</v>
      </c>
      <c r="Y14">
        <v>19</v>
      </c>
      <c r="Z14">
        <v>209270</v>
      </c>
      <c r="AA14">
        <v>40544</v>
      </c>
      <c r="AB14">
        <v>616231</v>
      </c>
      <c r="AC14">
        <v>1385040</v>
      </c>
      <c r="AD14">
        <v>41246</v>
      </c>
      <c r="AE14">
        <v>1000657</v>
      </c>
      <c r="AF14">
        <v>2184717</v>
      </c>
      <c r="AG14">
        <v>8437</v>
      </c>
      <c r="AH14">
        <v>190216</v>
      </c>
      <c r="AI14">
        <v>73484</v>
      </c>
      <c r="AJ14">
        <v>438767</v>
      </c>
      <c r="AK14">
        <v>5404548</v>
      </c>
      <c r="AL14">
        <v>74920</v>
      </c>
      <c r="AM14">
        <v>458545</v>
      </c>
      <c r="AN14">
        <v>4966657</v>
      </c>
      <c r="AO14">
        <v>35227</v>
      </c>
      <c r="AP14">
        <v>118786</v>
      </c>
      <c r="AQ14">
        <v>31460</v>
      </c>
      <c r="AR14">
        <v>1013006</v>
      </c>
      <c r="AS14">
        <v>1963972</v>
      </c>
      <c r="AT14">
        <v>64146</v>
      </c>
      <c r="AU14">
        <v>1690742</v>
      </c>
      <c r="AV14">
        <v>3750431</v>
      </c>
      <c r="AW14">
        <v>140718</v>
      </c>
      <c r="AX14">
        <v>3473663</v>
      </c>
      <c r="AY14">
        <v>2161</v>
      </c>
      <c r="AZ14">
        <v>154314</v>
      </c>
      <c r="BA14">
        <v>459678</v>
      </c>
      <c r="BB14">
        <v>2522</v>
      </c>
      <c r="BC14">
        <v>182114</v>
      </c>
      <c r="BD14">
        <v>543628</v>
      </c>
      <c r="BE14">
        <v>4027</v>
      </c>
      <c r="BF14">
        <v>273869</v>
      </c>
      <c r="BG14">
        <v>23299</v>
      </c>
      <c r="BH14">
        <v>662799</v>
      </c>
      <c r="BI14">
        <v>1593209</v>
      </c>
      <c r="BJ14">
        <v>26090</v>
      </c>
      <c r="BK14">
        <v>711069</v>
      </c>
      <c r="BL14">
        <v>2225675</v>
      </c>
      <c r="BM14">
        <v>19893</v>
      </c>
      <c r="BN14">
        <v>1024516</v>
      </c>
      <c r="BO14">
        <v>6536</v>
      </c>
      <c r="BP14">
        <v>5335956</v>
      </c>
      <c r="BQ14">
        <v>6655</v>
      </c>
      <c r="BR14">
        <v>6033047</v>
      </c>
      <c r="BS14">
        <v>1612</v>
      </c>
      <c r="BT14">
        <v>17678</v>
      </c>
      <c r="BU14">
        <v>457671</v>
      </c>
      <c r="BV14">
        <v>708944</v>
      </c>
      <c r="BW14">
        <v>16145</v>
      </c>
      <c r="BX14">
        <v>502303</v>
      </c>
      <c r="BY14">
        <v>812153</v>
      </c>
      <c r="BZ14">
        <v>7707</v>
      </c>
      <c r="CA14">
        <v>346582</v>
      </c>
      <c r="CB14">
        <v>913</v>
      </c>
      <c r="CC14">
        <v>642241</v>
      </c>
      <c r="CD14">
        <v>2426764</v>
      </c>
      <c r="CE14">
        <v>841</v>
      </c>
      <c r="CF14">
        <v>576366</v>
      </c>
      <c r="CG14">
        <v>2168149</v>
      </c>
      <c r="CH14">
        <v>349</v>
      </c>
      <c r="CI14">
        <v>584738</v>
      </c>
      <c r="CJ14">
        <v>1814</v>
      </c>
      <c r="CK14">
        <v>1428784</v>
      </c>
      <c r="CL14">
        <v>2071346</v>
      </c>
      <c r="CM14">
        <v>1706</v>
      </c>
      <c r="CN14">
        <v>1403280</v>
      </c>
      <c r="CO14">
        <v>2067849</v>
      </c>
      <c r="CP14">
        <v>1672</v>
      </c>
      <c r="CQ14">
        <v>1298646</v>
      </c>
      <c r="CR14">
        <v>1692</v>
      </c>
      <c r="CS14">
        <v>1513876</v>
      </c>
      <c r="CT14">
        <v>7131183</v>
      </c>
      <c r="CU14">
        <v>1943</v>
      </c>
      <c r="CV14">
        <v>1720803</v>
      </c>
      <c r="CW14">
        <v>7570259</v>
      </c>
      <c r="CX14">
        <v>1156</v>
      </c>
      <c r="CY14">
        <v>763421</v>
      </c>
      <c r="CZ14">
        <v>81</v>
      </c>
      <c r="DA14">
        <v>1150457</v>
      </c>
      <c r="DB14">
        <v>5246250</v>
      </c>
      <c r="DC14">
        <v>81</v>
      </c>
      <c r="DD14">
        <v>1150457</v>
      </c>
      <c r="DE14">
        <v>5246250</v>
      </c>
      <c r="DF14">
        <v>0</v>
      </c>
      <c r="DG14">
        <v>0</v>
      </c>
      <c r="DH14">
        <v>8578</v>
      </c>
      <c r="DI14">
        <v>474696</v>
      </c>
      <c r="DJ14">
        <v>1446082</v>
      </c>
      <c r="DK14">
        <v>8708</v>
      </c>
      <c r="DL14">
        <v>501729</v>
      </c>
      <c r="DM14">
        <v>1529466</v>
      </c>
      <c r="DN14">
        <v>1105</v>
      </c>
      <c r="DO14">
        <v>358530</v>
      </c>
      <c r="DP14">
        <v>8372</v>
      </c>
      <c r="DQ14">
        <v>996055</v>
      </c>
      <c r="DR14">
        <v>1648424</v>
      </c>
      <c r="DS14">
        <v>9285</v>
      </c>
      <c r="DT14">
        <v>1074321</v>
      </c>
      <c r="DU14">
        <v>2158621</v>
      </c>
      <c r="DV14">
        <v>10320</v>
      </c>
      <c r="DW14">
        <v>646462</v>
      </c>
    </row>
    <row r="15" spans="1:127" x14ac:dyDescent="0.4">
      <c r="A15" s="1" t="s">
        <v>18</v>
      </c>
      <c r="B15" s="1" t="s">
        <v>19</v>
      </c>
      <c r="C15">
        <v>24926</v>
      </c>
      <c r="D15">
        <v>2219696</v>
      </c>
      <c r="E15">
        <v>4331600</v>
      </c>
      <c r="F15">
        <v>22541</v>
      </c>
      <c r="G15">
        <v>2074507</v>
      </c>
      <c r="H15">
        <v>4267680</v>
      </c>
      <c r="I15">
        <v>55144</v>
      </c>
      <c r="J15">
        <v>2554971</v>
      </c>
      <c r="K15">
        <v>9612</v>
      </c>
      <c r="L15">
        <v>1752486</v>
      </c>
      <c r="M15">
        <v>4457337</v>
      </c>
      <c r="N15">
        <v>10251</v>
      </c>
      <c r="O15">
        <v>1894611</v>
      </c>
      <c r="P15">
        <v>4456082</v>
      </c>
      <c r="Q15">
        <v>4602</v>
      </c>
      <c r="R15">
        <v>586214</v>
      </c>
      <c r="S15">
        <v>39</v>
      </c>
      <c r="T15">
        <v>352385</v>
      </c>
      <c r="U15">
        <v>1958195</v>
      </c>
      <c r="V15">
        <v>30</v>
      </c>
      <c r="W15">
        <v>246995</v>
      </c>
      <c r="X15">
        <v>1209260</v>
      </c>
      <c r="Y15">
        <v>28</v>
      </c>
      <c r="Z15">
        <v>314660</v>
      </c>
      <c r="AA15">
        <v>40735</v>
      </c>
      <c r="AB15">
        <v>588639</v>
      </c>
      <c r="AC15">
        <v>1381433</v>
      </c>
      <c r="AD15">
        <v>40484</v>
      </c>
      <c r="AE15">
        <v>871719</v>
      </c>
      <c r="AF15">
        <v>1976772</v>
      </c>
      <c r="AG15">
        <v>8828</v>
      </c>
      <c r="AH15">
        <v>203588</v>
      </c>
      <c r="AI15">
        <v>72257</v>
      </c>
      <c r="AJ15">
        <v>368669</v>
      </c>
      <c r="AK15">
        <v>5242298</v>
      </c>
      <c r="AL15">
        <v>72908</v>
      </c>
      <c r="AM15">
        <v>368496</v>
      </c>
      <c r="AN15">
        <v>4688852</v>
      </c>
      <c r="AO15">
        <v>35198</v>
      </c>
      <c r="AP15">
        <v>122690</v>
      </c>
      <c r="AQ15">
        <v>30783</v>
      </c>
      <c r="AR15">
        <v>905048</v>
      </c>
      <c r="AS15">
        <v>1650622</v>
      </c>
      <c r="AT15">
        <v>74592</v>
      </c>
      <c r="AU15">
        <v>1838359</v>
      </c>
      <c r="AV15">
        <v>3490673</v>
      </c>
      <c r="AW15">
        <v>124813</v>
      </c>
      <c r="AX15">
        <v>3150032</v>
      </c>
      <c r="AY15">
        <v>2875</v>
      </c>
      <c r="AZ15">
        <v>221753</v>
      </c>
      <c r="BA15">
        <v>533540</v>
      </c>
      <c r="BB15">
        <v>2285</v>
      </c>
      <c r="BC15">
        <v>149377</v>
      </c>
      <c r="BD15">
        <v>421416</v>
      </c>
      <c r="BE15">
        <v>4591</v>
      </c>
      <c r="BF15">
        <v>348086</v>
      </c>
      <c r="BG15">
        <v>28136</v>
      </c>
      <c r="BH15">
        <v>646100</v>
      </c>
      <c r="BI15">
        <v>1466060</v>
      </c>
      <c r="BJ15">
        <v>27441</v>
      </c>
      <c r="BK15">
        <v>625162</v>
      </c>
      <c r="BL15">
        <v>1870387</v>
      </c>
      <c r="BM15">
        <v>20802</v>
      </c>
      <c r="BN15">
        <v>1050183</v>
      </c>
      <c r="BO15">
        <v>6666</v>
      </c>
      <c r="BP15">
        <v>5002192</v>
      </c>
      <c r="BQ15">
        <v>7202</v>
      </c>
      <c r="BR15">
        <v>5549388</v>
      </c>
      <c r="BS15">
        <v>1233</v>
      </c>
      <c r="BT15">
        <v>17289</v>
      </c>
      <c r="BU15">
        <v>421552</v>
      </c>
      <c r="BV15">
        <v>676225</v>
      </c>
      <c r="BW15">
        <v>15031</v>
      </c>
      <c r="BX15">
        <v>397028</v>
      </c>
      <c r="BY15">
        <v>680873</v>
      </c>
      <c r="BZ15">
        <v>7984</v>
      </c>
      <c r="CA15">
        <v>368968</v>
      </c>
      <c r="CB15">
        <v>687</v>
      </c>
      <c r="CC15">
        <v>414438</v>
      </c>
      <c r="CD15">
        <v>943265</v>
      </c>
      <c r="CE15">
        <v>693</v>
      </c>
      <c r="CF15">
        <v>430438</v>
      </c>
      <c r="CG15">
        <v>1080752</v>
      </c>
      <c r="CH15">
        <v>343</v>
      </c>
      <c r="CI15">
        <v>568738</v>
      </c>
      <c r="CJ15">
        <v>1704</v>
      </c>
      <c r="CK15">
        <v>1402475</v>
      </c>
      <c r="CL15">
        <v>2167668</v>
      </c>
      <c r="CM15">
        <v>1817</v>
      </c>
      <c r="CN15">
        <v>1456580</v>
      </c>
      <c r="CO15">
        <v>2052119</v>
      </c>
      <c r="CP15">
        <v>1559</v>
      </c>
      <c r="CQ15">
        <v>1244541</v>
      </c>
      <c r="CR15">
        <v>1235</v>
      </c>
      <c r="CS15">
        <v>1055762</v>
      </c>
      <c r="CT15">
        <v>3326452</v>
      </c>
      <c r="CU15">
        <v>1199</v>
      </c>
      <c r="CV15">
        <v>1028951</v>
      </c>
      <c r="CW15">
        <v>3395414</v>
      </c>
      <c r="CX15">
        <v>1192</v>
      </c>
      <c r="CY15">
        <v>790232</v>
      </c>
      <c r="CZ15">
        <v>66</v>
      </c>
      <c r="DA15">
        <v>1535590</v>
      </c>
      <c r="DB15">
        <v>12281705</v>
      </c>
      <c r="DC15">
        <v>66</v>
      </c>
      <c r="DD15">
        <v>1535590</v>
      </c>
      <c r="DE15">
        <v>12281705</v>
      </c>
      <c r="DF15">
        <v>0</v>
      </c>
      <c r="DG15">
        <v>0</v>
      </c>
      <c r="DH15">
        <v>5523</v>
      </c>
      <c r="DI15">
        <v>478309</v>
      </c>
      <c r="DJ15">
        <v>1155354</v>
      </c>
      <c r="DK15">
        <v>5520</v>
      </c>
      <c r="DL15">
        <v>455654</v>
      </c>
      <c r="DM15">
        <v>1089934</v>
      </c>
      <c r="DN15">
        <v>1108</v>
      </c>
      <c r="DO15">
        <v>380825</v>
      </c>
      <c r="DP15">
        <v>6766</v>
      </c>
      <c r="DQ15">
        <v>819300</v>
      </c>
      <c r="DR15">
        <v>1415370</v>
      </c>
      <c r="DS15">
        <v>7845</v>
      </c>
      <c r="DT15">
        <v>875987</v>
      </c>
      <c r="DU15">
        <v>1706064</v>
      </c>
      <c r="DV15">
        <v>9265</v>
      </c>
      <c r="DW15">
        <v>596044</v>
      </c>
    </row>
    <row r="16" spans="1:127" x14ac:dyDescent="0.4">
      <c r="A16" s="1" t="s">
        <v>20</v>
      </c>
      <c r="B16" s="1" t="s">
        <v>21</v>
      </c>
      <c r="C16">
        <v>22617</v>
      </c>
      <c r="D16">
        <v>2277111</v>
      </c>
      <c r="E16">
        <v>4414673</v>
      </c>
      <c r="F16">
        <v>20042</v>
      </c>
      <c r="G16">
        <v>2218826</v>
      </c>
      <c r="H16">
        <v>4657445</v>
      </c>
      <c r="I16">
        <v>57252</v>
      </c>
      <c r="J16">
        <v>2580193</v>
      </c>
      <c r="K16">
        <v>7872</v>
      </c>
      <c r="L16">
        <v>1394740</v>
      </c>
      <c r="M16">
        <v>4120592</v>
      </c>
      <c r="N16">
        <v>7838</v>
      </c>
      <c r="O16">
        <v>1425540</v>
      </c>
      <c r="P16">
        <v>4239227</v>
      </c>
      <c r="Q16">
        <v>5964</v>
      </c>
      <c r="R16">
        <v>794351</v>
      </c>
      <c r="S16">
        <v>46</v>
      </c>
      <c r="T16">
        <v>777937</v>
      </c>
      <c r="U16">
        <v>3230084</v>
      </c>
      <c r="V16">
        <v>54</v>
      </c>
      <c r="W16">
        <v>871617</v>
      </c>
      <c r="X16">
        <v>3895804</v>
      </c>
      <c r="Y16">
        <v>20</v>
      </c>
      <c r="Z16">
        <v>220980</v>
      </c>
      <c r="AA16">
        <v>35489</v>
      </c>
      <c r="AB16">
        <v>545265</v>
      </c>
      <c r="AC16">
        <v>1218502</v>
      </c>
      <c r="AD16">
        <v>35193</v>
      </c>
      <c r="AE16">
        <v>632023</v>
      </c>
      <c r="AF16">
        <v>1389079</v>
      </c>
      <c r="AG16">
        <v>9247</v>
      </c>
      <c r="AH16">
        <v>211243</v>
      </c>
      <c r="AI16">
        <v>72849</v>
      </c>
      <c r="AJ16">
        <v>371740</v>
      </c>
      <c r="AK16">
        <v>5098381</v>
      </c>
      <c r="AL16">
        <v>73386</v>
      </c>
      <c r="AM16">
        <v>376060</v>
      </c>
      <c r="AN16">
        <v>4534628</v>
      </c>
      <c r="AO16">
        <v>35341</v>
      </c>
      <c r="AP16">
        <v>124302</v>
      </c>
      <c r="AQ16">
        <v>29100</v>
      </c>
      <c r="AR16">
        <v>856087</v>
      </c>
      <c r="AS16">
        <v>1730096</v>
      </c>
      <c r="AT16">
        <v>68396</v>
      </c>
      <c r="AU16">
        <v>1721548</v>
      </c>
      <c r="AV16">
        <v>3257335</v>
      </c>
      <c r="AW16">
        <v>120590</v>
      </c>
      <c r="AX16">
        <v>3054264</v>
      </c>
      <c r="AY16">
        <v>1979</v>
      </c>
      <c r="AZ16">
        <v>144308</v>
      </c>
      <c r="BA16">
        <v>400768</v>
      </c>
      <c r="BB16">
        <v>1935</v>
      </c>
      <c r="BC16">
        <v>136333</v>
      </c>
      <c r="BD16">
        <v>385232</v>
      </c>
      <c r="BE16">
        <v>4145</v>
      </c>
      <c r="BF16">
        <v>287824</v>
      </c>
      <c r="BG16">
        <v>30064</v>
      </c>
      <c r="BH16">
        <v>767293</v>
      </c>
      <c r="BI16">
        <v>1902171</v>
      </c>
      <c r="BJ16">
        <v>27438</v>
      </c>
      <c r="BK16">
        <v>690135</v>
      </c>
      <c r="BL16">
        <v>1963615</v>
      </c>
      <c r="BM16">
        <v>23432</v>
      </c>
      <c r="BN16">
        <v>1127429</v>
      </c>
      <c r="BO16">
        <v>6475</v>
      </c>
      <c r="BP16">
        <v>4797051</v>
      </c>
      <c r="BQ16">
        <v>6393</v>
      </c>
      <c r="BR16">
        <v>5234444</v>
      </c>
      <c r="BS16">
        <v>1463</v>
      </c>
      <c r="BT16">
        <v>17185</v>
      </c>
      <c r="BU16">
        <v>414775</v>
      </c>
      <c r="BV16">
        <v>688339</v>
      </c>
      <c r="BW16">
        <v>14845</v>
      </c>
      <c r="BX16">
        <v>380333</v>
      </c>
      <c r="BY16">
        <v>649939</v>
      </c>
      <c r="BZ16">
        <v>8343</v>
      </c>
      <c r="CA16">
        <v>404758</v>
      </c>
      <c r="CB16">
        <v>603</v>
      </c>
      <c r="CC16">
        <v>400231</v>
      </c>
      <c r="CD16">
        <v>1112246</v>
      </c>
      <c r="CE16">
        <v>631</v>
      </c>
      <c r="CF16">
        <v>454231</v>
      </c>
      <c r="CG16">
        <v>1295306</v>
      </c>
      <c r="CH16">
        <v>315</v>
      </c>
      <c r="CI16">
        <v>514738</v>
      </c>
      <c r="CJ16">
        <v>1692</v>
      </c>
      <c r="CK16">
        <v>1408663</v>
      </c>
      <c r="CL16">
        <v>2284518</v>
      </c>
      <c r="CM16">
        <v>1551</v>
      </c>
      <c r="CN16">
        <v>1275935</v>
      </c>
      <c r="CO16">
        <v>1924090</v>
      </c>
      <c r="CP16">
        <v>1700</v>
      </c>
      <c r="CQ16">
        <v>1377269</v>
      </c>
      <c r="CR16">
        <v>1236</v>
      </c>
      <c r="CS16">
        <v>929725</v>
      </c>
      <c r="CT16">
        <v>2852667</v>
      </c>
      <c r="CU16">
        <v>1048</v>
      </c>
      <c r="CV16">
        <v>816422</v>
      </c>
      <c r="CW16">
        <v>2660392</v>
      </c>
      <c r="CX16">
        <v>1380</v>
      </c>
      <c r="CY16">
        <v>903535</v>
      </c>
      <c r="CZ16">
        <v>48</v>
      </c>
      <c r="DA16">
        <v>312375</v>
      </c>
      <c r="DB16">
        <v>887395</v>
      </c>
      <c r="DC16">
        <v>48</v>
      </c>
      <c r="DD16">
        <v>312375</v>
      </c>
      <c r="DE16">
        <v>887395</v>
      </c>
      <c r="DF16">
        <v>0</v>
      </c>
      <c r="DG16">
        <v>0</v>
      </c>
      <c r="DH16">
        <v>5366</v>
      </c>
      <c r="DI16">
        <v>319598</v>
      </c>
      <c r="DJ16">
        <v>1532908</v>
      </c>
      <c r="DK16">
        <v>5377</v>
      </c>
      <c r="DL16">
        <v>322260</v>
      </c>
      <c r="DM16">
        <v>1548636</v>
      </c>
      <c r="DN16">
        <v>1097</v>
      </c>
      <c r="DO16">
        <v>378307</v>
      </c>
      <c r="DP16">
        <v>7794</v>
      </c>
      <c r="DQ16">
        <v>995544</v>
      </c>
      <c r="DR16">
        <v>1475376</v>
      </c>
      <c r="DS16">
        <v>7859</v>
      </c>
      <c r="DT16">
        <v>993834</v>
      </c>
      <c r="DU16">
        <v>1695757</v>
      </c>
      <c r="DV16">
        <v>9209</v>
      </c>
      <c r="DW16">
        <v>600361</v>
      </c>
    </row>
    <row r="17" spans="1:127" x14ac:dyDescent="0.4">
      <c r="A17" s="1" t="s">
        <v>22</v>
      </c>
      <c r="B17" s="1" t="s">
        <v>23</v>
      </c>
      <c r="C17">
        <v>21931</v>
      </c>
      <c r="D17">
        <v>2299514</v>
      </c>
      <c r="E17">
        <v>4898310</v>
      </c>
      <c r="F17">
        <v>23351</v>
      </c>
      <c r="G17">
        <v>2344357</v>
      </c>
      <c r="H17">
        <v>5087686</v>
      </c>
      <c r="I17">
        <v>55746</v>
      </c>
      <c r="J17">
        <v>2516950</v>
      </c>
      <c r="K17">
        <v>7907</v>
      </c>
      <c r="L17">
        <v>1536651</v>
      </c>
      <c r="M17">
        <v>4539480</v>
      </c>
      <c r="N17">
        <v>7864</v>
      </c>
      <c r="O17">
        <v>1508721</v>
      </c>
      <c r="P17">
        <v>4588736</v>
      </c>
      <c r="Q17">
        <v>6014</v>
      </c>
      <c r="R17">
        <v>814609</v>
      </c>
      <c r="S17">
        <v>31</v>
      </c>
      <c r="T17">
        <v>248860</v>
      </c>
      <c r="U17">
        <v>1555823</v>
      </c>
      <c r="V17">
        <v>36</v>
      </c>
      <c r="W17">
        <v>295920</v>
      </c>
      <c r="X17">
        <v>1895835</v>
      </c>
      <c r="Y17">
        <v>16</v>
      </c>
      <c r="Z17">
        <v>174140</v>
      </c>
      <c r="AA17">
        <v>36728</v>
      </c>
      <c r="AB17">
        <v>665662</v>
      </c>
      <c r="AC17">
        <v>1546618</v>
      </c>
      <c r="AD17">
        <v>36596</v>
      </c>
      <c r="AE17">
        <v>888031</v>
      </c>
      <c r="AF17">
        <v>1992513</v>
      </c>
      <c r="AG17">
        <v>9645</v>
      </c>
      <c r="AH17">
        <v>211101</v>
      </c>
      <c r="AI17">
        <v>72886</v>
      </c>
      <c r="AJ17">
        <v>376317</v>
      </c>
      <c r="AK17">
        <v>5465578</v>
      </c>
      <c r="AL17">
        <v>73320</v>
      </c>
      <c r="AM17">
        <v>374469</v>
      </c>
      <c r="AN17">
        <v>4902141</v>
      </c>
      <c r="AO17">
        <v>35386</v>
      </c>
      <c r="AP17">
        <v>132236</v>
      </c>
      <c r="AQ17">
        <v>28947</v>
      </c>
      <c r="AR17">
        <v>849474</v>
      </c>
      <c r="AS17">
        <v>1696849</v>
      </c>
      <c r="AT17">
        <v>62373</v>
      </c>
      <c r="AU17">
        <v>1583760</v>
      </c>
      <c r="AV17">
        <v>3294936</v>
      </c>
      <c r="AW17">
        <v>117074</v>
      </c>
      <c r="AX17">
        <v>2972052</v>
      </c>
      <c r="AY17">
        <v>2254</v>
      </c>
      <c r="AZ17">
        <v>158165</v>
      </c>
      <c r="BA17">
        <v>505240</v>
      </c>
      <c r="BB17">
        <v>2245</v>
      </c>
      <c r="BC17">
        <v>158098</v>
      </c>
      <c r="BD17">
        <v>519727</v>
      </c>
      <c r="BE17">
        <v>4133</v>
      </c>
      <c r="BF17">
        <v>285648</v>
      </c>
      <c r="BG17">
        <v>27156</v>
      </c>
      <c r="BH17">
        <v>659001</v>
      </c>
      <c r="BI17">
        <v>1628731</v>
      </c>
      <c r="BJ17">
        <v>26116</v>
      </c>
      <c r="BK17">
        <v>663093</v>
      </c>
      <c r="BL17">
        <v>1871336</v>
      </c>
      <c r="BM17">
        <v>24473</v>
      </c>
      <c r="BN17">
        <v>1123358</v>
      </c>
      <c r="BO17">
        <v>6495</v>
      </c>
      <c r="BP17">
        <v>5594470</v>
      </c>
      <c r="BQ17">
        <v>6692</v>
      </c>
      <c r="BR17">
        <v>6002159</v>
      </c>
      <c r="BS17">
        <v>1452</v>
      </c>
      <c r="BT17">
        <v>16998</v>
      </c>
      <c r="BU17">
        <v>382495</v>
      </c>
      <c r="BV17">
        <v>687811</v>
      </c>
      <c r="BW17">
        <v>15076</v>
      </c>
      <c r="BX17">
        <v>391261</v>
      </c>
      <c r="BY17">
        <v>718122</v>
      </c>
      <c r="BZ17">
        <v>8284</v>
      </c>
      <c r="CA17">
        <v>396604</v>
      </c>
      <c r="CB17">
        <v>712</v>
      </c>
      <c r="CC17">
        <v>439019</v>
      </c>
      <c r="CD17">
        <v>1325214</v>
      </c>
      <c r="CE17">
        <v>631</v>
      </c>
      <c r="CF17">
        <v>387394</v>
      </c>
      <c r="CG17">
        <v>1258238</v>
      </c>
      <c r="CH17">
        <v>396</v>
      </c>
      <c r="CI17">
        <v>566363</v>
      </c>
      <c r="CJ17">
        <v>1382</v>
      </c>
      <c r="CK17">
        <v>1199027</v>
      </c>
      <c r="CL17">
        <v>2073590</v>
      </c>
      <c r="CM17">
        <v>1610</v>
      </c>
      <c r="CN17">
        <v>1371496</v>
      </c>
      <c r="CO17">
        <v>2268141</v>
      </c>
      <c r="CP17">
        <v>1472</v>
      </c>
      <c r="CQ17">
        <v>1204800</v>
      </c>
      <c r="CR17">
        <v>1296</v>
      </c>
      <c r="CS17">
        <v>1015434</v>
      </c>
      <c r="CT17">
        <v>3260696</v>
      </c>
      <c r="CU17">
        <v>1238</v>
      </c>
      <c r="CV17">
        <v>984696</v>
      </c>
      <c r="CW17">
        <v>3232042</v>
      </c>
      <c r="CX17">
        <v>1438</v>
      </c>
      <c r="CY17">
        <v>934273</v>
      </c>
      <c r="CZ17">
        <v>69</v>
      </c>
      <c r="DA17">
        <v>803275</v>
      </c>
      <c r="DB17">
        <v>4465306</v>
      </c>
      <c r="DC17">
        <v>69</v>
      </c>
      <c r="DD17">
        <v>803275</v>
      </c>
      <c r="DE17">
        <v>4465306</v>
      </c>
      <c r="DF17">
        <v>0</v>
      </c>
      <c r="DG17">
        <v>0</v>
      </c>
      <c r="DH17">
        <v>7831</v>
      </c>
      <c r="DI17">
        <v>473340</v>
      </c>
      <c r="DJ17">
        <v>1518326</v>
      </c>
      <c r="DK17">
        <v>7715</v>
      </c>
      <c r="DL17">
        <v>357025</v>
      </c>
      <c r="DM17">
        <v>1155763</v>
      </c>
      <c r="DN17">
        <v>1213</v>
      </c>
      <c r="DO17">
        <v>496045</v>
      </c>
      <c r="DP17">
        <v>7923</v>
      </c>
      <c r="DQ17">
        <v>958357</v>
      </c>
      <c r="DR17">
        <v>1550263</v>
      </c>
      <c r="DS17">
        <v>7777</v>
      </c>
      <c r="DT17">
        <v>959440</v>
      </c>
      <c r="DU17">
        <v>1823904</v>
      </c>
      <c r="DV17">
        <v>9374</v>
      </c>
      <c r="DW17">
        <v>613173</v>
      </c>
    </row>
    <row r="18" spans="1:127" x14ac:dyDescent="0.4">
      <c r="A18" s="1" t="s">
        <v>24</v>
      </c>
      <c r="B18" s="1" t="s">
        <v>25</v>
      </c>
      <c r="C18">
        <v>22893</v>
      </c>
      <c r="D18">
        <v>2411579</v>
      </c>
      <c r="E18">
        <v>4711301</v>
      </c>
      <c r="F18">
        <v>22062</v>
      </c>
      <c r="G18">
        <v>2355642</v>
      </c>
      <c r="H18">
        <v>4919438</v>
      </c>
      <c r="I18">
        <v>56790</v>
      </c>
      <c r="J18">
        <v>2602587</v>
      </c>
      <c r="K18">
        <v>7590</v>
      </c>
      <c r="L18">
        <v>1298694</v>
      </c>
      <c r="M18">
        <v>3297055</v>
      </c>
      <c r="N18">
        <v>8429</v>
      </c>
      <c r="O18">
        <v>1456921</v>
      </c>
      <c r="P18">
        <v>3804875</v>
      </c>
      <c r="Q18">
        <v>5334</v>
      </c>
      <c r="R18">
        <v>728037</v>
      </c>
      <c r="S18">
        <v>30</v>
      </c>
      <c r="T18">
        <v>247610</v>
      </c>
      <c r="U18">
        <v>1675989</v>
      </c>
      <c r="V18">
        <v>27</v>
      </c>
      <c r="W18">
        <v>207060</v>
      </c>
      <c r="X18">
        <v>1347268</v>
      </c>
      <c r="Y18">
        <v>19</v>
      </c>
      <c r="Z18">
        <v>214690</v>
      </c>
      <c r="AA18">
        <v>44058</v>
      </c>
      <c r="AB18">
        <v>651450</v>
      </c>
      <c r="AC18">
        <v>1452547</v>
      </c>
      <c r="AD18">
        <v>44842</v>
      </c>
      <c r="AE18">
        <v>799237</v>
      </c>
      <c r="AF18">
        <v>1750664</v>
      </c>
      <c r="AG18">
        <v>8919</v>
      </c>
      <c r="AH18">
        <v>197141</v>
      </c>
      <c r="AI18">
        <v>72718</v>
      </c>
      <c r="AJ18">
        <v>415585</v>
      </c>
      <c r="AK18">
        <v>5160813</v>
      </c>
      <c r="AL18">
        <v>72698</v>
      </c>
      <c r="AM18">
        <v>401284</v>
      </c>
      <c r="AN18">
        <v>4520060</v>
      </c>
      <c r="AO18">
        <v>35604</v>
      </c>
      <c r="AP18">
        <v>150119</v>
      </c>
      <c r="AQ18">
        <v>30217</v>
      </c>
      <c r="AR18">
        <v>933195</v>
      </c>
      <c r="AS18">
        <v>1915259</v>
      </c>
      <c r="AT18">
        <v>64908</v>
      </c>
      <c r="AU18">
        <v>1705219</v>
      </c>
      <c r="AV18">
        <v>3450497</v>
      </c>
      <c r="AW18">
        <v>115663</v>
      </c>
      <c r="AX18">
        <v>2919498</v>
      </c>
      <c r="AY18">
        <v>2713</v>
      </c>
      <c r="AZ18">
        <v>190502</v>
      </c>
      <c r="BA18">
        <v>552741</v>
      </c>
      <c r="BB18">
        <v>2496</v>
      </c>
      <c r="BC18">
        <v>181507</v>
      </c>
      <c r="BD18">
        <v>560957</v>
      </c>
      <c r="BE18">
        <v>4341</v>
      </c>
      <c r="BF18">
        <v>296422</v>
      </c>
      <c r="BG18">
        <v>29135</v>
      </c>
      <c r="BH18">
        <v>677549</v>
      </c>
      <c r="BI18">
        <v>1810119</v>
      </c>
      <c r="BJ18">
        <v>31399</v>
      </c>
      <c r="BK18">
        <v>698695</v>
      </c>
      <c r="BL18">
        <v>2141533</v>
      </c>
      <c r="BM18">
        <v>22214</v>
      </c>
      <c r="BN18">
        <v>1102324</v>
      </c>
      <c r="BO18">
        <v>7378</v>
      </c>
      <c r="BP18">
        <v>6260594</v>
      </c>
      <c r="BQ18">
        <v>7325</v>
      </c>
      <c r="BR18">
        <v>6819881</v>
      </c>
      <c r="BS18">
        <v>1729</v>
      </c>
      <c r="BT18">
        <v>17140</v>
      </c>
      <c r="BU18">
        <v>423767</v>
      </c>
      <c r="BV18">
        <v>701981</v>
      </c>
      <c r="BW18">
        <v>15333</v>
      </c>
      <c r="BX18">
        <v>438693</v>
      </c>
      <c r="BY18">
        <v>765563</v>
      </c>
      <c r="BZ18">
        <v>8110</v>
      </c>
      <c r="CA18">
        <v>380242</v>
      </c>
      <c r="CB18">
        <v>783</v>
      </c>
      <c r="CC18">
        <v>486124</v>
      </c>
      <c r="CD18">
        <v>1066629</v>
      </c>
      <c r="CE18">
        <v>870</v>
      </c>
      <c r="CF18">
        <v>484124</v>
      </c>
      <c r="CG18">
        <v>1026705</v>
      </c>
      <c r="CH18">
        <v>309</v>
      </c>
      <c r="CI18">
        <v>568363</v>
      </c>
      <c r="CJ18">
        <v>1272</v>
      </c>
      <c r="CK18">
        <v>1176124</v>
      </c>
      <c r="CL18">
        <v>2249660</v>
      </c>
      <c r="CM18">
        <v>1617</v>
      </c>
      <c r="CN18">
        <v>1416384</v>
      </c>
      <c r="CO18">
        <v>2480183</v>
      </c>
      <c r="CP18">
        <v>1127</v>
      </c>
      <c r="CQ18">
        <v>964540</v>
      </c>
      <c r="CR18">
        <v>1582</v>
      </c>
      <c r="CS18">
        <v>1266205</v>
      </c>
      <c r="CT18">
        <v>3460847</v>
      </c>
      <c r="CU18">
        <v>1625</v>
      </c>
      <c r="CV18">
        <v>1220596</v>
      </c>
      <c r="CW18">
        <v>3392223</v>
      </c>
      <c r="CX18">
        <v>1395</v>
      </c>
      <c r="CY18">
        <v>979882</v>
      </c>
      <c r="CZ18">
        <v>49</v>
      </c>
      <c r="DA18">
        <v>381090</v>
      </c>
      <c r="DB18">
        <v>1431720</v>
      </c>
      <c r="DC18">
        <v>49</v>
      </c>
      <c r="DD18">
        <v>381090</v>
      </c>
      <c r="DE18">
        <v>1431720</v>
      </c>
      <c r="DF18">
        <v>0</v>
      </c>
      <c r="DG18">
        <v>0</v>
      </c>
      <c r="DH18">
        <v>8647</v>
      </c>
      <c r="DI18">
        <v>439695</v>
      </c>
      <c r="DJ18">
        <v>1227795</v>
      </c>
      <c r="DK18">
        <v>8615</v>
      </c>
      <c r="DL18">
        <v>479762</v>
      </c>
      <c r="DM18">
        <v>1348773</v>
      </c>
      <c r="DN18">
        <v>1245</v>
      </c>
      <c r="DO18">
        <v>458905</v>
      </c>
      <c r="DP18">
        <v>9510</v>
      </c>
      <c r="DQ18">
        <v>1046610</v>
      </c>
      <c r="DR18">
        <v>1829254</v>
      </c>
      <c r="DS18">
        <v>8606</v>
      </c>
      <c r="DT18">
        <v>999317</v>
      </c>
      <c r="DU18">
        <v>2208735</v>
      </c>
      <c r="DV18">
        <v>10299</v>
      </c>
      <c r="DW18">
        <v>667586</v>
      </c>
    </row>
    <row r="19" spans="1:127" x14ac:dyDescent="0.4">
      <c r="A19" s="1" t="s">
        <v>26</v>
      </c>
      <c r="B19" s="1" t="s">
        <v>27</v>
      </c>
      <c r="C19">
        <v>16910</v>
      </c>
      <c r="D19">
        <v>2263041</v>
      </c>
      <c r="E19">
        <v>5097253</v>
      </c>
      <c r="F19">
        <v>17055</v>
      </c>
      <c r="G19">
        <v>2281833</v>
      </c>
      <c r="H19">
        <v>5307306</v>
      </c>
      <c r="I19">
        <v>56744</v>
      </c>
      <c r="J19">
        <v>2546133</v>
      </c>
      <c r="K19">
        <v>7171</v>
      </c>
      <c r="L19">
        <v>1458207</v>
      </c>
      <c r="M19">
        <v>4970616</v>
      </c>
      <c r="N19">
        <v>7771</v>
      </c>
      <c r="O19">
        <v>1555576</v>
      </c>
      <c r="P19">
        <v>5295734</v>
      </c>
      <c r="Q19">
        <v>4879</v>
      </c>
      <c r="R19">
        <v>662026</v>
      </c>
      <c r="S19">
        <v>18</v>
      </c>
      <c r="T19">
        <v>189910</v>
      </c>
      <c r="U19">
        <v>1343536</v>
      </c>
      <c r="V19">
        <v>13</v>
      </c>
      <c r="W19">
        <v>119040</v>
      </c>
      <c r="X19">
        <v>827081</v>
      </c>
      <c r="Y19">
        <v>24</v>
      </c>
      <c r="Z19">
        <v>285560</v>
      </c>
      <c r="AA19">
        <v>27457</v>
      </c>
      <c r="AB19">
        <v>535616</v>
      </c>
      <c r="AC19">
        <v>1327047</v>
      </c>
      <c r="AD19">
        <v>28743</v>
      </c>
      <c r="AE19">
        <v>786884</v>
      </c>
      <c r="AF19">
        <v>1846946</v>
      </c>
      <c r="AG19">
        <v>7817</v>
      </c>
      <c r="AH19">
        <v>180298</v>
      </c>
      <c r="AI19">
        <v>72000</v>
      </c>
      <c r="AJ19">
        <v>392871</v>
      </c>
      <c r="AK19">
        <v>5095027</v>
      </c>
      <c r="AL19">
        <v>72225</v>
      </c>
      <c r="AM19">
        <v>372322</v>
      </c>
      <c r="AN19">
        <v>4483592</v>
      </c>
      <c r="AO19">
        <v>35624</v>
      </c>
      <c r="AP19">
        <v>174947</v>
      </c>
      <c r="AQ19">
        <v>24624</v>
      </c>
      <c r="AR19">
        <v>767190</v>
      </c>
      <c r="AS19">
        <v>1541106</v>
      </c>
      <c r="AT19">
        <v>76757</v>
      </c>
      <c r="AU19">
        <v>1939985</v>
      </c>
      <c r="AV19">
        <v>3471999</v>
      </c>
      <c r="AW19">
        <v>113217</v>
      </c>
      <c r="AX19">
        <v>2884971</v>
      </c>
      <c r="AY19">
        <v>2356</v>
      </c>
      <c r="AZ19">
        <v>165785</v>
      </c>
      <c r="BA19">
        <v>488099</v>
      </c>
      <c r="BB19">
        <v>2239</v>
      </c>
      <c r="BC19">
        <v>171674</v>
      </c>
      <c r="BD19">
        <v>518395</v>
      </c>
      <c r="BE19">
        <v>4466</v>
      </c>
      <c r="BF19">
        <v>286549</v>
      </c>
      <c r="BG19">
        <v>24820</v>
      </c>
      <c r="BH19">
        <v>728677</v>
      </c>
      <c r="BI19">
        <v>1618575</v>
      </c>
      <c r="BJ19">
        <v>21530</v>
      </c>
      <c r="BK19">
        <v>676721</v>
      </c>
      <c r="BL19">
        <v>1944871</v>
      </c>
      <c r="BM19">
        <v>25668</v>
      </c>
      <c r="BN19">
        <v>1157904</v>
      </c>
      <c r="BO19">
        <v>6395</v>
      </c>
      <c r="BP19">
        <v>5385843</v>
      </c>
      <c r="BQ19">
        <v>6466</v>
      </c>
      <c r="BR19">
        <v>5791834</v>
      </c>
      <c r="BS19">
        <v>1900</v>
      </c>
      <c r="BT19">
        <v>16386</v>
      </c>
      <c r="BU19">
        <v>318770</v>
      </c>
      <c r="BV19">
        <v>582720</v>
      </c>
      <c r="BW19">
        <v>14621</v>
      </c>
      <c r="BX19">
        <v>353689</v>
      </c>
      <c r="BY19">
        <v>689539</v>
      </c>
      <c r="BZ19">
        <v>7894</v>
      </c>
      <c r="CA19">
        <v>343731</v>
      </c>
      <c r="CB19">
        <v>571</v>
      </c>
      <c r="CC19">
        <v>336138</v>
      </c>
      <c r="CD19">
        <v>538520</v>
      </c>
      <c r="CE19">
        <v>603</v>
      </c>
      <c r="CF19">
        <v>301513</v>
      </c>
      <c r="CG19">
        <v>448353</v>
      </c>
      <c r="CH19">
        <v>277</v>
      </c>
      <c r="CI19">
        <v>602988</v>
      </c>
      <c r="CJ19">
        <v>1014</v>
      </c>
      <c r="CK19">
        <v>939336</v>
      </c>
      <c r="CL19">
        <v>1960752</v>
      </c>
      <c r="CM19">
        <v>1062</v>
      </c>
      <c r="CN19">
        <v>914520</v>
      </c>
      <c r="CO19">
        <v>1814738</v>
      </c>
      <c r="CP19">
        <v>1079</v>
      </c>
      <c r="CQ19">
        <v>989356</v>
      </c>
      <c r="CR19">
        <v>1297</v>
      </c>
      <c r="CS19">
        <v>1122132</v>
      </c>
      <c r="CT19">
        <v>3113118</v>
      </c>
      <c r="CU19">
        <v>1318</v>
      </c>
      <c r="CV19">
        <v>1157094</v>
      </c>
      <c r="CW19">
        <v>3275716</v>
      </c>
      <c r="CX19">
        <v>1374</v>
      </c>
      <c r="CY19">
        <v>944920</v>
      </c>
      <c r="CZ19">
        <v>50</v>
      </c>
      <c r="DA19">
        <v>885550</v>
      </c>
      <c r="DB19">
        <v>2222793</v>
      </c>
      <c r="DC19">
        <v>50</v>
      </c>
      <c r="DD19">
        <v>885550</v>
      </c>
      <c r="DE19">
        <v>2222793</v>
      </c>
      <c r="DF19">
        <v>0</v>
      </c>
      <c r="DG19">
        <v>0</v>
      </c>
      <c r="DH19">
        <v>5061</v>
      </c>
      <c r="DI19">
        <v>320883</v>
      </c>
      <c r="DJ19">
        <v>1010637</v>
      </c>
      <c r="DK19">
        <v>5067</v>
      </c>
      <c r="DL19">
        <v>310582</v>
      </c>
      <c r="DM19">
        <v>980675</v>
      </c>
      <c r="DN19">
        <v>1239</v>
      </c>
      <c r="DO19">
        <v>469101</v>
      </c>
      <c r="DP19">
        <v>8194</v>
      </c>
      <c r="DQ19">
        <v>906479</v>
      </c>
      <c r="DR19">
        <v>1690130</v>
      </c>
      <c r="DS19">
        <v>7525</v>
      </c>
      <c r="DT19">
        <v>894025</v>
      </c>
      <c r="DU19">
        <v>1972096</v>
      </c>
      <c r="DV19">
        <v>10982</v>
      </c>
      <c r="DW19">
        <v>690217</v>
      </c>
    </row>
    <row r="20" spans="1:127" x14ac:dyDescent="0.4">
      <c r="A20" s="1" t="s">
        <v>28</v>
      </c>
      <c r="B20" s="1" t="s">
        <v>29</v>
      </c>
      <c r="C20">
        <v>21227</v>
      </c>
      <c r="D20">
        <v>2341685</v>
      </c>
      <c r="E20">
        <v>4899058</v>
      </c>
      <c r="F20">
        <v>21227</v>
      </c>
      <c r="G20">
        <v>2253298</v>
      </c>
      <c r="H20">
        <v>5331713</v>
      </c>
      <c r="I20">
        <v>57479</v>
      </c>
      <c r="J20">
        <v>2589050</v>
      </c>
      <c r="K20">
        <v>8659</v>
      </c>
      <c r="L20">
        <v>1971859</v>
      </c>
      <c r="M20">
        <v>4580169</v>
      </c>
      <c r="N20">
        <v>8579</v>
      </c>
      <c r="O20">
        <v>1965609</v>
      </c>
      <c r="P20">
        <v>4753313</v>
      </c>
      <c r="Q20">
        <v>5005</v>
      </c>
      <c r="R20">
        <v>681852</v>
      </c>
      <c r="S20">
        <v>34</v>
      </c>
      <c r="T20">
        <v>290828</v>
      </c>
      <c r="U20">
        <v>1143230</v>
      </c>
      <c r="V20">
        <v>35</v>
      </c>
      <c r="W20">
        <v>323488</v>
      </c>
      <c r="X20">
        <v>1452047</v>
      </c>
      <c r="Y20">
        <v>23</v>
      </c>
      <c r="Z20">
        <v>252900</v>
      </c>
      <c r="AA20">
        <v>32381</v>
      </c>
      <c r="AB20">
        <v>621161</v>
      </c>
      <c r="AC20">
        <v>1425467</v>
      </c>
      <c r="AD20">
        <v>33160</v>
      </c>
      <c r="AE20">
        <v>828638</v>
      </c>
      <c r="AF20">
        <v>1849731</v>
      </c>
      <c r="AG20">
        <v>7181</v>
      </c>
      <c r="AH20">
        <v>165416</v>
      </c>
      <c r="AI20">
        <v>73865</v>
      </c>
      <c r="AJ20">
        <v>457911</v>
      </c>
      <c r="AK20">
        <v>5494266</v>
      </c>
      <c r="AL20">
        <v>74459</v>
      </c>
      <c r="AM20">
        <v>456026</v>
      </c>
      <c r="AN20">
        <v>4948692</v>
      </c>
      <c r="AO20">
        <v>35652</v>
      </c>
      <c r="AP20">
        <v>183843</v>
      </c>
      <c r="AQ20">
        <v>31881</v>
      </c>
      <c r="AR20">
        <v>968349</v>
      </c>
      <c r="AS20">
        <v>1971373</v>
      </c>
      <c r="AT20">
        <v>90710</v>
      </c>
      <c r="AU20">
        <v>2275463</v>
      </c>
      <c r="AV20">
        <v>4382617</v>
      </c>
      <c r="AW20">
        <v>106759</v>
      </c>
      <c r="AX20">
        <v>2732997</v>
      </c>
      <c r="AY20">
        <v>2402</v>
      </c>
      <c r="AZ20">
        <v>184909</v>
      </c>
      <c r="BA20">
        <v>559515</v>
      </c>
      <c r="BB20">
        <v>2849</v>
      </c>
      <c r="BC20">
        <v>195867</v>
      </c>
      <c r="BD20">
        <v>611817</v>
      </c>
      <c r="BE20">
        <v>4048</v>
      </c>
      <c r="BF20">
        <v>280478</v>
      </c>
      <c r="BG20">
        <v>21829</v>
      </c>
      <c r="BH20">
        <v>855278</v>
      </c>
      <c r="BI20">
        <v>1830812</v>
      </c>
      <c r="BJ20">
        <v>29026</v>
      </c>
      <c r="BK20">
        <v>955740</v>
      </c>
      <c r="BL20">
        <v>2439498</v>
      </c>
      <c r="BM20">
        <v>18276</v>
      </c>
      <c r="BN20">
        <v>1061052</v>
      </c>
      <c r="BO20">
        <v>6971</v>
      </c>
      <c r="BP20">
        <v>6143612</v>
      </c>
      <c r="BQ20">
        <v>7195</v>
      </c>
      <c r="BR20">
        <v>6657125</v>
      </c>
      <c r="BS20">
        <v>1845</v>
      </c>
      <c r="BT20">
        <v>17471</v>
      </c>
      <c r="BU20">
        <v>428349</v>
      </c>
      <c r="BV20">
        <v>731651</v>
      </c>
      <c r="BW20">
        <v>15249</v>
      </c>
      <c r="BX20">
        <v>425868</v>
      </c>
      <c r="BY20">
        <v>770624</v>
      </c>
      <c r="BZ20">
        <v>8135</v>
      </c>
      <c r="CA20">
        <v>342672</v>
      </c>
      <c r="CB20">
        <v>810</v>
      </c>
      <c r="CC20">
        <v>589722</v>
      </c>
      <c r="CD20">
        <v>2211289</v>
      </c>
      <c r="CE20">
        <v>781</v>
      </c>
      <c r="CF20">
        <v>502347</v>
      </c>
      <c r="CG20">
        <v>1624733</v>
      </c>
      <c r="CH20">
        <v>306</v>
      </c>
      <c r="CI20">
        <v>690363</v>
      </c>
      <c r="CJ20">
        <v>1430</v>
      </c>
      <c r="CK20">
        <v>1304332</v>
      </c>
      <c r="CL20">
        <v>2278345</v>
      </c>
      <c r="CM20">
        <v>1364</v>
      </c>
      <c r="CN20">
        <v>1221065</v>
      </c>
      <c r="CO20">
        <v>2407457</v>
      </c>
      <c r="CP20">
        <v>1145</v>
      </c>
      <c r="CQ20">
        <v>1070932</v>
      </c>
      <c r="CR20">
        <v>1630</v>
      </c>
      <c r="CS20">
        <v>1406922</v>
      </c>
      <c r="CT20">
        <v>4999236</v>
      </c>
      <c r="CU20">
        <v>1804</v>
      </c>
      <c r="CV20">
        <v>1513765</v>
      </c>
      <c r="CW20">
        <v>5295562</v>
      </c>
      <c r="CX20">
        <v>1200</v>
      </c>
      <c r="CY20">
        <v>838077</v>
      </c>
      <c r="CZ20">
        <v>46</v>
      </c>
      <c r="DA20">
        <v>831185</v>
      </c>
      <c r="DB20">
        <v>3188819</v>
      </c>
      <c r="DC20">
        <v>46</v>
      </c>
      <c r="DD20">
        <v>831185</v>
      </c>
      <c r="DE20">
        <v>3188819</v>
      </c>
      <c r="DF20">
        <v>0</v>
      </c>
      <c r="DG20">
        <v>0</v>
      </c>
      <c r="DH20">
        <v>5878</v>
      </c>
      <c r="DI20">
        <v>371468</v>
      </c>
      <c r="DJ20">
        <v>1131992</v>
      </c>
      <c r="DK20">
        <v>5970</v>
      </c>
      <c r="DL20">
        <v>423451</v>
      </c>
      <c r="DM20">
        <v>1293592</v>
      </c>
      <c r="DN20">
        <v>1147</v>
      </c>
      <c r="DO20">
        <v>417172</v>
      </c>
      <c r="DP20">
        <v>8336</v>
      </c>
      <c r="DQ20">
        <v>957059</v>
      </c>
      <c r="DR20">
        <v>1713193</v>
      </c>
      <c r="DS20">
        <v>8519</v>
      </c>
      <c r="DT20">
        <v>979679</v>
      </c>
      <c r="DU20">
        <v>2128994</v>
      </c>
      <c r="DV20">
        <v>10894</v>
      </c>
      <c r="DW20">
        <v>675523</v>
      </c>
    </row>
    <row r="21" spans="1:127" x14ac:dyDescent="0.4">
      <c r="A21" s="1" t="s">
        <v>30</v>
      </c>
      <c r="B21" s="1" t="s">
        <v>31</v>
      </c>
      <c r="C21">
        <v>23159</v>
      </c>
      <c r="D21">
        <v>2684948</v>
      </c>
      <c r="E21">
        <v>5720307</v>
      </c>
      <c r="F21">
        <v>23209</v>
      </c>
      <c r="G21">
        <v>2622257</v>
      </c>
      <c r="H21">
        <v>5962782</v>
      </c>
      <c r="I21">
        <v>57472</v>
      </c>
      <c r="J21">
        <v>2646269</v>
      </c>
      <c r="K21">
        <v>8555</v>
      </c>
      <c r="L21">
        <v>1891808</v>
      </c>
      <c r="M21">
        <v>5842819</v>
      </c>
      <c r="N21">
        <v>8424</v>
      </c>
      <c r="O21">
        <v>1890541</v>
      </c>
      <c r="P21">
        <v>6003593</v>
      </c>
      <c r="Q21">
        <v>5077</v>
      </c>
      <c r="R21">
        <v>678225</v>
      </c>
      <c r="S21">
        <v>40</v>
      </c>
      <c r="T21">
        <v>350432</v>
      </c>
      <c r="U21">
        <v>1692351</v>
      </c>
      <c r="V21">
        <v>40</v>
      </c>
      <c r="W21">
        <v>381662</v>
      </c>
      <c r="X21">
        <v>1908752</v>
      </c>
      <c r="Y21">
        <v>23</v>
      </c>
      <c r="Z21">
        <v>221670</v>
      </c>
      <c r="AA21">
        <v>41831</v>
      </c>
      <c r="AB21">
        <v>682012</v>
      </c>
      <c r="AC21">
        <v>1681260</v>
      </c>
      <c r="AD21">
        <v>42051</v>
      </c>
      <c r="AE21">
        <v>908704</v>
      </c>
      <c r="AF21">
        <v>2139510</v>
      </c>
      <c r="AG21">
        <v>7197</v>
      </c>
      <c r="AH21">
        <v>166980</v>
      </c>
      <c r="AI21">
        <v>73860</v>
      </c>
      <c r="AJ21">
        <v>440026</v>
      </c>
      <c r="AK21">
        <v>5557824</v>
      </c>
      <c r="AL21">
        <v>74263</v>
      </c>
      <c r="AM21">
        <v>464533</v>
      </c>
      <c r="AN21">
        <v>5035352</v>
      </c>
      <c r="AO21">
        <v>35720</v>
      </c>
      <c r="AP21">
        <v>164220</v>
      </c>
      <c r="AQ21">
        <v>33316</v>
      </c>
      <c r="AR21">
        <v>1064301</v>
      </c>
      <c r="AS21">
        <v>2143654</v>
      </c>
      <c r="AT21">
        <v>66910</v>
      </c>
      <c r="AU21">
        <v>1822255</v>
      </c>
      <c r="AV21">
        <v>3531834</v>
      </c>
      <c r="AW21">
        <v>104460</v>
      </c>
      <c r="AX21">
        <v>2663680</v>
      </c>
      <c r="AY21">
        <v>3180</v>
      </c>
      <c r="AZ21">
        <v>225964</v>
      </c>
      <c r="BA21">
        <v>736572</v>
      </c>
      <c r="BB21">
        <v>2537</v>
      </c>
      <c r="BC21">
        <v>206459</v>
      </c>
      <c r="BD21">
        <v>705027</v>
      </c>
      <c r="BE21">
        <v>4669</v>
      </c>
      <c r="BF21">
        <v>296391</v>
      </c>
      <c r="BG21">
        <v>28123</v>
      </c>
      <c r="BH21">
        <v>672068</v>
      </c>
      <c r="BI21">
        <v>1657699</v>
      </c>
      <c r="BJ21">
        <v>23968</v>
      </c>
      <c r="BK21">
        <v>662249</v>
      </c>
      <c r="BL21">
        <v>1817890</v>
      </c>
      <c r="BM21">
        <v>22524</v>
      </c>
      <c r="BN21">
        <v>1072927</v>
      </c>
      <c r="BO21">
        <v>7563</v>
      </c>
      <c r="BP21">
        <v>6680616</v>
      </c>
      <c r="BQ21">
        <v>7612</v>
      </c>
      <c r="BR21">
        <v>7090399</v>
      </c>
      <c r="BS21">
        <v>2015</v>
      </c>
      <c r="BT21">
        <v>17794</v>
      </c>
      <c r="BU21">
        <v>481404</v>
      </c>
      <c r="BV21">
        <v>818568</v>
      </c>
      <c r="BW21">
        <v>15328</v>
      </c>
      <c r="BX21">
        <v>453699</v>
      </c>
      <c r="BY21">
        <v>807845</v>
      </c>
      <c r="BZ21">
        <v>8620</v>
      </c>
      <c r="CA21">
        <v>370759</v>
      </c>
      <c r="CB21">
        <v>892</v>
      </c>
      <c r="CC21">
        <v>443883</v>
      </c>
      <c r="CD21">
        <v>607908</v>
      </c>
      <c r="CE21">
        <v>885</v>
      </c>
      <c r="CF21">
        <v>489508</v>
      </c>
      <c r="CG21">
        <v>806380</v>
      </c>
      <c r="CH21">
        <v>313</v>
      </c>
      <c r="CI21">
        <v>644738</v>
      </c>
      <c r="CJ21">
        <v>1492</v>
      </c>
      <c r="CK21">
        <v>1392566</v>
      </c>
      <c r="CL21">
        <v>2566544</v>
      </c>
      <c r="CM21">
        <v>1493</v>
      </c>
      <c r="CN21">
        <v>1389796</v>
      </c>
      <c r="CO21">
        <v>2482272</v>
      </c>
      <c r="CP21">
        <v>1144</v>
      </c>
      <c r="CQ21">
        <v>1073702</v>
      </c>
      <c r="CR21">
        <v>1559</v>
      </c>
      <c r="CS21">
        <v>1188159</v>
      </c>
      <c r="CT21">
        <v>3091064</v>
      </c>
      <c r="CU21">
        <v>1402</v>
      </c>
      <c r="CV21">
        <v>1051974</v>
      </c>
      <c r="CW21">
        <v>2828248</v>
      </c>
      <c r="CX21">
        <v>1357</v>
      </c>
      <c r="CY21">
        <v>974262</v>
      </c>
      <c r="CZ21">
        <v>52</v>
      </c>
      <c r="DA21">
        <v>738195</v>
      </c>
      <c r="DB21">
        <v>3794279</v>
      </c>
      <c r="DC21">
        <v>52</v>
      </c>
      <c r="DD21">
        <v>738195</v>
      </c>
      <c r="DE21">
        <v>3794279</v>
      </c>
      <c r="DF21">
        <v>0</v>
      </c>
      <c r="DG21">
        <v>0</v>
      </c>
      <c r="DH21">
        <v>7449</v>
      </c>
      <c r="DI21">
        <v>388725</v>
      </c>
      <c r="DJ21">
        <v>1306975</v>
      </c>
      <c r="DK21">
        <v>7376</v>
      </c>
      <c r="DL21">
        <v>384310</v>
      </c>
      <c r="DM21">
        <v>1293944</v>
      </c>
      <c r="DN21">
        <v>1220</v>
      </c>
      <c r="DO21">
        <v>421497</v>
      </c>
      <c r="DP21">
        <v>8583</v>
      </c>
      <c r="DQ21">
        <v>933889</v>
      </c>
      <c r="DR21">
        <v>1685453</v>
      </c>
      <c r="DS21">
        <v>8651</v>
      </c>
      <c r="DT21">
        <v>941198</v>
      </c>
      <c r="DU21">
        <v>2010737</v>
      </c>
      <c r="DV21">
        <v>10843</v>
      </c>
      <c r="DW21">
        <v>669822</v>
      </c>
    </row>
    <row r="22" spans="1:127" x14ac:dyDescent="0.4">
      <c r="A22" s="1" t="s">
        <v>32</v>
      </c>
      <c r="B22" s="1" t="s">
        <v>33</v>
      </c>
      <c r="C22">
        <v>23773</v>
      </c>
      <c r="D22">
        <v>2548627</v>
      </c>
      <c r="E22">
        <v>5508955</v>
      </c>
      <c r="F22">
        <v>22656</v>
      </c>
      <c r="G22">
        <v>2466366</v>
      </c>
      <c r="H22">
        <v>5735182</v>
      </c>
      <c r="I22">
        <v>58860</v>
      </c>
      <c r="J22">
        <v>2723226</v>
      </c>
      <c r="K22">
        <v>8740</v>
      </c>
      <c r="L22">
        <v>2131813</v>
      </c>
      <c r="M22">
        <v>5715652</v>
      </c>
      <c r="N22">
        <v>8398</v>
      </c>
      <c r="O22">
        <v>2096477</v>
      </c>
      <c r="P22">
        <v>5895534</v>
      </c>
      <c r="Q22">
        <v>5506</v>
      </c>
      <c r="R22">
        <v>747850</v>
      </c>
      <c r="S22">
        <v>47</v>
      </c>
      <c r="T22">
        <v>284243</v>
      </c>
      <c r="U22">
        <v>1820517</v>
      </c>
      <c r="V22">
        <v>52</v>
      </c>
      <c r="W22">
        <v>346403</v>
      </c>
      <c r="X22">
        <v>2269445</v>
      </c>
      <c r="Y22">
        <v>18</v>
      </c>
      <c r="Z22">
        <v>159510</v>
      </c>
      <c r="AA22">
        <v>33218</v>
      </c>
      <c r="AB22">
        <v>643280</v>
      </c>
      <c r="AC22">
        <v>1584054</v>
      </c>
      <c r="AD22">
        <v>33866</v>
      </c>
      <c r="AE22">
        <v>874088</v>
      </c>
      <c r="AF22">
        <v>2054225</v>
      </c>
      <c r="AG22">
        <v>6630</v>
      </c>
      <c r="AH22">
        <v>155826</v>
      </c>
      <c r="AI22">
        <v>72912</v>
      </c>
      <c r="AJ22">
        <v>455178</v>
      </c>
      <c r="AK22">
        <v>5432637</v>
      </c>
      <c r="AL22">
        <v>73761</v>
      </c>
      <c r="AM22">
        <v>462198</v>
      </c>
      <c r="AN22">
        <v>4902011</v>
      </c>
      <c r="AO22">
        <v>35691</v>
      </c>
      <c r="AP22">
        <v>163554</v>
      </c>
      <c r="AQ22">
        <v>32120</v>
      </c>
      <c r="AR22">
        <v>965552</v>
      </c>
      <c r="AS22">
        <v>2038728</v>
      </c>
      <c r="AT22">
        <v>67353</v>
      </c>
      <c r="AU22">
        <v>1812842</v>
      </c>
      <c r="AV22">
        <v>3655225</v>
      </c>
      <c r="AW22">
        <v>106066</v>
      </c>
      <c r="AX22">
        <v>2611689</v>
      </c>
      <c r="AY22">
        <v>2542</v>
      </c>
      <c r="AZ22">
        <v>202973</v>
      </c>
      <c r="BA22">
        <v>647369</v>
      </c>
      <c r="BB22">
        <v>2651</v>
      </c>
      <c r="BC22">
        <v>204666</v>
      </c>
      <c r="BD22">
        <v>676655</v>
      </c>
      <c r="BE22">
        <v>4550</v>
      </c>
      <c r="BF22">
        <v>298164</v>
      </c>
      <c r="BG22">
        <v>26238</v>
      </c>
      <c r="BH22">
        <v>699435</v>
      </c>
      <c r="BI22">
        <v>1933577</v>
      </c>
      <c r="BJ22">
        <v>21537</v>
      </c>
      <c r="BK22">
        <v>659389</v>
      </c>
      <c r="BL22">
        <v>2210467</v>
      </c>
      <c r="BM22">
        <v>27267</v>
      </c>
      <c r="BN22">
        <v>1113901</v>
      </c>
      <c r="BO22">
        <v>6480</v>
      </c>
      <c r="BP22">
        <v>5999249</v>
      </c>
      <c r="BQ22">
        <v>7071</v>
      </c>
      <c r="BR22">
        <v>6538410</v>
      </c>
      <c r="BS22">
        <v>1621</v>
      </c>
      <c r="BT22">
        <v>17230</v>
      </c>
      <c r="BU22">
        <v>419757</v>
      </c>
      <c r="BV22">
        <v>714590</v>
      </c>
      <c r="BW22">
        <v>15272</v>
      </c>
      <c r="BX22">
        <v>425480</v>
      </c>
      <c r="BY22">
        <v>763001</v>
      </c>
      <c r="BZ22">
        <v>8597</v>
      </c>
      <c r="CA22">
        <v>365351</v>
      </c>
      <c r="CB22">
        <v>774</v>
      </c>
      <c r="CC22">
        <v>437123</v>
      </c>
      <c r="CD22">
        <v>978940</v>
      </c>
      <c r="CE22">
        <v>752</v>
      </c>
      <c r="CF22">
        <v>449998</v>
      </c>
      <c r="CG22">
        <v>857217</v>
      </c>
      <c r="CH22">
        <v>335</v>
      </c>
      <c r="CI22">
        <v>631863</v>
      </c>
      <c r="CJ22">
        <v>1296</v>
      </c>
      <c r="CK22">
        <v>1191948</v>
      </c>
      <c r="CL22">
        <v>2198337</v>
      </c>
      <c r="CM22">
        <v>1195</v>
      </c>
      <c r="CN22">
        <v>1120404</v>
      </c>
      <c r="CO22">
        <v>2083381</v>
      </c>
      <c r="CP22">
        <v>1245</v>
      </c>
      <c r="CQ22">
        <v>1145246</v>
      </c>
      <c r="CR22">
        <v>1442</v>
      </c>
      <c r="CS22">
        <v>1133847</v>
      </c>
      <c r="CT22">
        <v>3826401</v>
      </c>
      <c r="CU22">
        <v>1393</v>
      </c>
      <c r="CV22">
        <v>1112330</v>
      </c>
      <c r="CW22">
        <v>3854580</v>
      </c>
      <c r="CX22">
        <v>1406</v>
      </c>
      <c r="CY22">
        <v>995779</v>
      </c>
      <c r="CZ22">
        <v>70</v>
      </c>
      <c r="DA22">
        <v>558970</v>
      </c>
      <c r="DB22">
        <v>3684321</v>
      </c>
      <c r="DC22">
        <v>70</v>
      </c>
      <c r="DD22">
        <v>558970</v>
      </c>
      <c r="DE22">
        <v>3684321</v>
      </c>
      <c r="DF22">
        <v>0</v>
      </c>
      <c r="DG22">
        <v>0</v>
      </c>
      <c r="DH22">
        <v>7877</v>
      </c>
      <c r="DI22">
        <v>445015</v>
      </c>
      <c r="DJ22">
        <v>1341703</v>
      </c>
      <c r="DK22">
        <v>7870</v>
      </c>
      <c r="DL22">
        <v>443982</v>
      </c>
      <c r="DM22">
        <v>1334518</v>
      </c>
      <c r="DN22">
        <v>1227</v>
      </c>
      <c r="DO22">
        <v>420228</v>
      </c>
      <c r="DP22">
        <v>8400</v>
      </c>
      <c r="DQ22">
        <v>958218</v>
      </c>
      <c r="DR22">
        <v>1871197</v>
      </c>
      <c r="DS22">
        <v>8988</v>
      </c>
      <c r="DT22">
        <v>985083</v>
      </c>
      <c r="DU22">
        <v>2299099</v>
      </c>
      <c r="DV22">
        <v>10405</v>
      </c>
      <c r="DW22">
        <v>657782</v>
      </c>
    </row>
    <row r="23" spans="1:127" x14ac:dyDescent="0.4">
      <c r="A23" s="1" t="s">
        <v>34</v>
      </c>
      <c r="B23" s="1" t="s">
        <v>35</v>
      </c>
      <c r="C23">
        <v>23047</v>
      </c>
      <c r="D23">
        <v>2576813</v>
      </c>
      <c r="E23">
        <v>5549517</v>
      </c>
      <c r="F23">
        <v>23324</v>
      </c>
      <c r="G23">
        <v>2609241</v>
      </c>
      <c r="H23">
        <v>5961569</v>
      </c>
      <c r="I23">
        <v>59144</v>
      </c>
      <c r="J23">
        <v>2718072</v>
      </c>
      <c r="K23">
        <v>7777</v>
      </c>
      <c r="L23">
        <v>1846744</v>
      </c>
      <c r="M23">
        <v>4379195</v>
      </c>
      <c r="N23">
        <v>8295</v>
      </c>
      <c r="O23">
        <v>1981747</v>
      </c>
      <c r="P23">
        <v>4989447</v>
      </c>
      <c r="Q23">
        <v>5318</v>
      </c>
      <c r="R23">
        <v>697570</v>
      </c>
      <c r="S23">
        <v>67</v>
      </c>
      <c r="T23">
        <v>708938</v>
      </c>
      <c r="U23">
        <v>4005800</v>
      </c>
      <c r="V23">
        <v>67</v>
      </c>
      <c r="W23">
        <v>673718</v>
      </c>
      <c r="X23">
        <v>3888724</v>
      </c>
      <c r="Y23">
        <v>17</v>
      </c>
      <c r="Z23">
        <v>194510</v>
      </c>
      <c r="AA23">
        <v>30935</v>
      </c>
      <c r="AB23">
        <v>623244</v>
      </c>
      <c r="AC23">
        <v>1605659</v>
      </c>
      <c r="AD23">
        <v>31953</v>
      </c>
      <c r="AE23">
        <v>840582</v>
      </c>
      <c r="AF23">
        <v>2044784</v>
      </c>
      <c r="AG23">
        <v>5821</v>
      </c>
      <c r="AH23">
        <v>140680</v>
      </c>
      <c r="AI23">
        <v>72988</v>
      </c>
      <c r="AJ23">
        <v>447388</v>
      </c>
      <c r="AK23">
        <v>5561054</v>
      </c>
      <c r="AL23">
        <v>73918</v>
      </c>
      <c r="AM23">
        <v>447021</v>
      </c>
      <c r="AN23">
        <v>5023142</v>
      </c>
      <c r="AO23">
        <v>35731</v>
      </c>
      <c r="AP23">
        <v>171268</v>
      </c>
      <c r="AQ23">
        <v>31850</v>
      </c>
      <c r="AR23">
        <v>1127863</v>
      </c>
      <c r="AS23">
        <v>2317243</v>
      </c>
      <c r="AT23">
        <v>69649</v>
      </c>
      <c r="AU23">
        <v>1996912</v>
      </c>
      <c r="AV23">
        <v>4132610</v>
      </c>
      <c r="AW23">
        <v>113707</v>
      </c>
      <c r="AX23">
        <v>2785015</v>
      </c>
      <c r="AY23">
        <v>2401</v>
      </c>
      <c r="AZ23">
        <v>235230</v>
      </c>
      <c r="BA23">
        <v>711743</v>
      </c>
      <c r="BB23">
        <v>2611</v>
      </c>
      <c r="BC23">
        <v>239529</v>
      </c>
      <c r="BD23">
        <v>765316</v>
      </c>
      <c r="BE23">
        <v>4428</v>
      </c>
      <c r="BF23">
        <v>297573</v>
      </c>
      <c r="BG23">
        <v>26049</v>
      </c>
      <c r="BH23">
        <v>866662</v>
      </c>
      <c r="BI23">
        <v>1773588</v>
      </c>
      <c r="BJ23">
        <v>24018</v>
      </c>
      <c r="BK23">
        <v>835529</v>
      </c>
      <c r="BL23">
        <v>2265392</v>
      </c>
      <c r="BM23">
        <v>29304</v>
      </c>
      <c r="BN23">
        <v>1145167</v>
      </c>
      <c r="BO23">
        <v>7288</v>
      </c>
      <c r="BP23">
        <v>7695397</v>
      </c>
      <c r="BQ23">
        <v>7543</v>
      </c>
      <c r="BR23">
        <v>8250324</v>
      </c>
      <c r="BS23">
        <v>1593</v>
      </c>
      <c r="BT23">
        <v>17216</v>
      </c>
      <c r="BU23">
        <v>426130</v>
      </c>
      <c r="BV23">
        <v>711746</v>
      </c>
      <c r="BW23">
        <v>15307</v>
      </c>
      <c r="BX23">
        <v>428556</v>
      </c>
      <c r="BY23">
        <v>758056</v>
      </c>
      <c r="BZ23">
        <v>8525</v>
      </c>
      <c r="CA23">
        <v>360856</v>
      </c>
      <c r="CB23">
        <v>839</v>
      </c>
      <c r="CC23">
        <v>621737</v>
      </c>
      <c r="CD23">
        <v>2510881</v>
      </c>
      <c r="CE23">
        <v>768</v>
      </c>
      <c r="CF23">
        <v>595737</v>
      </c>
      <c r="CG23">
        <v>2593735</v>
      </c>
      <c r="CH23">
        <v>406</v>
      </c>
      <c r="CI23">
        <v>657863</v>
      </c>
      <c r="CJ23">
        <v>1150</v>
      </c>
      <c r="CK23">
        <v>1053945</v>
      </c>
      <c r="CL23">
        <v>2120675</v>
      </c>
      <c r="CM23">
        <v>1172</v>
      </c>
      <c r="CN23">
        <v>1083409</v>
      </c>
      <c r="CO23">
        <v>1962110</v>
      </c>
      <c r="CP23">
        <v>1223</v>
      </c>
      <c r="CQ23">
        <v>1115782</v>
      </c>
      <c r="CR23">
        <v>1477</v>
      </c>
      <c r="CS23">
        <v>1299767</v>
      </c>
      <c r="CT23">
        <v>4610398</v>
      </c>
      <c r="CU23">
        <v>1542</v>
      </c>
      <c r="CV23">
        <v>1359820</v>
      </c>
      <c r="CW23">
        <v>4852020</v>
      </c>
      <c r="CX23">
        <v>1341</v>
      </c>
      <c r="CY23">
        <v>935726</v>
      </c>
      <c r="CZ23">
        <v>61</v>
      </c>
      <c r="DA23">
        <v>1414680</v>
      </c>
      <c r="DB23">
        <v>9349458</v>
      </c>
      <c r="DC23">
        <v>61</v>
      </c>
      <c r="DD23">
        <v>1414680</v>
      </c>
      <c r="DE23">
        <v>9349458</v>
      </c>
      <c r="DF23">
        <v>0</v>
      </c>
      <c r="DG23">
        <v>0</v>
      </c>
      <c r="DH23">
        <v>6463</v>
      </c>
      <c r="DI23">
        <v>556924</v>
      </c>
      <c r="DJ23">
        <v>1724957</v>
      </c>
      <c r="DK23">
        <v>6448</v>
      </c>
      <c r="DL23">
        <v>419467</v>
      </c>
      <c r="DM23">
        <v>1308427</v>
      </c>
      <c r="DN23">
        <v>1242</v>
      </c>
      <c r="DO23">
        <v>560920</v>
      </c>
      <c r="DP23">
        <v>7853</v>
      </c>
      <c r="DQ23">
        <v>1180954</v>
      </c>
      <c r="DR23">
        <v>2067756</v>
      </c>
      <c r="DS23">
        <v>7953</v>
      </c>
      <c r="DT23">
        <v>1194515</v>
      </c>
      <c r="DU23">
        <v>2468803</v>
      </c>
      <c r="DV23">
        <v>10335</v>
      </c>
      <c r="DW23">
        <v>645857</v>
      </c>
    </row>
    <row r="24" spans="1:127" x14ac:dyDescent="0.4">
      <c r="A24" s="1" t="s">
        <v>36</v>
      </c>
      <c r="B24" s="1" t="s">
        <v>37</v>
      </c>
      <c r="C24">
        <v>21201</v>
      </c>
      <c r="D24">
        <v>2484650</v>
      </c>
      <c r="E24">
        <v>5758753</v>
      </c>
      <c r="F24">
        <v>22631</v>
      </c>
      <c r="G24">
        <v>2527996</v>
      </c>
      <c r="H24">
        <v>6149612</v>
      </c>
      <c r="I24">
        <v>49932</v>
      </c>
      <c r="J24">
        <v>2385267</v>
      </c>
      <c r="K24">
        <v>7073</v>
      </c>
      <c r="L24">
        <v>1529958</v>
      </c>
      <c r="M24">
        <v>4212326</v>
      </c>
      <c r="N24">
        <v>7698</v>
      </c>
      <c r="O24">
        <v>1531757</v>
      </c>
      <c r="P24">
        <v>4814053</v>
      </c>
      <c r="Q24">
        <v>4716</v>
      </c>
      <c r="R24">
        <v>729315</v>
      </c>
      <c r="S24">
        <v>54</v>
      </c>
      <c r="T24">
        <v>567399</v>
      </c>
      <c r="U24">
        <v>3519381</v>
      </c>
      <c r="V24">
        <v>43</v>
      </c>
      <c r="W24">
        <v>428409</v>
      </c>
      <c r="X24">
        <v>2563862</v>
      </c>
      <c r="Y24">
        <v>29</v>
      </c>
      <c r="Z24">
        <v>333720</v>
      </c>
      <c r="AA24">
        <v>34853</v>
      </c>
      <c r="AB24">
        <v>562083</v>
      </c>
      <c r="AC24">
        <v>1441337</v>
      </c>
      <c r="AD24">
        <v>35358</v>
      </c>
      <c r="AE24">
        <v>692172</v>
      </c>
      <c r="AF24">
        <v>1715864</v>
      </c>
      <c r="AG24">
        <v>5347</v>
      </c>
      <c r="AH24">
        <v>126481</v>
      </c>
      <c r="AI24">
        <v>72351</v>
      </c>
      <c r="AJ24">
        <v>400148</v>
      </c>
      <c r="AK24">
        <v>5063529</v>
      </c>
      <c r="AL24">
        <v>72610</v>
      </c>
      <c r="AM24">
        <v>405480</v>
      </c>
      <c r="AN24">
        <v>4522373</v>
      </c>
      <c r="AO24">
        <v>35772</v>
      </c>
      <c r="AP24">
        <v>171027</v>
      </c>
      <c r="AQ24">
        <v>29720</v>
      </c>
      <c r="AR24">
        <v>960505</v>
      </c>
      <c r="AS24">
        <v>2163011</v>
      </c>
      <c r="AT24">
        <v>66423</v>
      </c>
      <c r="AU24">
        <v>1789507</v>
      </c>
      <c r="AV24">
        <v>3778192</v>
      </c>
      <c r="AW24">
        <v>121656</v>
      </c>
      <c r="AX24">
        <v>2918571</v>
      </c>
      <c r="AY24">
        <v>2151</v>
      </c>
      <c r="AZ24">
        <v>188735</v>
      </c>
      <c r="BA24">
        <v>653487</v>
      </c>
      <c r="BB24">
        <v>2186</v>
      </c>
      <c r="BC24">
        <v>178554</v>
      </c>
      <c r="BD24">
        <v>662150</v>
      </c>
      <c r="BE24">
        <v>4303</v>
      </c>
      <c r="BF24">
        <v>304786</v>
      </c>
      <c r="BG24">
        <v>19555</v>
      </c>
      <c r="BH24">
        <v>670992</v>
      </c>
      <c r="BI24">
        <v>1636669</v>
      </c>
      <c r="BJ24">
        <v>21346</v>
      </c>
      <c r="BK24">
        <v>686217</v>
      </c>
      <c r="BL24">
        <v>2012442</v>
      </c>
      <c r="BM24">
        <v>27515</v>
      </c>
      <c r="BN24">
        <v>1129986</v>
      </c>
      <c r="BO24">
        <v>5717</v>
      </c>
      <c r="BP24">
        <v>4300504</v>
      </c>
      <c r="BQ24">
        <v>6087</v>
      </c>
      <c r="BR24">
        <v>4858074</v>
      </c>
      <c r="BS24">
        <v>1484</v>
      </c>
      <c r="BT24">
        <v>16750</v>
      </c>
      <c r="BU24">
        <v>392193</v>
      </c>
      <c r="BV24">
        <v>682505</v>
      </c>
      <c r="BW24">
        <v>15081</v>
      </c>
      <c r="BX24">
        <v>409313</v>
      </c>
      <c r="BY24">
        <v>733637</v>
      </c>
      <c r="BZ24">
        <v>8213</v>
      </c>
      <c r="CA24">
        <v>343391</v>
      </c>
      <c r="CB24">
        <v>716</v>
      </c>
      <c r="CC24">
        <v>562219</v>
      </c>
      <c r="CD24">
        <v>1956889</v>
      </c>
      <c r="CE24">
        <v>798</v>
      </c>
      <c r="CF24">
        <v>657719</v>
      </c>
      <c r="CG24">
        <v>2644512</v>
      </c>
      <c r="CH24">
        <v>324</v>
      </c>
      <c r="CI24">
        <v>562363</v>
      </c>
      <c r="CJ24">
        <v>1345</v>
      </c>
      <c r="CK24">
        <v>1170821</v>
      </c>
      <c r="CL24">
        <v>2190052</v>
      </c>
      <c r="CM24">
        <v>1209</v>
      </c>
      <c r="CN24">
        <v>1129317</v>
      </c>
      <c r="CO24">
        <v>2166624</v>
      </c>
      <c r="CP24">
        <v>1359</v>
      </c>
      <c r="CQ24">
        <v>1157286</v>
      </c>
      <c r="CR24">
        <v>1401</v>
      </c>
      <c r="CS24">
        <v>1171403</v>
      </c>
      <c r="CT24">
        <v>3072941</v>
      </c>
      <c r="CU24">
        <v>1373</v>
      </c>
      <c r="CV24">
        <v>1109848</v>
      </c>
      <c r="CW24">
        <v>2886058</v>
      </c>
      <c r="CX24">
        <v>1369</v>
      </c>
      <c r="CY24">
        <v>997281</v>
      </c>
      <c r="CZ24">
        <v>38</v>
      </c>
      <c r="DA24">
        <v>231035</v>
      </c>
      <c r="DB24">
        <v>1636075</v>
      </c>
      <c r="DC24">
        <v>38</v>
      </c>
      <c r="DD24">
        <v>231035</v>
      </c>
      <c r="DE24">
        <v>1636075</v>
      </c>
      <c r="DF24">
        <v>0</v>
      </c>
      <c r="DG24">
        <v>0</v>
      </c>
      <c r="DH24">
        <v>6682</v>
      </c>
      <c r="DI24">
        <v>401348</v>
      </c>
      <c r="DJ24">
        <v>1210077</v>
      </c>
      <c r="DK24">
        <v>6665</v>
      </c>
      <c r="DL24">
        <v>385074</v>
      </c>
      <c r="DM24">
        <v>1152379</v>
      </c>
      <c r="DN24">
        <v>1259</v>
      </c>
      <c r="DO24">
        <v>578308</v>
      </c>
      <c r="DP24">
        <v>7573</v>
      </c>
      <c r="DQ24">
        <v>784567</v>
      </c>
      <c r="DR24">
        <v>1544213</v>
      </c>
      <c r="DS24">
        <v>7806</v>
      </c>
      <c r="DT24">
        <v>801877</v>
      </c>
      <c r="DU24">
        <v>1898513</v>
      </c>
      <c r="DV24">
        <v>10144</v>
      </c>
      <c r="DW24">
        <v>636277</v>
      </c>
    </row>
    <row r="25" spans="1:127" x14ac:dyDescent="0.4">
      <c r="A25" s="1" t="s">
        <v>38</v>
      </c>
      <c r="B25" s="1" t="s">
        <v>39</v>
      </c>
      <c r="C25">
        <v>21066</v>
      </c>
      <c r="D25">
        <v>2487301</v>
      </c>
      <c r="E25">
        <v>5506610</v>
      </c>
      <c r="F25">
        <v>21418</v>
      </c>
      <c r="G25">
        <v>2483085</v>
      </c>
      <c r="H25">
        <v>5785381</v>
      </c>
      <c r="I25">
        <v>49713</v>
      </c>
      <c r="J25">
        <v>2391485</v>
      </c>
      <c r="K25">
        <v>7806</v>
      </c>
      <c r="L25">
        <v>1914323</v>
      </c>
      <c r="M25">
        <v>5179300</v>
      </c>
      <c r="N25">
        <v>7566</v>
      </c>
      <c r="O25">
        <v>1947612</v>
      </c>
      <c r="P25">
        <v>5507535</v>
      </c>
      <c r="Q25">
        <v>5074</v>
      </c>
      <c r="R25">
        <v>750675</v>
      </c>
      <c r="S25">
        <v>46</v>
      </c>
      <c r="T25">
        <v>591354</v>
      </c>
      <c r="U25">
        <v>4199706</v>
      </c>
      <c r="V25">
        <v>33</v>
      </c>
      <c r="W25">
        <v>429974</v>
      </c>
      <c r="X25">
        <v>3314449</v>
      </c>
      <c r="Y25">
        <v>42</v>
      </c>
      <c r="Z25">
        <v>495100</v>
      </c>
      <c r="AA25">
        <v>37285</v>
      </c>
      <c r="AB25">
        <v>698120</v>
      </c>
      <c r="AC25">
        <v>1772586</v>
      </c>
      <c r="AD25">
        <v>37352</v>
      </c>
      <c r="AE25">
        <v>858792</v>
      </c>
      <c r="AF25">
        <v>2109070</v>
      </c>
      <c r="AG25">
        <v>5453</v>
      </c>
      <c r="AH25">
        <v>130449</v>
      </c>
      <c r="AI25">
        <v>72445</v>
      </c>
      <c r="AJ25">
        <v>403598</v>
      </c>
      <c r="AK25">
        <v>5718728</v>
      </c>
      <c r="AL25">
        <v>73595</v>
      </c>
      <c r="AM25">
        <v>428974</v>
      </c>
      <c r="AN25">
        <v>5253991</v>
      </c>
      <c r="AO25">
        <v>35633</v>
      </c>
      <c r="AP25">
        <v>153787</v>
      </c>
      <c r="AQ25">
        <v>29427</v>
      </c>
      <c r="AR25">
        <v>903512</v>
      </c>
      <c r="AS25">
        <v>2024195</v>
      </c>
      <c r="AT25">
        <v>58890</v>
      </c>
      <c r="AU25">
        <v>1627371</v>
      </c>
      <c r="AV25">
        <v>3740153</v>
      </c>
      <c r="AW25">
        <v>124869</v>
      </c>
      <c r="AX25">
        <v>2992032</v>
      </c>
      <c r="AY25">
        <v>2628</v>
      </c>
      <c r="AZ25">
        <v>174213</v>
      </c>
      <c r="BA25">
        <v>576530</v>
      </c>
      <c r="BB25">
        <v>2214</v>
      </c>
      <c r="BC25">
        <v>179184</v>
      </c>
      <c r="BD25">
        <v>619425</v>
      </c>
      <c r="BE25">
        <v>4734</v>
      </c>
      <c r="BF25">
        <v>301185</v>
      </c>
      <c r="BG25">
        <v>25770</v>
      </c>
      <c r="BH25">
        <v>780719</v>
      </c>
      <c r="BI25">
        <v>1866734</v>
      </c>
      <c r="BJ25">
        <v>27311</v>
      </c>
      <c r="BK25">
        <v>826049</v>
      </c>
      <c r="BL25">
        <v>2446159</v>
      </c>
      <c r="BM25">
        <v>25979</v>
      </c>
      <c r="BN25">
        <v>1084766</v>
      </c>
      <c r="BO25">
        <v>6827</v>
      </c>
      <c r="BP25">
        <v>5613398</v>
      </c>
      <c r="BQ25">
        <v>6950</v>
      </c>
      <c r="BR25">
        <v>6178980</v>
      </c>
      <c r="BS25">
        <v>1647</v>
      </c>
      <c r="BT25">
        <v>17068</v>
      </c>
      <c r="BU25">
        <v>397381</v>
      </c>
      <c r="BV25">
        <v>721423</v>
      </c>
      <c r="BW25">
        <v>15086</v>
      </c>
      <c r="BX25">
        <v>394332</v>
      </c>
      <c r="BY25">
        <v>756890</v>
      </c>
      <c r="BZ25">
        <v>8214</v>
      </c>
      <c r="CA25">
        <v>345049</v>
      </c>
      <c r="CB25">
        <v>724</v>
      </c>
      <c r="CC25">
        <v>548039</v>
      </c>
      <c r="CD25">
        <v>2280101</v>
      </c>
      <c r="CE25">
        <v>720</v>
      </c>
      <c r="CF25">
        <v>490414</v>
      </c>
      <c r="CG25">
        <v>2083030</v>
      </c>
      <c r="CH25">
        <v>328</v>
      </c>
      <c r="CI25">
        <v>619988</v>
      </c>
      <c r="CJ25">
        <v>1491</v>
      </c>
      <c r="CK25">
        <v>1337988</v>
      </c>
      <c r="CL25">
        <v>2324296</v>
      </c>
      <c r="CM25">
        <v>1444</v>
      </c>
      <c r="CN25">
        <v>1196897</v>
      </c>
      <c r="CO25">
        <v>2145202</v>
      </c>
      <c r="CP25">
        <v>1406</v>
      </c>
      <c r="CQ25">
        <v>1298377</v>
      </c>
      <c r="CR25">
        <v>1431</v>
      </c>
      <c r="CS25">
        <v>1377738</v>
      </c>
      <c r="CT25">
        <v>4157815</v>
      </c>
      <c r="CU25">
        <v>1466</v>
      </c>
      <c r="CV25">
        <v>1365647</v>
      </c>
      <c r="CW25">
        <v>4282131</v>
      </c>
      <c r="CX25">
        <v>1334</v>
      </c>
      <c r="CY25">
        <v>1009372</v>
      </c>
      <c r="CZ25">
        <v>44</v>
      </c>
      <c r="DA25">
        <v>210960</v>
      </c>
      <c r="DB25">
        <v>530334</v>
      </c>
      <c r="DC25">
        <v>44</v>
      </c>
      <c r="DD25">
        <v>210960</v>
      </c>
      <c r="DE25">
        <v>530334</v>
      </c>
      <c r="DF25">
        <v>0</v>
      </c>
      <c r="DG25">
        <v>0</v>
      </c>
      <c r="DH25">
        <v>6771</v>
      </c>
      <c r="DI25">
        <v>375574</v>
      </c>
      <c r="DJ25">
        <v>1139991</v>
      </c>
      <c r="DK25">
        <v>6798</v>
      </c>
      <c r="DL25">
        <v>381245</v>
      </c>
      <c r="DM25">
        <v>1159558</v>
      </c>
      <c r="DN25">
        <v>1232</v>
      </c>
      <c r="DO25">
        <v>570213</v>
      </c>
      <c r="DP25">
        <v>7602</v>
      </c>
      <c r="DQ25">
        <v>810074</v>
      </c>
      <c r="DR25">
        <v>1560211</v>
      </c>
      <c r="DS25">
        <v>8217</v>
      </c>
      <c r="DT25">
        <v>857285</v>
      </c>
      <c r="DU25">
        <v>2029224</v>
      </c>
      <c r="DV25">
        <v>9577</v>
      </c>
      <c r="DW25">
        <v>606998</v>
      </c>
    </row>
    <row r="26" spans="1:127" x14ac:dyDescent="0.4">
      <c r="A26" s="1" t="s">
        <v>40</v>
      </c>
      <c r="B26" s="1" t="s">
        <v>41</v>
      </c>
      <c r="C26">
        <v>23761</v>
      </c>
      <c r="D26">
        <v>2645281</v>
      </c>
      <c r="E26">
        <v>5999237</v>
      </c>
      <c r="F26">
        <v>21871</v>
      </c>
      <c r="G26">
        <v>2576639</v>
      </c>
      <c r="H26">
        <v>6315627</v>
      </c>
      <c r="I26">
        <v>51929</v>
      </c>
      <c r="J26">
        <v>2476997</v>
      </c>
      <c r="K26">
        <v>7758</v>
      </c>
      <c r="L26">
        <v>2068034</v>
      </c>
      <c r="M26">
        <v>5617002</v>
      </c>
      <c r="N26">
        <v>7353</v>
      </c>
      <c r="O26">
        <v>2098627</v>
      </c>
      <c r="P26">
        <v>5699737</v>
      </c>
      <c r="Q26">
        <v>5675</v>
      </c>
      <c r="R26">
        <v>752887</v>
      </c>
      <c r="S26">
        <v>58</v>
      </c>
      <c r="T26">
        <v>594900</v>
      </c>
      <c r="U26">
        <v>4053125</v>
      </c>
      <c r="V26">
        <v>55</v>
      </c>
      <c r="W26">
        <v>535330</v>
      </c>
      <c r="X26">
        <v>3714766</v>
      </c>
      <c r="Y26">
        <v>43</v>
      </c>
      <c r="Z26">
        <v>554230</v>
      </c>
      <c r="AA26">
        <v>33327</v>
      </c>
      <c r="AB26">
        <v>670636</v>
      </c>
      <c r="AC26">
        <v>1647672</v>
      </c>
      <c r="AD26">
        <v>34226</v>
      </c>
      <c r="AE26">
        <v>1043637</v>
      </c>
      <c r="AF26">
        <v>2474121</v>
      </c>
      <c r="AG26">
        <v>4693</v>
      </c>
      <c r="AH26">
        <v>119447</v>
      </c>
      <c r="AI26">
        <v>72460</v>
      </c>
      <c r="AJ26">
        <v>392716</v>
      </c>
      <c r="AK26">
        <v>5386454</v>
      </c>
      <c r="AL26">
        <v>73181</v>
      </c>
      <c r="AM26">
        <v>403151</v>
      </c>
      <c r="AN26">
        <v>4889509</v>
      </c>
      <c r="AO26">
        <v>35494</v>
      </c>
      <c r="AP26">
        <v>150371</v>
      </c>
      <c r="AQ26">
        <v>30339</v>
      </c>
      <c r="AR26">
        <v>902895</v>
      </c>
      <c r="AS26">
        <v>2121023</v>
      </c>
      <c r="AT26">
        <v>60152</v>
      </c>
      <c r="AU26">
        <v>1579811</v>
      </c>
      <c r="AV26">
        <v>3243226</v>
      </c>
      <c r="AW26">
        <v>136102</v>
      </c>
      <c r="AX26">
        <v>3169997</v>
      </c>
      <c r="AY26">
        <v>2368</v>
      </c>
      <c r="AZ26">
        <v>171192</v>
      </c>
      <c r="BA26">
        <v>533897</v>
      </c>
      <c r="BB26">
        <v>2351</v>
      </c>
      <c r="BC26">
        <v>177800</v>
      </c>
      <c r="BD26">
        <v>559477</v>
      </c>
      <c r="BE26">
        <v>4804</v>
      </c>
      <c r="BF26">
        <v>294654</v>
      </c>
      <c r="BG26">
        <v>26256</v>
      </c>
      <c r="BH26">
        <v>943889</v>
      </c>
      <c r="BI26">
        <v>2079731</v>
      </c>
      <c r="BJ26">
        <v>29119</v>
      </c>
      <c r="BK26">
        <v>1024601</v>
      </c>
      <c r="BL26">
        <v>2698024</v>
      </c>
      <c r="BM26">
        <v>23273</v>
      </c>
      <c r="BN26">
        <v>1007526</v>
      </c>
      <c r="BO26">
        <v>7188</v>
      </c>
      <c r="BP26">
        <v>5979515</v>
      </c>
      <c r="BQ26">
        <v>7589</v>
      </c>
      <c r="BR26">
        <v>6806822</v>
      </c>
      <c r="BS26">
        <v>1567</v>
      </c>
      <c r="BT26">
        <v>17228</v>
      </c>
      <c r="BU26">
        <v>434897</v>
      </c>
      <c r="BV26">
        <v>741694</v>
      </c>
      <c r="BW26">
        <v>15150</v>
      </c>
      <c r="BX26">
        <v>429416</v>
      </c>
      <c r="BY26">
        <v>794865</v>
      </c>
      <c r="BZ26">
        <v>8311</v>
      </c>
      <c r="CA26">
        <v>348210</v>
      </c>
      <c r="CB26">
        <v>851</v>
      </c>
      <c r="CC26">
        <v>524009</v>
      </c>
      <c r="CD26">
        <v>919984</v>
      </c>
      <c r="CE26">
        <v>784</v>
      </c>
      <c r="CF26">
        <v>490759</v>
      </c>
      <c r="CG26">
        <v>854520</v>
      </c>
      <c r="CH26">
        <v>395</v>
      </c>
      <c r="CI26">
        <v>653238</v>
      </c>
      <c r="CJ26">
        <v>1568</v>
      </c>
      <c r="CK26">
        <v>1409963</v>
      </c>
      <c r="CL26">
        <v>2462001</v>
      </c>
      <c r="CM26">
        <v>1710</v>
      </c>
      <c r="CN26">
        <v>1564924</v>
      </c>
      <c r="CO26">
        <v>2812652</v>
      </c>
      <c r="CP26">
        <v>1264</v>
      </c>
      <c r="CQ26">
        <v>1143861</v>
      </c>
      <c r="CR26">
        <v>1634</v>
      </c>
      <c r="CS26">
        <v>1507329</v>
      </c>
      <c r="CT26">
        <v>7841951</v>
      </c>
      <c r="CU26">
        <v>1818</v>
      </c>
      <c r="CV26">
        <v>1753825</v>
      </c>
      <c r="CW26">
        <v>8626887</v>
      </c>
      <c r="CX26">
        <v>1150</v>
      </c>
      <c r="CY26">
        <v>762876</v>
      </c>
      <c r="CZ26">
        <v>70</v>
      </c>
      <c r="DA26">
        <v>913600</v>
      </c>
      <c r="DB26">
        <v>3398592</v>
      </c>
      <c r="DC26">
        <v>70</v>
      </c>
      <c r="DD26">
        <v>913600</v>
      </c>
      <c r="DE26">
        <v>3398592</v>
      </c>
      <c r="DF26">
        <v>0</v>
      </c>
      <c r="DG26">
        <v>0</v>
      </c>
      <c r="DH26">
        <v>7988</v>
      </c>
      <c r="DI26">
        <v>422049</v>
      </c>
      <c r="DJ26">
        <v>1173413</v>
      </c>
      <c r="DK26">
        <v>8108</v>
      </c>
      <c r="DL26">
        <v>451181</v>
      </c>
      <c r="DM26">
        <v>1264058</v>
      </c>
      <c r="DN26">
        <v>1112</v>
      </c>
      <c r="DO26">
        <v>543322</v>
      </c>
      <c r="DP26">
        <v>8303</v>
      </c>
      <c r="DQ26">
        <v>1321860</v>
      </c>
      <c r="DR26">
        <v>4359835</v>
      </c>
      <c r="DS26">
        <v>8161</v>
      </c>
      <c r="DT26">
        <v>1321887</v>
      </c>
      <c r="DU26">
        <v>4859180</v>
      </c>
      <c r="DV26">
        <v>9741</v>
      </c>
      <c r="DW26">
        <v>591687</v>
      </c>
    </row>
    <row r="27" spans="1:127" x14ac:dyDescent="0.4">
      <c r="A27" s="1" t="s">
        <v>42</v>
      </c>
      <c r="B27" s="1" t="s">
        <v>43</v>
      </c>
      <c r="C27">
        <v>22305</v>
      </c>
      <c r="D27">
        <v>2454381</v>
      </c>
      <c r="E27">
        <v>4920502</v>
      </c>
      <c r="F27">
        <v>22893</v>
      </c>
      <c r="G27">
        <v>2500237</v>
      </c>
      <c r="H27">
        <v>5126926</v>
      </c>
      <c r="I27">
        <v>51176</v>
      </c>
      <c r="J27">
        <v>2435708</v>
      </c>
      <c r="K27">
        <v>8165</v>
      </c>
      <c r="L27">
        <v>1825067</v>
      </c>
      <c r="M27">
        <v>4936789</v>
      </c>
      <c r="N27">
        <v>7660</v>
      </c>
      <c r="O27">
        <v>1742935</v>
      </c>
      <c r="P27">
        <v>4760981</v>
      </c>
      <c r="Q27">
        <v>6225</v>
      </c>
      <c r="R27">
        <v>846710</v>
      </c>
      <c r="S27">
        <v>45</v>
      </c>
      <c r="T27">
        <v>339717</v>
      </c>
      <c r="U27">
        <v>1966939</v>
      </c>
      <c r="V27">
        <v>44</v>
      </c>
      <c r="W27">
        <v>339517</v>
      </c>
      <c r="X27">
        <v>1974236</v>
      </c>
      <c r="Y27">
        <v>43</v>
      </c>
      <c r="Z27">
        <v>554230</v>
      </c>
      <c r="AA27">
        <v>35214</v>
      </c>
      <c r="AB27">
        <v>580043</v>
      </c>
      <c r="AC27">
        <v>1357511</v>
      </c>
      <c r="AD27">
        <v>35598</v>
      </c>
      <c r="AE27">
        <v>676928</v>
      </c>
      <c r="AF27">
        <v>1557018</v>
      </c>
      <c r="AG27">
        <v>4389</v>
      </c>
      <c r="AH27">
        <v>112258</v>
      </c>
      <c r="AI27">
        <v>72700</v>
      </c>
      <c r="AJ27">
        <v>363683</v>
      </c>
      <c r="AK27">
        <v>5002668</v>
      </c>
      <c r="AL27">
        <v>73502</v>
      </c>
      <c r="AM27">
        <v>387611</v>
      </c>
      <c r="AN27">
        <v>4518097</v>
      </c>
      <c r="AO27">
        <v>35435</v>
      </c>
      <c r="AP27">
        <v>133449</v>
      </c>
      <c r="AQ27">
        <v>32900</v>
      </c>
      <c r="AR27">
        <v>904536</v>
      </c>
      <c r="AS27">
        <v>2142853</v>
      </c>
      <c r="AT27">
        <v>70703</v>
      </c>
      <c r="AU27">
        <v>1735284</v>
      </c>
      <c r="AV27">
        <v>4386084</v>
      </c>
      <c r="AW27">
        <v>134030</v>
      </c>
      <c r="AX27">
        <v>3104297</v>
      </c>
      <c r="AY27">
        <v>2836</v>
      </c>
      <c r="AZ27">
        <v>169022</v>
      </c>
      <c r="BA27">
        <v>474312</v>
      </c>
      <c r="BB27">
        <v>2365</v>
      </c>
      <c r="BC27">
        <v>159143</v>
      </c>
      <c r="BD27">
        <v>434247</v>
      </c>
      <c r="BE27">
        <v>5199</v>
      </c>
      <c r="BF27">
        <v>297582</v>
      </c>
      <c r="BG27">
        <v>24017</v>
      </c>
      <c r="BH27">
        <v>646826</v>
      </c>
      <c r="BI27">
        <v>1627148</v>
      </c>
      <c r="BJ27">
        <v>24502</v>
      </c>
      <c r="BK27">
        <v>592365</v>
      </c>
      <c r="BL27">
        <v>1868209</v>
      </c>
      <c r="BM27">
        <v>22912</v>
      </c>
      <c r="BN27">
        <v>1064726</v>
      </c>
      <c r="BO27">
        <v>6813</v>
      </c>
      <c r="BP27">
        <v>5558429</v>
      </c>
      <c r="BQ27">
        <v>6909</v>
      </c>
      <c r="BR27">
        <v>5999435</v>
      </c>
      <c r="BS27">
        <v>1767</v>
      </c>
      <c r="BT27">
        <v>16986</v>
      </c>
      <c r="BU27">
        <v>374781</v>
      </c>
      <c r="BV27">
        <v>671045</v>
      </c>
      <c r="BW27">
        <v>14880</v>
      </c>
      <c r="BX27">
        <v>366301</v>
      </c>
      <c r="BY27">
        <v>655129</v>
      </c>
      <c r="BZ27">
        <v>8436</v>
      </c>
      <c r="CA27">
        <v>354580</v>
      </c>
      <c r="CB27">
        <v>702</v>
      </c>
      <c r="CC27">
        <v>564983</v>
      </c>
      <c r="CD27">
        <v>1257861</v>
      </c>
      <c r="CE27">
        <v>686</v>
      </c>
      <c r="CF27">
        <v>525733</v>
      </c>
      <c r="CG27">
        <v>1090871</v>
      </c>
      <c r="CH27">
        <v>411</v>
      </c>
      <c r="CI27">
        <v>692488</v>
      </c>
      <c r="CJ27">
        <v>1646</v>
      </c>
      <c r="CK27">
        <v>1535565</v>
      </c>
      <c r="CL27">
        <v>2669699</v>
      </c>
      <c r="CM27">
        <v>1465</v>
      </c>
      <c r="CN27">
        <v>1333157</v>
      </c>
      <c r="CO27">
        <v>2431009</v>
      </c>
      <c r="CP27">
        <v>1445</v>
      </c>
      <c r="CQ27">
        <v>1346269</v>
      </c>
      <c r="CR27">
        <v>1205</v>
      </c>
      <c r="CS27">
        <v>1066266</v>
      </c>
      <c r="CT27">
        <v>3828571</v>
      </c>
      <c r="CU27">
        <v>1257</v>
      </c>
      <c r="CV27">
        <v>1069982</v>
      </c>
      <c r="CW27">
        <v>3822409</v>
      </c>
      <c r="CX27">
        <v>1098</v>
      </c>
      <c r="CY27">
        <v>759160</v>
      </c>
      <c r="CZ27">
        <v>69</v>
      </c>
      <c r="DA27">
        <v>410910</v>
      </c>
      <c r="DB27">
        <v>2296935</v>
      </c>
      <c r="DC27">
        <v>69</v>
      </c>
      <c r="DD27">
        <v>410910</v>
      </c>
      <c r="DE27">
        <v>2296935</v>
      </c>
      <c r="DF27">
        <v>0</v>
      </c>
      <c r="DG27">
        <v>0</v>
      </c>
      <c r="DH27">
        <v>5628</v>
      </c>
      <c r="DI27">
        <v>341847</v>
      </c>
      <c r="DJ27">
        <v>1243404</v>
      </c>
      <c r="DK27">
        <v>5663</v>
      </c>
      <c r="DL27">
        <v>341684</v>
      </c>
      <c r="DM27">
        <v>1247095</v>
      </c>
      <c r="DN27">
        <v>1054</v>
      </c>
      <c r="DO27">
        <v>539198</v>
      </c>
      <c r="DP27">
        <v>7484</v>
      </c>
      <c r="DQ27">
        <v>971350</v>
      </c>
      <c r="DR27">
        <v>1754772</v>
      </c>
      <c r="DS27">
        <v>7576</v>
      </c>
      <c r="DT27">
        <v>994446</v>
      </c>
      <c r="DU27">
        <v>2055264</v>
      </c>
      <c r="DV27">
        <v>9675</v>
      </c>
      <c r="DW27">
        <v>596391</v>
      </c>
    </row>
    <row r="28" spans="1:127" x14ac:dyDescent="0.4">
      <c r="A28" s="1" t="s">
        <v>44</v>
      </c>
      <c r="B28" s="1" t="s">
        <v>45</v>
      </c>
      <c r="C28">
        <v>20822</v>
      </c>
      <c r="D28">
        <v>2402784</v>
      </c>
      <c r="E28">
        <v>5072377</v>
      </c>
      <c r="F28">
        <v>19963</v>
      </c>
      <c r="G28">
        <v>2378329</v>
      </c>
      <c r="H28">
        <v>5336196</v>
      </c>
      <c r="I28">
        <v>52072</v>
      </c>
      <c r="J28">
        <v>2458111</v>
      </c>
      <c r="K28">
        <v>7235</v>
      </c>
      <c r="L28">
        <v>1654185</v>
      </c>
      <c r="M28">
        <v>4109007</v>
      </c>
      <c r="N28">
        <v>7534</v>
      </c>
      <c r="O28">
        <v>1702628</v>
      </c>
      <c r="P28">
        <v>4246008</v>
      </c>
      <c r="Q28">
        <v>5957</v>
      </c>
      <c r="R28">
        <v>806192</v>
      </c>
      <c r="S28">
        <v>33</v>
      </c>
      <c r="T28">
        <v>370141</v>
      </c>
      <c r="U28">
        <v>1996672</v>
      </c>
      <c r="V28">
        <v>36</v>
      </c>
      <c r="W28">
        <v>408581</v>
      </c>
      <c r="X28">
        <v>2140507</v>
      </c>
      <c r="Y28">
        <v>42</v>
      </c>
      <c r="Z28">
        <v>516230</v>
      </c>
      <c r="AA28">
        <v>28063</v>
      </c>
      <c r="AB28">
        <v>553048</v>
      </c>
      <c r="AC28">
        <v>1329807</v>
      </c>
      <c r="AD28">
        <v>28392</v>
      </c>
      <c r="AE28">
        <v>776930</v>
      </c>
      <c r="AF28">
        <v>1812244</v>
      </c>
      <c r="AG28">
        <v>4242</v>
      </c>
      <c r="AH28">
        <v>109792</v>
      </c>
      <c r="AI28">
        <v>72517</v>
      </c>
      <c r="AJ28">
        <v>422099</v>
      </c>
      <c r="AK28">
        <v>5444381</v>
      </c>
      <c r="AL28">
        <v>73069</v>
      </c>
      <c r="AM28">
        <v>399705</v>
      </c>
      <c r="AN28">
        <v>4855077</v>
      </c>
      <c r="AO28">
        <v>35483</v>
      </c>
      <c r="AP28">
        <v>161161</v>
      </c>
      <c r="AQ28">
        <v>30632</v>
      </c>
      <c r="AR28">
        <v>880699</v>
      </c>
      <c r="AS28">
        <v>1902800</v>
      </c>
      <c r="AT28">
        <v>60946</v>
      </c>
      <c r="AU28">
        <v>1527594</v>
      </c>
      <c r="AV28">
        <v>3384133</v>
      </c>
      <c r="AW28">
        <v>133867</v>
      </c>
      <c r="AX28">
        <v>3151901</v>
      </c>
      <c r="AY28">
        <v>2209</v>
      </c>
      <c r="AZ28">
        <v>151061</v>
      </c>
      <c r="BA28">
        <v>397284</v>
      </c>
      <c r="BB28">
        <v>2064</v>
      </c>
      <c r="BC28">
        <v>141537</v>
      </c>
      <c r="BD28">
        <v>406071</v>
      </c>
      <c r="BE28">
        <v>5367</v>
      </c>
      <c r="BF28">
        <v>303996</v>
      </c>
      <c r="BG28">
        <v>26223</v>
      </c>
      <c r="BH28">
        <v>1052661</v>
      </c>
      <c r="BI28">
        <v>1985314</v>
      </c>
      <c r="BJ28">
        <v>24872</v>
      </c>
      <c r="BK28">
        <v>1031748</v>
      </c>
      <c r="BL28">
        <v>2295373</v>
      </c>
      <c r="BM28">
        <v>24314</v>
      </c>
      <c r="BN28">
        <v>1086766</v>
      </c>
      <c r="BO28">
        <v>6336</v>
      </c>
      <c r="BP28">
        <v>5904563</v>
      </c>
      <c r="BQ28">
        <v>6822</v>
      </c>
      <c r="BR28">
        <v>6569871</v>
      </c>
      <c r="BS28">
        <v>1528</v>
      </c>
      <c r="BT28">
        <v>16476</v>
      </c>
      <c r="BU28">
        <v>364880</v>
      </c>
      <c r="BV28">
        <v>640421</v>
      </c>
      <c r="BW28">
        <v>14854</v>
      </c>
      <c r="BX28">
        <v>377855</v>
      </c>
      <c r="BY28">
        <v>663834</v>
      </c>
      <c r="BZ28">
        <v>8077</v>
      </c>
      <c r="CA28">
        <v>339558</v>
      </c>
      <c r="CB28">
        <v>710</v>
      </c>
      <c r="CC28">
        <v>373138</v>
      </c>
      <c r="CD28">
        <v>824817</v>
      </c>
      <c r="CE28">
        <v>729</v>
      </c>
      <c r="CF28">
        <v>536638</v>
      </c>
      <c r="CG28">
        <v>1595786</v>
      </c>
      <c r="CH28">
        <v>392</v>
      </c>
      <c r="CI28">
        <v>528988</v>
      </c>
      <c r="CJ28">
        <v>1433</v>
      </c>
      <c r="CK28">
        <v>1303529</v>
      </c>
      <c r="CL28">
        <v>2082038</v>
      </c>
      <c r="CM28">
        <v>1228</v>
      </c>
      <c r="CN28">
        <v>1080177</v>
      </c>
      <c r="CO28">
        <v>1821169</v>
      </c>
      <c r="CP28">
        <v>1650</v>
      </c>
      <c r="CQ28">
        <v>1569621</v>
      </c>
      <c r="CR28">
        <v>1236</v>
      </c>
      <c r="CS28">
        <v>1087181</v>
      </c>
      <c r="CT28">
        <v>4959920</v>
      </c>
      <c r="CU28">
        <v>1103</v>
      </c>
      <c r="CV28">
        <v>1021115</v>
      </c>
      <c r="CW28">
        <v>4772222</v>
      </c>
      <c r="CX28">
        <v>1231</v>
      </c>
      <c r="CY28">
        <v>825226</v>
      </c>
      <c r="CZ28">
        <v>52</v>
      </c>
      <c r="DA28">
        <v>1355432</v>
      </c>
      <c r="DB28">
        <v>5595717</v>
      </c>
      <c r="DC28">
        <v>52</v>
      </c>
      <c r="DD28">
        <v>1355432</v>
      </c>
      <c r="DE28">
        <v>5595717</v>
      </c>
      <c r="DF28">
        <v>0</v>
      </c>
      <c r="DG28">
        <v>0</v>
      </c>
      <c r="DH28">
        <v>6182</v>
      </c>
      <c r="DI28">
        <v>334933</v>
      </c>
      <c r="DJ28">
        <v>1097657</v>
      </c>
      <c r="DK28">
        <v>6247</v>
      </c>
      <c r="DL28">
        <v>350514</v>
      </c>
      <c r="DM28">
        <v>1160554</v>
      </c>
      <c r="DN28">
        <v>989</v>
      </c>
      <c r="DO28">
        <v>525598</v>
      </c>
      <c r="DP28">
        <v>7404</v>
      </c>
      <c r="DQ28">
        <v>878279</v>
      </c>
      <c r="DR28">
        <v>1570681</v>
      </c>
      <c r="DS28">
        <v>7100</v>
      </c>
      <c r="DT28">
        <v>869787</v>
      </c>
      <c r="DU28">
        <v>1869420</v>
      </c>
      <c r="DV28">
        <v>9993</v>
      </c>
      <c r="DW28">
        <v>609825</v>
      </c>
    </row>
    <row r="29" spans="1:127" x14ac:dyDescent="0.4">
      <c r="A29" s="1" t="s">
        <v>46</v>
      </c>
      <c r="B29" s="1" t="s">
        <v>47</v>
      </c>
      <c r="C29">
        <v>22694</v>
      </c>
      <c r="D29">
        <v>2753957</v>
      </c>
      <c r="E29">
        <v>5868209</v>
      </c>
      <c r="F29">
        <v>21909</v>
      </c>
      <c r="G29">
        <v>2741638</v>
      </c>
      <c r="H29">
        <v>6087722</v>
      </c>
      <c r="I29">
        <v>52917</v>
      </c>
      <c r="J29">
        <v>2458182</v>
      </c>
      <c r="K29">
        <v>8424</v>
      </c>
      <c r="L29">
        <v>2187621</v>
      </c>
      <c r="M29">
        <v>5635535</v>
      </c>
      <c r="N29">
        <v>8080</v>
      </c>
      <c r="O29">
        <v>2119298</v>
      </c>
      <c r="P29">
        <v>5647401</v>
      </c>
      <c r="Q29">
        <v>6243</v>
      </c>
      <c r="R29">
        <v>842457</v>
      </c>
      <c r="S29">
        <v>26</v>
      </c>
      <c r="T29">
        <v>263899</v>
      </c>
      <c r="U29">
        <v>1683732</v>
      </c>
      <c r="V29">
        <v>38</v>
      </c>
      <c r="W29">
        <v>427999</v>
      </c>
      <c r="X29">
        <v>2743751</v>
      </c>
      <c r="Y29">
        <v>30</v>
      </c>
      <c r="Z29">
        <v>352130</v>
      </c>
      <c r="AA29">
        <v>33841</v>
      </c>
      <c r="AB29">
        <v>686992</v>
      </c>
      <c r="AC29">
        <v>1909284</v>
      </c>
      <c r="AD29">
        <v>34123</v>
      </c>
      <c r="AE29">
        <v>841287</v>
      </c>
      <c r="AF29">
        <v>2237753</v>
      </c>
      <c r="AG29">
        <v>4146</v>
      </c>
      <c r="AH29">
        <v>109881</v>
      </c>
      <c r="AI29">
        <v>73498</v>
      </c>
      <c r="AJ29">
        <v>402179</v>
      </c>
      <c r="AK29">
        <v>5469559</v>
      </c>
      <c r="AL29">
        <v>73599</v>
      </c>
      <c r="AM29">
        <v>422113</v>
      </c>
      <c r="AN29">
        <v>4954373</v>
      </c>
      <c r="AO29">
        <v>35456</v>
      </c>
      <c r="AP29">
        <v>145032</v>
      </c>
      <c r="AQ29">
        <v>33386</v>
      </c>
      <c r="AR29">
        <v>956366</v>
      </c>
      <c r="AS29">
        <v>1968729</v>
      </c>
      <c r="AT29">
        <v>59735</v>
      </c>
      <c r="AU29">
        <v>1552395</v>
      </c>
      <c r="AV29">
        <v>3250151</v>
      </c>
      <c r="AW29">
        <v>131448</v>
      </c>
      <c r="AX29">
        <v>3080086</v>
      </c>
      <c r="AY29">
        <v>2538</v>
      </c>
      <c r="AZ29">
        <v>181987</v>
      </c>
      <c r="BA29">
        <v>499218</v>
      </c>
      <c r="BB29">
        <v>2198</v>
      </c>
      <c r="BC29">
        <v>169441</v>
      </c>
      <c r="BD29">
        <v>484659</v>
      </c>
      <c r="BE29">
        <v>5689</v>
      </c>
      <c r="BF29">
        <v>316217</v>
      </c>
      <c r="BG29">
        <v>30292</v>
      </c>
      <c r="BH29">
        <v>913534</v>
      </c>
      <c r="BI29">
        <v>2377039</v>
      </c>
      <c r="BJ29">
        <v>26450</v>
      </c>
      <c r="BK29">
        <v>1110304</v>
      </c>
      <c r="BL29">
        <v>3015801</v>
      </c>
      <c r="BM29">
        <v>28279</v>
      </c>
      <c r="BN29">
        <v>892714</v>
      </c>
      <c r="BO29">
        <v>6928</v>
      </c>
      <c r="BP29">
        <v>6136872</v>
      </c>
      <c r="BQ29">
        <v>7037</v>
      </c>
      <c r="BR29">
        <v>6847373</v>
      </c>
      <c r="BS29">
        <v>1715</v>
      </c>
      <c r="BT29">
        <v>16890</v>
      </c>
      <c r="BU29">
        <v>374942</v>
      </c>
      <c r="BV29">
        <v>701334</v>
      </c>
      <c r="BW29">
        <v>15052</v>
      </c>
      <c r="BX29">
        <v>372284</v>
      </c>
      <c r="BY29">
        <v>718015</v>
      </c>
      <c r="BZ29">
        <v>7934</v>
      </c>
      <c r="CA29">
        <v>343747</v>
      </c>
      <c r="CB29">
        <v>695</v>
      </c>
      <c r="CC29">
        <v>497931</v>
      </c>
      <c r="CD29">
        <v>1589871</v>
      </c>
      <c r="CE29">
        <v>683</v>
      </c>
      <c r="CF29">
        <v>479681</v>
      </c>
      <c r="CG29">
        <v>1544970</v>
      </c>
      <c r="CH29">
        <v>404</v>
      </c>
      <c r="CI29">
        <v>547238</v>
      </c>
      <c r="CJ29">
        <v>1856</v>
      </c>
      <c r="CK29">
        <v>1640057</v>
      </c>
      <c r="CL29">
        <v>2718935</v>
      </c>
      <c r="CM29">
        <v>1646</v>
      </c>
      <c r="CN29">
        <v>1422488</v>
      </c>
      <c r="CO29">
        <v>2003516</v>
      </c>
      <c r="CP29">
        <v>1860</v>
      </c>
      <c r="CQ29">
        <v>1787190</v>
      </c>
      <c r="CR29">
        <v>1497</v>
      </c>
      <c r="CS29">
        <v>1224657</v>
      </c>
      <c r="CT29">
        <v>4494524</v>
      </c>
      <c r="CU29">
        <v>1439</v>
      </c>
      <c r="CV29">
        <v>1183552</v>
      </c>
      <c r="CW29">
        <v>4437952</v>
      </c>
      <c r="CX29">
        <v>1289</v>
      </c>
      <c r="CY29">
        <v>866331</v>
      </c>
      <c r="CZ29">
        <v>56</v>
      </c>
      <c r="DA29">
        <v>786200</v>
      </c>
      <c r="DB29">
        <v>3837867</v>
      </c>
      <c r="DC29">
        <v>56</v>
      </c>
      <c r="DD29">
        <v>786200</v>
      </c>
      <c r="DE29">
        <v>3837867</v>
      </c>
      <c r="DF29">
        <v>0</v>
      </c>
      <c r="DG29">
        <v>0</v>
      </c>
      <c r="DH29">
        <v>8682</v>
      </c>
      <c r="DI29">
        <v>424367</v>
      </c>
      <c r="DJ29">
        <v>1158822</v>
      </c>
      <c r="DK29">
        <v>8556</v>
      </c>
      <c r="DL29">
        <v>467488</v>
      </c>
      <c r="DM29">
        <v>1280237</v>
      </c>
      <c r="DN29">
        <v>1115</v>
      </c>
      <c r="DO29">
        <v>482584</v>
      </c>
      <c r="DP29">
        <v>7186</v>
      </c>
      <c r="DQ29">
        <v>801084</v>
      </c>
      <c r="DR29">
        <v>1520829</v>
      </c>
      <c r="DS29">
        <v>7319</v>
      </c>
      <c r="DT29">
        <v>811906</v>
      </c>
      <c r="DU29">
        <v>1797879</v>
      </c>
      <c r="DV29">
        <v>9889</v>
      </c>
      <c r="DW29">
        <v>607833</v>
      </c>
    </row>
    <row r="30" spans="1:127" x14ac:dyDescent="0.4">
      <c r="A30" s="1" t="s">
        <v>48</v>
      </c>
      <c r="B30" s="1" t="s">
        <v>49</v>
      </c>
      <c r="C30">
        <v>18964</v>
      </c>
      <c r="D30">
        <v>2353231</v>
      </c>
      <c r="E30">
        <v>5053649</v>
      </c>
      <c r="F30">
        <v>19348</v>
      </c>
      <c r="G30">
        <v>2366809</v>
      </c>
      <c r="H30">
        <v>5423945</v>
      </c>
      <c r="I30">
        <v>52644</v>
      </c>
      <c r="J30">
        <v>2459887</v>
      </c>
      <c r="K30">
        <v>8148</v>
      </c>
      <c r="L30">
        <v>1518142</v>
      </c>
      <c r="M30">
        <v>4226602</v>
      </c>
      <c r="N30">
        <v>8701</v>
      </c>
      <c r="O30">
        <v>1612764</v>
      </c>
      <c r="P30">
        <v>4583942</v>
      </c>
      <c r="Q30">
        <v>5682</v>
      </c>
      <c r="R30">
        <v>765443</v>
      </c>
      <c r="S30">
        <v>18</v>
      </c>
      <c r="T30">
        <v>152157</v>
      </c>
      <c r="U30">
        <v>1013888</v>
      </c>
      <c r="V30">
        <v>24</v>
      </c>
      <c r="W30">
        <v>199437</v>
      </c>
      <c r="X30">
        <v>1349894</v>
      </c>
      <c r="Y30">
        <v>26</v>
      </c>
      <c r="Z30">
        <v>305290</v>
      </c>
      <c r="AA30">
        <v>40339</v>
      </c>
      <c r="AB30">
        <v>805948</v>
      </c>
      <c r="AC30">
        <v>1818091</v>
      </c>
      <c r="AD30">
        <v>40471</v>
      </c>
      <c r="AE30">
        <v>938361</v>
      </c>
      <c r="AF30">
        <v>2080096</v>
      </c>
      <c r="AG30">
        <v>4482</v>
      </c>
      <c r="AH30">
        <v>113255</v>
      </c>
      <c r="AI30">
        <v>72551</v>
      </c>
      <c r="AJ30">
        <v>429510</v>
      </c>
      <c r="AK30">
        <v>5413400</v>
      </c>
      <c r="AL30">
        <v>73593</v>
      </c>
      <c r="AM30">
        <v>437518</v>
      </c>
      <c r="AN30">
        <v>4888141</v>
      </c>
      <c r="AO30">
        <v>35650</v>
      </c>
      <c r="AP30">
        <v>147399</v>
      </c>
      <c r="AQ30">
        <v>34973</v>
      </c>
      <c r="AR30">
        <v>1116914</v>
      </c>
      <c r="AS30">
        <v>2212872</v>
      </c>
      <c r="AT30">
        <v>69926</v>
      </c>
      <c r="AU30">
        <v>1854869</v>
      </c>
      <c r="AV30">
        <v>3515994</v>
      </c>
      <c r="AW30">
        <v>127412</v>
      </c>
      <c r="AX30">
        <v>3020234</v>
      </c>
      <c r="AY30">
        <v>2733</v>
      </c>
      <c r="AZ30">
        <v>195009</v>
      </c>
      <c r="BA30">
        <v>516928</v>
      </c>
      <c r="BB30">
        <v>2485</v>
      </c>
      <c r="BC30">
        <v>192626</v>
      </c>
      <c r="BD30">
        <v>532495</v>
      </c>
      <c r="BE30">
        <v>5655</v>
      </c>
      <c r="BF30">
        <v>311525</v>
      </c>
      <c r="BG30">
        <v>25858</v>
      </c>
      <c r="BH30">
        <v>955768</v>
      </c>
      <c r="BI30">
        <v>2141143</v>
      </c>
      <c r="BJ30">
        <v>25831</v>
      </c>
      <c r="BK30">
        <v>856596</v>
      </c>
      <c r="BL30">
        <v>2441813</v>
      </c>
      <c r="BM30">
        <v>28381</v>
      </c>
      <c r="BN30">
        <v>993546</v>
      </c>
      <c r="BO30">
        <v>7021</v>
      </c>
      <c r="BP30">
        <v>5947984</v>
      </c>
      <c r="BQ30">
        <v>7292</v>
      </c>
      <c r="BR30">
        <v>6536533</v>
      </c>
      <c r="BS30">
        <v>1805</v>
      </c>
      <c r="BT30">
        <v>17303</v>
      </c>
      <c r="BU30">
        <v>420122</v>
      </c>
      <c r="BV30">
        <v>764899</v>
      </c>
      <c r="BW30">
        <v>15251</v>
      </c>
      <c r="BX30">
        <v>417753</v>
      </c>
      <c r="BY30">
        <v>761097</v>
      </c>
      <c r="BZ30">
        <v>8005</v>
      </c>
      <c r="CA30">
        <v>337605</v>
      </c>
      <c r="CB30">
        <v>765</v>
      </c>
      <c r="CC30">
        <v>678591</v>
      </c>
      <c r="CD30">
        <v>3050794</v>
      </c>
      <c r="CE30">
        <v>834</v>
      </c>
      <c r="CF30">
        <v>671341</v>
      </c>
      <c r="CG30">
        <v>2907019</v>
      </c>
      <c r="CH30">
        <v>335</v>
      </c>
      <c r="CI30">
        <v>554488</v>
      </c>
      <c r="CJ30">
        <v>1820</v>
      </c>
      <c r="CK30">
        <v>1579451</v>
      </c>
      <c r="CL30">
        <v>2361879</v>
      </c>
      <c r="CM30">
        <v>1666</v>
      </c>
      <c r="CN30">
        <v>1400273</v>
      </c>
      <c r="CO30">
        <v>2110282</v>
      </c>
      <c r="CP30">
        <v>2014</v>
      </c>
      <c r="CQ30">
        <v>1966368</v>
      </c>
      <c r="CR30">
        <v>1703</v>
      </c>
      <c r="CS30">
        <v>1332676</v>
      </c>
      <c r="CT30">
        <v>3516587</v>
      </c>
      <c r="CU30">
        <v>1655</v>
      </c>
      <c r="CV30">
        <v>1294362</v>
      </c>
      <c r="CW30">
        <v>3573545</v>
      </c>
      <c r="CX30">
        <v>1337</v>
      </c>
      <c r="CY30">
        <v>904645</v>
      </c>
      <c r="CZ30">
        <v>37</v>
      </c>
      <c r="DA30">
        <v>211395</v>
      </c>
      <c r="DB30">
        <v>1579895</v>
      </c>
      <c r="DC30">
        <v>37</v>
      </c>
      <c r="DD30">
        <v>211395</v>
      </c>
      <c r="DE30">
        <v>1579895</v>
      </c>
      <c r="DF30">
        <v>0</v>
      </c>
      <c r="DG30">
        <v>0</v>
      </c>
      <c r="DH30">
        <v>6327</v>
      </c>
      <c r="DI30">
        <v>429196</v>
      </c>
      <c r="DJ30">
        <v>1234703</v>
      </c>
      <c r="DK30">
        <v>6206</v>
      </c>
      <c r="DL30">
        <v>421722</v>
      </c>
      <c r="DM30">
        <v>1210914</v>
      </c>
      <c r="DN30">
        <v>1236</v>
      </c>
      <c r="DO30">
        <v>493963</v>
      </c>
      <c r="DP30">
        <v>7838</v>
      </c>
      <c r="DQ30">
        <v>890316</v>
      </c>
      <c r="DR30">
        <v>1734952</v>
      </c>
      <c r="DS30">
        <v>8020</v>
      </c>
      <c r="DT30">
        <v>900333</v>
      </c>
      <c r="DU30">
        <v>2077280</v>
      </c>
      <c r="DV30">
        <v>9722</v>
      </c>
      <c r="DW30">
        <v>597144</v>
      </c>
    </row>
    <row r="31" spans="1:127" x14ac:dyDescent="0.4">
      <c r="A31" s="1" t="s">
        <v>50</v>
      </c>
      <c r="B31" s="1" t="s">
        <v>51</v>
      </c>
      <c r="C31">
        <v>19275</v>
      </c>
      <c r="D31">
        <v>2204424</v>
      </c>
      <c r="E31">
        <v>5282486</v>
      </c>
      <c r="F31">
        <v>20443</v>
      </c>
      <c r="G31">
        <v>2242123</v>
      </c>
      <c r="H31">
        <v>5637098</v>
      </c>
      <c r="I31">
        <v>50530</v>
      </c>
      <c r="J31">
        <v>2389056</v>
      </c>
      <c r="K31">
        <v>6774</v>
      </c>
      <c r="L31">
        <v>1577077</v>
      </c>
      <c r="M31">
        <v>4850491</v>
      </c>
      <c r="N31">
        <v>7592</v>
      </c>
      <c r="O31">
        <v>1673295</v>
      </c>
      <c r="P31">
        <v>5402596</v>
      </c>
      <c r="Q31">
        <v>4626</v>
      </c>
      <c r="R31">
        <v>661519</v>
      </c>
      <c r="S31">
        <v>22</v>
      </c>
      <c r="T31">
        <v>216638</v>
      </c>
      <c r="U31">
        <v>1253019</v>
      </c>
      <c r="V31">
        <v>19</v>
      </c>
      <c r="W31">
        <v>196838</v>
      </c>
      <c r="X31">
        <v>1202200</v>
      </c>
      <c r="Y31">
        <v>29</v>
      </c>
      <c r="Z31">
        <v>325090</v>
      </c>
      <c r="AA31">
        <v>28115</v>
      </c>
      <c r="AB31">
        <v>532215</v>
      </c>
      <c r="AC31">
        <v>1416878</v>
      </c>
      <c r="AD31">
        <v>28811</v>
      </c>
      <c r="AE31">
        <v>694067</v>
      </c>
      <c r="AF31">
        <v>1759181</v>
      </c>
      <c r="AG31">
        <v>3199</v>
      </c>
      <c r="AH31">
        <v>86185</v>
      </c>
      <c r="AI31">
        <v>72103</v>
      </c>
      <c r="AJ31">
        <v>360347</v>
      </c>
      <c r="AK31">
        <v>4873287</v>
      </c>
      <c r="AL31">
        <v>72696</v>
      </c>
      <c r="AM31">
        <v>377778</v>
      </c>
      <c r="AN31">
        <v>4377143</v>
      </c>
      <c r="AO31">
        <v>35528</v>
      </c>
      <c r="AP31">
        <v>134373</v>
      </c>
      <c r="AQ31">
        <v>26223</v>
      </c>
      <c r="AR31">
        <v>774801</v>
      </c>
      <c r="AS31">
        <v>1578027</v>
      </c>
      <c r="AT31">
        <v>66790</v>
      </c>
      <c r="AU31">
        <v>1663034</v>
      </c>
      <c r="AV31">
        <v>3401718</v>
      </c>
      <c r="AW31">
        <v>121901</v>
      </c>
      <c r="AX31">
        <v>2894297</v>
      </c>
      <c r="AY31">
        <v>2367</v>
      </c>
      <c r="AZ31">
        <v>171258</v>
      </c>
      <c r="BA31">
        <v>467717</v>
      </c>
      <c r="BB31">
        <v>2513</v>
      </c>
      <c r="BC31">
        <v>177024</v>
      </c>
      <c r="BD31">
        <v>512322</v>
      </c>
      <c r="BE31">
        <v>5291</v>
      </c>
      <c r="BF31">
        <v>306638</v>
      </c>
      <c r="BG31">
        <v>21826</v>
      </c>
      <c r="BH31">
        <v>728431</v>
      </c>
      <c r="BI31">
        <v>2051302</v>
      </c>
      <c r="BJ31">
        <v>22000</v>
      </c>
      <c r="BK31">
        <v>922945</v>
      </c>
      <c r="BL31">
        <v>2656806</v>
      </c>
      <c r="BM31">
        <v>28209</v>
      </c>
      <c r="BN31">
        <v>799076</v>
      </c>
      <c r="BO31">
        <v>5839</v>
      </c>
      <c r="BP31">
        <v>4648211</v>
      </c>
      <c r="BQ31">
        <v>6189</v>
      </c>
      <c r="BR31">
        <v>5089954</v>
      </c>
      <c r="BS31">
        <v>1550</v>
      </c>
      <c r="BT31">
        <v>16505</v>
      </c>
      <c r="BU31">
        <v>323585</v>
      </c>
      <c r="BV31">
        <v>626790</v>
      </c>
      <c r="BW31">
        <v>14482</v>
      </c>
      <c r="BX31">
        <v>326830</v>
      </c>
      <c r="BY31">
        <v>631586</v>
      </c>
      <c r="BZ31">
        <v>8047</v>
      </c>
      <c r="CA31">
        <v>332872</v>
      </c>
      <c r="CB31">
        <v>591</v>
      </c>
      <c r="CC31">
        <v>551822</v>
      </c>
      <c r="CD31">
        <v>1834679</v>
      </c>
      <c r="CE31">
        <v>665</v>
      </c>
      <c r="CF31">
        <v>673697</v>
      </c>
      <c r="CG31">
        <v>2252814</v>
      </c>
      <c r="CH31">
        <v>261</v>
      </c>
      <c r="CI31">
        <v>432613</v>
      </c>
      <c r="CJ31">
        <v>1437</v>
      </c>
      <c r="CK31">
        <v>1232676</v>
      </c>
      <c r="CL31">
        <v>2071078</v>
      </c>
      <c r="CM31">
        <v>1447</v>
      </c>
      <c r="CN31">
        <v>1182630</v>
      </c>
      <c r="CO31">
        <v>1658747</v>
      </c>
      <c r="CP31">
        <v>2004</v>
      </c>
      <c r="CQ31">
        <v>2016414</v>
      </c>
      <c r="CR31">
        <v>1231</v>
      </c>
      <c r="CS31">
        <v>1033157</v>
      </c>
      <c r="CT31">
        <v>3233930</v>
      </c>
      <c r="CU31">
        <v>1310</v>
      </c>
      <c r="CV31">
        <v>1121257</v>
      </c>
      <c r="CW31">
        <v>3426337</v>
      </c>
      <c r="CX31">
        <v>1258</v>
      </c>
      <c r="CY31">
        <v>816545</v>
      </c>
      <c r="CZ31">
        <v>45</v>
      </c>
      <c r="DA31">
        <v>356760</v>
      </c>
      <c r="DB31">
        <v>2736323</v>
      </c>
      <c r="DC31">
        <v>45</v>
      </c>
      <c r="DD31">
        <v>356760</v>
      </c>
      <c r="DE31">
        <v>2736323</v>
      </c>
      <c r="DF31">
        <v>0</v>
      </c>
      <c r="DG31">
        <v>0</v>
      </c>
      <c r="DH31">
        <v>5911</v>
      </c>
      <c r="DI31">
        <v>383185</v>
      </c>
      <c r="DJ31">
        <v>887999</v>
      </c>
      <c r="DK31">
        <v>5922</v>
      </c>
      <c r="DL31">
        <v>372344</v>
      </c>
      <c r="DM31">
        <v>854126</v>
      </c>
      <c r="DN31">
        <v>1225</v>
      </c>
      <c r="DO31">
        <v>501970</v>
      </c>
      <c r="DP31">
        <v>6250</v>
      </c>
      <c r="DQ31">
        <v>719910</v>
      </c>
      <c r="DR31">
        <v>1423580</v>
      </c>
      <c r="DS31">
        <v>6589</v>
      </c>
      <c r="DT31">
        <v>752521</v>
      </c>
      <c r="DU31">
        <v>1765554</v>
      </c>
      <c r="DV31">
        <v>9407</v>
      </c>
      <c r="DW31">
        <v>577467</v>
      </c>
    </row>
    <row r="32" spans="1:127" x14ac:dyDescent="0.4">
      <c r="A32" s="1" t="s">
        <v>52</v>
      </c>
      <c r="B32" s="1" t="s">
        <v>53</v>
      </c>
      <c r="C32">
        <v>21465</v>
      </c>
      <c r="D32">
        <v>2433242</v>
      </c>
      <c r="E32">
        <v>5171511</v>
      </c>
      <c r="F32">
        <v>21195</v>
      </c>
      <c r="G32">
        <v>2455053</v>
      </c>
      <c r="H32">
        <v>5543697</v>
      </c>
      <c r="I32">
        <v>50970</v>
      </c>
      <c r="J32">
        <v>2364541</v>
      </c>
      <c r="K32">
        <v>8152</v>
      </c>
      <c r="L32">
        <v>1829147</v>
      </c>
      <c r="M32">
        <v>5027160</v>
      </c>
      <c r="N32">
        <v>8722</v>
      </c>
      <c r="O32">
        <v>1949141</v>
      </c>
      <c r="P32">
        <v>5551035</v>
      </c>
      <c r="Q32">
        <v>4133</v>
      </c>
      <c r="R32">
        <v>560241</v>
      </c>
      <c r="S32">
        <v>32</v>
      </c>
      <c r="T32">
        <v>435071</v>
      </c>
      <c r="U32">
        <v>2218826</v>
      </c>
      <c r="V32">
        <v>43</v>
      </c>
      <c r="W32">
        <v>544461</v>
      </c>
      <c r="X32">
        <v>3044911</v>
      </c>
      <c r="Y32">
        <v>18</v>
      </c>
      <c r="Z32">
        <v>215700</v>
      </c>
      <c r="AA32">
        <v>32315</v>
      </c>
      <c r="AB32">
        <v>598515</v>
      </c>
      <c r="AC32">
        <v>1543481</v>
      </c>
      <c r="AD32">
        <v>32857</v>
      </c>
      <c r="AE32">
        <v>772110</v>
      </c>
      <c r="AF32">
        <v>1921322</v>
      </c>
      <c r="AG32">
        <v>2895</v>
      </c>
      <c r="AH32">
        <v>82842</v>
      </c>
      <c r="AI32">
        <v>73102</v>
      </c>
      <c r="AJ32">
        <v>441313</v>
      </c>
      <c r="AK32">
        <v>5810793</v>
      </c>
      <c r="AL32">
        <v>73461</v>
      </c>
      <c r="AM32">
        <v>429651</v>
      </c>
      <c r="AN32">
        <v>5226693</v>
      </c>
      <c r="AO32">
        <v>35704</v>
      </c>
      <c r="AP32">
        <v>152574</v>
      </c>
      <c r="AQ32">
        <v>35927</v>
      </c>
      <c r="AR32">
        <v>1173895</v>
      </c>
      <c r="AS32">
        <v>2233441</v>
      </c>
      <c r="AT32">
        <v>71178</v>
      </c>
      <c r="AU32">
        <v>1958321</v>
      </c>
      <c r="AV32">
        <v>4063979</v>
      </c>
      <c r="AW32">
        <v>122979</v>
      </c>
      <c r="AX32">
        <v>2915303</v>
      </c>
      <c r="AY32">
        <v>2709</v>
      </c>
      <c r="AZ32">
        <v>201870</v>
      </c>
      <c r="BA32">
        <v>552796</v>
      </c>
      <c r="BB32">
        <v>3326</v>
      </c>
      <c r="BC32">
        <v>217204</v>
      </c>
      <c r="BD32">
        <v>631539</v>
      </c>
      <c r="BE32">
        <v>4693</v>
      </c>
      <c r="BF32">
        <v>291437</v>
      </c>
      <c r="BG32">
        <v>25053</v>
      </c>
      <c r="BH32">
        <v>805779</v>
      </c>
      <c r="BI32">
        <v>2070712</v>
      </c>
      <c r="BJ32">
        <v>29991</v>
      </c>
      <c r="BK32">
        <v>1019170</v>
      </c>
      <c r="BL32">
        <v>2966412</v>
      </c>
      <c r="BM32">
        <v>23267</v>
      </c>
      <c r="BN32">
        <v>587167</v>
      </c>
      <c r="BO32">
        <v>7035</v>
      </c>
      <c r="BP32">
        <v>5211384</v>
      </c>
      <c r="BQ32">
        <v>7332</v>
      </c>
      <c r="BR32">
        <v>5849723</v>
      </c>
      <c r="BS32">
        <v>1557</v>
      </c>
      <c r="BT32">
        <v>17272</v>
      </c>
      <c r="BU32">
        <v>407084</v>
      </c>
      <c r="BV32">
        <v>755645</v>
      </c>
      <c r="BW32">
        <v>15577</v>
      </c>
      <c r="BX32">
        <v>426946</v>
      </c>
      <c r="BY32">
        <v>807400</v>
      </c>
      <c r="BZ32">
        <v>7761</v>
      </c>
      <c r="CA32">
        <v>310160</v>
      </c>
      <c r="CB32">
        <v>711</v>
      </c>
      <c r="CC32">
        <v>413892</v>
      </c>
      <c r="CD32">
        <v>1131785</v>
      </c>
      <c r="CE32">
        <v>724</v>
      </c>
      <c r="CF32">
        <v>425767</v>
      </c>
      <c r="CG32">
        <v>1129046</v>
      </c>
      <c r="CH32">
        <v>248</v>
      </c>
      <c r="CI32">
        <v>420738</v>
      </c>
      <c r="CJ32">
        <v>2032</v>
      </c>
      <c r="CK32">
        <v>1724319</v>
      </c>
      <c r="CL32">
        <v>2742989</v>
      </c>
      <c r="CM32">
        <v>1935</v>
      </c>
      <c r="CN32">
        <v>1704423</v>
      </c>
      <c r="CO32">
        <v>2670830</v>
      </c>
      <c r="CP32">
        <v>2100</v>
      </c>
      <c r="CQ32">
        <v>2035625</v>
      </c>
      <c r="CR32">
        <v>1688</v>
      </c>
      <c r="CS32">
        <v>1419986</v>
      </c>
      <c r="CT32">
        <v>5721357</v>
      </c>
      <c r="CU32">
        <v>1826</v>
      </c>
      <c r="CV32">
        <v>1499902</v>
      </c>
      <c r="CW32">
        <v>5986717</v>
      </c>
      <c r="CX32">
        <v>1120</v>
      </c>
      <c r="CY32">
        <v>736629</v>
      </c>
      <c r="CZ32">
        <v>40</v>
      </c>
      <c r="DA32">
        <v>570500</v>
      </c>
      <c r="DB32">
        <v>4275614</v>
      </c>
      <c r="DC32">
        <v>40</v>
      </c>
      <c r="DD32">
        <v>570500</v>
      </c>
      <c r="DE32">
        <v>4275614</v>
      </c>
      <c r="DF32">
        <v>0</v>
      </c>
      <c r="DG32">
        <v>0</v>
      </c>
      <c r="DH32">
        <v>7268</v>
      </c>
      <c r="DI32">
        <v>429443</v>
      </c>
      <c r="DJ32">
        <v>1065415</v>
      </c>
      <c r="DK32">
        <v>7267</v>
      </c>
      <c r="DL32">
        <v>466001</v>
      </c>
      <c r="DM32">
        <v>1178124</v>
      </c>
      <c r="DN32">
        <v>1226</v>
      </c>
      <c r="DO32">
        <v>462268</v>
      </c>
      <c r="DP32">
        <v>7948</v>
      </c>
      <c r="DQ32">
        <v>1026235</v>
      </c>
      <c r="DR32">
        <v>2244905</v>
      </c>
      <c r="DS32">
        <v>8286</v>
      </c>
      <c r="DT32">
        <v>1047663</v>
      </c>
      <c r="DU32">
        <v>2647461</v>
      </c>
      <c r="DV32">
        <v>9078</v>
      </c>
      <c r="DW32">
        <v>557226</v>
      </c>
    </row>
    <row r="33" spans="1:127" x14ac:dyDescent="0.4">
      <c r="A33" s="1" t="s">
        <v>54</v>
      </c>
      <c r="B33" s="1" t="s">
        <v>55</v>
      </c>
      <c r="C33">
        <v>25992</v>
      </c>
      <c r="D33">
        <v>2941835</v>
      </c>
      <c r="E33">
        <v>6392587</v>
      </c>
      <c r="F33">
        <v>24377</v>
      </c>
      <c r="G33">
        <v>2845151</v>
      </c>
      <c r="H33">
        <v>6658526</v>
      </c>
      <c r="I33">
        <v>52497</v>
      </c>
      <c r="J33">
        <v>2456698</v>
      </c>
      <c r="K33">
        <v>9830</v>
      </c>
      <c r="L33">
        <v>2267768</v>
      </c>
      <c r="M33">
        <v>5670543</v>
      </c>
      <c r="N33">
        <v>9138</v>
      </c>
      <c r="O33">
        <v>2134677</v>
      </c>
      <c r="P33">
        <v>5625187</v>
      </c>
      <c r="Q33">
        <v>4717</v>
      </c>
      <c r="R33">
        <v>675954</v>
      </c>
      <c r="S33">
        <v>35</v>
      </c>
      <c r="T33">
        <v>263000</v>
      </c>
      <c r="U33">
        <v>1876071</v>
      </c>
      <c r="V33">
        <v>29</v>
      </c>
      <c r="W33">
        <v>224780</v>
      </c>
      <c r="X33">
        <v>1599860</v>
      </c>
      <c r="Y33">
        <v>22</v>
      </c>
      <c r="Z33">
        <v>253480</v>
      </c>
      <c r="AA33">
        <v>41009</v>
      </c>
      <c r="AB33">
        <v>686828</v>
      </c>
      <c r="AC33">
        <v>1616642</v>
      </c>
      <c r="AD33">
        <v>40587</v>
      </c>
      <c r="AE33">
        <v>958541</v>
      </c>
      <c r="AF33">
        <v>2204233</v>
      </c>
      <c r="AG33">
        <v>3534</v>
      </c>
      <c r="AH33">
        <v>94792</v>
      </c>
      <c r="AI33">
        <v>75409</v>
      </c>
      <c r="AJ33">
        <v>435436</v>
      </c>
      <c r="AK33">
        <v>5291825</v>
      </c>
      <c r="AL33">
        <v>76086</v>
      </c>
      <c r="AM33">
        <v>436493</v>
      </c>
      <c r="AN33">
        <v>4747933</v>
      </c>
      <c r="AO33">
        <v>35710</v>
      </c>
      <c r="AP33">
        <v>157562</v>
      </c>
      <c r="AQ33">
        <v>35522</v>
      </c>
      <c r="AR33">
        <v>1109195</v>
      </c>
      <c r="AS33">
        <v>2279373</v>
      </c>
      <c r="AT33">
        <v>67960</v>
      </c>
      <c r="AU33">
        <v>1859432</v>
      </c>
      <c r="AV33">
        <v>3605577</v>
      </c>
      <c r="AW33">
        <v>118922</v>
      </c>
      <c r="AX33">
        <v>2803165</v>
      </c>
      <c r="AY33">
        <v>2762</v>
      </c>
      <c r="AZ33">
        <v>235239</v>
      </c>
      <c r="BA33">
        <v>692191</v>
      </c>
      <c r="BB33">
        <v>2672</v>
      </c>
      <c r="BC33">
        <v>217594</v>
      </c>
      <c r="BD33">
        <v>685470</v>
      </c>
      <c r="BE33">
        <v>4802</v>
      </c>
      <c r="BF33">
        <v>312545</v>
      </c>
      <c r="BG33">
        <v>26693</v>
      </c>
      <c r="BH33">
        <v>889011</v>
      </c>
      <c r="BI33">
        <v>2101471</v>
      </c>
      <c r="BJ33">
        <v>25875</v>
      </c>
      <c r="BK33">
        <v>810690</v>
      </c>
      <c r="BL33">
        <v>2445603</v>
      </c>
      <c r="BM33">
        <v>24184</v>
      </c>
      <c r="BN33">
        <v>667676</v>
      </c>
      <c r="BO33">
        <v>7358</v>
      </c>
      <c r="BP33">
        <v>6031314</v>
      </c>
      <c r="BQ33">
        <v>7423</v>
      </c>
      <c r="BR33">
        <v>6423085</v>
      </c>
      <c r="BS33">
        <v>1729</v>
      </c>
      <c r="BT33">
        <v>17502</v>
      </c>
      <c r="BU33">
        <v>445466</v>
      </c>
      <c r="BV33">
        <v>803383</v>
      </c>
      <c r="BW33">
        <v>15555</v>
      </c>
      <c r="BX33">
        <v>440819</v>
      </c>
      <c r="BY33">
        <v>781540</v>
      </c>
      <c r="BZ33">
        <v>7727</v>
      </c>
      <c r="CA33">
        <v>316132</v>
      </c>
      <c r="CB33">
        <v>693</v>
      </c>
      <c r="CC33">
        <v>445701</v>
      </c>
      <c r="CD33">
        <v>1454579</v>
      </c>
      <c r="CE33">
        <v>726</v>
      </c>
      <c r="CF33">
        <v>414076</v>
      </c>
      <c r="CG33">
        <v>1290387</v>
      </c>
      <c r="CH33">
        <v>215</v>
      </c>
      <c r="CI33">
        <v>452363</v>
      </c>
      <c r="CJ33">
        <v>2187</v>
      </c>
      <c r="CK33">
        <v>1765353</v>
      </c>
      <c r="CL33">
        <v>2824535</v>
      </c>
      <c r="CM33">
        <v>1845</v>
      </c>
      <c r="CN33">
        <v>1593755</v>
      </c>
      <c r="CO33">
        <v>2691384</v>
      </c>
      <c r="CP33">
        <v>2442</v>
      </c>
      <c r="CQ33">
        <v>2207223</v>
      </c>
      <c r="CR33">
        <v>1506</v>
      </c>
      <c r="CS33">
        <v>1132601</v>
      </c>
      <c r="CT33">
        <v>3885248</v>
      </c>
      <c r="CU33">
        <v>1378</v>
      </c>
      <c r="CV33">
        <v>1073387</v>
      </c>
      <c r="CW33">
        <v>3805825</v>
      </c>
      <c r="CX33">
        <v>1248</v>
      </c>
      <c r="CY33">
        <v>795843</v>
      </c>
      <c r="CZ33">
        <v>46</v>
      </c>
      <c r="DA33">
        <v>976300</v>
      </c>
      <c r="DB33">
        <v>3895933</v>
      </c>
      <c r="DC33">
        <v>46</v>
      </c>
      <c r="DD33">
        <v>976300</v>
      </c>
      <c r="DE33">
        <v>3895933</v>
      </c>
      <c r="DF33">
        <v>0</v>
      </c>
      <c r="DG33">
        <v>0</v>
      </c>
      <c r="DH33">
        <v>6372</v>
      </c>
      <c r="DI33">
        <v>424211</v>
      </c>
      <c r="DJ33">
        <v>942606</v>
      </c>
      <c r="DK33">
        <v>6311</v>
      </c>
      <c r="DL33">
        <v>401571</v>
      </c>
      <c r="DM33">
        <v>881346</v>
      </c>
      <c r="DN33">
        <v>1287</v>
      </c>
      <c r="DO33">
        <v>485467</v>
      </c>
      <c r="DP33">
        <v>7764</v>
      </c>
      <c r="DQ33">
        <v>862983</v>
      </c>
      <c r="DR33">
        <v>1604219</v>
      </c>
      <c r="DS33">
        <v>8406</v>
      </c>
      <c r="DT33">
        <v>900209</v>
      </c>
      <c r="DU33">
        <v>2045070</v>
      </c>
      <c r="DV33">
        <v>8460</v>
      </c>
      <c r="DW33">
        <v>522739</v>
      </c>
    </row>
    <row r="34" spans="1:127" x14ac:dyDescent="0.4">
      <c r="A34" s="1" t="s">
        <v>56</v>
      </c>
      <c r="B34" s="1" t="s">
        <v>57</v>
      </c>
      <c r="C34">
        <v>20002</v>
      </c>
      <c r="D34">
        <v>2424248</v>
      </c>
      <c r="E34">
        <v>5576294</v>
      </c>
      <c r="F34">
        <v>21915</v>
      </c>
      <c r="G34">
        <v>2504648</v>
      </c>
      <c r="H34">
        <v>5940798</v>
      </c>
      <c r="I34">
        <v>50755</v>
      </c>
      <c r="J34">
        <v>2364189</v>
      </c>
      <c r="K34">
        <v>8615</v>
      </c>
      <c r="L34">
        <v>1801465</v>
      </c>
      <c r="M34">
        <v>4675840</v>
      </c>
      <c r="N34">
        <v>8960</v>
      </c>
      <c r="O34">
        <v>1877470</v>
      </c>
      <c r="P34">
        <v>5080305</v>
      </c>
      <c r="Q34">
        <v>4579</v>
      </c>
      <c r="R34">
        <v>676206</v>
      </c>
      <c r="S34">
        <v>23</v>
      </c>
      <c r="T34">
        <v>148469</v>
      </c>
      <c r="U34">
        <v>803693</v>
      </c>
      <c r="V34">
        <v>27</v>
      </c>
      <c r="W34">
        <v>204149</v>
      </c>
      <c r="X34">
        <v>1185052</v>
      </c>
      <c r="Y34">
        <v>19</v>
      </c>
      <c r="Z34">
        <v>197980</v>
      </c>
      <c r="AA34">
        <v>32842</v>
      </c>
      <c r="AB34">
        <v>625071</v>
      </c>
      <c r="AC34">
        <v>1487299</v>
      </c>
      <c r="AD34">
        <v>33062</v>
      </c>
      <c r="AE34">
        <v>808854</v>
      </c>
      <c r="AF34">
        <v>1878090</v>
      </c>
      <c r="AG34">
        <v>3434</v>
      </c>
      <c r="AH34">
        <v>92277</v>
      </c>
      <c r="AI34">
        <v>72814</v>
      </c>
      <c r="AJ34">
        <v>417769</v>
      </c>
      <c r="AK34">
        <v>5238552</v>
      </c>
      <c r="AL34">
        <v>73746</v>
      </c>
      <c r="AM34">
        <v>423998</v>
      </c>
      <c r="AN34">
        <v>4729746</v>
      </c>
      <c r="AO34">
        <v>35660</v>
      </c>
      <c r="AP34">
        <v>158691</v>
      </c>
      <c r="AQ34">
        <v>31399</v>
      </c>
      <c r="AR34">
        <v>942225</v>
      </c>
      <c r="AS34">
        <v>2118475</v>
      </c>
      <c r="AT34">
        <v>72413</v>
      </c>
      <c r="AU34">
        <v>1865202</v>
      </c>
      <c r="AV34">
        <v>3833750</v>
      </c>
      <c r="AW34">
        <v>114906</v>
      </c>
      <c r="AX34">
        <v>2729554</v>
      </c>
      <c r="AY34">
        <v>2269</v>
      </c>
      <c r="AZ34">
        <v>171563</v>
      </c>
      <c r="BA34">
        <v>541470</v>
      </c>
      <c r="BB34">
        <v>2413</v>
      </c>
      <c r="BC34">
        <v>180688</v>
      </c>
      <c r="BD34">
        <v>586156</v>
      </c>
      <c r="BE34">
        <v>4653</v>
      </c>
      <c r="BF34">
        <v>303511</v>
      </c>
      <c r="BG34">
        <v>23591</v>
      </c>
      <c r="BH34">
        <v>989134</v>
      </c>
      <c r="BI34">
        <v>2352574</v>
      </c>
      <c r="BJ34">
        <v>25543</v>
      </c>
      <c r="BK34">
        <v>1066903</v>
      </c>
      <c r="BL34">
        <v>2815459</v>
      </c>
      <c r="BM34">
        <v>22232</v>
      </c>
      <c r="BN34">
        <v>589906</v>
      </c>
      <c r="BO34">
        <v>6707</v>
      </c>
      <c r="BP34">
        <v>5703151</v>
      </c>
      <c r="BQ34">
        <v>7117</v>
      </c>
      <c r="BR34">
        <v>6073064</v>
      </c>
      <c r="BS34">
        <v>1578</v>
      </c>
      <c r="BT34">
        <v>16892</v>
      </c>
      <c r="BU34">
        <v>375425</v>
      </c>
      <c r="BV34">
        <v>708011</v>
      </c>
      <c r="BW34">
        <v>14898</v>
      </c>
      <c r="BX34">
        <v>377356</v>
      </c>
      <c r="BY34">
        <v>721782</v>
      </c>
      <c r="BZ34">
        <v>7740</v>
      </c>
      <c r="CA34">
        <v>311645</v>
      </c>
      <c r="CB34">
        <v>637</v>
      </c>
      <c r="CC34">
        <v>715118</v>
      </c>
      <c r="CD34">
        <v>3836159</v>
      </c>
      <c r="CE34">
        <v>646</v>
      </c>
      <c r="CF34">
        <v>687993</v>
      </c>
      <c r="CG34">
        <v>3737696</v>
      </c>
      <c r="CH34">
        <v>206</v>
      </c>
      <c r="CI34">
        <v>479488</v>
      </c>
      <c r="CJ34">
        <v>1688</v>
      </c>
      <c r="CK34">
        <v>1319868</v>
      </c>
      <c r="CL34">
        <v>2029971</v>
      </c>
      <c r="CM34">
        <v>1747</v>
      </c>
      <c r="CN34">
        <v>1462357</v>
      </c>
      <c r="CO34">
        <v>2078004</v>
      </c>
      <c r="CP34">
        <v>2383</v>
      </c>
      <c r="CQ34">
        <v>2064734</v>
      </c>
      <c r="CR34">
        <v>1329</v>
      </c>
      <c r="CS34">
        <v>1053890</v>
      </c>
      <c r="CT34">
        <v>2998159</v>
      </c>
      <c r="CU34">
        <v>1313</v>
      </c>
      <c r="CV34">
        <v>1017561</v>
      </c>
      <c r="CW34">
        <v>2903335</v>
      </c>
      <c r="CX34">
        <v>1264</v>
      </c>
      <c r="CY34">
        <v>832172</v>
      </c>
      <c r="CZ34">
        <v>34</v>
      </c>
      <c r="DA34">
        <v>701490</v>
      </c>
      <c r="DB34">
        <v>3145230</v>
      </c>
      <c r="DC34">
        <v>34</v>
      </c>
      <c r="DD34">
        <v>701490</v>
      </c>
      <c r="DE34">
        <v>3145230</v>
      </c>
      <c r="DF34">
        <v>0</v>
      </c>
      <c r="DG34">
        <v>0</v>
      </c>
      <c r="DH34">
        <v>6741</v>
      </c>
      <c r="DI34">
        <v>461163</v>
      </c>
      <c r="DJ34">
        <v>1118731</v>
      </c>
      <c r="DK34">
        <v>6787</v>
      </c>
      <c r="DL34">
        <v>432665</v>
      </c>
      <c r="DM34">
        <v>1093584</v>
      </c>
      <c r="DN34">
        <v>1241</v>
      </c>
      <c r="DO34">
        <v>519569</v>
      </c>
      <c r="DP34">
        <v>7789</v>
      </c>
      <c r="DQ34">
        <v>910985</v>
      </c>
      <c r="DR34">
        <v>1742536</v>
      </c>
      <c r="DS34">
        <v>7505</v>
      </c>
      <c r="DT34">
        <v>892299</v>
      </c>
      <c r="DU34">
        <v>2046121</v>
      </c>
      <c r="DV34">
        <v>8766</v>
      </c>
      <c r="DW34">
        <v>546398</v>
      </c>
    </row>
    <row r="35" spans="1:127" x14ac:dyDescent="0.4">
      <c r="A35" s="1" t="s">
        <v>58</v>
      </c>
      <c r="B35" s="1" t="s">
        <v>59</v>
      </c>
      <c r="C35">
        <v>21293</v>
      </c>
      <c r="D35">
        <v>2769553</v>
      </c>
      <c r="E35">
        <v>7014339</v>
      </c>
      <c r="F35">
        <v>22801</v>
      </c>
      <c r="G35">
        <v>2857687</v>
      </c>
      <c r="H35">
        <v>7579925</v>
      </c>
      <c r="I35">
        <v>49570</v>
      </c>
      <c r="J35">
        <v>2327886</v>
      </c>
      <c r="K35">
        <v>8801</v>
      </c>
      <c r="L35">
        <v>1892643</v>
      </c>
      <c r="M35">
        <v>5393985</v>
      </c>
      <c r="N35">
        <v>8963</v>
      </c>
      <c r="O35">
        <v>1909757</v>
      </c>
      <c r="P35">
        <v>5692490</v>
      </c>
      <c r="Q35">
        <v>4594</v>
      </c>
      <c r="R35">
        <v>694453</v>
      </c>
      <c r="S35">
        <v>52</v>
      </c>
      <c r="T35">
        <v>408018</v>
      </c>
      <c r="U35">
        <v>2667961</v>
      </c>
      <c r="V35">
        <v>49</v>
      </c>
      <c r="W35">
        <v>363828</v>
      </c>
      <c r="X35">
        <v>2384241</v>
      </c>
      <c r="Y35">
        <v>22</v>
      </c>
      <c r="Z35">
        <v>242170</v>
      </c>
      <c r="AA35">
        <v>35945</v>
      </c>
      <c r="AB35">
        <v>710822</v>
      </c>
      <c r="AC35">
        <v>2085123</v>
      </c>
      <c r="AD35">
        <v>36266</v>
      </c>
      <c r="AE35">
        <v>843503</v>
      </c>
      <c r="AF35">
        <v>2366057</v>
      </c>
      <c r="AG35">
        <v>3226</v>
      </c>
      <c r="AH35">
        <v>89587</v>
      </c>
      <c r="AI35">
        <v>72237</v>
      </c>
      <c r="AJ35">
        <v>374260</v>
      </c>
      <c r="AK35">
        <v>5315208</v>
      </c>
      <c r="AL35">
        <v>73621</v>
      </c>
      <c r="AM35">
        <v>403401</v>
      </c>
      <c r="AN35">
        <v>4856369</v>
      </c>
      <c r="AO35">
        <v>35666</v>
      </c>
      <c r="AP35">
        <v>139563</v>
      </c>
      <c r="AQ35">
        <v>31705</v>
      </c>
      <c r="AR35">
        <v>1102247</v>
      </c>
      <c r="AS35">
        <v>2399293</v>
      </c>
      <c r="AT35">
        <v>63522</v>
      </c>
      <c r="AU35">
        <v>1733487</v>
      </c>
      <c r="AV35">
        <v>3723503</v>
      </c>
      <c r="AW35">
        <v>120675</v>
      </c>
      <c r="AX35">
        <v>2889331</v>
      </c>
      <c r="AY35">
        <v>2594</v>
      </c>
      <c r="AZ35">
        <v>217567</v>
      </c>
      <c r="BA35">
        <v>620485</v>
      </c>
      <c r="BB35">
        <v>2440</v>
      </c>
      <c r="BC35">
        <v>205239</v>
      </c>
      <c r="BD35">
        <v>616375</v>
      </c>
      <c r="BE35">
        <v>4867</v>
      </c>
      <c r="BF35">
        <v>316388</v>
      </c>
      <c r="BG35">
        <v>28769</v>
      </c>
      <c r="BH35">
        <v>918273</v>
      </c>
      <c r="BI35">
        <v>2490406</v>
      </c>
      <c r="BJ35">
        <v>26132</v>
      </c>
      <c r="BK35">
        <v>1020100</v>
      </c>
      <c r="BL35">
        <v>2849187</v>
      </c>
      <c r="BM35">
        <v>24990</v>
      </c>
      <c r="BN35">
        <v>490754</v>
      </c>
      <c r="BO35">
        <v>7245</v>
      </c>
      <c r="BP35">
        <v>6072840</v>
      </c>
      <c r="BQ35">
        <v>7039</v>
      </c>
      <c r="BR35">
        <v>6308973</v>
      </c>
      <c r="BS35">
        <v>2147</v>
      </c>
      <c r="BT35">
        <v>17464</v>
      </c>
      <c r="BU35">
        <v>424355</v>
      </c>
      <c r="BV35">
        <v>787489</v>
      </c>
      <c r="BW35">
        <v>15039</v>
      </c>
      <c r="BX35">
        <v>395953</v>
      </c>
      <c r="BY35">
        <v>766013</v>
      </c>
      <c r="BZ35">
        <v>8184</v>
      </c>
      <c r="CA35">
        <v>341706</v>
      </c>
      <c r="CB35">
        <v>702</v>
      </c>
      <c r="CC35">
        <v>410372</v>
      </c>
      <c r="CD35">
        <v>736808</v>
      </c>
      <c r="CE35">
        <v>664</v>
      </c>
      <c r="CF35">
        <v>414747</v>
      </c>
      <c r="CG35">
        <v>935551</v>
      </c>
      <c r="CH35">
        <v>244</v>
      </c>
      <c r="CI35">
        <v>475113</v>
      </c>
      <c r="CJ35">
        <v>1852</v>
      </c>
      <c r="CK35">
        <v>1540372</v>
      </c>
      <c r="CL35">
        <v>2441600</v>
      </c>
      <c r="CM35">
        <v>1512</v>
      </c>
      <c r="CN35">
        <v>1287123</v>
      </c>
      <c r="CO35">
        <v>2043071</v>
      </c>
      <c r="CP35">
        <v>2723</v>
      </c>
      <c r="CQ35">
        <v>2317983</v>
      </c>
      <c r="CR35">
        <v>1524</v>
      </c>
      <c r="CS35">
        <v>1380632</v>
      </c>
      <c r="CT35">
        <v>3740844</v>
      </c>
      <c r="CU35">
        <v>1487</v>
      </c>
      <c r="CV35">
        <v>1310128</v>
      </c>
      <c r="CW35">
        <v>3657108</v>
      </c>
      <c r="CX35">
        <v>1301</v>
      </c>
      <c r="CY35">
        <v>902676</v>
      </c>
      <c r="CZ35">
        <v>64</v>
      </c>
      <c r="DA35">
        <v>1251639</v>
      </c>
      <c r="DB35">
        <v>5276760</v>
      </c>
      <c r="DC35">
        <v>64</v>
      </c>
      <c r="DD35">
        <v>1251639</v>
      </c>
      <c r="DE35">
        <v>5276760</v>
      </c>
      <c r="DF35">
        <v>0</v>
      </c>
      <c r="DG35">
        <v>0</v>
      </c>
      <c r="DH35">
        <v>6914</v>
      </c>
      <c r="DI35">
        <v>362581</v>
      </c>
      <c r="DJ35">
        <v>1009067</v>
      </c>
      <c r="DK35">
        <v>7008</v>
      </c>
      <c r="DL35">
        <v>400630</v>
      </c>
      <c r="DM35">
        <v>1123441</v>
      </c>
      <c r="DN35">
        <v>1147</v>
      </c>
      <c r="DO35">
        <v>474839</v>
      </c>
      <c r="DP35">
        <v>7611</v>
      </c>
      <c r="DQ35">
        <v>919582</v>
      </c>
      <c r="DR35">
        <v>1875169</v>
      </c>
      <c r="DS35">
        <v>7292</v>
      </c>
      <c r="DT35">
        <v>896701</v>
      </c>
      <c r="DU35">
        <v>2184759</v>
      </c>
      <c r="DV35">
        <v>9104</v>
      </c>
      <c r="DW35">
        <v>570861</v>
      </c>
    </row>
    <row r="36" spans="1:127" x14ac:dyDescent="0.4">
      <c r="A36" s="1" t="s">
        <v>60</v>
      </c>
      <c r="B36" s="1" t="s">
        <v>61</v>
      </c>
      <c r="C36">
        <v>22344</v>
      </c>
      <c r="D36">
        <v>2463285</v>
      </c>
      <c r="E36">
        <v>5900736</v>
      </c>
      <c r="F36">
        <v>21758</v>
      </c>
      <c r="G36">
        <v>2415695</v>
      </c>
      <c r="H36">
        <v>6325480</v>
      </c>
      <c r="I36">
        <v>49819</v>
      </c>
      <c r="J36">
        <v>2347540</v>
      </c>
      <c r="K36">
        <v>8804</v>
      </c>
      <c r="L36">
        <v>1475911</v>
      </c>
      <c r="M36">
        <v>4341965</v>
      </c>
      <c r="N36">
        <v>8832</v>
      </c>
      <c r="O36">
        <v>1486722</v>
      </c>
      <c r="P36">
        <v>4638601</v>
      </c>
      <c r="Q36">
        <v>4616</v>
      </c>
      <c r="R36">
        <v>722468</v>
      </c>
      <c r="S36">
        <v>45</v>
      </c>
      <c r="T36">
        <v>469158</v>
      </c>
      <c r="U36">
        <v>2232643</v>
      </c>
      <c r="V36">
        <v>44</v>
      </c>
      <c r="W36">
        <v>470608</v>
      </c>
      <c r="X36">
        <v>2342379</v>
      </c>
      <c r="Y36">
        <v>22</v>
      </c>
      <c r="Z36">
        <v>240600</v>
      </c>
      <c r="AA36">
        <v>32988</v>
      </c>
      <c r="AB36">
        <v>556006</v>
      </c>
      <c r="AC36">
        <v>1436233</v>
      </c>
      <c r="AD36">
        <v>33303</v>
      </c>
      <c r="AE36">
        <v>759620</v>
      </c>
      <c r="AF36">
        <v>1904164</v>
      </c>
      <c r="AG36">
        <v>3010</v>
      </c>
      <c r="AH36">
        <v>85194</v>
      </c>
      <c r="AI36">
        <v>72829</v>
      </c>
      <c r="AJ36">
        <v>393427</v>
      </c>
      <c r="AK36">
        <v>5283964</v>
      </c>
      <c r="AL36">
        <v>73809</v>
      </c>
      <c r="AM36">
        <v>381581</v>
      </c>
      <c r="AN36">
        <v>4695453</v>
      </c>
      <c r="AO36">
        <v>35626</v>
      </c>
      <c r="AP36">
        <v>158497</v>
      </c>
      <c r="AQ36">
        <v>30838</v>
      </c>
      <c r="AR36">
        <v>999903</v>
      </c>
      <c r="AS36">
        <v>2269714</v>
      </c>
      <c r="AT36">
        <v>64076</v>
      </c>
      <c r="AU36">
        <v>1704518</v>
      </c>
      <c r="AV36">
        <v>3802389</v>
      </c>
      <c r="AW36">
        <v>123546</v>
      </c>
      <c r="AX36">
        <v>2968389</v>
      </c>
      <c r="AY36">
        <v>2593</v>
      </c>
      <c r="AZ36">
        <v>237837</v>
      </c>
      <c r="BA36">
        <v>729473</v>
      </c>
      <c r="BB36">
        <v>2475</v>
      </c>
      <c r="BC36">
        <v>221897</v>
      </c>
      <c r="BD36">
        <v>714200</v>
      </c>
      <c r="BE36">
        <v>4825</v>
      </c>
      <c r="BF36">
        <v>313050</v>
      </c>
      <c r="BG36">
        <v>24688</v>
      </c>
      <c r="BH36">
        <v>716159</v>
      </c>
      <c r="BI36">
        <v>2024736</v>
      </c>
      <c r="BJ36">
        <v>25408</v>
      </c>
      <c r="BK36">
        <v>611056</v>
      </c>
      <c r="BL36">
        <v>2286302</v>
      </c>
      <c r="BM36">
        <v>24319</v>
      </c>
      <c r="BN36">
        <v>596941</v>
      </c>
      <c r="BO36">
        <v>6216</v>
      </c>
      <c r="BP36">
        <v>5050607</v>
      </c>
      <c r="BQ36">
        <v>6917</v>
      </c>
      <c r="BR36">
        <v>5371707</v>
      </c>
      <c r="BS36">
        <v>1807</v>
      </c>
      <c r="BT36">
        <v>17015</v>
      </c>
      <c r="BU36">
        <v>376180</v>
      </c>
      <c r="BV36">
        <v>734478</v>
      </c>
      <c r="BW36">
        <v>15065</v>
      </c>
      <c r="BX36">
        <v>368419</v>
      </c>
      <c r="BY36">
        <v>716826</v>
      </c>
      <c r="BZ36">
        <v>8153</v>
      </c>
      <c r="CA36">
        <v>348699</v>
      </c>
      <c r="CB36">
        <v>537</v>
      </c>
      <c r="CC36">
        <v>347767</v>
      </c>
      <c r="CD36">
        <v>1196476</v>
      </c>
      <c r="CE36">
        <v>607</v>
      </c>
      <c r="CF36">
        <v>395142</v>
      </c>
      <c r="CG36">
        <v>1333377</v>
      </c>
      <c r="CH36">
        <v>174</v>
      </c>
      <c r="CI36">
        <v>427738</v>
      </c>
      <c r="CJ36">
        <v>1456</v>
      </c>
      <c r="CK36">
        <v>1171470</v>
      </c>
      <c r="CL36">
        <v>1932204</v>
      </c>
      <c r="CM36">
        <v>1385</v>
      </c>
      <c r="CN36">
        <v>1087027</v>
      </c>
      <c r="CO36">
        <v>1794355</v>
      </c>
      <c r="CP36">
        <v>2794</v>
      </c>
      <c r="CQ36">
        <v>2402426</v>
      </c>
      <c r="CR36">
        <v>1460</v>
      </c>
      <c r="CS36">
        <v>1124286</v>
      </c>
      <c r="CT36">
        <v>4083154</v>
      </c>
      <c r="CU36">
        <v>1448</v>
      </c>
      <c r="CV36">
        <v>1140928</v>
      </c>
      <c r="CW36">
        <v>4126628</v>
      </c>
      <c r="CX36">
        <v>1313</v>
      </c>
      <c r="CY36">
        <v>886034</v>
      </c>
      <c r="CZ36">
        <v>30</v>
      </c>
      <c r="DA36">
        <v>656969</v>
      </c>
      <c r="DB36">
        <v>4825491</v>
      </c>
      <c r="DC36">
        <v>30</v>
      </c>
      <c r="DD36">
        <v>656969</v>
      </c>
      <c r="DE36">
        <v>4825491</v>
      </c>
      <c r="DF36">
        <v>0</v>
      </c>
      <c r="DG36">
        <v>0</v>
      </c>
      <c r="DH36">
        <v>5083</v>
      </c>
      <c r="DI36">
        <v>388737</v>
      </c>
      <c r="DJ36">
        <v>981374</v>
      </c>
      <c r="DK36">
        <v>5010</v>
      </c>
      <c r="DL36">
        <v>395085</v>
      </c>
      <c r="DM36">
        <v>1003629</v>
      </c>
      <c r="DN36">
        <v>1220</v>
      </c>
      <c r="DO36">
        <v>467729</v>
      </c>
      <c r="DP36">
        <v>8524</v>
      </c>
      <c r="DQ36">
        <v>783702</v>
      </c>
      <c r="DR36">
        <v>1555172</v>
      </c>
      <c r="DS36">
        <v>7164</v>
      </c>
      <c r="DT36">
        <v>745593</v>
      </c>
      <c r="DU36">
        <v>1874873</v>
      </c>
      <c r="DV36">
        <v>10418</v>
      </c>
      <c r="DW36">
        <v>601950</v>
      </c>
    </row>
    <row r="37" spans="1:127" x14ac:dyDescent="0.4">
      <c r="A37" s="1" t="s">
        <v>62</v>
      </c>
      <c r="B37" s="1" t="s">
        <v>63</v>
      </c>
      <c r="C37">
        <v>22505</v>
      </c>
      <c r="D37">
        <v>2630994</v>
      </c>
      <c r="E37">
        <v>6553874</v>
      </c>
      <c r="F37">
        <v>24191</v>
      </c>
      <c r="G37">
        <v>2664549</v>
      </c>
      <c r="H37">
        <v>7061340</v>
      </c>
      <c r="I37">
        <v>48089</v>
      </c>
      <c r="J37">
        <v>2338228</v>
      </c>
      <c r="K37">
        <v>9400</v>
      </c>
      <c r="L37">
        <v>2116043</v>
      </c>
      <c r="M37">
        <v>5941483</v>
      </c>
      <c r="N37">
        <v>9498</v>
      </c>
      <c r="O37">
        <v>2216335</v>
      </c>
      <c r="P37">
        <v>6375894</v>
      </c>
      <c r="Q37">
        <v>4653</v>
      </c>
      <c r="R37">
        <v>650131</v>
      </c>
      <c r="S37">
        <v>36</v>
      </c>
      <c r="T37">
        <v>407784</v>
      </c>
      <c r="U37">
        <v>2941251</v>
      </c>
      <c r="V37">
        <v>30</v>
      </c>
      <c r="W37">
        <v>317744</v>
      </c>
      <c r="X37">
        <v>2340143</v>
      </c>
      <c r="Y37">
        <v>29</v>
      </c>
      <c r="Z37">
        <v>330860</v>
      </c>
      <c r="AA37">
        <v>33599</v>
      </c>
      <c r="AB37">
        <v>612259</v>
      </c>
      <c r="AC37">
        <v>1393427</v>
      </c>
      <c r="AD37">
        <v>33816</v>
      </c>
      <c r="AE37">
        <v>751130</v>
      </c>
      <c r="AF37">
        <v>1703280</v>
      </c>
      <c r="AG37">
        <v>2823</v>
      </c>
      <c r="AH37">
        <v>82174</v>
      </c>
      <c r="AI37">
        <v>72190</v>
      </c>
      <c r="AJ37">
        <v>407197</v>
      </c>
      <c r="AK37">
        <v>5377744</v>
      </c>
      <c r="AL37">
        <v>73595</v>
      </c>
      <c r="AM37">
        <v>413373</v>
      </c>
      <c r="AN37">
        <v>4853286</v>
      </c>
      <c r="AO37">
        <v>35738</v>
      </c>
      <c r="AP37">
        <v>161372</v>
      </c>
      <c r="AQ37">
        <v>32093</v>
      </c>
      <c r="AR37">
        <v>1035096</v>
      </c>
      <c r="AS37">
        <v>2314596</v>
      </c>
      <c r="AT37">
        <v>60276</v>
      </c>
      <c r="AU37">
        <v>1640435</v>
      </c>
      <c r="AV37">
        <v>3925860</v>
      </c>
      <c r="AW37">
        <v>123581</v>
      </c>
      <c r="AX37">
        <v>2959606</v>
      </c>
      <c r="AY37">
        <v>2566</v>
      </c>
      <c r="AZ37">
        <v>195578</v>
      </c>
      <c r="BA37">
        <v>617466</v>
      </c>
      <c r="BB37">
        <v>2567</v>
      </c>
      <c r="BC37">
        <v>188999</v>
      </c>
      <c r="BD37">
        <v>639903</v>
      </c>
      <c r="BE37">
        <v>4771</v>
      </c>
      <c r="BF37">
        <v>309352</v>
      </c>
      <c r="BG37">
        <v>25129</v>
      </c>
      <c r="BH37">
        <v>724064</v>
      </c>
      <c r="BI37">
        <v>2253750</v>
      </c>
      <c r="BJ37">
        <v>24433</v>
      </c>
      <c r="BK37">
        <v>683042</v>
      </c>
      <c r="BL37">
        <v>2686235</v>
      </c>
      <c r="BM37">
        <v>25058</v>
      </c>
      <c r="BN37">
        <v>638911</v>
      </c>
      <c r="BO37">
        <v>6738</v>
      </c>
      <c r="BP37">
        <v>5570172</v>
      </c>
      <c r="BQ37">
        <v>6809</v>
      </c>
      <c r="BR37">
        <v>5903973</v>
      </c>
      <c r="BS37">
        <v>2108</v>
      </c>
      <c r="BT37">
        <v>17131</v>
      </c>
      <c r="BU37">
        <v>397963</v>
      </c>
      <c r="BV37">
        <v>727796</v>
      </c>
      <c r="BW37">
        <v>15188</v>
      </c>
      <c r="BX37">
        <v>401027</v>
      </c>
      <c r="BY37">
        <v>751740</v>
      </c>
      <c r="BZ37">
        <v>8115</v>
      </c>
      <c r="CA37">
        <v>348089</v>
      </c>
      <c r="CB37">
        <v>712</v>
      </c>
      <c r="CC37">
        <v>391452</v>
      </c>
      <c r="CD37">
        <v>961217</v>
      </c>
      <c r="CE37">
        <v>696</v>
      </c>
      <c r="CF37">
        <v>408577</v>
      </c>
      <c r="CG37">
        <v>1000564</v>
      </c>
      <c r="CH37">
        <v>190</v>
      </c>
      <c r="CI37">
        <v>410613</v>
      </c>
      <c r="CJ37">
        <v>1716</v>
      </c>
      <c r="CK37">
        <v>1449492</v>
      </c>
      <c r="CL37">
        <v>2160920</v>
      </c>
      <c r="CM37">
        <v>1555</v>
      </c>
      <c r="CN37">
        <v>1290283</v>
      </c>
      <c r="CO37">
        <v>1864887</v>
      </c>
      <c r="CP37">
        <v>2955</v>
      </c>
      <c r="CQ37">
        <v>2568985</v>
      </c>
      <c r="CR37">
        <v>1500</v>
      </c>
      <c r="CS37">
        <v>1303931</v>
      </c>
      <c r="CT37">
        <v>4165073</v>
      </c>
      <c r="CU37">
        <v>1495</v>
      </c>
      <c r="CV37">
        <v>1312598</v>
      </c>
      <c r="CW37">
        <v>4273505</v>
      </c>
      <c r="CX37">
        <v>1318</v>
      </c>
      <c r="CY37">
        <v>877367</v>
      </c>
      <c r="CZ37">
        <v>47</v>
      </c>
      <c r="DA37">
        <v>716353</v>
      </c>
      <c r="DB37">
        <v>5424430</v>
      </c>
      <c r="DC37">
        <v>47</v>
      </c>
      <c r="DD37">
        <v>716353</v>
      </c>
      <c r="DE37">
        <v>5424430</v>
      </c>
      <c r="DF37">
        <v>0</v>
      </c>
      <c r="DG37">
        <v>0</v>
      </c>
      <c r="DH37">
        <v>7395</v>
      </c>
      <c r="DI37">
        <v>403496</v>
      </c>
      <c r="DJ37">
        <v>899686</v>
      </c>
      <c r="DK37">
        <v>7461</v>
      </c>
      <c r="DL37">
        <v>428199</v>
      </c>
      <c r="DM37">
        <v>971532</v>
      </c>
      <c r="DN37">
        <v>1154</v>
      </c>
      <c r="DO37">
        <v>444998</v>
      </c>
      <c r="DP37">
        <v>9252</v>
      </c>
      <c r="DQ37">
        <v>839585</v>
      </c>
      <c r="DR37">
        <v>1729677</v>
      </c>
      <c r="DS37">
        <v>7556</v>
      </c>
      <c r="DT37">
        <v>841724</v>
      </c>
      <c r="DU37">
        <v>2072776</v>
      </c>
      <c r="DV37">
        <v>12074</v>
      </c>
      <c r="DW37">
        <v>602969</v>
      </c>
    </row>
    <row r="38" spans="1:127" x14ac:dyDescent="0.4">
      <c r="A38" s="1" t="s">
        <v>64</v>
      </c>
      <c r="B38" s="1" t="s">
        <v>65</v>
      </c>
      <c r="C38">
        <v>24639</v>
      </c>
      <c r="D38">
        <v>2905288</v>
      </c>
      <c r="E38">
        <v>7180551</v>
      </c>
      <c r="F38">
        <v>22118</v>
      </c>
      <c r="G38">
        <v>2835136</v>
      </c>
      <c r="H38">
        <v>7533078</v>
      </c>
      <c r="I38">
        <v>50734</v>
      </c>
      <c r="J38">
        <v>2409564</v>
      </c>
      <c r="K38">
        <v>9697</v>
      </c>
      <c r="L38">
        <v>1630072</v>
      </c>
      <c r="M38">
        <v>4907135</v>
      </c>
      <c r="N38">
        <v>9505</v>
      </c>
      <c r="O38">
        <v>1672820</v>
      </c>
      <c r="P38">
        <v>5107408</v>
      </c>
      <c r="Q38">
        <v>5188</v>
      </c>
      <c r="R38">
        <v>695306</v>
      </c>
      <c r="S38">
        <v>73</v>
      </c>
      <c r="T38">
        <v>1067981</v>
      </c>
      <c r="U38">
        <v>6063465</v>
      </c>
      <c r="V38">
        <v>89</v>
      </c>
      <c r="W38">
        <v>1231091</v>
      </c>
      <c r="X38">
        <v>7212327</v>
      </c>
      <c r="Y38">
        <v>13</v>
      </c>
      <c r="Z38">
        <v>167750</v>
      </c>
      <c r="AA38">
        <v>34417</v>
      </c>
      <c r="AB38">
        <v>728133</v>
      </c>
      <c r="AC38">
        <v>2100397</v>
      </c>
      <c r="AD38">
        <v>34012</v>
      </c>
      <c r="AE38">
        <v>916798</v>
      </c>
      <c r="AF38">
        <v>2504257</v>
      </c>
      <c r="AG38">
        <v>3448</v>
      </c>
      <c r="AH38">
        <v>109907</v>
      </c>
      <c r="AI38">
        <v>72569</v>
      </c>
      <c r="AJ38">
        <v>407475</v>
      </c>
      <c r="AK38">
        <v>5641905</v>
      </c>
      <c r="AL38">
        <v>72690</v>
      </c>
      <c r="AM38">
        <v>416104</v>
      </c>
      <c r="AN38">
        <v>5118071</v>
      </c>
      <c r="AO38">
        <v>35762</v>
      </c>
      <c r="AP38">
        <v>157730</v>
      </c>
      <c r="AQ38">
        <v>33864</v>
      </c>
      <c r="AR38">
        <v>1075449</v>
      </c>
      <c r="AS38">
        <v>2339885</v>
      </c>
      <c r="AT38">
        <v>64756</v>
      </c>
      <c r="AU38">
        <v>1732994</v>
      </c>
      <c r="AV38">
        <v>3724940</v>
      </c>
      <c r="AW38">
        <v>140655</v>
      </c>
      <c r="AX38">
        <v>3339846</v>
      </c>
      <c r="AY38">
        <v>2518</v>
      </c>
      <c r="AZ38">
        <v>208711</v>
      </c>
      <c r="BA38">
        <v>685810</v>
      </c>
      <c r="BB38">
        <v>2609</v>
      </c>
      <c r="BC38">
        <v>200878</v>
      </c>
      <c r="BD38">
        <v>697587</v>
      </c>
      <c r="BE38">
        <v>4593</v>
      </c>
      <c r="BF38">
        <v>306516</v>
      </c>
      <c r="BG38">
        <v>27648</v>
      </c>
      <c r="BH38">
        <v>931478</v>
      </c>
      <c r="BI38">
        <v>2845708</v>
      </c>
      <c r="BJ38">
        <v>24156</v>
      </c>
      <c r="BK38">
        <v>1024869</v>
      </c>
      <c r="BL38">
        <v>3294583</v>
      </c>
      <c r="BM38">
        <v>28671</v>
      </c>
      <c r="BN38">
        <v>547755</v>
      </c>
      <c r="BO38">
        <v>19122</v>
      </c>
      <c r="BP38">
        <v>7585972</v>
      </c>
      <c r="BQ38">
        <v>21636</v>
      </c>
      <c r="BR38">
        <v>8427730</v>
      </c>
      <c r="BS38">
        <v>9171</v>
      </c>
      <c r="BT38">
        <v>17691</v>
      </c>
      <c r="BU38">
        <v>464639</v>
      </c>
      <c r="BV38">
        <v>826024</v>
      </c>
      <c r="BW38">
        <v>15830</v>
      </c>
      <c r="BX38">
        <v>473749</v>
      </c>
      <c r="BY38">
        <v>851136</v>
      </c>
      <c r="BZ38">
        <v>7995</v>
      </c>
      <c r="CA38">
        <v>338123</v>
      </c>
      <c r="CB38">
        <v>909</v>
      </c>
      <c r="CC38">
        <v>477773</v>
      </c>
      <c r="CD38">
        <v>974850</v>
      </c>
      <c r="CE38">
        <v>846</v>
      </c>
      <c r="CF38">
        <v>441148</v>
      </c>
      <c r="CG38">
        <v>945557</v>
      </c>
      <c r="CH38">
        <v>253</v>
      </c>
      <c r="CI38">
        <v>447238</v>
      </c>
      <c r="CJ38">
        <v>1592</v>
      </c>
      <c r="CK38">
        <v>1381339</v>
      </c>
      <c r="CL38">
        <v>2131005</v>
      </c>
      <c r="CM38">
        <v>1962</v>
      </c>
      <c r="CN38">
        <v>1647801</v>
      </c>
      <c r="CO38">
        <v>2643964</v>
      </c>
      <c r="CP38">
        <v>2585</v>
      </c>
      <c r="CQ38">
        <v>2307014</v>
      </c>
      <c r="CR38">
        <v>1730</v>
      </c>
      <c r="CS38">
        <v>1456227</v>
      </c>
      <c r="CT38">
        <v>4179785</v>
      </c>
      <c r="CU38">
        <v>1919</v>
      </c>
      <c r="CV38">
        <v>1599349</v>
      </c>
      <c r="CW38">
        <v>4730663</v>
      </c>
      <c r="CX38">
        <v>1129</v>
      </c>
      <c r="CY38">
        <v>734245</v>
      </c>
      <c r="CZ38">
        <v>77</v>
      </c>
      <c r="DA38">
        <v>1428476</v>
      </c>
      <c r="DB38">
        <v>12806252</v>
      </c>
      <c r="DC38">
        <v>77</v>
      </c>
      <c r="DD38">
        <v>1428476</v>
      </c>
      <c r="DE38">
        <v>12806252</v>
      </c>
      <c r="DF38">
        <v>0</v>
      </c>
      <c r="DG38">
        <v>0</v>
      </c>
      <c r="DH38">
        <v>5332</v>
      </c>
      <c r="DI38">
        <v>382842</v>
      </c>
      <c r="DJ38">
        <v>1078992</v>
      </c>
      <c r="DK38">
        <v>5360</v>
      </c>
      <c r="DL38">
        <v>424250</v>
      </c>
      <c r="DM38">
        <v>1203008</v>
      </c>
      <c r="DN38">
        <v>1126</v>
      </c>
      <c r="DO38">
        <v>404268</v>
      </c>
      <c r="DP38">
        <v>10302</v>
      </c>
      <c r="DQ38">
        <v>901641</v>
      </c>
      <c r="DR38">
        <v>2981578</v>
      </c>
      <c r="DS38">
        <v>8757</v>
      </c>
      <c r="DT38">
        <v>912521</v>
      </c>
      <c r="DU38">
        <v>3411311</v>
      </c>
      <c r="DV38">
        <v>13560</v>
      </c>
      <c r="DW38">
        <v>590472</v>
      </c>
    </row>
    <row r="39" spans="1:127" x14ac:dyDescent="0.4">
      <c r="A39" s="1"/>
      <c r="B39" s="1"/>
    </row>
    <row r="40" spans="1:127" x14ac:dyDescent="0.4">
      <c r="A40" s="1"/>
      <c r="B40" s="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0026-0D05-49B2-9C3D-33D45BF58996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432</v>
      </c>
      <c r="D3" t="s">
        <v>434</v>
      </c>
      <c r="E3" t="s">
        <v>436</v>
      </c>
      <c r="F3" t="s">
        <v>438</v>
      </c>
      <c r="G3" t="s">
        <v>440</v>
      </c>
      <c r="H3" t="s">
        <v>442</v>
      </c>
      <c r="I3" t="s">
        <v>444</v>
      </c>
      <c r="J3" t="s">
        <v>446</v>
      </c>
      <c r="K3" t="s">
        <v>448</v>
      </c>
      <c r="L3" t="s">
        <v>450</v>
      </c>
      <c r="M3" t="s">
        <v>452</v>
      </c>
      <c r="N3" t="s">
        <v>454</v>
      </c>
    </row>
    <row r="4" spans="1:14" x14ac:dyDescent="0.4">
      <c r="A4" s="1"/>
      <c r="B4" s="2" t="s">
        <v>1</v>
      </c>
      <c r="C4" t="s">
        <v>433</v>
      </c>
      <c r="D4" t="s">
        <v>435</v>
      </c>
      <c r="E4" t="s">
        <v>437</v>
      </c>
      <c r="F4" t="s">
        <v>439</v>
      </c>
      <c r="G4" t="s">
        <v>441</v>
      </c>
      <c r="H4" t="s">
        <v>443</v>
      </c>
      <c r="I4" t="s">
        <v>445</v>
      </c>
      <c r="J4" t="s">
        <v>447</v>
      </c>
      <c r="K4" t="s">
        <v>449</v>
      </c>
      <c r="L4" t="s">
        <v>451</v>
      </c>
      <c r="M4" t="s">
        <v>453</v>
      </c>
      <c r="N4" t="s">
        <v>455</v>
      </c>
    </row>
    <row r="5" spans="1:14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  <c r="K5" t="s">
        <v>257</v>
      </c>
      <c r="L5" t="s">
        <v>257</v>
      </c>
      <c r="M5" t="s">
        <v>257</v>
      </c>
      <c r="N5" t="s">
        <v>257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341</v>
      </c>
      <c r="D7" t="s">
        <v>341</v>
      </c>
      <c r="E7" t="s">
        <v>341</v>
      </c>
      <c r="F7" t="s">
        <v>341</v>
      </c>
      <c r="G7" t="s">
        <v>341</v>
      </c>
      <c r="H7" t="s">
        <v>341</v>
      </c>
      <c r="I7" t="s">
        <v>341</v>
      </c>
      <c r="J7" t="s">
        <v>341</v>
      </c>
      <c r="K7" t="s">
        <v>341</v>
      </c>
      <c r="L7" t="s">
        <v>341</v>
      </c>
      <c r="M7" t="s">
        <v>341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342</v>
      </c>
      <c r="D8" t="s">
        <v>342</v>
      </c>
      <c r="E8" t="s">
        <v>342</v>
      </c>
      <c r="F8" t="s">
        <v>342</v>
      </c>
      <c r="G8" t="s">
        <v>342</v>
      </c>
      <c r="H8" t="s">
        <v>342</v>
      </c>
      <c r="I8" t="s">
        <v>342</v>
      </c>
      <c r="J8" t="s">
        <v>342</v>
      </c>
      <c r="K8" t="s">
        <v>342</v>
      </c>
      <c r="L8" t="s">
        <v>342</v>
      </c>
      <c r="M8" t="s">
        <v>342</v>
      </c>
      <c r="N8" t="s">
        <v>342</v>
      </c>
    </row>
    <row r="9" spans="1:14" x14ac:dyDescent="0.4">
      <c r="A9" s="1" t="s">
        <v>6</v>
      </c>
      <c r="B9" s="3" t="s">
        <v>7</v>
      </c>
      <c r="C9">
        <v>15027348</v>
      </c>
      <c r="D9">
        <v>78669619</v>
      </c>
      <c r="E9">
        <v>4910216</v>
      </c>
      <c r="F9">
        <v>112731820</v>
      </c>
      <c r="G9">
        <v>100877169</v>
      </c>
      <c r="H9">
        <v>104559573</v>
      </c>
      <c r="I9">
        <v>14259088</v>
      </c>
      <c r="J9">
        <v>20493193</v>
      </c>
      <c r="K9">
        <v>163276234</v>
      </c>
      <c r="L9">
        <v>189182194</v>
      </c>
      <c r="M9">
        <v>18534748</v>
      </c>
      <c r="N9">
        <v>193434172</v>
      </c>
    </row>
    <row r="10" spans="1:14" x14ac:dyDescent="0.4">
      <c r="A10" s="1" t="s">
        <v>8</v>
      </c>
      <c r="B10" s="3" t="s">
        <v>9</v>
      </c>
      <c r="C10">
        <v>17046037</v>
      </c>
      <c r="D10">
        <v>76534327</v>
      </c>
      <c r="E10">
        <v>5046187</v>
      </c>
      <c r="F10">
        <v>111639452</v>
      </c>
      <c r="G10">
        <v>113395727</v>
      </c>
      <c r="H10">
        <v>97514634</v>
      </c>
      <c r="I10">
        <v>15157137</v>
      </c>
      <c r="J10">
        <v>22856850</v>
      </c>
      <c r="K10">
        <v>173995390</v>
      </c>
      <c r="L10">
        <v>210348323</v>
      </c>
      <c r="M10">
        <v>18579678</v>
      </c>
      <c r="N10">
        <v>216761481</v>
      </c>
    </row>
    <row r="11" spans="1:14" x14ac:dyDescent="0.4">
      <c r="A11" s="1" t="s">
        <v>10</v>
      </c>
      <c r="B11" s="3" t="s">
        <v>11</v>
      </c>
      <c r="C11">
        <v>16010963</v>
      </c>
      <c r="D11">
        <v>71628970</v>
      </c>
      <c r="E11">
        <v>4736497</v>
      </c>
      <c r="F11">
        <v>104320342</v>
      </c>
      <c r="G11">
        <v>120778096</v>
      </c>
      <c r="H11">
        <v>91120862</v>
      </c>
      <c r="I11">
        <v>16122356</v>
      </c>
      <c r="J11">
        <v>22189222</v>
      </c>
      <c r="K11">
        <v>152604489</v>
      </c>
      <c r="L11">
        <v>206777569</v>
      </c>
      <c r="M11">
        <v>18259400</v>
      </c>
      <c r="N11">
        <v>206488923</v>
      </c>
    </row>
    <row r="12" spans="1:14" x14ac:dyDescent="0.4">
      <c r="A12" s="1" t="s">
        <v>12</v>
      </c>
      <c r="B12" s="3" t="s">
        <v>13</v>
      </c>
      <c r="C12">
        <v>15239001</v>
      </c>
      <c r="D12">
        <v>64094349</v>
      </c>
      <c r="E12">
        <v>4368208</v>
      </c>
      <c r="F12">
        <v>87325219</v>
      </c>
      <c r="G12">
        <v>110924960</v>
      </c>
      <c r="H12">
        <v>81981485</v>
      </c>
      <c r="I12">
        <v>16735658</v>
      </c>
      <c r="J12">
        <v>23288714</v>
      </c>
      <c r="K12">
        <v>151355391</v>
      </c>
      <c r="L12">
        <v>167602910</v>
      </c>
      <c r="M12">
        <v>18126210</v>
      </c>
      <c r="N12">
        <v>190958775</v>
      </c>
    </row>
    <row r="13" spans="1:14" x14ac:dyDescent="0.4">
      <c r="A13" s="1" t="s">
        <v>14</v>
      </c>
      <c r="B13" s="3" t="s">
        <v>15</v>
      </c>
      <c r="C13">
        <v>15329962</v>
      </c>
      <c r="D13">
        <v>67384510</v>
      </c>
      <c r="E13">
        <v>4805822</v>
      </c>
      <c r="F13">
        <v>91838463</v>
      </c>
      <c r="G13">
        <v>109814369</v>
      </c>
      <c r="H13">
        <v>93137328</v>
      </c>
      <c r="I13">
        <v>17707221</v>
      </c>
      <c r="J13">
        <v>22380715</v>
      </c>
      <c r="K13">
        <v>152066082</v>
      </c>
      <c r="L13">
        <v>185796435</v>
      </c>
      <c r="M13">
        <v>19592575</v>
      </c>
      <c r="N13">
        <v>200116309</v>
      </c>
    </row>
    <row r="14" spans="1:14" x14ac:dyDescent="0.4">
      <c r="A14" s="1" t="s">
        <v>16</v>
      </c>
      <c r="B14" s="1" t="s">
        <v>17</v>
      </c>
      <c r="C14">
        <v>1231551</v>
      </c>
      <c r="D14">
        <v>5940322</v>
      </c>
      <c r="E14">
        <v>404977</v>
      </c>
      <c r="F14">
        <v>8245138</v>
      </c>
      <c r="G14">
        <v>9855565</v>
      </c>
      <c r="H14">
        <v>7537474</v>
      </c>
      <c r="I14">
        <v>1420521</v>
      </c>
      <c r="J14">
        <v>2083027</v>
      </c>
      <c r="K14">
        <v>12887078</v>
      </c>
      <c r="L14">
        <v>13900745</v>
      </c>
      <c r="M14">
        <v>1465051</v>
      </c>
      <c r="N14">
        <v>15885954</v>
      </c>
    </row>
    <row r="15" spans="1:14" x14ac:dyDescent="0.4">
      <c r="A15" s="1" t="s">
        <v>18</v>
      </c>
      <c r="B15" s="1" t="s">
        <v>19</v>
      </c>
      <c r="C15">
        <v>1189530</v>
      </c>
      <c r="D15">
        <v>5208714</v>
      </c>
      <c r="E15">
        <v>376919</v>
      </c>
      <c r="F15">
        <v>7649036</v>
      </c>
      <c r="G15">
        <v>9309345</v>
      </c>
      <c r="H15">
        <v>7072558</v>
      </c>
      <c r="I15">
        <v>1352405</v>
      </c>
      <c r="J15">
        <v>1778804</v>
      </c>
      <c r="K15">
        <v>13359576</v>
      </c>
      <c r="L15">
        <v>13657533</v>
      </c>
      <c r="M15">
        <v>1608222</v>
      </c>
      <c r="N15">
        <v>16311480</v>
      </c>
    </row>
    <row r="16" spans="1:14" x14ac:dyDescent="0.4">
      <c r="A16" s="1" t="s">
        <v>20</v>
      </c>
      <c r="B16" s="1" t="s">
        <v>21</v>
      </c>
      <c r="C16">
        <v>1209888</v>
      </c>
      <c r="D16">
        <v>4983642</v>
      </c>
      <c r="E16">
        <v>432546</v>
      </c>
      <c r="F16">
        <v>7561196</v>
      </c>
      <c r="G16">
        <v>9504037</v>
      </c>
      <c r="H16">
        <v>6487411</v>
      </c>
      <c r="I16">
        <v>1313671</v>
      </c>
      <c r="J16">
        <v>1975633</v>
      </c>
      <c r="K16">
        <v>13244506</v>
      </c>
      <c r="L16">
        <v>13731497</v>
      </c>
      <c r="M16">
        <v>1543370</v>
      </c>
      <c r="N16">
        <v>16020943</v>
      </c>
    </row>
    <row r="17" spans="1:14" x14ac:dyDescent="0.4">
      <c r="A17" s="1" t="s">
        <v>22</v>
      </c>
      <c r="B17" s="1" t="s">
        <v>23</v>
      </c>
      <c r="C17">
        <v>1270308</v>
      </c>
      <c r="D17">
        <v>5389480</v>
      </c>
      <c r="E17">
        <v>358374</v>
      </c>
      <c r="F17">
        <v>7552693</v>
      </c>
      <c r="G17">
        <v>9298980</v>
      </c>
      <c r="H17">
        <v>6802672</v>
      </c>
      <c r="I17">
        <v>1361394</v>
      </c>
      <c r="J17">
        <v>2000818</v>
      </c>
      <c r="K17">
        <v>12913295</v>
      </c>
      <c r="L17">
        <v>13318122</v>
      </c>
      <c r="M17">
        <v>1465597</v>
      </c>
      <c r="N17">
        <v>15976034</v>
      </c>
    </row>
    <row r="18" spans="1:14" x14ac:dyDescent="0.4">
      <c r="A18" s="1" t="s">
        <v>24</v>
      </c>
      <c r="B18" s="1" t="s">
        <v>25</v>
      </c>
      <c r="C18">
        <v>1333612</v>
      </c>
      <c r="D18">
        <v>5865077</v>
      </c>
      <c r="E18">
        <v>350788</v>
      </c>
      <c r="F18">
        <v>7840726</v>
      </c>
      <c r="G18">
        <v>9947383</v>
      </c>
      <c r="H18">
        <v>7422306</v>
      </c>
      <c r="I18">
        <v>1530764</v>
      </c>
      <c r="J18">
        <v>2241462</v>
      </c>
      <c r="K18">
        <v>13862260</v>
      </c>
      <c r="L18">
        <v>14297815</v>
      </c>
      <c r="M18">
        <v>1624969</v>
      </c>
      <c r="N18">
        <v>16486522</v>
      </c>
    </row>
    <row r="19" spans="1:14" x14ac:dyDescent="0.4">
      <c r="A19" s="1" t="s">
        <v>26</v>
      </c>
      <c r="B19" s="1" t="s">
        <v>27</v>
      </c>
      <c r="C19">
        <v>1179689</v>
      </c>
      <c r="D19">
        <v>4670125</v>
      </c>
      <c r="E19">
        <v>318546</v>
      </c>
      <c r="F19">
        <v>6067565</v>
      </c>
      <c r="G19">
        <v>7876773</v>
      </c>
      <c r="H19">
        <v>5748184</v>
      </c>
      <c r="I19">
        <v>1193552</v>
      </c>
      <c r="J19">
        <v>1905378</v>
      </c>
      <c r="K19">
        <v>11529316</v>
      </c>
      <c r="L19">
        <v>12915715</v>
      </c>
      <c r="M19">
        <v>1380669</v>
      </c>
      <c r="N19">
        <v>14571409</v>
      </c>
    </row>
    <row r="20" spans="1:14" x14ac:dyDescent="0.4">
      <c r="A20" s="1" t="s">
        <v>28</v>
      </c>
      <c r="B20" s="1" t="s">
        <v>29</v>
      </c>
      <c r="C20">
        <v>1426277</v>
      </c>
      <c r="D20">
        <v>5289292</v>
      </c>
      <c r="E20">
        <v>366675</v>
      </c>
      <c r="F20">
        <v>6969210</v>
      </c>
      <c r="G20">
        <v>9042762</v>
      </c>
      <c r="H20">
        <v>6868050</v>
      </c>
      <c r="I20">
        <v>1514864</v>
      </c>
      <c r="J20">
        <v>1949643</v>
      </c>
      <c r="K20">
        <v>11827567</v>
      </c>
      <c r="L20">
        <v>13866394</v>
      </c>
      <c r="M20">
        <v>1480290</v>
      </c>
      <c r="N20">
        <v>15106572</v>
      </c>
    </row>
    <row r="21" spans="1:14" x14ac:dyDescent="0.4">
      <c r="A21" s="1" t="s">
        <v>30</v>
      </c>
      <c r="B21" s="1" t="s">
        <v>31</v>
      </c>
      <c r="C21">
        <v>1336154</v>
      </c>
      <c r="D21">
        <v>5787593</v>
      </c>
      <c r="E21">
        <v>318919</v>
      </c>
      <c r="F21">
        <v>7058646</v>
      </c>
      <c r="G21">
        <v>9605851</v>
      </c>
      <c r="H21">
        <v>7144818</v>
      </c>
      <c r="I21">
        <v>1548996</v>
      </c>
      <c r="J21">
        <v>2144689</v>
      </c>
      <c r="K21">
        <v>13445813</v>
      </c>
      <c r="L21">
        <v>15967613</v>
      </c>
      <c r="M21">
        <v>1588345</v>
      </c>
      <c r="N21">
        <v>17199663</v>
      </c>
    </row>
    <row r="22" spans="1:14" x14ac:dyDescent="0.4">
      <c r="A22" s="1" t="s">
        <v>32</v>
      </c>
      <c r="B22" s="1" t="s">
        <v>33</v>
      </c>
      <c r="C22">
        <v>1335805</v>
      </c>
      <c r="D22">
        <v>5011333</v>
      </c>
      <c r="E22">
        <v>386102</v>
      </c>
      <c r="F22">
        <v>6477147</v>
      </c>
      <c r="G22">
        <v>8813150</v>
      </c>
      <c r="H22">
        <v>6509678</v>
      </c>
      <c r="I22">
        <v>1382978</v>
      </c>
      <c r="J22">
        <v>2107467</v>
      </c>
      <c r="K22">
        <v>13383101</v>
      </c>
      <c r="L22">
        <v>15053875</v>
      </c>
      <c r="M22">
        <v>1581625</v>
      </c>
      <c r="N22">
        <v>17886141</v>
      </c>
    </row>
    <row r="23" spans="1:14" x14ac:dyDescent="0.4">
      <c r="A23" s="1" t="s">
        <v>34</v>
      </c>
      <c r="B23" s="1" t="s">
        <v>35</v>
      </c>
      <c r="C23">
        <v>1379348</v>
      </c>
      <c r="D23">
        <v>5691297</v>
      </c>
      <c r="E23">
        <v>351472</v>
      </c>
      <c r="F23">
        <v>7555739</v>
      </c>
      <c r="G23">
        <v>8999220</v>
      </c>
      <c r="H23">
        <v>7067664</v>
      </c>
      <c r="I23">
        <v>1522302</v>
      </c>
      <c r="J23">
        <v>1834141</v>
      </c>
      <c r="K23">
        <v>12821164</v>
      </c>
      <c r="L23">
        <v>15084194</v>
      </c>
      <c r="M23">
        <v>1613400</v>
      </c>
      <c r="N23">
        <v>17707236</v>
      </c>
    </row>
    <row r="24" spans="1:14" x14ac:dyDescent="0.4">
      <c r="A24" s="1" t="s">
        <v>36</v>
      </c>
      <c r="B24" s="1" t="s">
        <v>37</v>
      </c>
      <c r="C24">
        <v>1169867</v>
      </c>
      <c r="D24">
        <v>4840676</v>
      </c>
      <c r="E24">
        <v>358539</v>
      </c>
      <c r="F24">
        <v>6179996</v>
      </c>
      <c r="G24">
        <v>8670392</v>
      </c>
      <c r="H24">
        <v>6856241</v>
      </c>
      <c r="I24">
        <v>1431130</v>
      </c>
      <c r="J24">
        <v>1649911</v>
      </c>
      <c r="K24">
        <v>11523982</v>
      </c>
      <c r="L24">
        <v>12915685</v>
      </c>
      <c r="M24">
        <v>1597986</v>
      </c>
      <c r="N24">
        <v>14883693</v>
      </c>
    </row>
    <row r="25" spans="1:14" x14ac:dyDescent="0.4">
      <c r="A25" s="1" t="s">
        <v>38</v>
      </c>
      <c r="B25" s="1" t="s">
        <v>39</v>
      </c>
      <c r="C25">
        <v>1337898</v>
      </c>
      <c r="D25">
        <v>5105817</v>
      </c>
      <c r="E25">
        <v>347761</v>
      </c>
      <c r="F25">
        <v>6940688</v>
      </c>
      <c r="G25">
        <v>8893638</v>
      </c>
      <c r="H25">
        <v>7619267</v>
      </c>
      <c r="I25">
        <v>1617394</v>
      </c>
      <c r="J25">
        <v>1819157</v>
      </c>
      <c r="K25">
        <v>12328232</v>
      </c>
      <c r="L25">
        <v>14751248</v>
      </c>
      <c r="M25">
        <v>1537479</v>
      </c>
      <c r="N25">
        <v>15780765</v>
      </c>
    </row>
    <row r="26" spans="1:14" x14ac:dyDescent="0.4">
      <c r="A26" s="1" t="s">
        <v>40</v>
      </c>
      <c r="B26" s="1" t="s">
        <v>41</v>
      </c>
      <c r="C26">
        <v>1372726</v>
      </c>
      <c r="D26">
        <v>5691587</v>
      </c>
      <c r="E26">
        <v>445005</v>
      </c>
      <c r="F26">
        <v>7917060</v>
      </c>
      <c r="G26">
        <v>9516319</v>
      </c>
      <c r="H26">
        <v>8019647</v>
      </c>
      <c r="I26">
        <v>1653307</v>
      </c>
      <c r="J26">
        <v>2136171</v>
      </c>
      <c r="K26">
        <v>13011799</v>
      </c>
      <c r="L26">
        <v>16169484</v>
      </c>
      <c r="M26">
        <v>1589237</v>
      </c>
      <c r="N26">
        <v>16661861</v>
      </c>
    </row>
    <row r="27" spans="1:14" x14ac:dyDescent="0.4">
      <c r="A27" s="1" t="s">
        <v>42</v>
      </c>
      <c r="B27" s="1" t="s">
        <v>43</v>
      </c>
      <c r="C27">
        <v>1347836</v>
      </c>
      <c r="D27">
        <v>5480575</v>
      </c>
      <c r="E27">
        <v>445524</v>
      </c>
      <c r="F27">
        <v>7477823</v>
      </c>
      <c r="G27">
        <v>9000981</v>
      </c>
      <c r="H27">
        <v>7500267</v>
      </c>
      <c r="I27">
        <v>1496942</v>
      </c>
      <c r="J27">
        <v>1616986</v>
      </c>
      <c r="K27">
        <v>12697139</v>
      </c>
      <c r="L27">
        <v>14993786</v>
      </c>
      <c r="M27">
        <v>1661391</v>
      </c>
      <c r="N27">
        <v>16629853</v>
      </c>
    </row>
    <row r="28" spans="1:14" x14ac:dyDescent="0.4">
      <c r="A28" s="1" t="s">
        <v>44</v>
      </c>
      <c r="B28" s="1" t="s">
        <v>45</v>
      </c>
      <c r="C28">
        <v>1322560</v>
      </c>
      <c r="D28">
        <v>5436544</v>
      </c>
      <c r="E28">
        <v>397649</v>
      </c>
      <c r="F28">
        <v>7518532</v>
      </c>
      <c r="G28">
        <v>9139317</v>
      </c>
      <c r="H28">
        <v>7626592</v>
      </c>
      <c r="I28">
        <v>1325942</v>
      </c>
      <c r="J28">
        <v>1788069</v>
      </c>
      <c r="K28">
        <v>12231614</v>
      </c>
      <c r="L28">
        <v>14844924</v>
      </c>
      <c r="M28">
        <v>1577281</v>
      </c>
      <c r="N28">
        <v>16760665</v>
      </c>
    </row>
    <row r="29" spans="1:14" x14ac:dyDescent="0.4">
      <c r="A29" s="1" t="s">
        <v>46</v>
      </c>
      <c r="B29" s="1" t="s">
        <v>47</v>
      </c>
      <c r="C29">
        <v>1326934</v>
      </c>
      <c r="D29">
        <v>6040565</v>
      </c>
      <c r="E29">
        <v>412133</v>
      </c>
      <c r="F29">
        <v>8199253</v>
      </c>
      <c r="G29">
        <v>9680609</v>
      </c>
      <c r="H29">
        <v>8408031</v>
      </c>
      <c r="I29">
        <v>1556002</v>
      </c>
      <c r="J29">
        <v>1944316</v>
      </c>
      <c r="K29">
        <v>12276804</v>
      </c>
      <c r="L29">
        <v>14944356</v>
      </c>
      <c r="M29">
        <v>1569997</v>
      </c>
      <c r="N29">
        <v>16513500</v>
      </c>
    </row>
    <row r="30" spans="1:14" x14ac:dyDescent="0.4">
      <c r="A30" s="1" t="s">
        <v>48</v>
      </c>
      <c r="B30" s="1" t="s">
        <v>49</v>
      </c>
      <c r="C30">
        <v>1256855</v>
      </c>
      <c r="D30">
        <v>5864584</v>
      </c>
      <c r="E30">
        <v>349110</v>
      </c>
      <c r="F30">
        <v>8447598</v>
      </c>
      <c r="G30">
        <v>10139308</v>
      </c>
      <c r="H30">
        <v>8242060</v>
      </c>
      <c r="I30">
        <v>1485919</v>
      </c>
      <c r="J30">
        <v>2012257</v>
      </c>
      <c r="K30">
        <v>13103452</v>
      </c>
      <c r="L30">
        <v>16473268</v>
      </c>
      <c r="M30">
        <v>1723239</v>
      </c>
      <c r="N30">
        <v>17517386</v>
      </c>
    </row>
    <row r="31" spans="1:14" x14ac:dyDescent="0.4">
      <c r="A31" s="1" t="s">
        <v>50</v>
      </c>
      <c r="B31" s="1" t="s">
        <v>51</v>
      </c>
      <c r="C31">
        <v>1047506</v>
      </c>
      <c r="D31">
        <v>4708167</v>
      </c>
      <c r="E31">
        <v>358531</v>
      </c>
      <c r="F31">
        <v>6666874</v>
      </c>
      <c r="G31">
        <v>7770349</v>
      </c>
      <c r="H31">
        <v>6511867</v>
      </c>
      <c r="I31">
        <v>1161022</v>
      </c>
      <c r="J31">
        <v>1507125</v>
      </c>
      <c r="K31">
        <v>11905895</v>
      </c>
      <c r="L31">
        <v>14208961</v>
      </c>
      <c r="M31">
        <v>1502642</v>
      </c>
      <c r="N31">
        <v>15829901</v>
      </c>
    </row>
    <row r="32" spans="1:14" x14ac:dyDescent="0.4">
      <c r="A32" s="1" t="s">
        <v>52</v>
      </c>
      <c r="B32" s="1" t="s">
        <v>53</v>
      </c>
      <c r="C32">
        <v>1263648</v>
      </c>
      <c r="D32">
        <v>6172155</v>
      </c>
      <c r="E32">
        <v>465961</v>
      </c>
      <c r="F32">
        <v>8226934</v>
      </c>
      <c r="G32">
        <v>9527148</v>
      </c>
      <c r="H32">
        <v>8468587</v>
      </c>
      <c r="I32">
        <v>1667673</v>
      </c>
      <c r="J32">
        <v>1945509</v>
      </c>
      <c r="K32">
        <v>12350508</v>
      </c>
      <c r="L32">
        <v>15581535</v>
      </c>
      <c r="M32">
        <v>1676609</v>
      </c>
      <c r="N32">
        <v>15654729</v>
      </c>
    </row>
    <row r="33" spans="1:14" x14ac:dyDescent="0.4">
      <c r="A33" s="1" t="s">
        <v>54</v>
      </c>
      <c r="B33" s="1" t="s">
        <v>55</v>
      </c>
      <c r="C33">
        <v>1332093</v>
      </c>
      <c r="D33">
        <v>6426245</v>
      </c>
      <c r="E33">
        <v>458410</v>
      </c>
      <c r="F33">
        <v>8362739</v>
      </c>
      <c r="G33">
        <v>9615037</v>
      </c>
      <c r="H33">
        <v>8273626</v>
      </c>
      <c r="I33">
        <v>1535326</v>
      </c>
      <c r="J33">
        <v>2209918</v>
      </c>
      <c r="K33">
        <v>13371155</v>
      </c>
      <c r="L33">
        <v>16158076</v>
      </c>
      <c r="M33">
        <v>1653457</v>
      </c>
      <c r="N33">
        <v>17160197</v>
      </c>
    </row>
    <row r="34" spans="1:14" x14ac:dyDescent="0.4">
      <c r="A34" s="1" t="s">
        <v>56</v>
      </c>
      <c r="B34" s="1" t="s">
        <v>57</v>
      </c>
      <c r="C34">
        <v>1252977</v>
      </c>
      <c r="D34">
        <v>5443073</v>
      </c>
      <c r="E34">
        <v>391195</v>
      </c>
      <c r="F34">
        <v>7361824</v>
      </c>
      <c r="G34">
        <v>8863655</v>
      </c>
      <c r="H34">
        <v>7369285</v>
      </c>
      <c r="I34">
        <v>1403401</v>
      </c>
      <c r="J34">
        <v>1807972</v>
      </c>
      <c r="K34">
        <v>12555196</v>
      </c>
      <c r="L34">
        <v>16606890</v>
      </c>
      <c r="M34">
        <v>1725064</v>
      </c>
      <c r="N34">
        <v>17016823</v>
      </c>
    </row>
    <row r="35" spans="1:14" x14ac:dyDescent="0.4">
      <c r="A35" s="1" t="s">
        <v>58</v>
      </c>
      <c r="B35" s="1" t="s">
        <v>59</v>
      </c>
      <c r="C35">
        <v>1299062</v>
      </c>
      <c r="D35">
        <v>6174522</v>
      </c>
      <c r="E35">
        <v>376004</v>
      </c>
      <c r="F35">
        <v>8539142</v>
      </c>
      <c r="G35">
        <v>8997616</v>
      </c>
      <c r="H35">
        <v>8241858</v>
      </c>
      <c r="I35">
        <v>1373163</v>
      </c>
      <c r="J35">
        <v>1943324</v>
      </c>
      <c r="K35">
        <v>14710306</v>
      </c>
      <c r="L35">
        <v>18148222</v>
      </c>
      <c r="M35">
        <v>1778193</v>
      </c>
      <c r="N35">
        <v>19706936</v>
      </c>
    </row>
    <row r="36" spans="1:14" x14ac:dyDescent="0.4">
      <c r="A36" s="1" t="s">
        <v>60</v>
      </c>
      <c r="B36" s="1" t="s">
        <v>61</v>
      </c>
      <c r="C36">
        <v>1180997</v>
      </c>
      <c r="D36">
        <v>5519818</v>
      </c>
      <c r="E36">
        <v>369307</v>
      </c>
      <c r="F36">
        <v>7547853</v>
      </c>
      <c r="G36">
        <v>8732585</v>
      </c>
      <c r="H36">
        <v>7263261</v>
      </c>
      <c r="I36">
        <v>1478700</v>
      </c>
      <c r="J36">
        <v>1809047</v>
      </c>
      <c r="K36">
        <v>13519303</v>
      </c>
      <c r="L36">
        <v>17150797</v>
      </c>
      <c r="M36">
        <v>1666255</v>
      </c>
      <c r="N36">
        <v>17637457</v>
      </c>
    </row>
    <row r="37" spans="1:14" x14ac:dyDescent="0.4">
      <c r="A37" s="1" t="s">
        <v>62</v>
      </c>
      <c r="B37" s="1" t="s">
        <v>63</v>
      </c>
      <c r="C37">
        <v>1298579</v>
      </c>
      <c r="D37">
        <v>5428254</v>
      </c>
      <c r="E37">
        <v>422763</v>
      </c>
      <c r="F37">
        <v>8101580</v>
      </c>
      <c r="G37">
        <v>9184196</v>
      </c>
      <c r="H37">
        <v>7701410</v>
      </c>
      <c r="I37">
        <v>1499810</v>
      </c>
      <c r="J37">
        <v>1541039</v>
      </c>
      <c r="K37">
        <v>13455473</v>
      </c>
      <c r="L37">
        <v>17175455</v>
      </c>
      <c r="M37">
        <v>1550609</v>
      </c>
      <c r="N37">
        <v>18819909</v>
      </c>
    </row>
    <row r="38" spans="1:14" x14ac:dyDescent="0.4">
      <c r="A38" s="1" t="s">
        <v>64</v>
      </c>
      <c r="B38" s="1" t="s">
        <v>65</v>
      </c>
      <c r="C38">
        <v>1340473</v>
      </c>
      <c r="D38">
        <v>6456401</v>
      </c>
      <c r="E38">
        <v>444684</v>
      </c>
      <c r="F38">
        <v>9312697</v>
      </c>
      <c r="G38">
        <v>9765629</v>
      </c>
      <c r="H38">
        <v>9050510</v>
      </c>
      <c r="I38">
        <v>1709205</v>
      </c>
      <c r="J38">
        <v>2237989</v>
      </c>
      <c r="K38">
        <v>15914581</v>
      </c>
      <c r="L38">
        <v>19964076</v>
      </c>
      <c r="M38">
        <v>1972065</v>
      </c>
      <c r="N38">
        <v>22472770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E9D3F-1F5B-4669-A9B3-AAF65B569625}">
  <dimension ref="A1:AZ40"/>
  <sheetViews>
    <sheetView workbookViewId="0">
      <selection activeCell="C9" sqref="C9"/>
    </sheetView>
  </sheetViews>
  <sheetFormatPr defaultColWidth="15.625" defaultRowHeight="18.75" x14ac:dyDescent="0.4"/>
  <sheetData>
    <row r="1" spans="1:52" x14ac:dyDescent="0.4">
      <c r="A1" s="1" t="s">
        <v>66</v>
      </c>
      <c r="B1" s="1"/>
    </row>
    <row r="2" spans="1:52" x14ac:dyDescent="0.4">
      <c r="A2" s="4" t="str">
        <f>HYPERLINK("#'目次(Contents)'!A3","目次に戻る(Return to Contents)")</f>
        <v>目次に戻る(Return to Contents)</v>
      </c>
      <c r="B2" s="1"/>
    </row>
    <row r="3" spans="1:52" x14ac:dyDescent="0.4">
      <c r="A3" s="1"/>
      <c r="B3" s="2" t="s">
        <v>0</v>
      </c>
      <c r="C3" t="s">
        <v>456</v>
      </c>
      <c r="D3" t="s">
        <v>456</v>
      </c>
      <c r="E3" t="s">
        <v>456</v>
      </c>
      <c r="F3" t="s">
        <v>458</v>
      </c>
      <c r="G3" t="s">
        <v>458</v>
      </c>
      <c r="H3" t="s">
        <v>458</v>
      </c>
      <c r="I3" t="s">
        <v>460</v>
      </c>
      <c r="J3" t="s">
        <v>460</v>
      </c>
      <c r="K3" t="s">
        <v>460</v>
      </c>
      <c r="L3" t="s">
        <v>462</v>
      </c>
      <c r="M3" t="s">
        <v>462</v>
      </c>
      <c r="N3" t="s">
        <v>462</v>
      </c>
      <c r="O3" t="s">
        <v>464</v>
      </c>
      <c r="P3" t="s">
        <v>464</v>
      </c>
      <c r="Q3" t="s">
        <v>464</v>
      </c>
      <c r="R3" t="s">
        <v>466</v>
      </c>
      <c r="S3" t="s">
        <v>466</v>
      </c>
      <c r="T3" t="s">
        <v>466</v>
      </c>
      <c r="U3" t="s">
        <v>468</v>
      </c>
      <c r="V3" t="s">
        <v>468</v>
      </c>
      <c r="W3" t="s">
        <v>470</v>
      </c>
      <c r="X3" t="s">
        <v>470</v>
      </c>
      <c r="Y3" t="s">
        <v>472</v>
      </c>
      <c r="Z3" t="s">
        <v>472</v>
      </c>
      <c r="AA3" t="s">
        <v>472</v>
      </c>
      <c r="AB3" t="s">
        <v>474</v>
      </c>
      <c r="AC3" t="s">
        <v>474</v>
      </c>
      <c r="AD3" t="s">
        <v>474</v>
      </c>
      <c r="AE3" t="s">
        <v>476</v>
      </c>
      <c r="AF3" t="s">
        <v>476</v>
      </c>
      <c r="AG3" t="s">
        <v>476</v>
      </c>
      <c r="AH3" t="s">
        <v>478</v>
      </c>
      <c r="AI3" t="s">
        <v>478</v>
      </c>
      <c r="AJ3" t="s">
        <v>478</v>
      </c>
      <c r="AK3" t="s">
        <v>480</v>
      </c>
      <c r="AL3" t="s">
        <v>480</v>
      </c>
      <c r="AM3" t="s">
        <v>480</v>
      </c>
      <c r="AN3" t="s">
        <v>483</v>
      </c>
      <c r="AO3" t="s">
        <v>483</v>
      </c>
      <c r="AP3" t="s">
        <v>485</v>
      </c>
      <c r="AQ3" t="s">
        <v>485</v>
      </c>
      <c r="AR3" t="s">
        <v>487</v>
      </c>
      <c r="AS3" t="s">
        <v>487</v>
      </c>
      <c r="AT3" t="s">
        <v>489</v>
      </c>
      <c r="AU3" t="s">
        <v>489</v>
      </c>
      <c r="AV3" t="s">
        <v>491</v>
      </c>
      <c r="AW3" t="s">
        <v>491</v>
      </c>
      <c r="AX3" t="s">
        <v>493</v>
      </c>
      <c r="AY3" t="s">
        <v>493</v>
      </c>
      <c r="AZ3" t="s">
        <v>495</v>
      </c>
    </row>
    <row r="4" spans="1:52" x14ac:dyDescent="0.4">
      <c r="A4" s="1"/>
      <c r="B4" s="2" t="s">
        <v>1</v>
      </c>
      <c r="C4" t="s">
        <v>457</v>
      </c>
      <c r="D4" t="s">
        <v>457</v>
      </c>
      <c r="E4" t="s">
        <v>457</v>
      </c>
      <c r="F4" t="s">
        <v>459</v>
      </c>
      <c r="G4" t="s">
        <v>459</v>
      </c>
      <c r="H4" t="s">
        <v>459</v>
      </c>
      <c r="I4" t="s">
        <v>461</v>
      </c>
      <c r="J4" t="s">
        <v>461</v>
      </c>
      <c r="K4" t="s">
        <v>461</v>
      </c>
      <c r="L4" t="s">
        <v>463</v>
      </c>
      <c r="M4" t="s">
        <v>463</v>
      </c>
      <c r="N4" t="s">
        <v>463</v>
      </c>
      <c r="O4" t="s">
        <v>465</v>
      </c>
      <c r="P4" t="s">
        <v>465</v>
      </c>
      <c r="Q4" t="s">
        <v>465</v>
      </c>
      <c r="R4" t="s">
        <v>467</v>
      </c>
      <c r="S4" t="s">
        <v>467</v>
      </c>
      <c r="T4" t="s">
        <v>467</v>
      </c>
      <c r="U4" t="s">
        <v>469</v>
      </c>
      <c r="V4" t="s">
        <v>469</v>
      </c>
      <c r="W4" t="s">
        <v>471</v>
      </c>
      <c r="X4" t="s">
        <v>471</v>
      </c>
      <c r="Y4" t="s">
        <v>473</v>
      </c>
      <c r="Z4" t="s">
        <v>473</v>
      </c>
      <c r="AA4" t="s">
        <v>473</v>
      </c>
      <c r="AB4" t="s">
        <v>475</v>
      </c>
      <c r="AC4" t="s">
        <v>475</v>
      </c>
      <c r="AD4" t="s">
        <v>475</v>
      </c>
      <c r="AE4" t="s">
        <v>477</v>
      </c>
      <c r="AF4" t="s">
        <v>477</v>
      </c>
      <c r="AG4" t="s">
        <v>477</v>
      </c>
      <c r="AH4" t="s">
        <v>479</v>
      </c>
      <c r="AI4" t="s">
        <v>479</v>
      </c>
      <c r="AJ4" t="s">
        <v>479</v>
      </c>
      <c r="AK4" t="s">
        <v>482</v>
      </c>
      <c r="AL4" t="s">
        <v>482</v>
      </c>
      <c r="AM4" t="s">
        <v>482</v>
      </c>
      <c r="AN4" t="s">
        <v>484</v>
      </c>
      <c r="AO4" t="s">
        <v>484</v>
      </c>
      <c r="AP4" t="s">
        <v>486</v>
      </c>
      <c r="AQ4" t="s">
        <v>486</v>
      </c>
      <c r="AR4" t="s">
        <v>488</v>
      </c>
      <c r="AS4" t="s">
        <v>488</v>
      </c>
      <c r="AT4" t="s">
        <v>490</v>
      </c>
      <c r="AU4" t="s">
        <v>490</v>
      </c>
      <c r="AV4" t="s">
        <v>492</v>
      </c>
      <c r="AW4" t="s">
        <v>492</v>
      </c>
      <c r="AX4" t="s">
        <v>494</v>
      </c>
      <c r="AY4" t="s">
        <v>494</v>
      </c>
      <c r="AZ4" t="s">
        <v>496</v>
      </c>
    </row>
    <row r="5" spans="1:52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338</v>
      </c>
      <c r="AA5" t="s">
        <v>257</v>
      </c>
      <c r="AB5" t="s">
        <v>69</v>
      </c>
      <c r="AC5" t="s">
        <v>338</v>
      </c>
      <c r="AD5" t="s">
        <v>257</v>
      </c>
      <c r="AE5" t="s">
        <v>69</v>
      </c>
      <c r="AF5" t="s">
        <v>338</v>
      </c>
      <c r="AG5" t="s">
        <v>257</v>
      </c>
      <c r="AH5" t="s">
        <v>69</v>
      </c>
      <c r="AI5" t="s">
        <v>338</v>
      </c>
      <c r="AJ5" t="s">
        <v>257</v>
      </c>
      <c r="AK5" t="s">
        <v>69</v>
      </c>
      <c r="AL5" t="s">
        <v>338</v>
      </c>
      <c r="AM5" t="s">
        <v>257</v>
      </c>
      <c r="AN5" t="s">
        <v>69</v>
      </c>
      <c r="AO5" t="s">
        <v>257</v>
      </c>
      <c r="AP5" t="s">
        <v>69</v>
      </c>
      <c r="AQ5" t="s">
        <v>257</v>
      </c>
      <c r="AR5" t="s">
        <v>69</v>
      </c>
      <c r="AS5" t="s">
        <v>257</v>
      </c>
      <c r="AT5" t="s">
        <v>69</v>
      </c>
      <c r="AU5" t="s">
        <v>257</v>
      </c>
      <c r="AV5" t="s">
        <v>69</v>
      </c>
      <c r="AW5" t="s">
        <v>257</v>
      </c>
      <c r="AX5" t="s">
        <v>69</v>
      </c>
      <c r="AY5" t="s">
        <v>257</v>
      </c>
      <c r="AZ5" t="s">
        <v>257</v>
      </c>
    </row>
    <row r="6" spans="1:52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340</v>
      </c>
      <c r="AA6" t="s">
        <v>259</v>
      </c>
      <c r="AB6" t="s">
        <v>72</v>
      </c>
      <c r="AC6" t="s">
        <v>340</v>
      </c>
      <c r="AD6" t="s">
        <v>259</v>
      </c>
      <c r="AE6" t="s">
        <v>72</v>
      </c>
      <c r="AF6" t="s">
        <v>340</v>
      </c>
      <c r="AG6" t="s">
        <v>259</v>
      </c>
      <c r="AH6" t="s">
        <v>72</v>
      </c>
      <c r="AI6" t="s">
        <v>340</v>
      </c>
      <c r="AJ6" t="s">
        <v>259</v>
      </c>
      <c r="AK6" t="s">
        <v>72</v>
      </c>
      <c r="AL6" t="s">
        <v>340</v>
      </c>
      <c r="AM6" t="s">
        <v>259</v>
      </c>
      <c r="AN6" t="s">
        <v>72</v>
      </c>
      <c r="AO6" t="s">
        <v>259</v>
      </c>
      <c r="AP6" t="s">
        <v>72</v>
      </c>
      <c r="AQ6" t="s">
        <v>259</v>
      </c>
      <c r="AR6" t="s">
        <v>72</v>
      </c>
      <c r="AS6" t="s">
        <v>259</v>
      </c>
      <c r="AT6" t="s">
        <v>72</v>
      </c>
      <c r="AU6" t="s">
        <v>259</v>
      </c>
      <c r="AV6" t="s">
        <v>72</v>
      </c>
      <c r="AW6" t="s">
        <v>259</v>
      </c>
      <c r="AX6" t="s">
        <v>72</v>
      </c>
      <c r="AY6" t="s">
        <v>259</v>
      </c>
      <c r="AZ6" t="s">
        <v>259</v>
      </c>
    </row>
    <row r="7" spans="1:52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70</v>
      </c>
      <c r="AA7" t="s">
        <v>258</v>
      </c>
      <c r="AB7" t="s">
        <v>251</v>
      </c>
      <c r="AC7" t="s">
        <v>70</v>
      </c>
      <c r="AD7" t="s">
        <v>258</v>
      </c>
      <c r="AE7" t="s">
        <v>251</v>
      </c>
      <c r="AF7" t="s">
        <v>70</v>
      </c>
      <c r="AG7" t="s">
        <v>258</v>
      </c>
      <c r="AH7" t="s">
        <v>251</v>
      </c>
      <c r="AI7" t="s">
        <v>70</v>
      </c>
      <c r="AJ7" t="s">
        <v>258</v>
      </c>
      <c r="AK7" t="s">
        <v>481</v>
      </c>
      <c r="AL7" t="s">
        <v>70</v>
      </c>
      <c r="AM7" t="s">
        <v>258</v>
      </c>
      <c r="AN7" t="s">
        <v>481</v>
      </c>
      <c r="AO7" t="s">
        <v>258</v>
      </c>
      <c r="AP7" t="s">
        <v>360</v>
      </c>
      <c r="AQ7" t="s">
        <v>258</v>
      </c>
      <c r="AR7" t="s">
        <v>360</v>
      </c>
      <c r="AS7" t="s">
        <v>258</v>
      </c>
      <c r="AT7" t="s">
        <v>251</v>
      </c>
      <c r="AU7" t="s">
        <v>258</v>
      </c>
      <c r="AV7" t="s">
        <v>251</v>
      </c>
      <c r="AW7" t="s">
        <v>258</v>
      </c>
      <c r="AX7" t="s">
        <v>251</v>
      </c>
      <c r="AY7" t="s">
        <v>258</v>
      </c>
      <c r="AZ7" t="s">
        <v>258</v>
      </c>
    </row>
    <row r="8" spans="1:52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70</v>
      </c>
      <c r="AA8" t="s">
        <v>260</v>
      </c>
      <c r="AB8" t="s">
        <v>253</v>
      </c>
      <c r="AC8" t="s">
        <v>70</v>
      </c>
      <c r="AD8" t="s">
        <v>260</v>
      </c>
      <c r="AE8" t="s">
        <v>253</v>
      </c>
      <c r="AF8" t="s">
        <v>70</v>
      </c>
      <c r="AG8" t="s">
        <v>260</v>
      </c>
      <c r="AH8" t="s">
        <v>253</v>
      </c>
      <c r="AI8" t="s">
        <v>70</v>
      </c>
      <c r="AJ8" t="s">
        <v>260</v>
      </c>
      <c r="AK8" t="s">
        <v>253</v>
      </c>
      <c r="AL8" t="s">
        <v>70</v>
      </c>
      <c r="AM8" t="s">
        <v>260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260</v>
      </c>
      <c r="AX8" t="s">
        <v>253</v>
      </c>
      <c r="AY8" t="s">
        <v>260</v>
      </c>
      <c r="AZ8" t="s">
        <v>260</v>
      </c>
    </row>
    <row r="9" spans="1:52" x14ac:dyDescent="0.4">
      <c r="A9" s="1" t="s">
        <v>6</v>
      </c>
      <c r="B9" s="3" t="s">
        <v>7</v>
      </c>
      <c r="C9">
        <v>4310</v>
      </c>
      <c r="D9">
        <v>17224</v>
      </c>
      <c r="E9">
        <v>22552</v>
      </c>
      <c r="F9">
        <v>276</v>
      </c>
      <c r="G9">
        <v>17052</v>
      </c>
      <c r="H9">
        <v>17792</v>
      </c>
      <c r="I9">
        <v>493</v>
      </c>
      <c r="J9">
        <v>22849</v>
      </c>
      <c r="K9">
        <v>14225</v>
      </c>
      <c r="L9">
        <v>13277</v>
      </c>
      <c r="M9">
        <v>15033</v>
      </c>
      <c r="N9">
        <v>16916</v>
      </c>
      <c r="O9">
        <v>70</v>
      </c>
      <c r="P9">
        <v>10515</v>
      </c>
      <c r="Q9">
        <v>14011</v>
      </c>
      <c r="R9">
        <v>570</v>
      </c>
      <c r="S9">
        <v>4910</v>
      </c>
      <c r="T9">
        <v>7208</v>
      </c>
      <c r="U9">
        <v>922</v>
      </c>
      <c r="V9">
        <v>5816</v>
      </c>
      <c r="W9">
        <v>549784</v>
      </c>
      <c r="X9">
        <v>22068</v>
      </c>
      <c r="Y9">
        <v>73605</v>
      </c>
      <c r="Z9">
        <v>10975</v>
      </c>
      <c r="AA9">
        <v>26176</v>
      </c>
      <c r="AB9">
        <v>25334</v>
      </c>
      <c r="AC9">
        <v>23153</v>
      </c>
      <c r="AD9">
        <v>31799</v>
      </c>
      <c r="AE9">
        <v>218473</v>
      </c>
      <c r="AF9">
        <v>48304</v>
      </c>
      <c r="AG9">
        <v>38998</v>
      </c>
      <c r="AH9">
        <v>62902</v>
      </c>
      <c r="AI9">
        <v>98428</v>
      </c>
      <c r="AJ9">
        <v>79136</v>
      </c>
      <c r="AK9">
        <v>27455</v>
      </c>
      <c r="AL9">
        <v>220340</v>
      </c>
      <c r="AM9">
        <v>181711</v>
      </c>
      <c r="AN9">
        <v>1122</v>
      </c>
      <c r="AO9">
        <v>20395</v>
      </c>
      <c r="AP9">
        <v>522</v>
      </c>
      <c r="AQ9">
        <v>20123</v>
      </c>
      <c r="AR9">
        <v>3948</v>
      </c>
      <c r="AS9">
        <v>111929</v>
      </c>
      <c r="AT9">
        <v>5670</v>
      </c>
      <c r="AU9">
        <v>22264</v>
      </c>
      <c r="AV9">
        <v>165469</v>
      </c>
      <c r="AW9">
        <v>325955</v>
      </c>
      <c r="AX9">
        <v>35162</v>
      </c>
      <c r="AY9">
        <v>275009</v>
      </c>
      <c r="AZ9">
        <v>40378</v>
      </c>
    </row>
    <row r="10" spans="1:52" x14ac:dyDescent="0.4">
      <c r="A10" s="1" t="s">
        <v>8</v>
      </c>
      <c r="B10" s="3" t="s">
        <v>9</v>
      </c>
      <c r="C10">
        <v>4549</v>
      </c>
      <c r="D10">
        <v>17515</v>
      </c>
      <c r="E10">
        <v>22644</v>
      </c>
      <c r="F10">
        <v>287</v>
      </c>
      <c r="G10">
        <v>14551</v>
      </c>
      <c r="H10">
        <v>17018</v>
      </c>
      <c r="I10">
        <v>476</v>
      </c>
      <c r="J10">
        <v>22058</v>
      </c>
      <c r="K10">
        <v>11930</v>
      </c>
      <c r="L10">
        <v>9965</v>
      </c>
      <c r="M10">
        <v>11277</v>
      </c>
      <c r="N10">
        <v>13185</v>
      </c>
      <c r="O10">
        <v>84</v>
      </c>
      <c r="P10">
        <v>16694</v>
      </c>
      <c r="Q10">
        <v>25164</v>
      </c>
      <c r="R10">
        <v>580</v>
      </c>
      <c r="S10">
        <v>6923</v>
      </c>
      <c r="T10">
        <v>7501</v>
      </c>
      <c r="U10">
        <v>571</v>
      </c>
      <c r="V10">
        <v>3600</v>
      </c>
      <c r="W10">
        <v>494556</v>
      </c>
      <c r="X10">
        <v>20999</v>
      </c>
      <c r="Y10">
        <v>73884</v>
      </c>
      <c r="Z10">
        <v>16041</v>
      </c>
      <c r="AA10">
        <v>38965</v>
      </c>
      <c r="AB10">
        <v>27725</v>
      </c>
      <c r="AC10">
        <v>25133</v>
      </c>
      <c r="AD10">
        <v>34854</v>
      </c>
      <c r="AE10">
        <v>197491</v>
      </c>
      <c r="AF10">
        <v>29069</v>
      </c>
      <c r="AG10">
        <v>25603</v>
      </c>
      <c r="AH10">
        <v>28413</v>
      </c>
      <c r="AI10">
        <v>146743</v>
      </c>
      <c r="AJ10">
        <v>114848</v>
      </c>
      <c r="AK10">
        <v>28396</v>
      </c>
      <c r="AL10">
        <v>226954</v>
      </c>
      <c r="AM10">
        <v>202546</v>
      </c>
      <c r="AN10">
        <v>1481</v>
      </c>
      <c r="AO10">
        <v>21777</v>
      </c>
      <c r="AP10">
        <v>505</v>
      </c>
      <c r="AQ10">
        <v>23311</v>
      </c>
      <c r="AR10">
        <v>4537</v>
      </c>
      <c r="AS10">
        <v>134815</v>
      </c>
      <c r="AT10">
        <v>5637</v>
      </c>
      <c r="AU10">
        <v>19212</v>
      </c>
      <c r="AV10">
        <v>192149</v>
      </c>
      <c r="AW10">
        <v>399973</v>
      </c>
      <c r="AX10">
        <v>38773</v>
      </c>
      <c r="AY10">
        <v>265898</v>
      </c>
      <c r="AZ10">
        <v>40384</v>
      </c>
    </row>
    <row r="11" spans="1:52" x14ac:dyDescent="0.4">
      <c r="A11" s="1" t="s">
        <v>10</v>
      </c>
      <c r="B11" s="3" t="s">
        <v>11</v>
      </c>
      <c r="C11">
        <v>4435</v>
      </c>
      <c r="D11">
        <v>16015</v>
      </c>
      <c r="E11">
        <v>19551</v>
      </c>
      <c r="F11">
        <v>264</v>
      </c>
      <c r="G11">
        <v>15407</v>
      </c>
      <c r="H11">
        <v>19505</v>
      </c>
      <c r="I11">
        <v>448</v>
      </c>
      <c r="J11">
        <v>21392</v>
      </c>
      <c r="K11">
        <v>17206</v>
      </c>
      <c r="L11">
        <v>12268</v>
      </c>
      <c r="M11">
        <v>13952</v>
      </c>
      <c r="N11">
        <v>17207</v>
      </c>
      <c r="O11">
        <v>57</v>
      </c>
      <c r="P11">
        <v>8110</v>
      </c>
      <c r="Q11">
        <v>11397</v>
      </c>
      <c r="R11">
        <v>621</v>
      </c>
      <c r="S11">
        <v>10019</v>
      </c>
      <c r="T11">
        <v>9413</v>
      </c>
      <c r="U11">
        <v>598</v>
      </c>
      <c r="V11">
        <v>3521</v>
      </c>
      <c r="W11">
        <v>420445</v>
      </c>
      <c r="X11">
        <v>20447</v>
      </c>
      <c r="Y11">
        <v>60515</v>
      </c>
      <c r="Z11">
        <v>15383</v>
      </c>
      <c r="AA11">
        <v>40368</v>
      </c>
      <c r="AB11">
        <v>28949</v>
      </c>
      <c r="AC11">
        <v>29187</v>
      </c>
      <c r="AD11">
        <v>40307</v>
      </c>
      <c r="AE11">
        <v>185184</v>
      </c>
      <c r="AF11">
        <v>40054</v>
      </c>
      <c r="AG11">
        <v>34264</v>
      </c>
      <c r="AH11">
        <v>29001</v>
      </c>
      <c r="AI11">
        <v>124189</v>
      </c>
      <c r="AJ11">
        <v>98047</v>
      </c>
      <c r="AK11">
        <v>29029</v>
      </c>
      <c r="AL11">
        <v>229006</v>
      </c>
      <c r="AM11">
        <v>225823</v>
      </c>
      <c r="AN11">
        <v>1434</v>
      </c>
      <c r="AO11">
        <v>23620</v>
      </c>
      <c r="AP11">
        <v>606</v>
      </c>
      <c r="AQ11">
        <v>28402</v>
      </c>
      <c r="AR11">
        <v>3232</v>
      </c>
      <c r="AS11">
        <v>98094</v>
      </c>
      <c r="AT11">
        <v>4002</v>
      </c>
      <c r="AU11">
        <v>15659</v>
      </c>
      <c r="AV11">
        <v>155301</v>
      </c>
      <c r="AW11">
        <v>374959</v>
      </c>
      <c r="AX11">
        <v>34676</v>
      </c>
      <c r="AY11">
        <v>195246</v>
      </c>
      <c r="AZ11">
        <v>39541</v>
      </c>
    </row>
    <row r="12" spans="1:52" x14ac:dyDescent="0.4">
      <c r="A12" s="1" t="s">
        <v>12</v>
      </c>
      <c r="B12" s="3" t="s">
        <v>13</v>
      </c>
      <c r="C12">
        <v>4155</v>
      </c>
      <c r="D12">
        <v>15230</v>
      </c>
      <c r="E12">
        <v>21463</v>
      </c>
      <c r="F12">
        <v>297</v>
      </c>
      <c r="G12">
        <v>15916</v>
      </c>
      <c r="H12">
        <v>21273</v>
      </c>
      <c r="I12">
        <v>475</v>
      </c>
      <c r="J12">
        <v>21103</v>
      </c>
      <c r="K12">
        <v>12221</v>
      </c>
      <c r="L12">
        <v>11740</v>
      </c>
      <c r="M12">
        <v>13224</v>
      </c>
      <c r="N12">
        <v>17487</v>
      </c>
      <c r="O12">
        <v>52</v>
      </c>
      <c r="P12">
        <v>7317</v>
      </c>
      <c r="Q12">
        <v>11322</v>
      </c>
      <c r="R12">
        <v>567</v>
      </c>
      <c r="S12">
        <v>10668</v>
      </c>
      <c r="T12">
        <v>10861</v>
      </c>
      <c r="U12">
        <v>868</v>
      </c>
      <c r="V12">
        <v>4439</v>
      </c>
      <c r="W12">
        <v>450046</v>
      </c>
      <c r="X12">
        <v>20622</v>
      </c>
      <c r="Y12">
        <v>67367</v>
      </c>
      <c r="Z12">
        <v>7253</v>
      </c>
      <c r="AA12">
        <v>25299</v>
      </c>
      <c r="AB12">
        <v>21118</v>
      </c>
      <c r="AC12">
        <v>24272</v>
      </c>
      <c r="AD12">
        <v>33206</v>
      </c>
      <c r="AE12">
        <v>204990</v>
      </c>
      <c r="AF12">
        <v>55204</v>
      </c>
      <c r="AG12">
        <v>55046</v>
      </c>
      <c r="AH12">
        <v>28980</v>
      </c>
      <c r="AI12">
        <v>82369</v>
      </c>
      <c r="AJ12">
        <v>57503</v>
      </c>
      <c r="AK12">
        <v>27352</v>
      </c>
      <c r="AL12">
        <v>215511</v>
      </c>
      <c r="AM12">
        <v>225782</v>
      </c>
      <c r="AN12">
        <v>1283</v>
      </c>
      <c r="AO12">
        <v>22025</v>
      </c>
      <c r="AP12">
        <v>512</v>
      </c>
      <c r="AQ12">
        <v>18584</v>
      </c>
      <c r="AR12">
        <v>2842</v>
      </c>
      <c r="AS12">
        <v>85608</v>
      </c>
      <c r="AT12">
        <v>4771</v>
      </c>
      <c r="AU12">
        <v>17837</v>
      </c>
      <c r="AV12">
        <v>115364</v>
      </c>
      <c r="AW12">
        <v>263904</v>
      </c>
      <c r="AX12">
        <v>35172</v>
      </c>
      <c r="AY12">
        <v>221270</v>
      </c>
      <c r="AZ12">
        <v>37145</v>
      </c>
    </row>
    <row r="13" spans="1:52" x14ac:dyDescent="0.4">
      <c r="A13" s="1" t="s">
        <v>14</v>
      </c>
      <c r="B13" s="3" t="s">
        <v>15</v>
      </c>
      <c r="C13">
        <v>3961</v>
      </c>
      <c r="D13">
        <v>15271</v>
      </c>
      <c r="E13">
        <v>23794</v>
      </c>
      <c r="F13">
        <v>297</v>
      </c>
      <c r="G13">
        <v>15759</v>
      </c>
      <c r="H13">
        <v>22455</v>
      </c>
      <c r="I13">
        <v>489</v>
      </c>
      <c r="J13">
        <v>21379</v>
      </c>
      <c r="K13">
        <v>16362</v>
      </c>
      <c r="L13">
        <v>10618</v>
      </c>
      <c r="M13">
        <v>11970</v>
      </c>
      <c r="N13">
        <v>16083</v>
      </c>
      <c r="O13">
        <v>50</v>
      </c>
      <c r="P13">
        <v>10719</v>
      </c>
      <c r="Q13">
        <v>13308</v>
      </c>
      <c r="R13">
        <v>606</v>
      </c>
      <c r="S13">
        <v>8265</v>
      </c>
      <c r="T13">
        <v>9023</v>
      </c>
      <c r="U13">
        <v>767</v>
      </c>
      <c r="V13">
        <v>4187</v>
      </c>
      <c r="W13">
        <v>408944</v>
      </c>
      <c r="X13">
        <v>19629</v>
      </c>
      <c r="Y13">
        <v>52883</v>
      </c>
      <c r="Z13">
        <v>7584</v>
      </c>
      <c r="AA13">
        <v>22366</v>
      </c>
      <c r="AB13">
        <v>20594</v>
      </c>
      <c r="AC13">
        <v>35998</v>
      </c>
      <c r="AD13">
        <v>48050</v>
      </c>
      <c r="AE13">
        <v>216380</v>
      </c>
      <c r="AF13">
        <v>32803</v>
      </c>
      <c r="AG13">
        <v>37767</v>
      </c>
      <c r="AH13">
        <v>31232</v>
      </c>
      <c r="AI13">
        <v>95286</v>
      </c>
      <c r="AJ13">
        <v>73106</v>
      </c>
      <c r="AK13">
        <v>25667</v>
      </c>
      <c r="AL13">
        <v>204829</v>
      </c>
      <c r="AM13">
        <v>228640</v>
      </c>
      <c r="AN13">
        <v>1208</v>
      </c>
      <c r="AO13">
        <v>26098</v>
      </c>
      <c r="AP13">
        <v>452</v>
      </c>
      <c r="AQ13">
        <v>24844</v>
      </c>
      <c r="AR13">
        <v>3196</v>
      </c>
      <c r="AS13">
        <v>91837</v>
      </c>
      <c r="AT13">
        <v>5284</v>
      </c>
      <c r="AU13">
        <v>18837</v>
      </c>
      <c r="AV13">
        <v>139310</v>
      </c>
      <c r="AW13">
        <v>334692</v>
      </c>
      <c r="AX13">
        <v>40604</v>
      </c>
      <c r="AY13">
        <v>288664</v>
      </c>
      <c r="AZ13">
        <v>36540</v>
      </c>
    </row>
    <row r="14" spans="1:52" x14ac:dyDescent="0.4">
      <c r="A14" s="1" t="s">
        <v>16</v>
      </c>
      <c r="B14" s="1" t="s">
        <v>17</v>
      </c>
      <c r="C14">
        <v>360</v>
      </c>
      <c r="D14">
        <v>1444</v>
      </c>
      <c r="E14">
        <v>1675</v>
      </c>
      <c r="F14">
        <v>28</v>
      </c>
      <c r="G14">
        <v>1033</v>
      </c>
      <c r="H14">
        <v>1148</v>
      </c>
      <c r="I14">
        <v>28</v>
      </c>
      <c r="J14">
        <v>1130</v>
      </c>
      <c r="K14">
        <v>636</v>
      </c>
      <c r="L14">
        <v>988</v>
      </c>
      <c r="M14">
        <v>1122</v>
      </c>
      <c r="N14">
        <v>1509</v>
      </c>
      <c r="O14">
        <v>18</v>
      </c>
      <c r="P14">
        <v>1892</v>
      </c>
      <c r="Q14">
        <v>2087</v>
      </c>
      <c r="R14">
        <v>34</v>
      </c>
      <c r="S14">
        <v>353</v>
      </c>
      <c r="T14">
        <v>517</v>
      </c>
      <c r="U14">
        <v>38</v>
      </c>
      <c r="V14">
        <v>404</v>
      </c>
      <c r="W14">
        <v>44066</v>
      </c>
      <c r="X14">
        <v>2127</v>
      </c>
      <c r="Y14">
        <v>9432</v>
      </c>
      <c r="Z14">
        <v>1015</v>
      </c>
      <c r="AA14">
        <v>3937</v>
      </c>
      <c r="AB14">
        <v>2460</v>
      </c>
      <c r="AC14">
        <v>4163</v>
      </c>
      <c r="AD14">
        <v>4096</v>
      </c>
      <c r="AE14">
        <v>26663</v>
      </c>
      <c r="AF14">
        <v>20832</v>
      </c>
      <c r="AG14">
        <v>18854</v>
      </c>
      <c r="AH14">
        <v>3648</v>
      </c>
      <c r="AI14">
        <v>16294</v>
      </c>
      <c r="AJ14">
        <v>12029</v>
      </c>
      <c r="AK14">
        <v>2433</v>
      </c>
      <c r="AL14">
        <v>18844</v>
      </c>
      <c r="AM14">
        <v>22288</v>
      </c>
      <c r="AN14">
        <v>202</v>
      </c>
      <c r="AO14">
        <v>2921</v>
      </c>
      <c r="AP14">
        <v>112</v>
      </c>
      <c r="AQ14">
        <v>3762</v>
      </c>
      <c r="AR14">
        <v>360</v>
      </c>
      <c r="AS14">
        <v>12312</v>
      </c>
      <c r="AT14">
        <v>410</v>
      </c>
      <c r="AU14">
        <v>1709</v>
      </c>
      <c r="AV14">
        <v>9668</v>
      </c>
      <c r="AW14">
        <v>22145</v>
      </c>
      <c r="AX14">
        <v>3189</v>
      </c>
      <c r="AY14">
        <v>21899</v>
      </c>
      <c r="AZ14">
        <v>3476</v>
      </c>
    </row>
    <row r="15" spans="1:52" x14ac:dyDescent="0.4">
      <c r="A15" s="1" t="s">
        <v>18</v>
      </c>
      <c r="B15" s="1" t="s">
        <v>19</v>
      </c>
      <c r="C15">
        <v>450</v>
      </c>
      <c r="D15">
        <v>1124</v>
      </c>
      <c r="E15">
        <v>1294</v>
      </c>
      <c r="F15">
        <v>22</v>
      </c>
      <c r="G15">
        <v>1048</v>
      </c>
      <c r="H15">
        <v>1510</v>
      </c>
      <c r="I15">
        <v>57</v>
      </c>
      <c r="J15">
        <v>2519</v>
      </c>
      <c r="K15">
        <v>1415</v>
      </c>
      <c r="L15">
        <v>877</v>
      </c>
      <c r="M15">
        <v>992</v>
      </c>
      <c r="N15">
        <v>1310</v>
      </c>
      <c r="O15">
        <v>3</v>
      </c>
      <c r="P15">
        <v>295</v>
      </c>
      <c r="Q15">
        <v>301</v>
      </c>
      <c r="R15">
        <v>56</v>
      </c>
      <c r="S15">
        <v>1493</v>
      </c>
      <c r="T15">
        <v>945</v>
      </c>
      <c r="U15">
        <v>103</v>
      </c>
      <c r="V15">
        <v>434</v>
      </c>
      <c r="W15">
        <v>43075</v>
      </c>
      <c r="X15">
        <v>1847</v>
      </c>
      <c r="Y15">
        <v>5309</v>
      </c>
      <c r="Z15">
        <v>385</v>
      </c>
      <c r="AA15">
        <v>1392</v>
      </c>
      <c r="AB15">
        <v>1190</v>
      </c>
      <c r="AC15">
        <v>1055</v>
      </c>
      <c r="AD15">
        <v>2038</v>
      </c>
      <c r="AE15">
        <v>12236</v>
      </c>
      <c r="AF15">
        <v>973</v>
      </c>
      <c r="AG15">
        <v>1438</v>
      </c>
      <c r="AH15">
        <v>1531</v>
      </c>
      <c r="AI15">
        <v>2928</v>
      </c>
      <c r="AJ15">
        <v>2528</v>
      </c>
      <c r="AK15">
        <v>2077</v>
      </c>
      <c r="AL15">
        <v>16270</v>
      </c>
      <c r="AM15">
        <v>16906</v>
      </c>
      <c r="AN15">
        <v>101</v>
      </c>
      <c r="AO15">
        <v>1303</v>
      </c>
      <c r="AP15">
        <v>22</v>
      </c>
      <c r="AQ15">
        <v>1452</v>
      </c>
      <c r="AR15">
        <v>96</v>
      </c>
      <c r="AS15">
        <v>2272</v>
      </c>
      <c r="AT15">
        <v>348</v>
      </c>
      <c r="AU15">
        <v>1137</v>
      </c>
      <c r="AV15">
        <v>9348</v>
      </c>
      <c r="AW15">
        <v>21237</v>
      </c>
      <c r="AX15">
        <v>2789</v>
      </c>
      <c r="AY15">
        <v>19719</v>
      </c>
      <c r="AZ15">
        <v>2557</v>
      </c>
    </row>
    <row r="16" spans="1:52" x14ac:dyDescent="0.4">
      <c r="A16" s="1" t="s">
        <v>20</v>
      </c>
      <c r="B16" s="1" t="s">
        <v>21</v>
      </c>
      <c r="C16">
        <v>379</v>
      </c>
      <c r="D16">
        <v>1270</v>
      </c>
      <c r="E16">
        <v>1744</v>
      </c>
      <c r="F16">
        <v>39</v>
      </c>
      <c r="G16">
        <v>1778</v>
      </c>
      <c r="H16">
        <v>2371</v>
      </c>
      <c r="I16">
        <v>26</v>
      </c>
      <c r="J16">
        <v>1265</v>
      </c>
      <c r="K16">
        <v>701</v>
      </c>
      <c r="L16">
        <v>960</v>
      </c>
      <c r="M16">
        <v>1079</v>
      </c>
      <c r="N16">
        <v>1424</v>
      </c>
      <c r="O16">
        <v>2</v>
      </c>
      <c r="P16">
        <v>794</v>
      </c>
      <c r="Q16">
        <v>3005</v>
      </c>
      <c r="R16">
        <v>40</v>
      </c>
      <c r="S16">
        <v>654</v>
      </c>
      <c r="T16">
        <v>669</v>
      </c>
      <c r="U16">
        <v>21</v>
      </c>
      <c r="V16">
        <v>273</v>
      </c>
      <c r="W16">
        <v>36509</v>
      </c>
      <c r="X16">
        <v>1673</v>
      </c>
      <c r="Y16">
        <v>4693</v>
      </c>
      <c r="Z16">
        <v>452</v>
      </c>
      <c r="AA16">
        <v>1533</v>
      </c>
      <c r="AB16">
        <v>1759</v>
      </c>
      <c r="AC16">
        <v>1410</v>
      </c>
      <c r="AD16">
        <v>2475</v>
      </c>
      <c r="AE16">
        <v>13071</v>
      </c>
      <c r="AF16">
        <v>1474</v>
      </c>
      <c r="AG16">
        <v>2067</v>
      </c>
      <c r="AH16">
        <v>2812</v>
      </c>
      <c r="AI16">
        <v>5284</v>
      </c>
      <c r="AJ16">
        <v>3163</v>
      </c>
      <c r="AK16">
        <v>2095</v>
      </c>
      <c r="AL16">
        <v>16171</v>
      </c>
      <c r="AM16">
        <v>16399</v>
      </c>
      <c r="AN16">
        <v>124</v>
      </c>
      <c r="AO16">
        <v>1892</v>
      </c>
      <c r="AP16">
        <v>39</v>
      </c>
      <c r="AQ16">
        <v>1494</v>
      </c>
      <c r="AR16">
        <v>203</v>
      </c>
      <c r="AS16">
        <v>5865</v>
      </c>
      <c r="AT16">
        <v>408</v>
      </c>
      <c r="AU16">
        <v>1596</v>
      </c>
      <c r="AV16">
        <v>9070</v>
      </c>
      <c r="AW16">
        <v>21532</v>
      </c>
      <c r="AX16">
        <v>2988</v>
      </c>
      <c r="AY16">
        <v>16928</v>
      </c>
      <c r="AZ16">
        <v>3074</v>
      </c>
    </row>
    <row r="17" spans="1:52" x14ac:dyDescent="0.4">
      <c r="A17" s="1" t="s">
        <v>22</v>
      </c>
      <c r="B17" s="1" t="s">
        <v>23</v>
      </c>
      <c r="C17">
        <v>387</v>
      </c>
      <c r="D17">
        <v>1400</v>
      </c>
      <c r="E17">
        <v>1993</v>
      </c>
      <c r="F17">
        <v>19</v>
      </c>
      <c r="G17">
        <v>579</v>
      </c>
      <c r="H17">
        <v>726</v>
      </c>
      <c r="I17">
        <v>48</v>
      </c>
      <c r="J17">
        <v>2672</v>
      </c>
      <c r="K17">
        <v>1536</v>
      </c>
      <c r="L17">
        <v>939</v>
      </c>
      <c r="M17">
        <v>1059</v>
      </c>
      <c r="N17">
        <v>1421</v>
      </c>
      <c r="O17">
        <v>0</v>
      </c>
      <c r="P17">
        <v>0</v>
      </c>
      <c r="Q17">
        <v>0</v>
      </c>
      <c r="R17">
        <v>46</v>
      </c>
      <c r="S17">
        <v>695</v>
      </c>
      <c r="T17">
        <v>1335</v>
      </c>
      <c r="U17">
        <v>115</v>
      </c>
      <c r="V17">
        <v>434</v>
      </c>
      <c r="W17">
        <v>37945</v>
      </c>
      <c r="X17">
        <v>1667</v>
      </c>
      <c r="Y17">
        <v>5263</v>
      </c>
      <c r="Z17">
        <v>543</v>
      </c>
      <c r="AA17">
        <v>1984</v>
      </c>
      <c r="AB17">
        <v>1128</v>
      </c>
      <c r="AC17">
        <v>1279</v>
      </c>
      <c r="AD17">
        <v>1910</v>
      </c>
      <c r="AE17">
        <v>14686</v>
      </c>
      <c r="AF17">
        <v>2122</v>
      </c>
      <c r="AG17">
        <v>2831</v>
      </c>
      <c r="AH17">
        <v>1676</v>
      </c>
      <c r="AI17">
        <v>8369</v>
      </c>
      <c r="AJ17">
        <v>6193</v>
      </c>
      <c r="AK17">
        <v>2108</v>
      </c>
      <c r="AL17">
        <v>16696</v>
      </c>
      <c r="AM17">
        <v>19156</v>
      </c>
      <c r="AN17">
        <v>61</v>
      </c>
      <c r="AO17">
        <v>1199</v>
      </c>
      <c r="AP17">
        <v>48</v>
      </c>
      <c r="AQ17">
        <v>1073</v>
      </c>
      <c r="AR17">
        <v>144</v>
      </c>
      <c r="AS17">
        <v>4295</v>
      </c>
      <c r="AT17">
        <v>420</v>
      </c>
      <c r="AU17">
        <v>1630</v>
      </c>
      <c r="AV17">
        <v>9828</v>
      </c>
      <c r="AW17">
        <v>21995</v>
      </c>
      <c r="AX17">
        <v>3089</v>
      </c>
      <c r="AY17">
        <v>21039</v>
      </c>
      <c r="AZ17">
        <v>2594</v>
      </c>
    </row>
    <row r="18" spans="1:52" x14ac:dyDescent="0.4">
      <c r="A18" s="1" t="s">
        <v>24</v>
      </c>
      <c r="B18" s="1" t="s">
        <v>25</v>
      </c>
      <c r="C18">
        <v>249</v>
      </c>
      <c r="D18">
        <v>1154</v>
      </c>
      <c r="E18">
        <v>1835</v>
      </c>
      <c r="F18">
        <v>28</v>
      </c>
      <c r="G18">
        <v>2761</v>
      </c>
      <c r="H18">
        <v>3641</v>
      </c>
      <c r="I18">
        <v>44</v>
      </c>
      <c r="J18">
        <v>2020</v>
      </c>
      <c r="K18">
        <v>1095</v>
      </c>
      <c r="L18">
        <v>1062</v>
      </c>
      <c r="M18">
        <v>1197</v>
      </c>
      <c r="N18">
        <v>1567</v>
      </c>
      <c r="O18">
        <v>2</v>
      </c>
      <c r="P18">
        <v>635</v>
      </c>
      <c r="Q18">
        <v>2177</v>
      </c>
      <c r="R18">
        <v>50</v>
      </c>
      <c r="S18">
        <v>839</v>
      </c>
      <c r="T18">
        <v>794</v>
      </c>
      <c r="U18">
        <v>123</v>
      </c>
      <c r="V18">
        <v>343</v>
      </c>
      <c r="W18">
        <v>42420</v>
      </c>
      <c r="X18">
        <v>1904</v>
      </c>
      <c r="Y18">
        <v>4986</v>
      </c>
      <c r="Z18">
        <v>482</v>
      </c>
      <c r="AA18">
        <v>1593</v>
      </c>
      <c r="AB18">
        <v>2992</v>
      </c>
      <c r="AC18">
        <v>1852</v>
      </c>
      <c r="AD18">
        <v>2445</v>
      </c>
      <c r="AE18">
        <v>17476</v>
      </c>
      <c r="AF18">
        <v>1886</v>
      </c>
      <c r="AG18">
        <v>2252</v>
      </c>
      <c r="AH18">
        <v>4478</v>
      </c>
      <c r="AI18">
        <v>4396</v>
      </c>
      <c r="AJ18">
        <v>3336</v>
      </c>
      <c r="AK18">
        <v>2374</v>
      </c>
      <c r="AL18">
        <v>18127</v>
      </c>
      <c r="AM18">
        <v>18538</v>
      </c>
      <c r="AN18">
        <v>102</v>
      </c>
      <c r="AO18">
        <v>1751</v>
      </c>
      <c r="AP18">
        <v>47</v>
      </c>
      <c r="AQ18">
        <v>1710</v>
      </c>
      <c r="AR18">
        <v>183</v>
      </c>
      <c r="AS18">
        <v>5937</v>
      </c>
      <c r="AT18">
        <v>537</v>
      </c>
      <c r="AU18">
        <v>1410</v>
      </c>
      <c r="AV18">
        <v>10536</v>
      </c>
      <c r="AW18">
        <v>23744</v>
      </c>
      <c r="AX18">
        <v>3146</v>
      </c>
      <c r="AY18">
        <v>17546</v>
      </c>
      <c r="AZ18">
        <v>3629</v>
      </c>
    </row>
    <row r="19" spans="1:52" x14ac:dyDescent="0.4">
      <c r="A19" s="1" t="s">
        <v>26</v>
      </c>
      <c r="B19" s="1" t="s">
        <v>27</v>
      </c>
      <c r="C19">
        <v>409</v>
      </c>
      <c r="D19">
        <v>1248</v>
      </c>
      <c r="E19">
        <v>1768</v>
      </c>
      <c r="F19">
        <v>21</v>
      </c>
      <c r="G19">
        <v>1729</v>
      </c>
      <c r="H19">
        <v>2701</v>
      </c>
      <c r="I19">
        <v>31</v>
      </c>
      <c r="J19">
        <v>1520</v>
      </c>
      <c r="K19">
        <v>913</v>
      </c>
      <c r="L19">
        <v>953</v>
      </c>
      <c r="M19">
        <v>1069</v>
      </c>
      <c r="N19">
        <v>1417</v>
      </c>
      <c r="O19">
        <v>0</v>
      </c>
      <c r="P19">
        <v>0</v>
      </c>
      <c r="Q19">
        <v>0</v>
      </c>
      <c r="R19">
        <v>50</v>
      </c>
      <c r="S19">
        <v>496</v>
      </c>
      <c r="T19">
        <v>599</v>
      </c>
      <c r="U19">
        <v>144</v>
      </c>
      <c r="V19">
        <v>575</v>
      </c>
      <c r="W19">
        <v>34431</v>
      </c>
      <c r="X19">
        <v>1604</v>
      </c>
      <c r="Y19">
        <v>7319</v>
      </c>
      <c r="Z19">
        <v>674</v>
      </c>
      <c r="AA19">
        <v>3298</v>
      </c>
      <c r="AB19">
        <v>1332</v>
      </c>
      <c r="AC19">
        <v>1424</v>
      </c>
      <c r="AD19">
        <v>2075</v>
      </c>
      <c r="AE19">
        <v>17098</v>
      </c>
      <c r="AF19">
        <v>2236</v>
      </c>
      <c r="AG19">
        <v>2618</v>
      </c>
      <c r="AH19">
        <v>1973</v>
      </c>
      <c r="AI19">
        <v>3980</v>
      </c>
      <c r="AJ19">
        <v>3058</v>
      </c>
      <c r="AK19">
        <v>2098</v>
      </c>
      <c r="AL19">
        <v>16971</v>
      </c>
      <c r="AM19">
        <v>17014</v>
      </c>
      <c r="AN19">
        <v>82</v>
      </c>
      <c r="AO19">
        <v>1484</v>
      </c>
      <c r="AP19">
        <v>27</v>
      </c>
      <c r="AQ19">
        <v>1393</v>
      </c>
      <c r="AR19">
        <v>391</v>
      </c>
      <c r="AS19">
        <v>11035</v>
      </c>
      <c r="AT19">
        <v>391</v>
      </c>
      <c r="AU19">
        <v>1766</v>
      </c>
      <c r="AV19">
        <v>8625</v>
      </c>
      <c r="AW19">
        <v>20868</v>
      </c>
      <c r="AX19">
        <v>2525</v>
      </c>
      <c r="AY19">
        <v>15465</v>
      </c>
      <c r="AZ19">
        <v>2661</v>
      </c>
    </row>
    <row r="20" spans="1:52" x14ac:dyDescent="0.4">
      <c r="A20" s="1" t="s">
        <v>28</v>
      </c>
      <c r="B20" s="1" t="s">
        <v>29</v>
      </c>
      <c r="C20">
        <v>322</v>
      </c>
      <c r="D20">
        <v>1040</v>
      </c>
      <c r="E20">
        <v>1407</v>
      </c>
      <c r="F20">
        <v>28</v>
      </c>
      <c r="G20">
        <v>1303</v>
      </c>
      <c r="H20">
        <v>1395</v>
      </c>
      <c r="I20">
        <v>47</v>
      </c>
      <c r="J20">
        <v>1896</v>
      </c>
      <c r="K20">
        <v>1095</v>
      </c>
      <c r="L20">
        <v>1038</v>
      </c>
      <c r="M20">
        <v>1167</v>
      </c>
      <c r="N20">
        <v>1553</v>
      </c>
      <c r="O20">
        <v>14</v>
      </c>
      <c r="P20">
        <v>2758</v>
      </c>
      <c r="Q20">
        <v>3034</v>
      </c>
      <c r="R20">
        <v>50</v>
      </c>
      <c r="S20">
        <v>1011</v>
      </c>
      <c r="T20">
        <v>817</v>
      </c>
      <c r="U20">
        <v>44</v>
      </c>
      <c r="V20">
        <v>366</v>
      </c>
      <c r="W20">
        <v>34453</v>
      </c>
      <c r="X20">
        <v>1621</v>
      </c>
      <c r="Y20">
        <v>4770</v>
      </c>
      <c r="Z20">
        <v>525</v>
      </c>
      <c r="AA20">
        <v>1786</v>
      </c>
      <c r="AB20">
        <v>1704</v>
      </c>
      <c r="AC20">
        <v>2362</v>
      </c>
      <c r="AD20">
        <v>3686</v>
      </c>
      <c r="AE20">
        <v>19285</v>
      </c>
      <c r="AF20">
        <v>2665</v>
      </c>
      <c r="AG20">
        <v>2960</v>
      </c>
      <c r="AH20">
        <v>2486</v>
      </c>
      <c r="AI20">
        <v>11238</v>
      </c>
      <c r="AJ20">
        <v>7767</v>
      </c>
      <c r="AK20">
        <v>2259</v>
      </c>
      <c r="AL20">
        <v>18216</v>
      </c>
      <c r="AM20">
        <v>17788</v>
      </c>
      <c r="AN20">
        <v>97</v>
      </c>
      <c r="AO20">
        <v>2095</v>
      </c>
      <c r="AP20">
        <v>43</v>
      </c>
      <c r="AQ20">
        <v>1195</v>
      </c>
      <c r="AR20">
        <v>393</v>
      </c>
      <c r="AS20">
        <v>11619</v>
      </c>
      <c r="AT20">
        <v>437</v>
      </c>
      <c r="AU20">
        <v>1567</v>
      </c>
      <c r="AV20">
        <v>9398</v>
      </c>
      <c r="AW20">
        <v>20367</v>
      </c>
      <c r="AX20">
        <v>3320</v>
      </c>
      <c r="AY20">
        <v>21855</v>
      </c>
      <c r="AZ20">
        <v>3203</v>
      </c>
    </row>
    <row r="21" spans="1:52" x14ac:dyDescent="0.4">
      <c r="A21" s="1" t="s">
        <v>30</v>
      </c>
      <c r="B21" s="1" t="s">
        <v>31</v>
      </c>
      <c r="C21">
        <v>354</v>
      </c>
      <c r="D21">
        <v>1472</v>
      </c>
      <c r="E21">
        <v>2383</v>
      </c>
      <c r="F21">
        <v>36</v>
      </c>
      <c r="G21">
        <v>952</v>
      </c>
      <c r="H21">
        <v>1326</v>
      </c>
      <c r="I21">
        <v>52</v>
      </c>
      <c r="J21">
        <v>1915</v>
      </c>
      <c r="K21">
        <v>1241</v>
      </c>
      <c r="L21">
        <v>1021</v>
      </c>
      <c r="M21">
        <v>1148</v>
      </c>
      <c r="N21">
        <v>1644</v>
      </c>
      <c r="O21">
        <v>0</v>
      </c>
      <c r="P21">
        <v>0</v>
      </c>
      <c r="Q21">
        <v>0</v>
      </c>
      <c r="R21">
        <v>42</v>
      </c>
      <c r="S21">
        <v>762</v>
      </c>
      <c r="T21">
        <v>756</v>
      </c>
      <c r="U21">
        <v>14</v>
      </c>
      <c r="V21">
        <v>239</v>
      </c>
      <c r="W21">
        <v>36753</v>
      </c>
      <c r="X21">
        <v>1705</v>
      </c>
      <c r="Y21">
        <v>5356</v>
      </c>
      <c r="Z21">
        <v>582</v>
      </c>
      <c r="AA21">
        <v>1835</v>
      </c>
      <c r="AB21">
        <v>1781</v>
      </c>
      <c r="AC21">
        <v>1975</v>
      </c>
      <c r="AD21">
        <v>2891</v>
      </c>
      <c r="AE21">
        <v>18572</v>
      </c>
      <c r="AF21">
        <v>2659</v>
      </c>
      <c r="AG21">
        <v>2899</v>
      </c>
      <c r="AH21">
        <v>1658</v>
      </c>
      <c r="AI21">
        <v>4373</v>
      </c>
      <c r="AJ21">
        <v>3317</v>
      </c>
      <c r="AK21">
        <v>2505</v>
      </c>
      <c r="AL21">
        <v>19830</v>
      </c>
      <c r="AM21">
        <v>21888</v>
      </c>
      <c r="AN21">
        <v>112</v>
      </c>
      <c r="AO21">
        <v>2153</v>
      </c>
      <c r="AP21">
        <v>32</v>
      </c>
      <c r="AQ21">
        <v>867</v>
      </c>
      <c r="AR21">
        <v>119</v>
      </c>
      <c r="AS21">
        <v>3102</v>
      </c>
      <c r="AT21">
        <v>365</v>
      </c>
      <c r="AU21">
        <v>1548</v>
      </c>
      <c r="AV21">
        <v>10252</v>
      </c>
      <c r="AW21">
        <v>23531</v>
      </c>
      <c r="AX21">
        <v>3016</v>
      </c>
      <c r="AY21">
        <v>16062</v>
      </c>
      <c r="AZ21">
        <v>3554</v>
      </c>
    </row>
    <row r="22" spans="1:52" x14ac:dyDescent="0.4">
      <c r="A22" s="1" t="s">
        <v>32</v>
      </c>
      <c r="B22" s="1" t="s">
        <v>33</v>
      </c>
      <c r="C22">
        <v>251</v>
      </c>
      <c r="D22">
        <v>1537</v>
      </c>
      <c r="E22">
        <v>2402</v>
      </c>
      <c r="F22">
        <v>22</v>
      </c>
      <c r="G22">
        <v>1485</v>
      </c>
      <c r="H22">
        <v>1781</v>
      </c>
      <c r="I22">
        <v>35</v>
      </c>
      <c r="J22">
        <v>1595</v>
      </c>
      <c r="K22">
        <v>929</v>
      </c>
      <c r="L22">
        <v>1068</v>
      </c>
      <c r="M22">
        <v>1193</v>
      </c>
      <c r="N22">
        <v>1463</v>
      </c>
      <c r="O22">
        <v>0</v>
      </c>
      <c r="P22">
        <v>0</v>
      </c>
      <c r="Q22">
        <v>0</v>
      </c>
      <c r="R22">
        <v>52</v>
      </c>
      <c r="S22">
        <v>984</v>
      </c>
      <c r="T22">
        <v>913</v>
      </c>
      <c r="U22">
        <v>81</v>
      </c>
      <c r="V22">
        <v>311</v>
      </c>
      <c r="W22">
        <v>35248</v>
      </c>
      <c r="X22">
        <v>1554</v>
      </c>
      <c r="Y22">
        <v>5083</v>
      </c>
      <c r="Z22">
        <v>520</v>
      </c>
      <c r="AA22">
        <v>1603</v>
      </c>
      <c r="AB22">
        <v>1825</v>
      </c>
      <c r="AC22">
        <v>1854</v>
      </c>
      <c r="AD22">
        <v>2661</v>
      </c>
      <c r="AE22">
        <v>19042</v>
      </c>
      <c r="AF22">
        <v>2203</v>
      </c>
      <c r="AG22">
        <v>2762</v>
      </c>
      <c r="AH22">
        <v>2731</v>
      </c>
      <c r="AI22">
        <v>6983</v>
      </c>
      <c r="AJ22">
        <v>3472</v>
      </c>
      <c r="AK22">
        <v>2441</v>
      </c>
      <c r="AL22">
        <v>19724</v>
      </c>
      <c r="AM22">
        <v>20873</v>
      </c>
      <c r="AN22">
        <v>141</v>
      </c>
      <c r="AO22">
        <v>2217</v>
      </c>
      <c r="AP22">
        <v>21</v>
      </c>
      <c r="AQ22">
        <v>751</v>
      </c>
      <c r="AR22">
        <v>243</v>
      </c>
      <c r="AS22">
        <v>6835</v>
      </c>
      <c r="AT22">
        <v>391</v>
      </c>
      <c r="AU22">
        <v>1324</v>
      </c>
      <c r="AV22">
        <v>9728</v>
      </c>
      <c r="AW22">
        <v>22516</v>
      </c>
      <c r="AX22">
        <v>3108</v>
      </c>
      <c r="AY22">
        <v>18548</v>
      </c>
      <c r="AZ22">
        <v>3074</v>
      </c>
    </row>
    <row r="23" spans="1:52" x14ac:dyDescent="0.4">
      <c r="A23" s="1" t="s">
        <v>34</v>
      </c>
      <c r="B23" s="1" t="s">
        <v>35</v>
      </c>
      <c r="C23">
        <v>349</v>
      </c>
      <c r="D23">
        <v>1393</v>
      </c>
      <c r="E23">
        <v>2239</v>
      </c>
      <c r="F23">
        <v>16</v>
      </c>
      <c r="G23">
        <v>722</v>
      </c>
      <c r="H23">
        <v>1451</v>
      </c>
      <c r="I23">
        <v>42</v>
      </c>
      <c r="J23">
        <v>1647</v>
      </c>
      <c r="K23">
        <v>937</v>
      </c>
      <c r="L23">
        <v>912</v>
      </c>
      <c r="M23">
        <v>1022</v>
      </c>
      <c r="N23">
        <v>1380</v>
      </c>
      <c r="O23">
        <v>2</v>
      </c>
      <c r="P23">
        <v>338</v>
      </c>
      <c r="Q23">
        <v>30</v>
      </c>
      <c r="R23">
        <v>58</v>
      </c>
      <c r="S23">
        <v>1458</v>
      </c>
      <c r="T23">
        <v>1856</v>
      </c>
      <c r="U23">
        <v>99</v>
      </c>
      <c r="V23">
        <v>461</v>
      </c>
      <c r="W23">
        <v>35233</v>
      </c>
      <c r="X23">
        <v>1535</v>
      </c>
      <c r="Y23">
        <v>4972</v>
      </c>
      <c r="Z23">
        <v>554</v>
      </c>
      <c r="AA23">
        <v>2053</v>
      </c>
      <c r="AB23">
        <v>2122</v>
      </c>
      <c r="AC23">
        <v>3046</v>
      </c>
      <c r="AD23">
        <v>3759</v>
      </c>
      <c r="AE23">
        <v>16877</v>
      </c>
      <c r="AF23">
        <v>2662</v>
      </c>
      <c r="AG23">
        <v>2609</v>
      </c>
      <c r="AH23">
        <v>2439</v>
      </c>
      <c r="AI23">
        <v>9578</v>
      </c>
      <c r="AJ23">
        <v>7055</v>
      </c>
      <c r="AK23">
        <v>2142</v>
      </c>
      <c r="AL23">
        <v>16978</v>
      </c>
      <c r="AM23">
        <v>17241</v>
      </c>
      <c r="AN23">
        <v>106</v>
      </c>
      <c r="AO23">
        <v>1817</v>
      </c>
      <c r="AP23">
        <v>19</v>
      </c>
      <c r="AQ23">
        <v>1045</v>
      </c>
      <c r="AR23">
        <v>423</v>
      </c>
      <c r="AS23">
        <v>14035</v>
      </c>
      <c r="AT23">
        <v>409</v>
      </c>
      <c r="AU23">
        <v>1644</v>
      </c>
      <c r="AV23">
        <v>11092</v>
      </c>
      <c r="AW23">
        <v>25932</v>
      </c>
      <c r="AX23">
        <v>3031</v>
      </c>
      <c r="AY23">
        <v>20877</v>
      </c>
      <c r="AZ23">
        <v>3373</v>
      </c>
    </row>
    <row r="24" spans="1:52" x14ac:dyDescent="0.4">
      <c r="A24" s="1" t="s">
        <v>36</v>
      </c>
      <c r="B24" s="1" t="s">
        <v>37</v>
      </c>
      <c r="C24">
        <v>376</v>
      </c>
      <c r="D24">
        <v>982</v>
      </c>
      <c r="E24">
        <v>1248</v>
      </c>
      <c r="F24">
        <v>35</v>
      </c>
      <c r="G24">
        <v>2747</v>
      </c>
      <c r="H24">
        <v>2796</v>
      </c>
      <c r="I24">
        <v>44</v>
      </c>
      <c r="J24">
        <v>1474</v>
      </c>
      <c r="K24">
        <v>1360</v>
      </c>
      <c r="L24">
        <v>929</v>
      </c>
      <c r="M24">
        <v>1043</v>
      </c>
      <c r="N24">
        <v>1381</v>
      </c>
      <c r="O24">
        <v>1</v>
      </c>
      <c r="P24">
        <v>148</v>
      </c>
      <c r="Q24">
        <v>135</v>
      </c>
      <c r="R24">
        <v>38</v>
      </c>
      <c r="S24">
        <v>667</v>
      </c>
      <c r="T24">
        <v>744</v>
      </c>
      <c r="U24">
        <v>13</v>
      </c>
      <c r="V24">
        <v>249</v>
      </c>
      <c r="W24">
        <v>30356</v>
      </c>
      <c r="X24">
        <v>1561</v>
      </c>
      <c r="Y24">
        <v>4539</v>
      </c>
      <c r="Z24">
        <v>478</v>
      </c>
      <c r="AA24">
        <v>1301</v>
      </c>
      <c r="AB24">
        <v>1533</v>
      </c>
      <c r="AC24">
        <v>1973</v>
      </c>
      <c r="AD24">
        <v>2761</v>
      </c>
      <c r="AE24">
        <v>16962</v>
      </c>
      <c r="AF24">
        <v>3109</v>
      </c>
      <c r="AG24">
        <v>3617</v>
      </c>
      <c r="AH24">
        <v>2462</v>
      </c>
      <c r="AI24">
        <v>4561</v>
      </c>
      <c r="AJ24">
        <v>3197</v>
      </c>
      <c r="AK24">
        <v>2259</v>
      </c>
      <c r="AL24">
        <v>18300</v>
      </c>
      <c r="AM24">
        <v>18294</v>
      </c>
      <c r="AN24">
        <v>157</v>
      </c>
      <c r="AO24">
        <v>2946</v>
      </c>
      <c r="AP24">
        <v>40</v>
      </c>
      <c r="AQ24">
        <v>2046</v>
      </c>
      <c r="AR24">
        <v>111</v>
      </c>
      <c r="AS24">
        <v>3070</v>
      </c>
      <c r="AT24">
        <v>414</v>
      </c>
      <c r="AU24">
        <v>1573</v>
      </c>
      <c r="AV24">
        <v>10509</v>
      </c>
      <c r="AW24">
        <v>24904</v>
      </c>
      <c r="AX24">
        <v>3048</v>
      </c>
      <c r="AY24">
        <v>17674</v>
      </c>
      <c r="AZ24">
        <v>3267</v>
      </c>
    </row>
    <row r="25" spans="1:52" x14ac:dyDescent="0.4">
      <c r="A25" s="1" t="s">
        <v>38</v>
      </c>
      <c r="B25" s="1" t="s">
        <v>39</v>
      </c>
      <c r="C25">
        <v>391</v>
      </c>
      <c r="D25">
        <v>1085</v>
      </c>
      <c r="E25">
        <v>1548</v>
      </c>
      <c r="F25">
        <v>32</v>
      </c>
      <c r="G25">
        <v>824</v>
      </c>
      <c r="H25">
        <v>1289</v>
      </c>
      <c r="I25">
        <v>57</v>
      </c>
      <c r="J25">
        <v>1843</v>
      </c>
      <c r="K25">
        <v>1578</v>
      </c>
      <c r="L25">
        <v>918</v>
      </c>
      <c r="M25">
        <v>1047</v>
      </c>
      <c r="N25">
        <v>1454</v>
      </c>
      <c r="O25">
        <v>1</v>
      </c>
      <c r="P25">
        <v>1</v>
      </c>
      <c r="Q25">
        <v>7</v>
      </c>
      <c r="R25">
        <v>59</v>
      </c>
      <c r="S25">
        <v>794</v>
      </c>
      <c r="T25">
        <v>848</v>
      </c>
      <c r="U25">
        <v>116</v>
      </c>
      <c r="V25">
        <v>398</v>
      </c>
      <c r="W25">
        <v>33914</v>
      </c>
      <c r="X25">
        <v>1636</v>
      </c>
      <c r="Y25">
        <v>4115</v>
      </c>
      <c r="Z25">
        <v>415</v>
      </c>
      <c r="AA25">
        <v>1306</v>
      </c>
      <c r="AB25">
        <v>1911</v>
      </c>
      <c r="AC25">
        <v>2656</v>
      </c>
      <c r="AD25">
        <v>5637</v>
      </c>
      <c r="AE25">
        <v>22277</v>
      </c>
      <c r="AF25">
        <v>3388</v>
      </c>
      <c r="AG25">
        <v>3426</v>
      </c>
      <c r="AH25">
        <v>2287</v>
      </c>
      <c r="AI25">
        <v>4704</v>
      </c>
      <c r="AJ25">
        <v>2699</v>
      </c>
      <c r="AK25">
        <v>2145</v>
      </c>
      <c r="AL25">
        <v>17050</v>
      </c>
      <c r="AM25">
        <v>19131</v>
      </c>
      <c r="AN25">
        <v>130</v>
      </c>
      <c r="AO25">
        <v>2535</v>
      </c>
      <c r="AP25">
        <v>37</v>
      </c>
      <c r="AQ25">
        <v>1431</v>
      </c>
      <c r="AR25">
        <v>306</v>
      </c>
      <c r="AS25">
        <v>8736</v>
      </c>
      <c r="AT25">
        <v>375</v>
      </c>
      <c r="AU25">
        <v>1532</v>
      </c>
      <c r="AV25">
        <v>10316</v>
      </c>
      <c r="AW25">
        <v>24324</v>
      </c>
      <c r="AX25">
        <v>3318</v>
      </c>
      <c r="AY25">
        <v>22240</v>
      </c>
      <c r="AZ25">
        <v>3415</v>
      </c>
    </row>
    <row r="26" spans="1:52" x14ac:dyDescent="0.4">
      <c r="A26" s="1" t="s">
        <v>40</v>
      </c>
      <c r="B26" s="1" t="s">
        <v>41</v>
      </c>
      <c r="C26">
        <v>329</v>
      </c>
      <c r="D26">
        <v>956</v>
      </c>
      <c r="E26">
        <v>1273</v>
      </c>
      <c r="F26">
        <v>28</v>
      </c>
      <c r="G26">
        <v>2504</v>
      </c>
      <c r="H26">
        <v>3667</v>
      </c>
      <c r="I26">
        <v>40</v>
      </c>
      <c r="J26">
        <v>1758</v>
      </c>
      <c r="K26">
        <v>1324</v>
      </c>
      <c r="L26">
        <v>919</v>
      </c>
      <c r="M26">
        <v>1033</v>
      </c>
      <c r="N26">
        <v>1439</v>
      </c>
      <c r="O26">
        <v>16</v>
      </c>
      <c r="P26">
        <v>6561</v>
      </c>
      <c r="Q26">
        <v>7217</v>
      </c>
      <c r="R26">
        <v>61</v>
      </c>
      <c r="S26">
        <v>1214</v>
      </c>
      <c r="T26">
        <v>1343</v>
      </c>
      <c r="U26">
        <v>19</v>
      </c>
      <c r="V26">
        <v>386</v>
      </c>
      <c r="W26">
        <v>39302</v>
      </c>
      <c r="X26">
        <v>1896</v>
      </c>
      <c r="Y26">
        <v>5037</v>
      </c>
      <c r="Z26">
        <v>583</v>
      </c>
      <c r="AA26">
        <v>1746</v>
      </c>
      <c r="AB26">
        <v>1666</v>
      </c>
      <c r="AC26">
        <v>3747</v>
      </c>
      <c r="AD26">
        <v>6182</v>
      </c>
      <c r="AE26">
        <v>27416</v>
      </c>
      <c r="AF26">
        <v>7207</v>
      </c>
      <c r="AG26">
        <v>7103</v>
      </c>
      <c r="AH26">
        <v>2989</v>
      </c>
      <c r="AI26">
        <v>9649</v>
      </c>
      <c r="AJ26">
        <v>7465</v>
      </c>
      <c r="AK26">
        <v>2248</v>
      </c>
      <c r="AL26">
        <v>17964</v>
      </c>
      <c r="AM26">
        <v>22029</v>
      </c>
      <c r="AN26">
        <v>106</v>
      </c>
      <c r="AO26">
        <v>2409</v>
      </c>
      <c r="AP26">
        <v>84</v>
      </c>
      <c r="AQ26">
        <v>5273</v>
      </c>
      <c r="AR26">
        <v>204</v>
      </c>
      <c r="AS26">
        <v>6301</v>
      </c>
      <c r="AT26">
        <v>416</v>
      </c>
      <c r="AU26">
        <v>1590</v>
      </c>
      <c r="AV26">
        <v>11397</v>
      </c>
      <c r="AW26">
        <v>28366</v>
      </c>
      <c r="AX26">
        <v>3279</v>
      </c>
      <c r="AY26">
        <v>22645</v>
      </c>
      <c r="AZ26">
        <v>3663</v>
      </c>
    </row>
    <row r="27" spans="1:52" x14ac:dyDescent="0.4">
      <c r="A27" s="1" t="s">
        <v>42</v>
      </c>
      <c r="B27" s="1" t="s">
        <v>43</v>
      </c>
      <c r="C27">
        <v>425</v>
      </c>
      <c r="D27">
        <v>1209</v>
      </c>
      <c r="E27">
        <v>1652</v>
      </c>
      <c r="F27">
        <v>32</v>
      </c>
      <c r="G27">
        <v>1069</v>
      </c>
      <c r="H27">
        <v>1476</v>
      </c>
      <c r="I27">
        <v>40</v>
      </c>
      <c r="J27">
        <v>1681</v>
      </c>
      <c r="K27">
        <v>991</v>
      </c>
      <c r="L27">
        <v>936</v>
      </c>
      <c r="M27">
        <v>1054</v>
      </c>
      <c r="N27">
        <v>1458</v>
      </c>
      <c r="O27">
        <v>2</v>
      </c>
      <c r="P27">
        <v>74</v>
      </c>
      <c r="Q27">
        <v>82</v>
      </c>
      <c r="R27">
        <v>50</v>
      </c>
      <c r="S27">
        <v>900</v>
      </c>
      <c r="T27">
        <v>834</v>
      </c>
      <c r="U27">
        <v>79</v>
      </c>
      <c r="V27">
        <v>390</v>
      </c>
      <c r="W27">
        <v>36825</v>
      </c>
      <c r="X27">
        <v>1737</v>
      </c>
      <c r="Y27">
        <v>4424</v>
      </c>
      <c r="Z27">
        <v>983</v>
      </c>
      <c r="AA27">
        <v>3576</v>
      </c>
      <c r="AB27">
        <v>1617</v>
      </c>
      <c r="AC27">
        <v>2553</v>
      </c>
      <c r="AD27">
        <v>3395</v>
      </c>
      <c r="AE27">
        <v>13215</v>
      </c>
      <c r="AF27">
        <v>1154</v>
      </c>
      <c r="AG27">
        <v>1426</v>
      </c>
      <c r="AH27">
        <v>1933</v>
      </c>
      <c r="AI27">
        <v>4603</v>
      </c>
      <c r="AJ27">
        <v>3701</v>
      </c>
      <c r="AK27">
        <v>2009</v>
      </c>
      <c r="AL27">
        <v>16199</v>
      </c>
      <c r="AM27">
        <v>19617</v>
      </c>
      <c r="AN27">
        <v>146</v>
      </c>
      <c r="AO27">
        <v>2754</v>
      </c>
      <c r="AP27">
        <v>14</v>
      </c>
      <c r="AQ27">
        <v>1086</v>
      </c>
      <c r="AR27">
        <v>326</v>
      </c>
      <c r="AS27">
        <v>9009</v>
      </c>
      <c r="AT27">
        <v>532</v>
      </c>
      <c r="AU27">
        <v>2012</v>
      </c>
      <c r="AV27">
        <v>10796</v>
      </c>
      <c r="AW27">
        <v>25814</v>
      </c>
      <c r="AX27">
        <v>3731</v>
      </c>
      <c r="AY27">
        <v>28778</v>
      </c>
      <c r="AZ27">
        <v>2806</v>
      </c>
    </row>
    <row r="28" spans="1:52" x14ac:dyDescent="0.4">
      <c r="A28" s="1" t="s">
        <v>44</v>
      </c>
      <c r="B28" s="1" t="s">
        <v>45</v>
      </c>
      <c r="C28">
        <v>243</v>
      </c>
      <c r="D28">
        <v>1270</v>
      </c>
      <c r="E28">
        <v>2073</v>
      </c>
      <c r="F28">
        <v>37</v>
      </c>
      <c r="G28">
        <v>1512</v>
      </c>
      <c r="H28">
        <v>1824</v>
      </c>
      <c r="I28">
        <v>28</v>
      </c>
      <c r="J28">
        <v>1067</v>
      </c>
      <c r="K28">
        <v>762</v>
      </c>
      <c r="L28">
        <v>918</v>
      </c>
      <c r="M28">
        <v>1037</v>
      </c>
      <c r="N28">
        <v>1427</v>
      </c>
      <c r="O28">
        <v>1</v>
      </c>
      <c r="P28">
        <v>50</v>
      </c>
      <c r="Q28">
        <v>201</v>
      </c>
      <c r="R28">
        <v>25</v>
      </c>
      <c r="S28">
        <v>221</v>
      </c>
      <c r="T28">
        <v>412</v>
      </c>
      <c r="U28">
        <v>149</v>
      </c>
      <c r="V28">
        <v>482</v>
      </c>
      <c r="W28">
        <v>36655</v>
      </c>
      <c r="X28">
        <v>1702</v>
      </c>
      <c r="Y28">
        <v>3588</v>
      </c>
      <c r="Z28">
        <v>439</v>
      </c>
      <c r="AA28">
        <v>1305</v>
      </c>
      <c r="AB28">
        <v>1678</v>
      </c>
      <c r="AC28">
        <v>2542</v>
      </c>
      <c r="AD28">
        <v>3047</v>
      </c>
      <c r="AE28">
        <v>17216</v>
      </c>
      <c r="AF28">
        <v>1771</v>
      </c>
      <c r="AG28">
        <v>2339</v>
      </c>
      <c r="AH28">
        <v>2975</v>
      </c>
      <c r="AI28">
        <v>4410</v>
      </c>
      <c r="AJ28">
        <v>3690</v>
      </c>
      <c r="AK28">
        <v>1916</v>
      </c>
      <c r="AL28">
        <v>15572</v>
      </c>
      <c r="AM28">
        <v>16469</v>
      </c>
      <c r="AN28">
        <v>72</v>
      </c>
      <c r="AO28">
        <v>1656</v>
      </c>
      <c r="AP28">
        <v>27</v>
      </c>
      <c r="AQ28">
        <v>1478</v>
      </c>
      <c r="AR28">
        <v>155</v>
      </c>
      <c r="AS28">
        <v>4100</v>
      </c>
      <c r="AT28">
        <v>462</v>
      </c>
      <c r="AU28">
        <v>1706</v>
      </c>
      <c r="AV28">
        <v>10574</v>
      </c>
      <c r="AW28">
        <v>24686</v>
      </c>
      <c r="AX28">
        <v>3483</v>
      </c>
      <c r="AY28">
        <v>21918</v>
      </c>
      <c r="AZ28">
        <v>2981</v>
      </c>
    </row>
    <row r="29" spans="1:52" x14ac:dyDescent="0.4">
      <c r="A29" s="1" t="s">
        <v>46</v>
      </c>
      <c r="B29" s="1" t="s">
        <v>47</v>
      </c>
      <c r="C29">
        <v>281</v>
      </c>
      <c r="D29">
        <v>1416</v>
      </c>
      <c r="E29">
        <v>2177</v>
      </c>
      <c r="F29">
        <v>15</v>
      </c>
      <c r="G29">
        <v>558</v>
      </c>
      <c r="H29">
        <v>909</v>
      </c>
      <c r="I29">
        <v>33</v>
      </c>
      <c r="J29">
        <v>1666</v>
      </c>
      <c r="K29">
        <v>1061</v>
      </c>
      <c r="L29">
        <v>886</v>
      </c>
      <c r="M29">
        <v>993</v>
      </c>
      <c r="N29">
        <v>1402</v>
      </c>
      <c r="O29">
        <v>4</v>
      </c>
      <c r="P29">
        <v>943</v>
      </c>
      <c r="Q29">
        <v>2397</v>
      </c>
      <c r="R29">
        <v>36</v>
      </c>
      <c r="S29">
        <v>725</v>
      </c>
      <c r="T29">
        <v>808</v>
      </c>
      <c r="U29">
        <v>10</v>
      </c>
      <c r="V29">
        <v>226</v>
      </c>
      <c r="W29">
        <v>40084</v>
      </c>
      <c r="X29">
        <v>1813</v>
      </c>
      <c r="Y29">
        <v>5535</v>
      </c>
      <c r="Z29">
        <v>667</v>
      </c>
      <c r="AA29">
        <v>2451</v>
      </c>
      <c r="AB29">
        <v>1778</v>
      </c>
      <c r="AC29">
        <v>7326</v>
      </c>
      <c r="AD29">
        <v>7039</v>
      </c>
      <c r="AE29">
        <v>19428</v>
      </c>
      <c r="AF29">
        <v>3558</v>
      </c>
      <c r="AG29">
        <v>3787</v>
      </c>
      <c r="AH29">
        <v>2980</v>
      </c>
      <c r="AI29">
        <v>7567</v>
      </c>
      <c r="AJ29">
        <v>6065</v>
      </c>
      <c r="AK29">
        <v>1984</v>
      </c>
      <c r="AL29">
        <v>16035</v>
      </c>
      <c r="AM29">
        <v>17529</v>
      </c>
      <c r="AN29">
        <v>72</v>
      </c>
      <c r="AO29">
        <v>1501</v>
      </c>
      <c r="AP29">
        <v>36</v>
      </c>
      <c r="AQ29">
        <v>1967</v>
      </c>
      <c r="AR29">
        <v>719</v>
      </c>
      <c r="AS29">
        <v>20984</v>
      </c>
      <c r="AT29">
        <v>479</v>
      </c>
      <c r="AU29">
        <v>1617</v>
      </c>
      <c r="AV29">
        <v>12066</v>
      </c>
      <c r="AW29">
        <v>30491</v>
      </c>
      <c r="AX29">
        <v>3673</v>
      </c>
      <c r="AY29">
        <v>26328</v>
      </c>
      <c r="AZ29">
        <v>3031</v>
      </c>
    </row>
    <row r="30" spans="1:52" x14ac:dyDescent="0.4">
      <c r="A30" s="1" t="s">
        <v>48</v>
      </c>
      <c r="B30" s="1" t="s">
        <v>49</v>
      </c>
      <c r="C30">
        <v>412</v>
      </c>
      <c r="D30">
        <v>1217</v>
      </c>
      <c r="E30">
        <v>1622</v>
      </c>
      <c r="F30">
        <v>26</v>
      </c>
      <c r="G30">
        <v>1231</v>
      </c>
      <c r="H30">
        <v>1964</v>
      </c>
      <c r="I30">
        <v>40</v>
      </c>
      <c r="J30">
        <v>1530</v>
      </c>
      <c r="K30">
        <v>902</v>
      </c>
      <c r="L30">
        <v>821</v>
      </c>
      <c r="M30">
        <v>919</v>
      </c>
      <c r="N30">
        <v>1248</v>
      </c>
      <c r="O30">
        <v>2</v>
      </c>
      <c r="P30">
        <v>48</v>
      </c>
      <c r="Q30">
        <v>55</v>
      </c>
      <c r="R30">
        <v>60</v>
      </c>
      <c r="S30">
        <v>708</v>
      </c>
      <c r="T30">
        <v>725</v>
      </c>
      <c r="U30">
        <v>122</v>
      </c>
      <c r="V30">
        <v>456</v>
      </c>
      <c r="W30">
        <v>36893</v>
      </c>
      <c r="X30">
        <v>1759</v>
      </c>
      <c r="Y30">
        <v>4496</v>
      </c>
      <c r="Z30">
        <v>484</v>
      </c>
      <c r="AA30">
        <v>1337</v>
      </c>
      <c r="AB30">
        <v>1650</v>
      </c>
      <c r="AC30">
        <v>2843</v>
      </c>
      <c r="AD30">
        <v>3839</v>
      </c>
      <c r="AE30">
        <v>14652</v>
      </c>
      <c r="AF30">
        <v>1386</v>
      </c>
      <c r="AG30">
        <v>2332</v>
      </c>
      <c r="AH30">
        <v>2394</v>
      </c>
      <c r="AI30">
        <v>3620</v>
      </c>
      <c r="AJ30">
        <v>3252</v>
      </c>
      <c r="AK30">
        <v>2097</v>
      </c>
      <c r="AL30">
        <v>16070</v>
      </c>
      <c r="AM30">
        <v>18068</v>
      </c>
      <c r="AN30">
        <v>50</v>
      </c>
      <c r="AO30">
        <v>1499</v>
      </c>
      <c r="AP30">
        <v>56</v>
      </c>
      <c r="AQ30">
        <v>2341</v>
      </c>
      <c r="AR30">
        <v>140</v>
      </c>
      <c r="AS30">
        <v>4066</v>
      </c>
      <c r="AT30">
        <v>610</v>
      </c>
      <c r="AU30">
        <v>1691</v>
      </c>
      <c r="AV30">
        <v>12556</v>
      </c>
      <c r="AW30">
        <v>31557</v>
      </c>
      <c r="AX30">
        <v>3618</v>
      </c>
      <c r="AY30">
        <v>24482</v>
      </c>
      <c r="AZ30">
        <v>3012</v>
      </c>
    </row>
    <row r="31" spans="1:52" x14ac:dyDescent="0.4">
      <c r="A31" s="1" t="s">
        <v>50</v>
      </c>
      <c r="B31" s="1" t="s">
        <v>51</v>
      </c>
      <c r="C31">
        <v>284</v>
      </c>
      <c r="D31">
        <v>1555</v>
      </c>
      <c r="E31">
        <v>2960</v>
      </c>
      <c r="F31">
        <v>18</v>
      </c>
      <c r="G31">
        <v>1272</v>
      </c>
      <c r="H31">
        <v>2207</v>
      </c>
      <c r="I31">
        <v>35</v>
      </c>
      <c r="J31">
        <v>1353</v>
      </c>
      <c r="K31">
        <v>806</v>
      </c>
      <c r="L31">
        <v>793</v>
      </c>
      <c r="M31">
        <v>889</v>
      </c>
      <c r="N31">
        <v>1154</v>
      </c>
      <c r="O31">
        <v>1</v>
      </c>
      <c r="P31">
        <v>2</v>
      </c>
      <c r="Q31">
        <v>32</v>
      </c>
      <c r="R31">
        <v>59</v>
      </c>
      <c r="S31">
        <v>441</v>
      </c>
      <c r="T31">
        <v>583</v>
      </c>
      <c r="U31">
        <v>17</v>
      </c>
      <c r="V31">
        <v>238</v>
      </c>
      <c r="W31">
        <v>30467</v>
      </c>
      <c r="X31">
        <v>1364</v>
      </c>
      <c r="Y31">
        <v>4339</v>
      </c>
      <c r="Z31">
        <v>446</v>
      </c>
      <c r="AA31">
        <v>1835</v>
      </c>
      <c r="AB31">
        <v>2314</v>
      </c>
      <c r="AC31">
        <v>2387</v>
      </c>
      <c r="AD31">
        <v>2684</v>
      </c>
      <c r="AE31">
        <v>18015</v>
      </c>
      <c r="AF31">
        <v>1603</v>
      </c>
      <c r="AG31">
        <v>2381</v>
      </c>
      <c r="AH31">
        <v>2388</v>
      </c>
      <c r="AI31">
        <v>6700</v>
      </c>
      <c r="AJ31">
        <v>4731</v>
      </c>
      <c r="AK31">
        <v>1843</v>
      </c>
      <c r="AL31">
        <v>14651</v>
      </c>
      <c r="AM31">
        <v>17256</v>
      </c>
      <c r="AN31">
        <v>100</v>
      </c>
      <c r="AO31">
        <v>2053</v>
      </c>
      <c r="AP31">
        <v>26</v>
      </c>
      <c r="AQ31">
        <v>1520</v>
      </c>
      <c r="AR31">
        <v>329</v>
      </c>
      <c r="AS31">
        <v>8829</v>
      </c>
      <c r="AT31">
        <v>400</v>
      </c>
      <c r="AU31">
        <v>1620</v>
      </c>
      <c r="AV31">
        <v>10031</v>
      </c>
      <c r="AW31">
        <v>24760</v>
      </c>
      <c r="AX31">
        <v>3060</v>
      </c>
      <c r="AY31">
        <v>22314</v>
      </c>
      <c r="AZ31">
        <v>2178</v>
      </c>
    </row>
    <row r="32" spans="1:52" x14ac:dyDescent="0.4">
      <c r="A32" s="1" t="s">
        <v>52</v>
      </c>
      <c r="B32" s="1" t="s">
        <v>53</v>
      </c>
      <c r="C32">
        <v>331</v>
      </c>
      <c r="D32">
        <v>1573</v>
      </c>
      <c r="E32">
        <v>2850</v>
      </c>
      <c r="F32">
        <v>17</v>
      </c>
      <c r="G32">
        <v>1718</v>
      </c>
      <c r="H32">
        <v>2605</v>
      </c>
      <c r="I32">
        <v>38</v>
      </c>
      <c r="J32">
        <v>1875</v>
      </c>
      <c r="K32">
        <v>1015</v>
      </c>
      <c r="L32">
        <v>919</v>
      </c>
      <c r="M32">
        <v>1040</v>
      </c>
      <c r="N32">
        <v>1388</v>
      </c>
      <c r="O32">
        <v>18</v>
      </c>
      <c r="P32">
        <v>2768</v>
      </c>
      <c r="Q32">
        <v>3045</v>
      </c>
      <c r="R32">
        <v>54</v>
      </c>
      <c r="S32">
        <v>695</v>
      </c>
      <c r="T32">
        <v>686</v>
      </c>
      <c r="U32">
        <v>43</v>
      </c>
      <c r="V32">
        <v>358</v>
      </c>
      <c r="W32">
        <v>33666</v>
      </c>
      <c r="X32">
        <v>1644</v>
      </c>
      <c r="Y32">
        <v>3929</v>
      </c>
      <c r="Z32">
        <v>1725</v>
      </c>
      <c r="AA32">
        <v>2873</v>
      </c>
      <c r="AB32">
        <v>1664</v>
      </c>
      <c r="AC32">
        <v>2467</v>
      </c>
      <c r="AD32">
        <v>3697</v>
      </c>
      <c r="AE32">
        <v>15120</v>
      </c>
      <c r="AF32">
        <v>1851</v>
      </c>
      <c r="AG32">
        <v>2374</v>
      </c>
      <c r="AH32">
        <v>2353</v>
      </c>
      <c r="AI32">
        <v>10112</v>
      </c>
      <c r="AJ32">
        <v>7941</v>
      </c>
      <c r="AK32">
        <v>2255</v>
      </c>
      <c r="AL32">
        <v>18124</v>
      </c>
      <c r="AM32">
        <v>19904</v>
      </c>
      <c r="AN32">
        <v>87</v>
      </c>
      <c r="AO32">
        <v>2180</v>
      </c>
      <c r="AP32">
        <v>35</v>
      </c>
      <c r="AQ32">
        <v>1036</v>
      </c>
      <c r="AR32">
        <v>118</v>
      </c>
      <c r="AS32">
        <v>3595</v>
      </c>
      <c r="AT32">
        <v>448</v>
      </c>
      <c r="AU32">
        <v>1265</v>
      </c>
      <c r="AV32">
        <v>12247</v>
      </c>
      <c r="AW32">
        <v>28592</v>
      </c>
      <c r="AX32">
        <v>3155</v>
      </c>
      <c r="AY32">
        <v>22802</v>
      </c>
      <c r="AZ32">
        <v>3487</v>
      </c>
    </row>
    <row r="33" spans="1:52" x14ac:dyDescent="0.4">
      <c r="A33" s="1" t="s">
        <v>54</v>
      </c>
      <c r="B33" s="1" t="s">
        <v>55</v>
      </c>
      <c r="C33">
        <v>379</v>
      </c>
      <c r="D33">
        <v>1305</v>
      </c>
      <c r="E33">
        <v>2153</v>
      </c>
      <c r="F33">
        <v>32</v>
      </c>
      <c r="G33">
        <v>1174</v>
      </c>
      <c r="H33">
        <v>2179</v>
      </c>
      <c r="I33">
        <v>42</v>
      </c>
      <c r="J33">
        <v>2200</v>
      </c>
      <c r="K33">
        <v>1356</v>
      </c>
      <c r="L33">
        <v>902</v>
      </c>
      <c r="M33">
        <v>1017</v>
      </c>
      <c r="N33">
        <v>1397</v>
      </c>
      <c r="O33">
        <v>3</v>
      </c>
      <c r="P33">
        <v>105</v>
      </c>
      <c r="Q33">
        <v>116</v>
      </c>
      <c r="R33">
        <v>58</v>
      </c>
      <c r="S33">
        <v>654</v>
      </c>
      <c r="T33">
        <v>679</v>
      </c>
      <c r="U33">
        <v>9</v>
      </c>
      <c r="V33">
        <v>221</v>
      </c>
      <c r="W33">
        <v>31676</v>
      </c>
      <c r="X33">
        <v>1588</v>
      </c>
      <c r="Y33">
        <v>4231</v>
      </c>
      <c r="Z33">
        <v>424</v>
      </c>
      <c r="AA33">
        <v>1373</v>
      </c>
      <c r="AB33">
        <v>1516</v>
      </c>
      <c r="AC33">
        <v>1564</v>
      </c>
      <c r="AD33">
        <v>2608</v>
      </c>
      <c r="AE33">
        <v>16010</v>
      </c>
      <c r="AF33">
        <v>1787</v>
      </c>
      <c r="AG33">
        <v>2198</v>
      </c>
      <c r="AH33">
        <v>2618</v>
      </c>
      <c r="AI33">
        <v>6582</v>
      </c>
      <c r="AJ33">
        <v>4484</v>
      </c>
      <c r="AK33">
        <v>2357</v>
      </c>
      <c r="AL33">
        <v>18634</v>
      </c>
      <c r="AM33">
        <v>19922</v>
      </c>
      <c r="AN33">
        <v>84</v>
      </c>
      <c r="AO33">
        <v>2237</v>
      </c>
      <c r="AP33">
        <v>26</v>
      </c>
      <c r="AQ33">
        <v>1815</v>
      </c>
      <c r="AR33">
        <v>153</v>
      </c>
      <c r="AS33">
        <v>4106</v>
      </c>
      <c r="AT33">
        <v>426</v>
      </c>
      <c r="AU33">
        <v>1508</v>
      </c>
      <c r="AV33">
        <v>13654</v>
      </c>
      <c r="AW33">
        <v>32048</v>
      </c>
      <c r="AX33">
        <v>3633</v>
      </c>
      <c r="AY33">
        <v>26079</v>
      </c>
      <c r="AZ33">
        <v>3012</v>
      </c>
    </row>
    <row r="34" spans="1:52" x14ac:dyDescent="0.4">
      <c r="A34" s="1" t="s">
        <v>56</v>
      </c>
      <c r="B34" s="1" t="s">
        <v>57</v>
      </c>
      <c r="C34">
        <v>211</v>
      </c>
      <c r="D34">
        <v>1490</v>
      </c>
      <c r="E34">
        <v>2457</v>
      </c>
      <c r="F34">
        <v>20</v>
      </c>
      <c r="G34">
        <v>1059</v>
      </c>
      <c r="H34">
        <v>1421</v>
      </c>
      <c r="I34">
        <v>43</v>
      </c>
      <c r="J34">
        <v>1935</v>
      </c>
      <c r="K34">
        <v>1597</v>
      </c>
      <c r="L34">
        <v>881</v>
      </c>
      <c r="M34">
        <v>996</v>
      </c>
      <c r="N34">
        <v>1208</v>
      </c>
      <c r="O34">
        <v>1</v>
      </c>
      <c r="P34">
        <v>19</v>
      </c>
      <c r="Q34">
        <v>21</v>
      </c>
      <c r="R34">
        <v>57</v>
      </c>
      <c r="S34">
        <v>815</v>
      </c>
      <c r="T34">
        <v>761</v>
      </c>
      <c r="U34">
        <v>19</v>
      </c>
      <c r="V34">
        <v>237</v>
      </c>
      <c r="W34">
        <v>30608</v>
      </c>
      <c r="X34">
        <v>1417</v>
      </c>
      <c r="Y34">
        <v>4129</v>
      </c>
      <c r="Z34">
        <v>473</v>
      </c>
      <c r="AA34">
        <v>1717</v>
      </c>
      <c r="AB34">
        <v>1450</v>
      </c>
      <c r="AC34">
        <v>1754</v>
      </c>
      <c r="AD34">
        <v>2546</v>
      </c>
      <c r="AE34">
        <v>18325</v>
      </c>
      <c r="AF34">
        <v>4155</v>
      </c>
      <c r="AG34">
        <v>4405</v>
      </c>
      <c r="AH34">
        <v>2275</v>
      </c>
      <c r="AI34">
        <v>6383</v>
      </c>
      <c r="AJ34">
        <v>5382</v>
      </c>
      <c r="AK34">
        <v>2316</v>
      </c>
      <c r="AL34">
        <v>18844</v>
      </c>
      <c r="AM34">
        <v>20167</v>
      </c>
      <c r="AN34">
        <v>99</v>
      </c>
      <c r="AO34">
        <v>2142</v>
      </c>
      <c r="AP34">
        <v>34</v>
      </c>
      <c r="AQ34">
        <v>1511</v>
      </c>
      <c r="AR34">
        <v>148</v>
      </c>
      <c r="AS34">
        <v>4094</v>
      </c>
      <c r="AT34">
        <v>350</v>
      </c>
      <c r="AU34">
        <v>1364</v>
      </c>
      <c r="AV34">
        <v>11916</v>
      </c>
      <c r="AW34">
        <v>29076</v>
      </c>
      <c r="AX34">
        <v>3239</v>
      </c>
      <c r="AY34">
        <v>25847</v>
      </c>
      <c r="AZ34">
        <v>2585</v>
      </c>
    </row>
    <row r="35" spans="1:52" x14ac:dyDescent="0.4">
      <c r="A35" s="1" t="s">
        <v>58</v>
      </c>
      <c r="B35" s="1" t="s">
        <v>59</v>
      </c>
      <c r="C35">
        <v>299</v>
      </c>
      <c r="D35">
        <v>1213</v>
      </c>
      <c r="E35">
        <v>1781</v>
      </c>
      <c r="F35">
        <v>5</v>
      </c>
      <c r="G35">
        <v>91</v>
      </c>
      <c r="H35">
        <v>118</v>
      </c>
      <c r="I35">
        <v>49</v>
      </c>
      <c r="J35">
        <v>2997</v>
      </c>
      <c r="K35">
        <v>3610</v>
      </c>
      <c r="L35">
        <v>796</v>
      </c>
      <c r="M35">
        <v>902</v>
      </c>
      <c r="N35">
        <v>1127</v>
      </c>
      <c r="O35">
        <v>0</v>
      </c>
      <c r="P35">
        <v>0</v>
      </c>
      <c r="Q35">
        <v>0</v>
      </c>
      <c r="R35">
        <v>49</v>
      </c>
      <c r="S35">
        <v>431</v>
      </c>
      <c r="T35">
        <v>600</v>
      </c>
      <c r="U35">
        <v>171</v>
      </c>
      <c r="V35">
        <v>546</v>
      </c>
      <c r="W35">
        <v>28498</v>
      </c>
      <c r="X35">
        <v>1512</v>
      </c>
      <c r="Y35">
        <v>4521</v>
      </c>
      <c r="Z35">
        <v>467</v>
      </c>
      <c r="AA35">
        <v>1546</v>
      </c>
      <c r="AB35">
        <v>1817</v>
      </c>
      <c r="AC35">
        <v>4186</v>
      </c>
      <c r="AD35">
        <v>4615</v>
      </c>
      <c r="AE35">
        <v>17744</v>
      </c>
      <c r="AF35">
        <v>1834</v>
      </c>
      <c r="AG35">
        <v>2379</v>
      </c>
      <c r="AH35">
        <v>3578</v>
      </c>
      <c r="AI35">
        <v>26395</v>
      </c>
      <c r="AJ35">
        <v>20499</v>
      </c>
      <c r="AK35">
        <v>2238</v>
      </c>
      <c r="AL35">
        <v>17386</v>
      </c>
      <c r="AM35">
        <v>20254</v>
      </c>
      <c r="AN35">
        <v>105</v>
      </c>
      <c r="AO35">
        <v>2186</v>
      </c>
      <c r="AP35">
        <v>37</v>
      </c>
      <c r="AQ35">
        <v>3340</v>
      </c>
      <c r="AR35">
        <v>487</v>
      </c>
      <c r="AS35">
        <v>14947</v>
      </c>
      <c r="AT35">
        <v>372</v>
      </c>
      <c r="AU35">
        <v>1359</v>
      </c>
      <c r="AV35">
        <v>13248</v>
      </c>
      <c r="AW35">
        <v>30074</v>
      </c>
      <c r="AX35">
        <v>3367</v>
      </c>
      <c r="AY35">
        <v>27557</v>
      </c>
      <c r="AZ35">
        <v>3103</v>
      </c>
    </row>
    <row r="36" spans="1:52" x14ac:dyDescent="0.4">
      <c r="A36" s="1" t="s">
        <v>60</v>
      </c>
      <c r="B36" s="1" t="s">
        <v>61</v>
      </c>
      <c r="C36">
        <v>335</v>
      </c>
      <c r="D36">
        <v>1219</v>
      </c>
      <c r="E36">
        <v>1943</v>
      </c>
      <c r="F36">
        <v>50</v>
      </c>
      <c r="G36">
        <v>3009</v>
      </c>
      <c r="H36">
        <v>4130</v>
      </c>
      <c r="I36">
        <v>50</v>
      </c>
      <c r="J36">
        <v>1531</v>
      </c>
      <c r="K36">
        <v>1014</v>
      </c>
      <c r="L36">
        <v>670</v>
      </c>
      <c r="M36">
        <v>756</v>
      </c>
      <c r="N36">
        <v>873</v>
      </c>
      <c r="O36">
        <v>0</v>
      </c>
      <c r="P36">
        <v>0</v>
      </c>
      <c r="Q36">
        <v>0</v>
      </c>
      <c r="R36">
        <v>49</v>
      </c>
      <c r="S36">
        <v>1157</v>
      </c>
      <c r="T36">
        <v>1077</v>
      </c>
      <c r="U36">
        <v>58</v>
      </c>
      <c r="V36">
        <v>311</v>
      </c>
      <c r="W36">
        <v>28762</v>
      </c>
      <c r="X36">
        <v>1505</v>
      </c>
      <c r="Y36">
        <v>3819</v>
      </c>
      <c r="Z36">
        <v>469</v>
      </c>
      <c r="AA36">
        <v>1464</v>
      </c>
      <c r="AB36">
        <v>1404</v>
      </c>
      <c r="AC36">
        <v>2773</v>
      </c>
      <c r="AD36">
        <v>3636</v>
      </c>
      <c r="AE36">
        <v>19175</v>
      </c>
      <c r="AF36">
        <v>1994</v>
      </c>
      <c r="AG36">
        <v>1301</v>
      </c>
      <c r="AH36">
        <v>2504</v>
      </c>
      <c r="AI36">
        <v>5207</v>
      </c>
      <c r="AJ36">
        <v>3744</v>
      </c>
      <c r="AK36">
        <v>2059</v>
      </c>
      <c r="AL36">
        <v>16226</v>
      </c>
      <c r="AM36">
        <v>21580</v>
      </c>
      <c r="AN36">
        <v>96</v>
      </c>
      <c r="AO36">
        <v>1991</v>
      </c>
      <c r="AP36">
        <v>34</v>
      </c>
      <c r="AQ36">
        <v>2061</v>
      </c>
      <c r="AR36">
        <v>234</v>
      </c>
      <c r="AS36">
        <v>6356</v>
      </c>
      <c r="AT36">
        <v>335</v>
      </c>
      <c r="AU36">
        <v>1434</v>
      </c>
      <c r="AV36">
        <v>12814</v>
      </c>
      <c r="AW36">
        <v>29895</v>
      </c>
      <c r="AX36">
        <v>3347</v>
      </c>
      <c r="AY36">
        <v>23860</v>
      </c>
      <c r="AZ36">
        <v>2942</v>
      </c>
    </row>
    <row r="37" spans="1:52" x14ac:dyDescent="0.4">
      <c r="A37" s="1" t="s">
        <v>62</v>
      </c>
      <c r="B37" s="1" t="s">
        <v>63</v>
      </c>
      <c r="C37">
        <v>276</v>
      </c>
      <c r="D37">
        <v>1916</v>
      </c>
      <c r="E37">
        <v>4112</v>
      </c>
      <c r="F37">
        <v>25</v>
      </c>
      <c r="G37">
        <v>690</v>
      </c>
      <c r="H37">
        <v>989</v>
      </c>
      <c r="I37">
        <v>37</v>
      </c>
      <c r="J37">
        <v>2058</v>
      </c>
      <c r="K37">
        <v>1110</v>
      </c>
      <c r="L37">
        <v>785</v>
      </c>
      <c r="M37">
        <v>885</v>
      </c>
      <c r="N37">
        <v>1114</v>
      </c>
      <c r="O37">
        <v>0</v>
      </c>
      <c r="P37">
        <v>0</v>
      </c>
      <c r="Q37">
        <v>0</v>
      </c>
      <c r="R37">
        <v>38</v>
      </c>
      <c r="S37">
        <v>459</v>
      </c>
      <c r="T37">
        <v>602</v>
      </c>
      <c r="U37">
        <v>9</v>
      </c>
      <c r="V37">
        <v>218</v>
      </c>
      <c r="W37">
        <v>30459</v>
      </c>
      <c r="X37">
        <v>1609</v>
      </c>
      <c r="Y37">
        <v>4297</v>
      </c>
      <c r="Z37">
        <v>485</v>
      </c>
      <c r="AA37">
        <v>1477</v>
      </c>
      <c r="AB37">
        <v>1625</v>
      </c>
      <c r="AC37">
        <v>2041</v>
      </c>
      <c r="AD37">
        <v>2871</v>
      </c>
      <c r="AE37">
        <v>23254</v>
      </c>
      <c r="AF37">
        <v>11266</v>
      </c>
      <c r="AG37">
        <v>8882</v>
      </c>
      <c r="AH37">
        <v>1706</v>
      </c>
      <c r="AI37">
        <v>6646</v>
      </c>
      <c r="AJ37">
        <v>5420</v>
      </c>
      <c r="AK37">
        <v>2000</v>
      </c>
      <c r="AL37">
        <v>15672</v>
      </c>
      <c r="AM37">
        <v>18103</v>
      </c>
      <c r="AN37">
        <v>79</v>
      </c>
      <c r="AO37">
        <v>1941</v>
      </c>
      <c r="AP37">
        <v>45</v>
      </c>
      <c r="AQ37">
        <v>3614</v>
      </c>
      <c r="AR37">
        <v>172</v>
      </c>
      <c r="AS37">
        <v>4794</v>
      </c>
      <c r="AT37">
        <v>321</v>
      </c>
      <c r="AU37">
        <v>1498</v>
      </c>
      <c r="AV37">
        <v>12881</v>
      </c>
      <c r="AW37">
        <v>31429</v>
      </c>
      <c r="AX37">
        <v>3117</v>
      </c>
      <c r="AY37">
        <v>22478</v>
      </c>
      <c r="AZ37">
        <v>2903</v>
      </c>
    </row>
    <row r="38" spans="1:52" x14ac:dyDescent="0.4">
      <c r="A38" s="1" t="s">
        <v>64</v>
      </c>
      <c r="B38" s="1" t="s">
        <v>65</v>
      </c>
      <c r="C38">
        <v>355</v>
      </c>
      <c r="D38">
        <v>1993</v>
      </c>
      <c r="E38">
        <v>4537</v>
      </c>
      <c r="F38">
        <v>29</v>
      </c>
      <c r="G38">
        <v>2004</v>
      </c>
      <c r="H38">
        <v>2757</v>
      </c>
      <c r="I38">
        <v>43</v>
      </c>
      <c r="J38">
        <v>1883</v>
      </c>
      <c r="K38">
        <v>1277</v>
      </c>
      <c r="L38">
        <v>919</v>
      </c>
      <c r="M38">
        <v>1036</v>
      </c>
      <c r="N38">
        <v>1363</v>
      </c>
      <c r="O38">
        <v>12</v>
      </c>
      <c r="P38">
        <v>3066</v>
      </c>
      <c r="Q38">
        <v>5666</v>
      </c>
      <c r="R38">
        <v>63</v>
      </c>
      <c r="S38">
        <v>820</v>
      </c>
      <c r="T38">
        <v>960</v>
      </c>
      <c r="U38">
        <v>62</v>
      </c>
      <c r="V38">
        <v>288</v>
      </c>
      <c r="W38">
        <v>33575</v>
      </c>
      <c r="X38">
        <v>1723</v>
      </c>
      <c r="Y38">
        <v>7924</v>
      </c>
      <c r="Z38">
        <v>977</v>
      </c>
      <c r="AA38">
        <v>3929</v>
      </c>
      <c r="AB38">
        <v>4996</v>
      </c>
      <c r="AC38">
        <v>10239</v>
      </c>
      <c r="AD38">
        <v>8988</v>
      </c>
      <c r="AE38">
        <v>30585</v>
      </c>
      <c r="AF38">
        <v>2642</v>
      </c>
      <c r="AG38">
        <v>2391</v>
      </c>
      <c r="AH38">
        <v>2222</v>
      </c>
      <c r="AI38">
        <v>8622</v>
      </c>
      <c r="AJ38">
        <v>6231</v>
      </c>
      <c r="AK38">
        <v>2382</v>
      </c>
      <c r="AL38">
        <v>18408</v>
      </c>
      <c r="AM38">
        <v>22669</v>
      </c>
      <c r="AN38">
        <v>132</v>
      </c>
      <c r="AO38">
        <v>2421</v>
      </c>
      <c r="AP38">
        <v>84</v>
      </c>
      <c r="AQ38">
        <v>4553</v>
      </c>
      <c r="AR38">
        <v>184</v>
      </c>
      <c r="AS38">
        <v>6801</v>
      </c>
      <c r="AT38">
        <v>408</v>
      </c>
      <c r="AU38">
        <v>1338</v>
      </c>
      <c r="AV38">
        <v>14317</v>
      </c>
      <c r="AW38">
        <v>35411</v>
      </c>
      <c r="AX38">
        <v>3461</v>
      </c>
      <c r="AY38">
        <v>29535</v>
      </c>
      <c r="AZ38">
        <v>4135</v>
      </c>
    </row>
    <row r="39" spans="1:52" x14ac:dyDescent="0.4">
      <c r="A39" s="1"/>
      <c r="B39" s="1"/>
    </row>
    <row r="40" spans="1:52" x14ac:dyDescent="0.4">
      <c r="A40" s="1"/>
      <c r="B40" s="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2D273-2633-42DD-976E-CEC241DEE9F4}">
  <dimension ref="A1:W40"/>
  <sheetViews>
    <sheetView workbookViewId="0">
      <selection activeCell="C9" sqref="C9"/>
    </sheetView>
  </sheetViews>
  <sheetFormatPr defaultColWidth="15.62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497</v>
      </c>
      <c r="D3" t="s">
        <v>497</v>
      </c>
      <c r="E3" t="s">
        <v>497</v>
      </c>
      <c r="F3" t="s">
        <v>499</v>
      </c>
      <c r="G3" t="s">
        <v>499</v>
      </c>
      <c r="H3" t="s">
        <v>499</v>
      </c>
      <c r="I3" t="s">
        <v>501</v>
      </c>
      <c r="J3" t="s">
        <v>501</v>
      </c>
      <c r="K3" t="s">
        <v>501</v>
      </c>
      <c r="L3" t="s">
        <v>504</v>
      </c>
      <c r="M3" t="s">
        <v>504</v>
      </c>
      <c r="N3" t="s">
        <v>504</v>
      </c>
      <c r="O3" t="s">
        <v>506</v>
      </c>
      <c r="P3" t="s">
        <v>506</v>
      </c>
      <c r="Q3" t="s">
        <v>506</v>
      </c>
      <c r="R3" t="s">
        <v>508</v>
      </c>
      <c r="S3" t="s">
        <v>508</v>
      </c>
      <c r="T3" t="s">
        <v>508</v>
      </c>
      <c r="U3" t="s">
        <v>510</v>
      </c>
      <c r="V3" t="s">
        <v>510</v>
      </c>
      <c r="W3" t="s">
        <v>510</v>
      </c>
    </row>
    <row r="4" spans="1:23" x14ac:dyDescent="0.4">
      <c r="A4" s="1"/>
      <c r="B4" s="2" t="s">
        <v>1</v>
      </c>
      <c r="C4" t="s">
        <v>498</v>
      </c>
      <c r="D4" t="s">
        <v>498</v>
      </c>
      <c r="E4" t="s">
        <v>498</v>
      </c>
      <c r="F4" t="s">
        <v>500</v>
      </c>
      <c r="G4" t="s">
        <v>500</v>
      </c>
      <c r="H4" t="s">
        <v>500</v>
      </c>
      <c r="I4" t="s">
        <v>503</v>
      </c>
      <c r="J4" t="s">
        <v>503</v>
      </c>
      <c r="K4" t="s">
        <v>503</v>
      </c>
      <c r="L4" t="s">
        <v>505</v>
      </c>
      <c r="M4" t="s">
        <v>505</v>
      </c>
      <c r="N4" t="s">
        <v>505</v>
      </c>
      <c r="O4" t="s">
        <v>507</v>
      </c>
      <c r="P4" t="s">
        <v>507</v>
      </c>
      <c r="Q4" t="s">
        <v>507</v>
      </c>
      <c r="R4" t="s">
        <v>509</v>
      </c>
      <c r="S4" t="s">
        <v>509</v>
      </c>
      <c r="T4" t="s">
        <v>509</v>
      </c>
      <c r="U4" t="s">
        <v>512</v>
      </c>
      <c r="V4" t="s">
        <v>512</v>
      </c>
      <c r="W4" t="s">
        <v>512</v>
      </c>
    </row>
    <row r="5" spans="1:2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</row>
    <row r="6" spans="1:2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</row>
    <row r="7" spans="1:23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511</v>
      </c>
      <c r="V7" t="s">
        <v>339</v>
      </c>
      <c r="W7" t="s">
        <v>341</v>
      </c>
    </row>
    <row r="8" spans="1:23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511</v>
      </c>
      <c r="V8" t="s">
        <v>339</v>
      </c>
      <c r="W8" t="s">
        <v>342</v>
      </c>
    </row>
    <row r="9" spans="1:23" x14ac:dyDescent="0.4">
      <c r="A9" s="1" t="s">
        <v>6</v>
      </c>
      <c r="B9" s="3" t="s">
        <v>7</v>
      </c>
      <c r="C9">
        <v>2607982</v>
      </c>
      <c r="D9">
        <v>93416668</v>
      </c>
      <c r="E9">
        <v>94088405</v>
      </c>
      <c r="F9">
        <v>3166070</v>
      </c>
      <c r="G9">
        <v>65415818</v>
      </c>
      <c r="H9">
        <v>149440993</v>
      </c>
      <c r="I9">
        <v>32090409</v>
      </c>
      <c r="J9">
        <v>15916865</v>
      </c>
      <c r="K9">
        <v>29320879</v>
      </c>
      <c r="L9">
        <v>131407585</v>
      </c>
      <c r="M9">
        <v>23733089</v>
      </c>
      <c r="N9">
        <v>32014800</v>
      </c>
      <c r="O9">
        <v>21074873</v>
      </c>
      <c r="P9">
        <v>30479733</v>
      </c>
      <c r="Q9">
        <v>62117829</v>
      </c>
      <c r="R9">
        <v>15028865</v>
      </c>
      <c r="S9">
        <v>10999078</v>
      </c>
      <c r="T9">
        <v>19185198</v>
      </c>
      <c r="U9">
        <v>56958089</v>
      </c>
      <c r="V9">
        <v>70110051</v>
      </c>
      <c r="W9">
        <v>72631192</v>
      </c>
    </row>
    <row r="10" spans="1:23" x14ac:dyDescent="0.4">
      <c r="A10" s="1" t="s">
        <v>8</v>
      </c>
      <c r="B10" s="3" t="s">
        <v>9</v>
      </c>
      <c r="C10">
        <v>2833142</v>
      </c>
      <c r="D10">
        <v>100348247</v>
      </c>
      <c r="E10">
        <v>98868558</v>
      </c>
      <c r="F10">
        <v>3176802</v>
      </c>
      <c r="G10">
        <v>66392651</v>
      </c>
      <c r="H10">
        <v>161207016</v>
      </c>
      <c r="I10">
        <v>29131355</v>
      </c>
      <c r="J10">
        <v>15387574</v>
      </c>
      <c r="K10">
        <v>31087289</v>
      </c>
      <c r="L10">
        <v>114126276</v>
      </c>
      <c r="M10">
        <v>21165298</v>
      </c>
      <c r="N10">
        <v>29925351</v>
      </c>
      <c r="O10">
        <v>19879448</v>
      </c>
      <c r="P10">
        <v>29593614</v>
      </c>
      <c r="Q10">
        <v>58751157</v>
      </c>
      <c r="R10">
        <v>14339402</v>
      </c>
      <c r="S10">
        <v>11089294</v>
      </c>
      <c r="T10">
        <v>21344080</v>
      </c>
      <c r="U10">
        <v>56850408</v>
      </c>
      <c r="V10">
        <v>72539448</v>
      </c>
      <c r="W10">
        <v>77100637</v>
      </c>
    </row>
    <row r="11" spans="1:23" x14ac:dyDescent="0.4">
      <c r="A11" s="1" t="s">
        <v>10</v>
      </c>
      <c r="B11" s="3" t="s">
        <v>11</v>
      </c>
      <c r="C11">
        <v>2512952</v>
      </c>
      <c r="D11">
        <v>97270456</v>
      </c>
      <c r="E11">
        <v>100375477</v>
      </c>
      <c r="F11">
        <v>2597279</v>
      </c>
      <c r="G11">
        <v>64715422</v>
      </c>
      <c r="H11">
        <v>167439119</v>
      </c>
      <c r="I11">
        <v>26822197</v>
      </c>
      <c r="J11">
        <v>14141468</v>
      </c>
      <c r="K11">
        <v>31737913</v>
      </c>
      <c r="L11">
        <v>112645249</v>
      </c>
      <c r="M11">
        <v>20914591</v>
      </c>
      <c r="N11">
        <v>29996318</v>
      </c>
      <c r="O11">
        <v>16557080</v>
      </c>
      <c r="P11">
        <v>26683718</v>
      </c>
      <c r="Q11">
        <v>59428276</v>
      </c>
      <c r="R11">
        <v>12103116</v>
      </c>
      <c r="S11">
        <v>9835476</v>
      </c>
      <c r="T11">
        <v>19869718</v>
      </c>
      <c r="U11">
        <v>53411438</v>
      </c>
      <c r="V11">
        <v>73325934</v>
      </c>
      <c r="W11">
        <v>79018723</v>
      </c>
    </row>
    <row r="12" spans="1:23" x14ac:dyDescent="0.4">
      <c r="A12" s="1" t="s">
        <v>12</v>
      </c>
      <c r="B12" s="3" t="s">
        <v>13</v>
      </c>
      <c r="C12">
        <v>2259492</v>
      </c>
      <c r="D12">
        <v>85867440</v>
      </c>
      <c r="E12">
        <v>93204684</v>
      </c>
      <c r="F12">
        <v>2049614</v>
      </c>
      <c r="G12">
        <v>53178388</v>
      </c>
      <c r="H12">
        <v>138817445</v>
      </c>
      <c r="I12">
        <v>21916562</v>
      </c>
      <c r="J12">
        <v>12410688</v>
      </c>
      <c r="K12">
        <v>29069338</v>
      </c>
      <c r="L12">
        <v>106109515</v>
      </c>
      <c r="M12">
        <v>19148597</v>
      </c>
      <c r="N12">
        <v>26301846</v>
      </c>
      <c r="O12">
        <v>16124990</v>
      </c>
      <c r="P12">
        <v>27479206</v>
      </c>
      <c r="Q12">
        <v>74362760</v>
      </c>
      <c r="R12">
        <v>10383261</v>
      </c>
      <c r="S12">
        <v>8455911</v>
      </c>
      <c r="T12">
        <v>18895457</v>
      </c>
      <c r="U12">
        <v>50039462</v>
      </c>
      <c r="V12">
        <v>70289329</v>
      </c>
      <c r="W12">
        <v>77443233</v>
      </c>
    </row>
    <row r="13" spans="1:23" x14ac:dyDescent="0.4">
      <c r="A13" s="1" t="s">
        <v>14</v>
      </c>
      <c r="B13" s="3" t="s">
        <v>15</v>
      </c>
      <c r="C13">
        <v>1915402</v>
      </c>
      <c r="D13">
        <v>87600068</v>
      </c>
      <c r="E13">
        <v>96021969</v>
      </c>
      <c r="F13">
        <v>2017759</v>
      </c>
      <c r="G13">
        <v>51738374</v>
      </c>
      <c r="H13">
        <v>146009148</v>
      </c>
      <c r="I13">
        <v>22077260</v>
      </c>
      <c r="J13">
        <v>11915774</v>
      </c>
      <c r="K13">
        <v>29707104</v>
      </c>
      <c r="L13">
        <v>103983599</v>
      </c>
      <c r="M13">
        <v>18702057</v>
      </c>
      <c r="N13">
        <v>27118356</v>
      </c>
      <c r="O13">
        <v>17540600</v>
      </c>
      <c r="P13">
        <v>29110756</v>
      </c>
      <c r="Q13">
        <v>83296570</v>
      </c>
      <c r="R13">
        <v>10586297</v>
      </c>
      <c r="S13">
        <v>8409561</v>
      </c>
      <c r="T13">
        <v>19241488</v>
      </c>
      <c r="U13">
        <v>51661273</v>
      </c>
      <c r="V13">
        <v>72105904</v>
      </c>
      <c r="W13">
        <v>80887815</v>
      </c>
    </row>
    <row r="14" spans="1:23" x14ac:dyDescent="0.4">
      <c r="A14" s="1" t="s">
        <v>16</v>
      </c>
      <c r="B14" s="1" t="s">
        <v>17</v>
      </c>
      <c r="C14">
        <v>183244</v>
      </c>
      <c r="D14">
        <v>7500364</v>
      </c>
      <c r="E14">
        <v>8814512</v>
      </c>
      <c r="F14">
        <v>206369</v>
      </c>
      <c r="G14">
        <v>4824101</v>
      </c>
      <c r="H14">
        <v>12160362</v>
      </c>
      <c r="I14">
        <v>2008593</v>
      </c>
      <c r="J14">
        <v>1108190</v>
      </c>
      <c r="K14">
        <v>2440504</v>
      </c>
      <c r="L14">
        <v>9296897</v>
      </c>
      <c r="M14">
        <v>1618494</v>
      </c>
      <c r="N14">
        <v>2171751</v>
      </c>
      <c r="O14">
        <v>1485599</v>
      </c>
      <c r="P14">
        <v>2247476</v>
      </c>
      <c r="Q14">
        <v>6920820</v>
      </c>
      <c r="R14">
        <v>849089</v>
      </c>
      <c r="S14">
        <v>697255</v>
      </c>
      <c r="T14">
        <v>1554038</v>
      </c>
      <c r="U14">
        <v>3960331</v>
      </c>
      <c r="V14">
        <v>6057629</v>
      </c>
      <c r="W14">
        <v>6706513</v>
      </c>
    </row>
    <row r="15" spans="1:23" x14ac:dyDescent="0.4">
      <c r="A15" s="1" t="s">
        <v>18</v>
      </c>
      <c r="B15" s="1" t="s">
        <v>19</v>
      </c>
      <c r="C15">
        <v>192201</v>
      </c>
      <c r="D15">
        <v>7211972</v>
      </c>
      <c r="E15">
        <v>7435971</v>
      </c>
      <c r="F15">
        <v>174147</v>
      </c>
      <c r="G15">
        <v>4238060</v>
      </c>
      <c r="H15">
        <v>11231897</v>
      </c>
      <c r="I15">
        <v>1775439</v>
      </c>
      <c r="J15">
        <v>1058121</v>
      </c>
      <c r="K15">
        <v>2358706</v>
      </c>
      <c r="L15">
        <v>8912795</v>
      </c>
      <c r="M15">
        <v>1591768</v>
      </c>
      <c r="N15">
        <v>2084741</v>
      </c>
      <c r="O15">
        <v>1323874</v>
      </c>
      <c r="P15">
        <v>2248969</v>
      </c>
      <c r="Q15">
        <v>7109845</v>
      </c>
      <c r="R15">
        <v>811020</v>
      </c>
      <c r="S15">
        <v>663268</v>
      </c>
      <c r="T15">
        <v>1530600</v>
      </c>
      <c r="U15">
        <v>4123846</v>
      </c>
      <c r="V15">
        <v>6207743</v>
      </c>
      <c r="W15">
        <v>6484420</v>
      </c>
    </row>
    <row r="16" spans="1:23" x14ac:dyDescent="0.4">
      <c r="A16" s="1" t="s">
        <v>20</v>
      </c>
      <c r="B16" s="1" t="s">
        <v>21</v>
      </c>
      <c r="C16">
        <v>184236</v>
      </c>
      <c r="D16">
        <v>6693139</v>
      </c>
      <c r="E16">
        <v>7130996</v>
      </c>
      <c r="F16">
        <v>168093</v>
      </c>
      <c r="G16">
        <v>4088595</v>
      </c>
      <c r="H16">
        <v>10565426</v>
      </c>
      <c r="I16">
        <v>1741136</v>
      </c>
      <c r="J16">
        <v>1065652</v>
      </c>
      <c r="K16">
        <v>2518882</v>
      </c>
      <c r="L16">
        <v>8475535</v>
      </c>
      <c r="M16">
        <v>1517761</v>
      </c>
      <c r="N16">
        <v>2120750</v>
      </c>
      <c r="O16">
        <v>1332536</v>
      </c>
      <c r="P16">
        <v>2262543</v>
      </c>
      <c r="Q16">
        <v>6546540</v>
      </c>
      <c r="R16">
        <v>813666</v>
      </c>
      <c r="S16">
        <v>676908</v>
      </c>
      <c r="T16">
        <v>1408754</v>
      </c>
      <c r="U16">
        <v>3999702</v>
      </c>
      <c r="V16">
        <v>5608024</v>
      </c>
      <c r="W16">
        <v>6163852</v>
      </c>
    </row>
    <row r="17" spans="1:23" x14ac:dyDescent="0.4">
      <c r="A17" s="1" t="s">
        <v>22</v>
      </c>
      <c r="B17" s="1" t="s">
        <v>23</v>
      </c>
      <c r="C17">
        <v>228672</v>
      </c>
      <c r="D17">
        <v>6777751</v>
      </c>
      <c r="E17">
        <v>7262619</v>
      </c>
      <c r="F17">
        <v>180257</v>
      </c>
      <c r="G17">
        <v>4704610</v>
      </c>
      <c r="H17">
        <v>12976572</v>
      </c>
      <c r="I17">
        <v>1970021</v>
      </c>
      <c r="J17">
        <v>1096300</v>
      </c>
      <c r="K17">
        <v>2542635</v>
      </c>
      <c r="L17">
        <v>8649861</v>
      </c>
      <c r="M17">
        <v>1642185</v>
      </c>
      <c r="N17">
        <v>2293566</v>
      </c>
      <c r="O17">
        <v>1376771</v>
      </c>
      <c r="P17">
        <v>2407060</v>
      </c>
      <c r="Q17">
        <v>6504967</v>
      </c>
      <c r="R17">
        <v>904131</v>
      </c>
      <c r="S17">
        <v>709668</v>
      </c>
      <c r="T17">
        <v>1652447</v>
      </c>
      <c r="U17">
        <v>4133111</v>
      </c>
      <c r="V17">
        <v>5614892</v>
      </c>
      <c r="W17">
        <v>6257501</v>
      </c>
    </row>
    <row r="18" spans="1:23" x14ac:dyDescent="0.4">
      <c r="A18" s="1" t="s">
        <v>24</v>
      </c>
      <c r="B18" s="1" t="s">
        <v>25</v>
      </c>
      <c r="C18">
        <v>228219</v>
      </c>
      <c r="D18">
        <v>7163552</v>
      </c>
      <c r="E18">
        <v>7639258</v>
      </c>
      <c r="F18">
        <v>178348</v>
      </c>
      <c r="G18">
        <v>4455555</v>
      </c>
      <c r="H18">
        <v>11854523</v>
      </c>
      <c r="I18">
        <v>2169617</v>
      </c>
      <c r="J18">
        <v>1077674</v>
      </c>
      <c r="K18">
        <v>2592288</v>
      </c>
      <c r="L18">
        <v>9836212</v>
      </c>
      <c r="M18">
        <v>1771782</v>
      </c>
      <c r="N18">
        <v>2415397</v>
      </c>
      <c r="O18">
        <v>1543849</v>
      </c>
      <c r="P18">
        <v>2688723</v>
      </c>
      <c r="Q18">
        <v>6960453</v>
      </c>
      <c r="R18">
        <v>918409</v>
      </c>
      <c r="S18">
        <v>725211</v>
      </c>
      <c r="T18">
        <v>1566068</v>
      </c>
      <c r="U18">
        <v>4572914</v>
      </c>
      <c r="V18">
        <v>6297020</v>
      </c>
      <c r="W18">
        <v>6931458</v>
      </c>
    </row>
    <row r="19" spans="1:23" x14ac:dyDescent="0.4">
      <c r="A19" s="1" t="s">
        <v>26</v>
      </c>
      <c r="B19" s="1" t="s">
        <v>27</v>
      </c>
      <c r="C19">
        <v>167016</v>
      </c>
      <c r="D19">
        <v>5812136</v>
      </c>
      <c r="E19">
        <v>6189998</v>
      </c>
      <c r="F19">
        <v>149608</v>
      </c>
      <c r="G19">
        <v>3774522</v>
      </c>
      <c r="H19">
        <v>9589373</v>
      </c>
      <c r="I19">
        <v>1590077</v>
      </c>
      <c r="J19">
        <v>908422</v>
      </c>
      <c r="K19">
        <v>2199375</v>
      </c>
      <c r="L19">
        <v>7908522</v>
      </c>
      <c r="M19">
        <v>1429834</v>
      </c>
      <c r="N19">
        <v>2002825</v>
      </c>
      <c r="O19">
        <v>1179690</v>
      </c>
      <c r="P19">
        <v>2097848</v>
      </c>
      <c r="Q19">
        <v>5472700</v>
      </c>
      <c r="R19">
        <v>776497</v>
      </c>
      <c r="S19">
        <v>659778</v>
      </c>
      <c r="T19">
        <v>1387777</v>
      </c>
      <c r="U19">
        <v>3747351</v>
      </c>
      <c r="V19">
        <v>5116968</v>
      </c>
      <c r="W19">
        <v>5693982</v>
      </c>
    </row>
    <row r="20" spans="1:23" x14ac:dyDescent="0.4">
      <c r="A20" s="1" t="s">
        <v>28</v>
      </c>
      <c r="B20" s="1" t="s">
        <v>29</v>
      </c>
      <c r="C20">
        <v>181615</v>
      </c>
      <c r="D20">
        <v>7229313</v>
      </c>
      <c r="E20">
        <v>7884982</v>
      </c>
      <c r="F20">
        <v>152194</v>
      </c>
      <c r="G20">
        <v>4768579</v>
      </c>
      <c r="H20">
        <v>12864091</v>
      </c>
      <c r="I20">
        <v>1704257</v>
      </c>
      <c r="J20">
        <v>989397</v>
      </c>
      <c r="K20">
        <v>2418186</v>
      </c>
      <c r="L20">
        <v>8816646</v>
      </c>
      <c r="M20">
        <v>1604999</v>
      </c>
      <c r="N20">
        <v>2303139</v>
      </c>
      <c r="O20">
        <v>1382938</v>
      </c>
      <c r="P20">
        <v>2258740</v>
      </c>
      <c r="Q20">
        <v>5696156</v>
      </c>
      <c r="R20">
        <v>908772</v>
      </c>
      <c r="S20">
        <v>706615</v>
      </c>
      <c r="T20">
        <v>1754866</v>
      </c>
      <c r="U20">
        <v>4234460</v>
      </c>
      <c r="V20">
        <v>5976997</v>
      </c>
      <c r="W20">
        <v>6469995</v>
      </c>
    </row>
    <row r="21" spans="1:23" x14ac:dyDescent="0.4">
      <c r="A21" s="1" t="s">
        <v>30</v>
      </c>
      <c r="B21" s="1" t="s">
        <v>31</v>
      </c>
      <c r="C21">
        <v>173214</v>
      </c>
      <c r="D21">
        <v>7801814</v>
      </c>
      <c r="E21">
        <v>8248493</v>
      </c>
      <c r="F21">
        <v>155913</v>
      </c>
      <c r="G21">
        <v>4444707</v>
      </c>
      <c r="H21">
        <v>11725481</v>
      </c>
      <c r="I21">
        <v>1860580</v>
      </c>
      <c r="J21">
        <v>1034631</v>
      </c>
      <c r="K21">
        <v>2553074</v>
      </c>
      <c r="L21">
        <v>9302192</v>
      </c>
      <c r="M21">
        <v>1713449</v>
      </c>
      <c r="N21">
        <v>2455880</v>
      </c>
      <c r="O21">
        <v>1520127</v>
      </c>
      <c r="P21">
        <v>2690828</v>
      </c>
      <c r="Q21">
        <v>6775781</v>
      </c>
      <c r="R21">
        <v>1000642</v>
      </c>
      <c r="S21">
        <v>772954</v>
      </c>
      <c r="T21">
        <v>1655288</v>
      </c>
      <c r="U21">
        <v>4665336</v>
      </c>
      <c r="V21">
        <v>6405198</v>
      </c>
      <c r="W21">
        <v>7094460</v>
      </c>
    </row>
    <row r="22" spans="1:23" x14ac:dyDescent="0.4">
      <c r="A22" s="1" t="s">
        <v>32</v>
      </c>
      <c r="B22" s="1" t="s">
        <v>33</v>
      </c>
      <c r="C22">
        <v>175418</v>
      </c>
      <c r="D22">
        <v>7782441</v>
      </c>
      <c r="E22">
        <v>8585978</v>
      </c>
      <c r="F22">
        <v>175337</v>
      </c>
      <c r="G22">
        <v>4482182</v>
      </c>
      <c r="H22">
        <v>12154814</v>
      </c>
      <c r="I22">
        <v>1757830</v>
      </c>
      <c r="J22">
        <v>946174</v>
      </c>
      <c r="K22">
        <v>2412523</v>
      </c>
      <c r="L22">
        <v>8799840</v>
      </c>
      <c r="M22">
        <v>1560865</v>
      </c>
      <c r="N22">
        <v>2122796</v>
      </c>
      <c r="O22">
        <v>1422070</v>
      </c>
      <c r="P22">
        <v>2428742</v>
      </c>
      <c r="Q22">
        <v>6013162</v>
      </c>
      <c r="R22">
        <v>914590</v>
      </c>
      <c r="S22">
        <v>744040</v>
      </c>
      <c r="T22">
        <v>1823649</v>
      </c>
      <c r="U22">
        <v>4513620</v>
      </c>
      <c r="V22">
        <v>6224751</v>
      </c>
      <c r="W22">
        <v>7002621</v>
      </c>
    </row>
    <row r="23" spans="1:23" x14ac:dyDescent="0.4">
      <c r="A23" s="1" t="s">
        <v>34</v>
      </c>
      <c r="B23" s="1" t="s">
        <v>35</v>
      </c>
      <c r="C23">
        <v>164834</v>
      </c>
      <c r="D23">
        <v>7896199</v>
      </c>
      <c r="E23">
        <v>8877181</v>
      </c>
      <c r="F23">
        <v>191269</v>
      </c>
      <c r="G23">
        <v>5036066</v>
      </c>
      <c r="H23">
        <v>14001304</v>
      </c>
      <c r="I23">
        <v>1733605</v>
      </c>
      <c r="J23">
        <v>1050973</v>
      </c>
      <c r="K23">
        <v>2447706</v>
      </c>
      <c r="L23">
        <v>8758060</v>
      </c>
      <c r="M23">
        <v>1575886</v>
      </c>
      <c r="N23">
        <v>2277158</v>
      </c>
      <c r="O23">
        <v>1293303</v>
      </c>
      <c r="P23">
        <v>2303714</v>
      </c>
      <c r="Q23">
        <v>5923660</v>
      </c>
      <c r="R23">
        <v>921453</v>
      </c>
      <c r="S23">
        <v>721043</v>
      </c>
      <c r="T23">
        <v>1735008</v>
      </c>
      <c r="U23">
        <v>4533477</v>
      </c>
      <c r="V23">
        <v>5824678</v>
      </c>
      <c r="W23">
        <v>6824173</v>
      </c>
    </row>
    <row r="24" spans="1:23" x14ac:dyDescent="0.4">
      <c r="A24" s="1" t="s">
        <v>36</v>
      </c>
      <c r="B24" s="1" t="s">
        <v>37</v>
      </c>
      <c r="C24">
        <v>147981</v>
      </c>
      <c r="D24">
        <v>7031431</v>
      </c>
      <c r="E24">
        <v>7743143</v>
      </c>
      <c r="F24">
        <v>139319</v>
      </c>
      <c r="G24">
        <v>3545437</v>
      </c>
      <c r="H24">
        <v>9208907</v>
      </c>
      <c r="I24">
        <v>1799139</v>
      </c>
      <c r="J24">
        <v>896401</v>
      </c>
      <c r="K24">
        <v>2321970</v>
      </c>
      <c r="L24">
        <v>9072361</v>
      </c>
      <c r="M24">
        <v>1611896</v>
      </c>
      <c r="N24">
        <v>2250978</v>
      </c>
      <c r="O24">
        <v>1385954</v>
      </c>
      <c r="P24">
        <v>2336670</v>
      </c>
      <c r="Q24">
        <v>6321394</v>
      </c>
      <c r="R24">
        <v>817190</v>
      </c>
      <c r="S24">
        <v>660006</v>
      </c>
      <c r="T24">
        <v>1449975</v>
      </c>
      <c r="U24">
        <v>4247207</v>
      </c>
      <c r="V24">
        <v>6023772</v>
      </c>
      <c r="W24">
        <v>6761719</v>
      </c>
    </row>
    <row r="25" spans="1:23" x14ac:dyDescent="0.4">
      <c r="A25" s="1" t="s">
        <v>38</v>
      </c>
      <c r="B25" s="1" t="s">
        <v>39</v>
      </c>
      <c r="C25">
        <v>164438</v>
      </c>
      <c r="D25">
        <v>6897563</v>
      </c>
      <c r="E25">
        <v>7723062</v>
      </c>
      <c r="F25">
        <v>158573</v>
      </c>
      <c r="G25">
        <v>3928376</v>
      </c>
      <c r="H25">
        <v>10944983</v>
      </c>
      <c r="I25">
        <v>1801169</v>
      </c>
      <c r="J25">
        <v>973000</v>
      </c>
      <c r="K25">
        <v>2389341</v>
      </c>
      <c r="L25">
        <v>8923037</v>
      </c>
      <c r="M25">
        <v>1577725</v>
      </c>
      <c r="N25">
        <v>2390464</v>
      </c>
      <c r="O25">
        <v>1441202</v>
      </c>
      <c r="P25">
        <v>2370665</v>
      </c>
      <c r="Q25">
        <v>6638063</v>
      </c>
      <c r="R25">
        <v>860063</v>
      </c>
      <c r="S25">
        <v>674905</v>
      </c>
      <c r="T25">
        <v>1635132</v>
      </c>
      <c r="U25">
        <v>4199424</v>
      </c>
      <c r="V25">
        <v>5509710</v>
      </c>
      <c r="W25">
        <v>6480068</v>
      </c>
    </row>
    <row r="26" spans="1:23" x14ac:dyDescent="0.4">
      <c r="A26" s="1" t="s">
        <v>40</v>
      </c>
      <c r="B26" s="1" t="s">
        <v>41</v>
      </c>
      <c r="C26">
        <v>166957</v>
      </c>
      <c r="D26">
        <v>7379731</v>
      </c>
      <c r="E26">
        <v>8481875</v>
      </c>
      <c r="F26">
        <v>156484</v>
      </c>
      <c r="G26">
        <v>4674079</v>
      </c>
      <c r="H26">
        <v>13302385</v>
      </c>
      <c r="I26">
        <v>1884406</v>
      </c>
      <c r="J26">
        <v>1050740</v>
      </c>
      <c r="K26">
        <v>2540877</v>
      </c>
      <c r="L26">
        <v>9045812</v>
      </c>
      <c r="M26">
        <v>1598927</v>
      </c>
      <c r="N26">
        <v>2327105</v>
      </c>
      <c r="O26">
        <v>1593889</v>
      </c>
      <c r="P26">
        <v>2599812</v>
      </c>
      <c r="Q26">
        <v>7528243</v>
      </c>
      <c r="R26">
        <v>905554</v>
      </c>
      <c r="S26">
        <v>698415</v>
      </c>
      <c r="T26">
        <v>1549671</v>
      </c>
      <c r="U26">
        <v>4331885</v>
      </c>
      <c r="V26">
        <v>6114052</v>
      </c>
      <c r="W26">
        <v>6842103</v>
      </c>
    </row>
    <row r="27" spans="1:23" x14ac:dyDescent="0.4">
      <c r="A27" s="1" t="s">
        <v>42</v>
      </c>
      <c r="B27" s="1" t="s">
        <v>43</v>
      </c>
      <c r="C27">
        <v>158036</v>
      </c>
      <c r="D27">
        <v>7248456</v>
      </c>
      <c r="E27">
        <v>7538628</v>
      </c>
      <c r="F27">
        <v>161996</v>
      </c>
      <c r="G27">
        <v>4420563</v>
      </c>
      <c r="H27">
        <v>11990997</v>
      </c>
      <c r="I27">
        <v>1806359</v>
      </c>
      <c r="J27">
        <v>1020775</v>
      </c>
      <c r="K27">
        <v>2613401</v>
      </c>
      <c r="L27">
        <v>8885597</v>
      </c>
      <c r="M27">
        <v>1556533</v>
      </c>
      <c r="N27">
        <v>2299519</v>
      </c>
      <c r="O27">
        <v>1439774</v>
      </c>
      <c r="P27">
        <v>2394892</v>
      </c>
      <c r="Q27">
        <v>7067974</v>
      </c>
      <c r="R27">
        <v>873730</v>
      </c>
      <c r="S27">
        <v>678101</v>
      </c>
      <c r="T27">
        <v>1627085</v>
      </c>
      <c r="U27">
        <v>4439813</v>
      </c>
      <c r="V27">
        <v>6124544</v>
      </c>
      <c r="W27">
        <v>6998740</v>
      </c>
    </row>
    <row r="28" spans="1:23" x14ac:dyDescent="0.4">
      <c r="A28" s="1" t="s">
        <v>44</v>
      </c>
      <c r="B28" s="1" t="s">
        <v>45</v>
      </c>
      <c r="C28">
        <v>150032</v>
      </c>
      <c r="D28">
        <v>6626814</v>
      </c>
      <c r="E28">
        <v>7079293</v>
      </c>
      <c r="F28">
        <v>169431</v>
      </c>
      <c r="G28">
        <v>4181946</v>
      </c>
      <c r="H28">
        <v>11862325</v>
      </c>
      <c r="I28">
        <v>1613828</v>
      </c>
      <c r="J28">
        <v>919570</v>
      </c>
      <c r="K28">
        <v>2289143</v>
      </c>
      <c r="L28">
        <v>8062529</v>
      </c>
      <c r="M28">
        <v>1452661</v>
      </c>
      <c r="N28">
        <v>2043507</v>
      </c>
      <c r="O28">
        <v>1420052</v>
      </c>
      <c r="P28">
        <v>2313082</v>
      </c>
      <c r="Q28">
        <v>6507978</v>
      </c>
      <c r="R28">
        <v>850445</v>
      </c>
      <c r="S28">
        <v>678073</v>
      </c>
      <c r="T28">
        <v>1501629</v>
      </c>
      <c r="U28">
        <v>4142273</v>
      </c>
      <c r="V28">
        <v>5549286</v>
      </c>
      <c r="W28">
        <v>6343663</v>
      </c>
    </row>
    <row r="29" spans="1:23" x14ac:dyDescent="0.4">
      <c r="A29" s="1" t="s">
        <v>46</v>
      </c>
      <c r="B29" s="1" t="s">
        <v>47</v>
      </c>
      <c r="C29">
        <v>168754</v>
      </c>
      <c r="D29">
        <v>7357291</v>
      </c>
      <c r="E29">
        <v>7932370</v>
      </c>
      <c r="F29">
        <v>181291</v>
      </c>
      <c r="G29">
        <v>4405765</v>
      </c>
      <c r="H29">
        <v>12508617</v>
      </c>
      <c r="I29">
        <v>1998688</v>
      </c>
      <c r="J29">
        <v>1060423</v>
      </c>
      <c r="K29">
        <v>2613567</v>
      </c>
      <c r="L29">
        <v>8869731</v>
      </c>
      <c r="M29">
        <v>1556738</v>
      </c>
      <c r="N29">
        <v>2232748</v>
      </c>
      <c r="O29">
        <v>1531565</v>
      </c>
      <c r="P29">
        <v>2607797</v>
      </c>
      <c r="Q29">
        <v>7541470</v>
      </c>
      <c r="R29">
        <v>932170</v>
      </c>
      <c r="S29">
        <v>717965</v>
      </c>
      <c r="T29">
        <v>1694511</v>
      </c>
      <c r="U29">
        <v>4528649</v>
      </c>
      <c r="V29">
        <v>5987055</v>
      </c>
      <c r="W29">
        <v>6960156</v>
      </c>
    </row>
    <row r="30" spans="1:23" x14ac:dyDescent="0.4">
      <c r="A30" s="1" t="s">
        <v>48</v>
      </c>
      <c r="B30" s="1" t="s">
        <v>49</v>
      </c>
      <c r="C30">
        <v>169941</v>
      </c>
      <c r="D30">
        <v>7900580</v>
      </c>
      <c r="E30">
        <v>8463776</v>
      </c>
      <c r="F30">
        <v>182850</v>
      </c>
      <c r="G30">
        <v>4476445</v>
      </c>
      <c r="H30">
        <v>12972486</v>
      </c>
      <c r="I30">
        <v>1993825</v>
      </c>
      <c r="J30">
        <v>1023970</v>
      </c>
      <c r="K30">
        <v>2670744</v>
      </c>
      <c r="L30">
        <v>10055477</v>
      </c>
      <c r="M30">
        <v>1737783</v>
      </c>
      <c r="N30">
        <v>2395844</v>
      </c>
      <c r="O30">
        <v>1531090</v>
      </c>
      <c r="P30">
        <v>2706629</v>
      </c>
      <c r="Q30">
        <v>8185297</v>
      </c>
      <c r="R30">
        <v>966071</v>
      </c>
      <c r="S30">
        <v>776723</v>
      </c>
      <c r="T30">
        <v>1689157</v>
      </c>
      <c r="U30">
        <v>4781692</v>
      </c>
      <c r="V30">
        <v>6720364</v>
      </c>
      <c r="W30">
        <v>7457151</v>
      </c>
    </row>
    <row r="31" spans="1:23" x14ac:dyDescent="0.4">
      <c r="A31" s="1" t="s">
        <v>50</v>
      </c>
      <c r="B31" s="1" t="s">
        <v>51</v>
      </c>
      <c r="C31">
        <v>136872</v>
      </c>
      <c r="D31">
        <v>6155462</v>
      </c>
      <c r="E31">
        <v>6703889</v>
      </c>
      <c r="F31">
        <v>154799</v>
      </c>
      <c r="G31">
        <v>3726967</v>
      </c>
      <c r="H31">
        <v>11134866</v>
      </c>
      <c r="I31">
        <v>1520374</v>
      </c>
      <c r="J31">
        <v>813206</v>
      </c>
      <c r="K31">
        <v>2066848</v>
      </c>
      <c r="L31">
        <v>7236571</v>
      </c>
      <c r="M31">
        <v>1322504</v>
      </c>
      <c r="N31">
        <v>1928337</v>
      </c>
      <c r="O31">
        <v>1233555</v>
      </c>
      <c r="P31">
        <v>2011310</v>
      </c>
      <c r="Q31">
        <v>5666634</v>
      </c>
      <c r="R31">
        <v>742977</v>
      </c>
      <c r="S31">
        <v>633598</v>
      </c>
      <c r="T31">
        <v>1395898</v>
      </c>
      <c r="U31">
        <v>3461370</v>
      </c>
      <c r="V31">
        <v>5176741</v>
      </c>
      <c r="W31">
        <v>5750103</v>
      </c>
    </row>
    <row r="32" spans="1:23" x14ac:dyDescent="0.4">
      <c r="A32" s="1" t="s">
        <v>52</v>
      </c>
      <c r="B32" s="1" t="s">
        <v>53</v>
      </c>
      <c r="C32">
        <v>155907</v>
      </c>
      <c r="D32">
        <v>7718910</v>
      </c>
      <c r="E32">
        <v>8611091</v>
      </c>
      <c r="F32">
        <v>177141</v>
      </c>
      <c r="G32">
        <v>4420978</v>
      </c>
      <c r="H32">
        <v>12871988</v>
      </c>
      <c r="I32">
        <v>1985248</v>
      </c>
      <c r="J32">
        <v>1074738</v>
      </c>
      <c r="K32">
        <v>2536504</v>
      </c>
      <c r="L32">
        <v>8910394</v>
      </c>
      <c r="M32">
        <v>1612398</v>
      </c>
      <c r="N32">
        <v>2390545</v>
      </c>
      <c r="O32">
        <v>1552663</v>
      </c>
      <c r="P32">
        <v>2622461</v>
      </c>
      <c r="Q32">
        <v>8135850</v>
      </c>
      <c r="R32">
        <v>929809</v>
      </c>
      <c r="S32">
        <v>729845</v>
      </c>
      <c r="T32">
        <v>1736776</v>
      </c>
      <c r="U32">
        <v>4530705</v>
      </c>
      <c r="V32">
        <v>6678991</v>
      </c>
      <c r="W32">
        <v>7195188</v>
      </c>
    </row>
    <row r="33" spans="1:23" x14ac:dyDescent="0.4">
      <c r="A33" s="1" t="s">
        <v>54</v>
      </c>
      <c r="B33" s="1" t="s">
        <v>55</v>
      </c>
      <c r="C33">
        <v>177710</v>
      </c>
      <c r="D33">
        <v>8090226</v>
      </c>
      <c r="E33">
        <v>8832761</v>
      </c>
      <c r="F33">
        <v>180836</v>
      </c>
      <c r="G33">
        <v>4488686</v>
      </c>
      <c r="H33">
        <v>12610093</v>
      </c>
      <c r="I33">
        <v>2085630</v>
      </c>
      <c r="J33">
        <v>1067986</v>
      </c>
      <c r="K33">
        <v>2630679</v>
      </c>
      <c r="L33">
        <v>9659228</v>
      </c>
      <c r="M33">
        <v>1698161</v>
      </c>
      <c r="N33">
        <v>2452850</v>
      </c>
      <c r="O33">
        <v>1579273</v>
      </c>
      <c r="P33">
        <v>2661756</v>
      </c>
      <c r="Q33">
        <v>7743843</v>
      </c>
      <c r="R33">
        <v>990036</v>
      </c>
      <c r="S33">
        <v>784168</v>
      </c>
      <c r="T33">
        <v>1725985</v>
      </c>
      <c r="U33">
        <v>4373852</v>
      </c>
      <c r="V33">
        <v>6367332</v>
      </c>
      <c r="W33">
        <v>6980140</v>
      </c>
    </row>
    <row r="34" spans="1:23" x14ac:dyDescent="0.4">
      <c r="A34" s="1" t="s">
        <v>56</v>
      </c>
      <c r="B34" s="1" t="s">
        <v>57</v>
      </c>
      <c r="C34">
        <v>165304</v>
      </c>
      <c r="D34">
        <v>7324232</v>
      </c>
      <c r="E34">
        <v>8170433</v>
      </c>
      <c r="F34">
        <v>173583</v>
      </c>
      <c r="G34">
        <v>4551278</v>
      </c>
      <c r="H34">
        <v>12927870</v>
      </c>
      <c r="I34">
        <v>1760160</v>
      </c>
      <c r="J34">
        <v>977192</v>
      </c>
      <c r="K34">
        <v>2413456</v>
      </c>
      <c r="L34">
        <v>7900132</v>
      </c>
      <c r="M34">
        <v>1474080</v>
      </c>
      <c r="N34">
        <v>2249976</v>
      </c>
      <c r="O34">
        <v>1393383</v>
      </c>
      <c r="P34">
        <v>2183324</v>
      </c>
      <c r="Q34">
        <v>5979144</v>
      </c>
      <c r="R34">
        <v>833563</v>
      </c>
      <c r="S34">
        <v>659841</v>
      </c>
      <c r="T34">
        <v>1595547</v>
      </c>
      <c r="U34">
        <v>4295117</v>
      </c>
      <c r="V34">
        <v>5806617</v>
      </c>
      <c r="W34">
        <v>6487145</v>
      </c>
    </row>
    <row r="35" spans="1:23" x14ac:dyDescent="0.4">
      <c r="A35" s="1" t="s">
        <v>58</v>
      </c>
      <c r="B35" s="1" t="s">
        <v>59</v>
      </c>
      <c r="C35">
        <v>153470</v>
      </c>
      <c r="D35">
        <v>7869372</v>
      </c>
      <c r="E35">
        <v>8741648</v>
      </c>
      <c r="F35">
        <v>181456</v>
      </c>
      <c r="G35">
        <v>4917854</v>
      </c>
      <c r="H35">
        <v>13673631</v>
      </c>
      <c r="I35">
        <v>1828434</v>
      </c>
      <c r="J35">
        <v>1037773</v>
      </c>
      <c r="K35">
        <v>2620574</v>
      </c>
      <c r="L35">
        <v>7362730</v>
      </c>
      <c r="M35">
        <v>1502651</v>
      </c>
      <c r="N35">
        <v>2156483</v>
      </c>
      <c r="O35">
        <v>1438200</v>
      </c>
      <c r="P35">
        <v>2302358</v>
      </c>
      <c r="Q35">
        <v>5980680</v>
      </c>
      <c r="R35">
        <v>884689</v>
      </c>
      <c r="S35">
        <v>717921</v>
      </c>
      <c r="T35">
        <v>1640122</v>
      </c>
      <c r="U35">
        <v>4329286</v>
      </c>
      <c r="V35">
        <v>6047440</v>
      </c>
      <c r="W35">
        <v>6631639</v>
      </c>
    </row>
    <row r="36" spans="1:23" x14ac:dyDescent="0.4">
      <c r="A36" s="1" t="s">
        <v>60</v>
      </c>
      <c r="B36" s="1" t="s">
        <v>61</v>
      </c>
      <c r="C36">
        <v>182567</v>
      </c>
      <c r="D36">
        <v>7181958</v>
      </c>
      <c r="E36">
        <v>8164787</v>
      </c>
      <c r="F36">
        <v>173975</v>
      </c>
      <c r="G36">
        <v>4327236</v>
      </c>
      <c r="H36">
        <v>12025973</v>
      </c>
      <c r="I36">
        <v>1731767</v>
      </c>
      <c r="J36">
        <v>988226</v>
      </c>
      <c r="K36">
        <v>2416725</v>
      </c>
      <c r="L36">
        <v>7103915</v>
      </c>
      <c r="M36">
        <v>1388432</v>
      </c>
      <c r="N36">
        <v>2013608</v>
      </c>
      <c r="O36">
        <v>1432599</v>
      </c>
      <c r="P36">
        <v>2186959</v>
      </c>
      <c r="Q36">
        <v>5722654</v>
      </c>
      <c r="R36">
        <v>827105</v>
      </c>
      <c r="S36">
        <v>687432</v>
      </c>
      <c r="T36">
        <v>1622009</v>
      </c>
      <c r="U36">
        <v>4468762</v>
      </c>
      <c r="V36">
        <v>5735302</v>
      </c>
      <c r="W36">
        <v>6519321</v>
      </c>
    </row>
    <row r="37" spans="1:23" x14ac:dyDescent="0.4">
      <c r="A37" s="1" t="s">
        <v>62</v>
      </c>
      <c r="B37" s="1" t="s">
        <v>63</v>
      </c>
      <c r="C37">
        <v>180598</v>
      </c>
      <c r="D37">
        <v>7429410</v>
      </c>
      <c r="E37">
        <v>8278025</v>
      </c>
      <c r="F37">
        <v>170250</v>
      </c>
      <c r="G37">
        <v>4464880</v>
      </c>
      <c r="H37">
        <v>13361391</v>
      </c>
      <c r="I37">
        <v>1742853</v>
      </c>
      <c r="J37">
        <v>1031134</v>
      </c>
      <c r="K37">
        <v>2477051</v>
      </c>
      <c r="L37">
        <v>7277494</v>
      </c>
      <c r="M37">
        <v>1457300</v>
      </c>
      <c r="N37">
        <v>2328794</v>
      </c>
      <c r="O37">
        <v>1449069</v>
      </c>
      <c r="P37">
        <v>2392999</v>
      </c>
      <c r="Q37">
        <v>6333414</v>
      </c>
      <c r="R37">
        <v>880106</v>
      </c>
      <c r="S37">
        <v>712503</v>
      </c>
      <c r="T37">
        <v>1599339</v>
      </c>
      <c r="U37">
        <v>4494593</v>
      </c>
      <c r="V37">
        <v>5740513</v>
      </c>
      <c r="W37">
        <v>6477488</v>
      </c>
    </row>
    <row r="38" spans="1:23" x14ac:dyDescent="0.4">
      <c r="A38" s="1" t="s">
        <v>64</v>
      </c>
      <c r="B38" s="1" t="s">
        <v>65</v>
      </c>
      <c r="C38">
        <v>241475</v>
      </c>
      <c r="D38">
        <v>8130169</v>
      </c>
      <c r="E38">
        <v>9292685</v>
      </c>
      <c r="F38">
        <v>198215</v>
      </c>
      <c r="G38">
        <v>5052300</v>
      </c>
      <c r="H38">
        <v>15296071</v>
      </c>
      <c r="I38">
        <v>1831924</v>
      </c>
      <c r="J38">
        <v>1124254</v>
      </c>
      <c r="K38">
        <v>2632085</v>
      </c>
      <c r="L38">
        <v>8851820</v>
      </c>
      <c r="M38">
        <v>1670924</v>
      </c>
      <c r="N38">
        <v>2530922</v>
      </c>
      <c r="O38">
        <v>1666558</v>
      </c>
      <c r="P38">
        <v>2592692</v>
      </c>
      <c r="Q38">
        <v>6488586</v>
      </c>
      <c r="R38">
        <v>943563</v>
      </c>
      <c r="S38">
        <v>725611</v>
      </c>
      <c r="T38">
        <v>1662032</v>
      </c>
      <c r="U38">
        <v>4930215</v>
      </c>
      <c r="V38">
        <v>6573232</v>
      </c>
      <c r="W38">
        <v>7358960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2C2C8-C167-4F4E-BEA5-85FDAFF2B2C3}">
  <dimension ref="A1:BK40"/>
  <sheetViews>
    <sheetView workbookViewId="0">
      <selection activeCell="C9" sqref="C9"/>
    </sheetView>
  </sheetViews>
  <sheetFormatPr defaultColWidth="15.625" defaultRowHeight="18.75" x14ac:dyDescent="0.4"/>
  <sheetData>
    <row r="1" spans="1:63" x14ac:dyDescent="0.4">
      <c r="A1" s="1" t="s">
        <v>66</v>
      </c>
      <c r="B1" s="1"/>
    </row>
    <row r="2" spans="1:63" x14ac:dyDescent="0.4">
      <c r="A2" s="4" t="str">
        <f>HYPERLINK("#'目次(Contents)'!A3","目次に戻る(Return to Contents)")</f>
        <v>目次に戻る(Return to Contents)</v>
      </c>
      <c r="B2" s="1"/>
    </row>
    <row r="3" spans="1:63" x14ac:dyDescent="0.4">
      <c r="A3" s="1"/>
      <c r="B3" s="2" t="s">
        <v>0</v>
      </c>
      <c r="C3" t="s">
        <v>513</v>
      </c>
      <c r="D3" t="s">
        <v>513</v>
      </c>
      <c r="E3" t="s">
        <v>513</v>
      </c>
      <c r="F3" t="s">
        <v>513</v>
      </c>
      <c r="G3" t="s">
        <v>513</v>
      </c>
      <c r="H3" t="s">
        <v>515</v>
      </c>
      <c r="I3" t="s">
        <v>515</v>
      </c>
      <c r="J3" t="s">
        <v>515</v>
      </c>
      <c r="K3" t="s">
        <v>515</v>
      </c>
      <c r="L3" t="s">
        <v>515</v>
      </c>
      <c r="M3" t="s">
        <v>517</v>
      </c>
      <c r="N3" t="s">
        <v>517</v>
      </c>
      <c r="O3" t="s">
        <v>517</v>
      </c>
      <c r="P3" t="s">
        <v>517</v>
      </c>
      <c r="Q3" t="s">
        <v>517</v>
      </c>
      <c r="R3" t="s">
        <v>519</v>
      </c>
      <c r="S3" t="s">
        <v>519</v>
      </c>
      <c r="T3" t="s">
        <v>519</v>
      </c>
      <c r="U3" t="s">
        <v>519</v>
      </c>
      <c r="V3" t="s">
        <v>519</v>
      </c>
      <c r="W3" t="s">
        <v>521</v>
      </c>
      <c r="X3" t="s">
        <v>523</v>
      </c>
      <c r="Y3" t="s">
        <v>523</v>
      </c>
      <c r="Z3" t="s">
        <v>523</v>
      </c>
      <c r="AA3" t="s">
        <v>523</v>
      </c>
      <c r="AB3" t="s">
        <v>523</v>
      </c>
      <c r="AC3" t="s">
        <v>525</v>
      </c>
      <c r="AD3" t="s">
        <v>525</v>
      </c>
      <c r="AE3" t="s">
        <v>525</v>
      </c>
      <c r="AF3" t="s">
        <v>525</v>
      </c>
      <c r="AG3" t="s">
        <v>525</v>
      </c>
      <c r="AH3" t="s">
        <v>527</v>
      </c>
      <c r="AI3" t="s">
        <v>527</v>
      </c>
      <c r="AJ3" t="s">
        <v>527</v>
      </c>
      <c r="AK3" t="s">
        <v>527</v>
      </c>
      <c r="AL3" t="s">
        <v>527</v>
      </c>
      <c r="AM3" t="s">
        <v>529</v>
      </c>
      <c r="AN3" t="s">
        <v>529</v>
      </c>
      <c r="AO3" t="s">
        <v>529</v>
      </c>
      <c r="AP3" t="s">
        <v>529</v>
      </c>
      <c r="AQ3" t="s">
        <v>529</v>
      </c>
      <c r="AR3" t="s">
        <v>531</v>
      </c>
      <c r="AS3" t="s">
        <v>531</v>
      </c>
      <c r="AT3" t="s">
        <v>531</v>
      </c>
      <c r="AU3" t="s">
        <v>531</v>
      </c>
      <c r="AV3" t="s">
        <v>531</v>
      </c>
      <c r="AW3" t="s">
        <v>533</v>
      </c>
      <c r="AX3" t="s">
        <v>533</v>
      </c>
      <c r="AY3" t="s">
        <v>533</v>
      </c>
      <c r="AZ3" t="s">
        <v>533</v>
      </c>
      <c r="BA3" t="s">
        <v>533</v>
      </c>
      <c r="BB3" t="s">
        <v>535</v>
      </c>
      <c r="BC3" t="s">
        <v>535</v>
      </c>
      <c r="BD3" t="s">
        <v>535</v>
      </c>
      <c r="BE3" t="s">
        <v>535</v>
      </c>
      <c r="BF3" t="s">
        <v>535</v>
      </c>
      <c r="BG3" t="s">
        <v>537</v>
      </c>
      <c r="BH3" t="s">
        <v>537</v>
      </c>
      <c r="BI3" t="s">
        <v>537</v>
      </c>
      <c r="BJ3" t="s">
        <v>537</v>
      </c>
      <c r="BK3" t="s">
        <v>537</v>
      </c>
    </row>
    <row r="4" spans="1:63" x14ac:dyDescent="0.4">
      <c r="A4" s="1"/>
      <c r="B4" s="2" t="s">
        <v>1</v>
      </c>
      <c r="C4" t="s">
        <v>514</v>
      </c>
      <c r="D4" t="s">
        <v>514</v>
      </c>
      <c r="E4" t="s">
        <v>514</v>
      </c>
      <c r="F4" t="s">
        <v>514</v>
      </c>
      <c r="G4" t="s">
        <v>514</v>
      </c>
      <c r="H4" t="s">
        <v>516</v>
      </c>
      <c r="I4" t="s">
        <v>516</v>
      </c>
      <c r="J4" t="s">
        <v>516</v>
      </c>
      <c r="K4" t="s">
        <v>516</v>
      </c>
      <c r="L4" t="s">
        <v>516</v>
      </c>
      <c r="M4" t="s">
        <v>518</v>
      </c>
      <c r="N4" t="s">
        <v>518</v>
      </c>
      <c r="O4" t="s">
        <v>518</v>
      </c>
      <c r="P4" t="s">
        <v>518</v>
      </c>
      <c r="Q4" t="s">
        <v>518</v>
      </c>
      <c r="R4" t="s">
        <v>520</v>
      </c>
      <c r="S4" t="s">
        <v>520</v>
      </c>
      <c r="T4" t="s">
        <v>520</v>
      </c>
      <c r="U4" t="s">
        <v>520</v>
      </c>
      <c r="V4" t="s">
        <v>520</v>
      </c>
      <c r="W4" t="s">
        <v>522</v>
      </c>
      <c r="X4" t="s">
        <v>524</v>
      </c>
      <c r="Y4" t="s">
        <v>524</v>
      </c>
      <c r="Z4" t="s">
        <v>524</v>
      </c>
      <c r="AA4" t="s">
        <v>524</v>
      </c>
      <c r="AB4" t="s">
        <v>524</v>
      </c>
      <c r="AC4" t="s">
        <v>526</v>
      </c>
      <c r="AD4" t="s">
        <v>526</v>
      </c>
      <c r="AE4" t="s">
        <v>526</v>
      </c>
      <c r="AF4" t="s">
        <v>526</v>
      </c>
      <c r="AG4" t="s">
        <v>526</v>
      </c>
      <c r="AH4" t="s">
        <v>528</v>
      </c>
      <c r="AI4" t="s">
        <v>528</v>
      </c>
      <c r="AJ4" t="s">
        <v>528</v>
      </c>
      <c r="AK4" t="s">
        <v>528</v>
      </c>
      <c r="AL4" t="s">
        <v>528</v>
      </c>
      <c r="AM4" t="s">
        <v>530</v>
      </c>
      <c r="AN4" t="s">
        <v>530</v>
      </c>
      <c r="AO4" t="s">
        <v>530</v>
      </c>
      <c r="AP4" t="s">
        <v>530</v>
      </c>
      <c r="AQ4" t="s">
        <v>530</v>
      </c>
      <c r="AR4" t="s">
        <v>532</v>
      </c>
      <c r="AS4" t="s">
        <v>532</v>
      </c>
      <c r="AT4" t="s">
        <v>532</v>
      </c>
      <c r="AU4" t="s">
        <v>532</v>
      </c>
      <c r="AV4" t="s">
        <v>532</v>
      </c>
      <c r="AW4" t="s">
        <v>534</v>
      </c>
      <c r="AX4" t="s">
        <v>534</v>
      </c>
      <c r="AY4" t="s">
        <v>534</v>
      </c>
      <c r="AZ4" t="s">
        <v>534</v>
      </c>
      <c r="BA4" t="s">
        <v>534</v>
      </c>
      <c r="BB4" t="s">
        <v>536</v>
      </c>
      <c r="BC4" t="s">
        <v>536</v>
      </c>
      <c r="BD4" t="s">
        <v>536</v>
      </c>
      <c r="BE4" t="s">
        <v>536</v>
      </c>
      <c r="BF4" t="s">
        <v>536</v>
      </c>
      <c r="BG4" t="s">
        <v>538</v>
      </c>
      <c r="BH4" t="s">
        <v>538</v>
      </c>
      <c r="BI4" t="s">
        <v>538</v>
      </c>
      <c r="BJ4" t="s">
        <v>538</v>
      </c>
      <c r="BK4" t="s">
        <v>538</v>
      </c>
    </row>
    <row r="5" spans="1:63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257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</row>
    <row r="6" spans="1:63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259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</row>
    <row r="7" spans="1:63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258</v>
      </c>
      <c r="X7" t="s">
        <v>251</v>
      </c>
      <c r="Y7" t="s">
        <v>258</v>
      </c>
      <c r="Z7" t="s">
        <v>251</v>
      </c>
      <c r="AA7" t="s">
        <v>258</v>
      </c>
      <c r="AB7" t="s">
        <v>251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251</v>
      </c>
      <c r="AI7" t="s">
        <v>258</v>
      </c>
      <c r="AJ7" t="s">
        <v>251</v>
      </c>
      <c r="AK7" t="s">
        <v>258</v>
      </c>
      <c r="AL7" t="s">
        <v>251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251</v>
      </c>
      <c r="AS7" t="s">
        <v>258</v>
      </c>
      <c r="AT7" t="s">
        <v>251</v>
      </c>
      <c r="AU7" t="s">
        <v>258</v>
      </c>
      <c r="AV7" t="s">
        <v>251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251</v>
      </c>
      <c r="BC7" t="s">
        <v>258</v>
      </c>
      <c r="BD7" t="s">
        <v>251</v>
      </c>
      <c r="BE7" t="s">
        <v>258</v>
      </c>
      <c r="BF7" t="s">
        <v>251</v>
      </c>
      <c r="BG7" t="s">
        <v>251</v>
      </c>
      <c r="BH7" t="s">
        <v>258</v>
      </c>
      <c r="BI7" t="s">
        <v>251</v>
      </c>
      <c r="BJ7" t="s">
        <v>258</v>
      </c>
      <c r="BK7" t="s">
        <v>251</v>
      </c>
    </row>
    <row r="8" spans="1:63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260</v>
      </c>
      <c r="X8" t="s">
        <v>253</v>
      </c>
      <c r="Y8" t="s">
        <v>260</v>
      </c>
      <c r="Z8" t="s">
        <v>253</v>
      </c>
      <c r="AA8" t="s">
        <v>260</v>
      </c>
      <c r="AB8" t="s">
        <v>253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253</v>
      </c>
      <c r="AI8" t="s">
        <v>260</v>
      </c>
      <c r="AJ8" t="s">
        <v>253</v>
      </c>
      <c r="AK8" t="s">
        <v>260</v>
      </c>
      <c r="AL8" t="s">
        <v>253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253</v>
      </c>
      <c r="BC8" t="s">
        <v>260</v>
      </c>
      <c r="BD8" t="s">
        <v>253</v>
      </c>
      <c r="BE8" t="s">
        <v>260</v>
      </c>
      <c r="BF8" t="s">
        <v>253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</row>
    <row r="9" spans="1:63" x14ac:dyDescent="0.4">
      <c r="A9" s="1" t="s">
        <v>6</v>
      </c>
      <c r="B9" s="3" t="s">
        <v>7</v>
      </c>
      <c r="C9">
        <v>110301</v>
      </c>
      <c r="D9">
        <v>11585</v>
      </c>
      <c r="E9">
        <v>134302</v>
      </c>
      <c r="F9">
        <v>14698</v>
      </c>
      <c r="G9">
        <v>10419</v>
      </c>
      <c r="H9">
        <v>7732</v>
      </c>
      <c r="I9">
        <v>7374</v>
      </c>
      <c r="J9">
        <v>7651</v>
      </c>
      <c r="K9">
        <v>7258</v>
      </c>
      <c r="L9">
        <v>577</v>
      </c>
      <c r="M9">
        <v>60218</v>
      </c>
      <c r="N9">
        <v>66506</v>
      </c>
      <c r="O9">
        <v>58638</v>
      </c>
      <c r="P9">
        <v>64758</v>
      </c>
      <c r="Q9">
        <v>2841</v>
      </c>
      <c r="R9">
        <v>94220</v>
      </c>
      <c r="S9">
        <v>225058</v>
      </c>
      <c r="T9">
        <v>92816</v>
      </c>
      <c r="U9">
        <v>223495</v>
      </c>
      <c r="V9">
        <v>4650</v>
      </c>
      <c r="W9">
        <v>14223</v>
      </c>
      <c r="X9">
        <v>20450</v>
      </c>
      <c r="Y9">
        <v>35741</v>
      </c>
      <c r="Z9">
        <v>19881</v>
      </c>
      <c r="AA9">
        <v>35095</v>
      </c>
      <c r="AB9">
        <v>1496</v>
      </c>
      <c r="AC9">
        <v>142169</v>
      </c>
      <c r="AD9">
        <v>5057</v>
      </c>
      <c r="AE9">
        <v>145359</v>
      </c>
      <c r="AF9">
        <v>5331</v>
      </c>
      <c r="AG9">
        <v>9559</v>
      </c>
      <c r="AH9">
        <v>856208</v>
      </c>
      <c r="AI9">
        <v>15382</v>
      </c>
      <c r="AJ9">
        <v>863302</v>
      </c>
      <c r="AK9">
        <v>15714</v>
      </c>
      <c r="AL9">
        <v>80051</v>
      </c>
      <c r="AM9">
        <v>14183</v>
      </c>
      <c r="AN9">
        <v>68589</v>
      </c>
      <c r="AO9">
        <v>13846</v>
      </c>
      <c r="AP9">
        <v>67027</v>
      </c>
      <c r="AQ9">
        <v>1141</v>
      </c>
      <c r="AR9">
        <v>7580</v>
      </c>
      <c r="AS9">
        <v>4964</v>
      </c>
      <c r="AT9">
        <v>8245</v>
      </c>
      <c r="AU9">
        <v>5164</v>
      </c>
      <c r="AV9">
        <v>1741</v>
      </c>
      <c r="AW9">
        <v>12826</v>
      </c>
      <c r="AX9">
        <v>14046</v>
      </c>
      <c r="AY9">
        <v>12867</v>
      </c>
      <c r="AZ9">
        <v>14335</v>
      </c>
      <c r="BA9">
        <v>2066</v>
      </c>
      <c r="BB9">
        <v>2862</v>
      </c>
      <c r="BC9">
        <v>16152</v>
      </c>
      <c r="BD9">
        <v>6279</v>
      </c>
      <c r="BE9">
        <v>18626</v>
      </c>
      <c r="BF9">
        <v>1565</v>
      </c>
      <c r="BG9">
        <v>278</v>
      </c>
      <c r="BH9">
        <v>8028</v>
      </c>
      <c r="BI9">
        <v>292</v>
      </c>
      <c r="BJ9">
        <v>8541</v>
      </c>
      <c r="BK9">
        <v>0</v>
      </c>
    </row>
    <row r="10" spans="1:63" x14ac:dyDescent="0.4">
      <c r="A10" s="1" t="s">
        <v>8</v>
      </c>
      <c r="B10" s="3" t="s">
        <v>9</v>
      </c>
      <c r="C10">
        <v>103895</v>
      </c>
      <c r="D10">
        <v>11092</v>
      </c>
      <c r="E10">
        <v>129118</v>
      </c>
      <c r="F10">
        <v>14468</v>
      </c>
      <c r="G10">
        <v>10286</v>
      </c>
      <c r="H10">
        <v>12700</v>
      </c>
      <c r="I10">
        <v>10778</v>
      </c>
      <c r="J10">
        <v>12431</v>
      </c>
      <c r="K10">
        <v>10636</v>
      </c>
      <c r="L10">
        <v>837</v>
      </c>
      <c r="M10">
        <v>60724</v>
      </c>
      <c r="N10">
        <v>65200</v>
      </c>
      <c r="O10">
        <v>60871</v>
      </c>
      <c r="P10">
        <v>65909</v>
      </c>
      <c r="Q10">
        <v>2408</v>
      </c>
      <c r="R10">
        <v>82890</v>
      </c>
      <c r="S10">
        <v>203747</v>
      </c>
      <c r="T10">
        <v>84098</v>
      </c>
      <c r="U10">
        <v>207328</v>
      </c>
      <c r="V10">
        <v>3404</v>
      </c>
      <c r="W10">
        <v>13673</v>
      </c>
      <c r="X10">
        <v>20669</v>
      </c>
      <c r="Y10">
        <v>37364</v>
      </c>
      <c r="Z10">
        <v>19076</v>
      </c>
      <c r="AA10">
        <v>35475</v>
      </c>
      <c r="AB10">
        <v>2117</v>
      </c>
      <c r="AC10">
        <v>131720</v>
      </c>
      <c r="AD10">
        <v>4759</v>
      </c>
      <c r="AE10">
        <v>136003</v>
      </c>
      <c r="AF10">
        <v>4968</v>
      </c>
      <c r="AG10">
        <v>9930</v>
      </c>
      <c r="AH10">
        <v>748299</v>
      </c>
      <c r="AI10">
        <v>14599</v>
      </c>
      <c r="AJ10">
        <v>769817</v>
      </c>
      <c r="AK10">
        <v>15032</v>
      </c>
      <c r="AL10">
        <v>76874</v>
      </c>
      <c r="AM10">
        <v>13113</v>
      </c>
      <c r="AN10">
        <v>66854</v>
      </c>
      <c r="AO10">
        <v>12917</v>
      </c>
      <c r="AP10">
        <v>66646</v>
      </c>
      <c r="AQ10">
        <v>1248</v>
      </c>
      <c r="AR10">
        <v>8381</v>
      </c>
      <c r="AS10">
        <v>5320</v>
      </c>
      <c r="AT10">
        <v>8281</v>
      </c>
      <c r="AU10">
        <v>5208</v>
      </c>
      <c r="AV10">
        <v>1500</v>
      </c>
      <c r="AW10">
        <v>11661</v>
      </c>
      <c r="AX10">
        <v>12543</v>
      </c>
      <c r="AY10">
        <v>12504</v>
      </c>
      <c r="AZ10">
        <v>13549</v>
      </c>
      <c r="BA10">
        <v>1409</v>
      </c>
      <c r="BB10">
        <v>3483</v>
      </c>
      <c r="BC10">
        <v>19038</v>
      </c>
      <c r="BD10">
        <v>5911</v>
      </c>
      <c r="BE10">
        <v>21637</v>
      </c>
      <c r="BF10">
        <v>2770</v>
      </c>
      <c r="BG10">
        <v>334</v>
      </c>
      <c r="BH10">
        <v>10567</v>
      </c>
      <c r="BI10">
        <v>334</v>
      </c>
      <c r="BJ10">
        <v>10746</v>
      </c>
      <c r="BK10">
        <v>0</v>
      </c>
    </row>
    <row r="11" spans="1:63" x14ac:dyDescent="0.4">
      <c r="A11" s="1" t="s">
        <v>10</v>
      </c>
      <c r="B11" s="3" t="s">
        <v>11</v>
      </c>
      <c r="C11">
        <v>92770</v>
      </c>
      <c r="D11">
        <v>10216</v>
      </c>
      <c r="E11">
        <v>111164</v>
      </c>
      <c r="F11">
        <v>12770</v>
      </c>
      <c r="G11">
        <v>14439</v>
      </c>
      <c r="H11">
        <v>6412</v>
      </c>
      <c r="I11">
        <v>6569</v>
      </c>
      <c r="J11">
        <v>6114</v>
      </c>
      <c r="K11">
        <v>6259</v>
      </c>
      <c r="L11">
        <v>1063</v>
      </c>
      <c r="M11">
        <v>31918</v>
      </c>
      <c r="N11">
        <v>41056</v>
      </c>
      <c r="O11">
        <v>30810</v>
      </c>
      <c r="P11">
        <v>38598</v>
      </c>
      <c r="Q11">
        <v>3063</v>
      </c>
      <c r="R11">
        <v>79345</v>
      </c>
      <c r="S11">
        <v>201119</v>
      </c>
      <c r="T11">
        <v>78688</v>
      </c>
      <c r="U11">
        <v>199078</v>
      </c>
      <c r="V11">
        <v>4055</v>
      </c>
      <c r="W11">
        <v>14023</v>
      </c>
      <c r="X11">
        <v>17705</v>
      </c>
      <c r="Y11">
        <v>32907</v>
      </c>
      <c r="Z11">
        <v>16045</v>
      </c>
      <c r="AA11">
        <v>31157</v>
      </c>
      <c r="AB11">
        <v>3002</v>
      </c>
      <c r="AC11">
        <v>96112</v>
      </c>
      <c r="AD11">
        <v>4265</v>
      </c>
      <c r="AE11">
        <v>100202</v>
      </c>
      <c r="AF11">
        <v>4608</v>
      </c>
      <c r="AG11">
        <v>8768</v>
      </c>
      <c r="AH11">
        <v>592669</v>
      </c>
      <c r="AI11">
        <v>12396</v>
      </c>
      <c r="AJ11">
        <v>629296</v>
      </c>
      <c r="AK11">
        <v>13288</v>
      </c>
      <c r="AL11">
        <v>53494</v>
      </c>
      <c r="AM11">
        <v>11923</v>
      </c>
      <c r="AN11">
        <v>68590</v>
      </c>
      <c r="AO11">
        <v>11802</v>
      </c>
      <c r="AP11">
        <v>68237</v>
      </c>
      <c r="AQ11">
        <v>1264</v>
      </c>
      <c r="AR11">
        <v>9598</v>
      </c>
      <c r="AS11">
        <v>6799</v>
      </c>
      <c r="AT11">
        <v>8649</v>
      </c>
      <c r="AU11">
        <v>4899</v>
      </c>
      <c r="AV11">
        <v>2020</v>
      </c>
      <c r="AW11">
        <v>12685</v>
      </c>
      <c r="AX11">
        <v>14904</v>
      </c>
      <c r="AY11">
        <v>12196</v>
      </c>
      <c r="AZ11">
        <v>14042</v>
      </c>
      <c r="BA11">
        <v>2208</v>
      </c>
      <c r="BB11">
        <v>2685</v>
      </c>
      <c r="BC11">
        <v>22199</v>
      </c>
      <c r="BD11">
        <v>4909</v>
      </c>
      <c r="BE11">
        <v>25186</v>
      </c>
      <c r="BF11">
        <v>1814</v>
      </c>
      <c r="BG11">
        <v>280</v>
      </c>
      <c r="BH11">
        <v>9880</v>
      </c>
      <c r="BI11">
        <v>279</v>
      </c>
      <c r="BJ11">
        <v>10151</v>
      </c>
      <c r="BK11">
        <v>1</v>
      </c>
    </row>
    <row r="12" spans="1:63" x14ac:dyDescent="0.4">
      <c r="A12" s="1" t="s">
        <v>12</v>
      </c>
      <c r="B12" s="3" t="s">
        <v>13</v>
      </c>
      <c r="C12">
        <v>66425</v>
      </c>
      <c r="D12">
        <v>7646</v>
      </c>
      <c r="E12">
        <v>87540</v>
      </c>
      <c r="F12">
        <v>10879</v>
      </c>
      <c r="G12">
        <v>10682</v>
      </c>
      <c r="H12">
        <v>4761</v>
      </c>
      <c r="I12">
        <v>7587</v>
      </c>
      <c r="J12">
        <v>5262</v>
      </c>
      <c r="K12">
        <v>6574</v>
      </c>
      <c r="L12">
        <v>561</v>
      </c>
      <c r="M12">
        <v>27836</v>
      </c>
      <c r="N12">
        <v>37745</v>
      </c>
      <c r="O12">
        <v>28361</v>
      </c>
      <c r="P12">
        <v>37772</v>
      </c>
      <c r="Q12">
        <v>2510</v>
      </c>
      <c r="R12">
        <v>56716</v>
      </c>
      <c r="S12">
        <v>157571</v>
      </c>
      <c r="T12">
        <v>58153</v>
      </c>
      <c r="U12">
        <v>162281</v>
      </c>
      <c r="V12">
        <v>2486</v>
      </c>
      <c r="W12">
        <v>13614</v>
      </c>
      <c r="X12">
        <v>13035</v>
      </c>
      <c r="Y12">
        <v>26859</v>
      </c>
      <c r="Z12">
        <v>13790</v>
      </c>
      <c r="AA12">
        <v>28135</v>
      </c>
      <c r="AB12">
        <v>1804</v>
      </c>
      <c r="AC12">
        <v>95378</v>
      </c>
      <c r="AD12">
        <v>5050</v>
      </c>
      <c r="AE12">
        <v>99035</v>
      </c>
      <c r="AF12">
        <v>5304</v>
      </c>
      <c r="AG12">
        <v>6575</v>
      </c>
      <c r="AH12">
        <v>599435</v>
      </c>
      <c r="AI12">
        <v>12804</v>
      </c>
      <c r="AJ12">
        <v>593428</v>
      </c>
      <c r="AK12">
        <v>12821</v>
      </c>
      <c r="AL12">
        <v>70646</v>
      </c>
      <c r="AM12">
        <v>10720</v>
      </c>
      <c r="AN12">
        <v>66664</v>
      </c>
      <c r="AO12">
        <v>11274</v>
      </c>
      <c r="AP12">
        <v>69250</v>
      </c>
      <c r="AQ12">
        <v>672</v>
      </c>
      <c r="AR12">
        <v>7282</v>
      </c>
      <c r="AS12">
        <v>5180</v>
      </c>
      <c r="AT12">
        <v>8091</v>
      </c>
      <c r="AU12">
        <v>5582</v>
      </c>
      <c r="AV12">
        <v>897</v>
      </c>
      <c r="AW12">
        <v>10157</v>
      </c>
      <c r="AX12">
        <v>13003</v>
      </c>
      <c r="AY12">
        <v>10822</v>
      </c>
      <c r="AZ12">
        <v>13679</v>
      </c>
      <c r="BA12">
        <v>1546</v>
      </c>
      <c r="BB12">
        <v>2863</v>
      </c>
      <c r="BC12">
        <v>23760</v>
      </c>
      <c r="BD12">
        <v>4621</v>
      </c>
      <c r="BE12">
        <v>28943</v>
      </c>
      <c r="BF12">
        <v>1341</v>
      </c>
      <c r="BG12">
        <v>341</v>
      </c>
      <c r="BH12">
        <v>20646</v>
      </c>
      <c r="BI12">
        <v>342</v>
      </c>
      <c r="BJ12">
        <v>20905</v>
      </c>
      <c r="BK12">
        <v>0</v>
      </c>
    </row>
    <row r="13" spans="1:63" x14ac:dyDescent="0.4">
      <c r="A13" s="1" t="s">
        <v>14</v>
      </c>
      <c r="B13" s="3" t="s">
        <v>15</v>
      </c>
      <c r="C13">
        <v>61599</v>
      </c>
      <c r="D13">
        <v>7464</v>
      </c>
      <c r="E13">
        <v>79840</v>
      </c>
      <c r="F13">
        <v>10384</v>
      </c>
      <c r="G13">
        <v>9433</v>
      </c>
      <c r="H13">
        <v>5590</v>
      </c>
      <c r="I13">
        <v>8101</v>
      </c>
      <c r="J13">
        <v>5744</v>
      </c>
      <c r="K13">
        <v>7530</v>
      </c>
      <c r="L13">
        <v>407</v>
      </c>
      <c r="M13">
        <v>25956</v>
      </c>
      <c r="N13">
        <v>35672</v>
      </c>
      <c r="O13">
        <v>26785</v>
      </c>
      <c r="P13">
        <v>36185</v>
      </c>
      <c r="Q13">
        <v>1593</v>
      </c>
      <c r="R13">
        <v>56936</v>
      </c>
      <c r="S13">
        <v>173306</v>
      </c>
      <c r="T13">
        <v>56871</v>
      </c>
      <c r="U13">
        <v>171842</v>
      </c>
      <c r="V13">
        <v>2438</v>
      </c>
      <c r="W13">
        <v>16698</v>
      </c>
      <c r="X13">
        <v>13757</v>
      </c>
      <c r="Y13">
        <v>29595</v>
      </c>
      <c r="Z13">
        <v>13938</v>
      </c>
      <c r="AA13">
        <v>30689</v>
      </c>
      <c r="AB13">
        <v>903</v>
      </c>
      <c r="AC13">
        <v>107594</v>
      </c>
      <c r="AD13">
        <v>5816</v>
      </c>
      <c r="AE13">
        <v>111529</v>
      </c>
      <c r="AF13">
        <v>6136</v>
      </c>
      <c r="AG13">
        <v>4903</v>
      </c>
      <c r="AH13">
        <v>672244</v>
      </c>
      <c r="AI13">
        <v>14535</v>
      </c>
      <c r="AJ13">
        <v>681376</v>
      </c>
      <c r="AK13">
        <v>14759</v>
      </c>
      <c r="AL13">
        <v>72611</v>
      </c>
      <c r="AM13">
        <v>12270</v>
      </c>
      <c r="AN13">
        <v>80149</v>
      </c>
      <c r="AO13">
        <v>12193</v>
      </c>
      <c r="AP13">
        <v>80217</v>
      </c>
      <c r="AQ13">
        <v>382</v>
      </c>
      <c r="AR13">
        <v>6041</v>
      </c>
      <c r="AS13">
        <v>4905</v>
      </c>
      <c r="AT13">
        <v>6399</v>
      </c>
      <c r="AU13">
        <v>4405</v>
      </c>
      <c r="AV13">
        <v>595</v>
      </c>
      <c r="AW13">
        <v>11431</v>
      </c>
      <c r="AX13">
        <v>14422</v>
      </c>
      <c r="AY13">
        <v>11554</v>
      </c>
      <c r="AZ13">
        <v>14307</v>
      </c>
      <c r="BA13">
        <v>1392</v>
      </c>
      <c r="BB13">
        <v>2597</v>
      </c>
      <c r="BC13">
        <v>21714</v>
      </c>
      <c r="BD13">
        <v>4184</v>
      </c>
      <c r="BE13">
        <v>25835</v>
      </c>
      <c r="BF13">
        <v>1410</v>
      </c>
      <c r="BG13">
        <v>238</v>
      </c>
      <c r="BH13">
        <v>12155</v>
      </c>
      <c r="BI13">
        <v>238</v>
      </c>
      <c r="BJ13">
        <v>12159</v>
      </c>
      <c r="BK13">
        <v>0</v>
      </c>
    </row>
    <row r="14" spans="1:63" x14ac:dyDescent="0.4">
      <c r="A14" s="1" t="s">
        <v>16</v>
      </c>
      <c r="B14" s="1" t="s">
        <v>17</v>
      </c>
      <c r="C14">
        <v>7168</v>
      </c>
      <c r="D14">
        <v>786</v>
      </c>
      <c r="E14">
        <v>10097</v>
      </c>
      <c r="F14">
        <v>1273</v>
      </c>
      <c r="G14">
        <v>15409</v>
      </c>
      <c r="H14">
        <v>412</v>
      </c>
      <c r="I14">
        <v>451</v>
      </c>
      <c r="J14">
        <v>494</v>
      </c>
      <c r="K14">
        <v>527</v>
      </c>
      <c r="L14">
        <v>744</v>
      </c>
      <c r="M14">
        <v>3528</v>
      </c>
      <c r="N14">
        <v>4838</v>
      </c>
      <c r="O14">
        <v>4078</v>
      </c>
      <c r="P14">
        <v>5205</v>
      </c>
      <c r="Q14">
        <v>2134</v>
      </c>
      <c r="R14">
        <v>5703</v>
      </c>
      <c r="S14">
        <v>16322</v>
      </c>
      <c r="T14">
        <v>5940</v>
      </c>
      <c r="U14">
        <v>16921</v>
      </c>
      <c r="V14">
        <v>3312</v>
      </c>
      <c r="W14">
        <v>1383</v>
      </c>
      <c r="X14">
        <v>1611</v>
      </c>
      <c r="Y14">
        <v>3549</v>
      </c>
      <c r="Z14">
        <v>1811</v>
      </c>
      <c r="AA14">
        <v>3981</v>
      </c>
      <c r="AB14">
        <v>2643</v>
      </c>
      <c r="AC14">
        <v>9381</v>
      </c>
      <c r="AD14">
        <v>402</v>
      </c>
      <c r="AE14">
        <v>9747</v>
      </c>
      <c r="AF14">
        <v>475</v>
      </c>
      <c r="AG14">
        <v>9214</v>
      </c>
      <c r="AH14">
        <v>52299</v>
      </c>
      <c r="AI14">
        <v>1195</v>
      </c>
      <c r="AJ14">
        <v>60122</v>
      </c>
      <c r="AK14">
        <v>1379</v>
      </c>
      <c r="AL14">
        <v>65235</v>
      </c>
      <c r="AM14">
        <v>761</v>
      </c>
      <c r="AN14">
        <v>5650</v>
      </c>
      <c r="AO14">
        <v>616</v>
      </c>
      <c r="AP14">
        <v>4280</v>
      </c>
      <c r="AQ14">
        <v>1588</v>
      </c>
      <c r="AR14">
        <v>559</v>
      </c>
      <c r="AS14">
        <v>450</v>
      </c>
      <c r="AT14">
        <v>654</v>
      </c>
      <c r="AU14">
        <v>434</v>
      </c>
      <c r="AV14">
        <v>2110</v>
      </c>
      <c r="AW14">
        <v>1157</v>
      </c>
      <c r="AX14">
        <v>1360</v>
      </c>
      <c r="AY14">
        <v>1122</v>
      </c>
      <c r="AZ14">
        <v>1493</v>
      </c>
      <c r="BA14">
        <v>2818</v>
      </c>
      <c r="BB14">
        <v>259</v>
      </c>
      <c r="BC14">
        <v>1968</v>
      </c>
      <c r="BD14">
        <v>528</v>
      </c>
      <c r="BE14">
        <v>2742</v>
      </c>
      <c r="BF14">
        <v>1429</v>
      </c>
      <c r="BG14">
        <v>34</v>
      </c>
      <c r="BH14">
        <v>2776</v>
      </c>
      <c r="BI14">
        <v>34</v>
      </c>
      <c r="BJ14">
        <v>2868</v>
      </c>
      <c r="BK14">
        <v>0</v>
      </c>
    </row>
    <row r="15" spans="1:63" x14ac:dyDescent="0.4">
      <c r="A15" s="1" t="s">
        <v>18</v>
      </c>
      <c r="B15" s="1" t="s">
        <v>19</v>
      </c>
      <c r="C15">
        <v>6589</v>
      </c>
      <c r="D15">
        <v>747</v>
      </c>
      <c r="E15">
        <v>9674</v>
      </c>
      <c r="F15">
        <v>1209</v>
      </c>
      <c r="G15">
        <v>14041</v>
      </c>
      <c r="H15">
        <v>479</v>
      </c>
      <c r="I15">
        <v>775</v>
      </c>
      <c r="J15">
        <v>475</v>
      </c>
      <c r="K15">
        <v>576</v>
      </c>
      <c r="L15">
        <v>747</v>
      </c>
      <c r="M15">
        <v>3179</v>
      </c>
      <c r="N15">
        <v>4196</v>
      </c>
      <c r="O15">
        <v>2823</v>
      </c>
      <c r="P15">
        <v>3676</v>
      </c>
      <c r="Q15">
        <v>2490</v>
      </c>
      <c r="R15">
        <v>5735</v>
      </c>
      <c r="S15">
        <v>16351</v>
      </c>
      <c r="T15">
        <v>5543</v>
      </c>
      <c r="U15">
        <v>15921</v>
      </c>
      <c r="V15">
        <v>3493</v>
      </c>
      <c r="W15">
        <v>1281</v>
      </c>
      <c r="X15">
        <v>1708</v>
      </c>
      <c r="Y15">
        <v>3313</v>
      </c>
      <c r="Z15">
        <v>1768</v>
      </c>
      <c r="AA15">
        <v>3625</v>
      </c>
      <c r="AB15">
        <v>2407</v>
      </c>
      <c r="AC15">
        <v>9440</v>
      </c>
      <c r="AD15">
        <v>481</v>
      </c>
      <c r="AE15">
        <v>10866</v>
      </c>
      <c r="AF15">
        <v>551</v>
      </c>
      <c r="AG15">
        <v>8420</v>
      </c>
      <c r="AH15">
        <v>52298</v>
      </c>
      <c r="AI15">
        <v>1151</v>
      </c>
      <c r="AJ15">
        <v>54720</v>
      </c>
      <c r="AK15">
        <v>1217</v>
      </c>
      <c r="AL15">
        <v>64881</v>
      </c>
      <c r="AM15">
        <v>980</v>
      </c>
      <c r="AN15">
        <v>6557</v>
      </c>
      <c r="AO15">
        <v>611</v>
      </c>
      <c r="AP15">
        <v>3915</v>
      </c>
      <c r="AQ15">
        <v>1955</v>
      </c>
      <c r="AR15">
        <v>681</v>
      </c>
      <c r="AS15">
        <v>523</v>
      </c>
      <c r="AT15">
        <v>519</v>
      </c>
      <c r="AU15">
        <v>337</v>
      </c>
      <c r="AV15">
        <v>2272</v>
      </c>
      <c r="AW15">
        <v>795</v>
      </c>
      <c r="AX15">
        <v>1052</v>
      </c>
      <c r="AY15">
        <v>521</v>
      </c>
      <c r="AZ15">
        <v>637</v>
      </c>
      <c r="BA15">
        <v>3092</v>
      </c>
      <c r="BB15">
        <v>253</v>
      </c>
      <c r="BC15">
        <v>1665</v>
      </c>
      <c r="BD15">
        <v>394</v>
      </c>
      <c r="BE15">
        <v>2008</v>
      </c>
      <c r="BF15">
        <v>1292</v>
      </c>
      <c r="BG15">
        <v>26</v>
      </c>
      <c r="BH15">
        <v>962</v>
      </c>
      <c r="BI15">
        <v>24</v>
      </c>
      <c r="BJ15">
        <v>914</v>
      </c>
      <c r="BK15">
        <v>2</v>
      </c>
    </row>
    <row r="16" spans="1:63" x14ac:dyDescent="0.4">
      <c r="A16" s="1" t="s">
        <v>20</v>
      </c>
      <c r="B16" s="1" t="s">
        <v>21</v>
      </c>
      <c r="C16">
        <v>5862</v>
      </c>
      <c r="D16">
        <v>708</v>
      </c>
      <c r="E16">
        <v>7639</v>
      </c>
      <c r="F16">
        <v>950</v>
      </c>
      <c r="G16">
        <v>13371</v>
      </c>
      <c r="H16">
        <v>487</v>
      </c>
      <c r="I16">
        <v>1242</v>
      </c>
      <c r="J16">
        <v>312</v>
      </c>
      <c r="K16">
        <v>530</v>
      </c>
      <c r="L16">
        <v>922</v>
      </c>
      <c r="M16">
        <v>2565</v>
      </c>
      <c r="N16">
        <v>3654</v>
      </c>
      <c r="O16">
        <v>2621</v>
      </c>
      <c r="P16">
        <v>3333</v>
      </c>
      <c r="Q16">
        <v>2433</v>
      </c>
      <c r="R16">
        <v>4706</v>
      </c>
      <c r="S16">
        <v>13650</v>
      </c>
      <c r="T16">
        <v>4929</v>
      </c>
      <c r="U16">
        <v>14079</v>
      </c>
      <c r="V16">
        <v>3263</v>
      </c>
      <c r="W16">
        <v>948</v>
      </c>
      <c r="X16">
        <v>778</v>
      </c>
      <c r="Y16">
        <v>1306</v>
      </c>
      <c r="Z16">
        <v>1389</v>
      </c>
      <c r="AA16">
        <v>2435</v>
      </c>
      <c r="AB16">
        <v>1759</v>
      </c>
      <c r="AC16">
        <v>9676</v>
      </c>
      <c r="AD16">
        <v>562</v>
      </c>
      <c r="AE16">
        <v>10472</v>
      </c>
      <c r="AF16">
        <v>584</v>
      </c>
      <c r="AG16">
        <v>7932</v>
      </c>
      <c r="AH16">
        <v>52085</v>
      </c>
      <c r="AI16">
        <v>1106</v>
      </c>
      <c r="AJ16">
        <v>49277</v>
      </c>
      <c r="AK16">
        <v>1059</v>
      </c>
      <c r="AL16">
        <v>68272</v>
      </c>
      <c r="AM16">
        <v>1171</v>
      </c>
      <c r="AN16">
        <v>7014</v>
      </c>
      <c r="AO16">
        <v>1088</v>
      </c>
      <c r="AP16">
        <v>6716</v>
      </c>
      <c r="AQ16">
        <v>2038</v>
      </c>
      <c r="AR16">
        <v>615</v>
      </c>
      <c r="AS16">
        <v>437</v>
      </c>
      <c r="AT16">
        <v>356</v>
      </c>
      <c r="AU16">
        <v>267</v>
      </c>
      <c r="AV16">
        <v>2526</v>
      </c>
      <c r="AW16">
        <v>1096</v>
      </c>
      <c r="AX16">
        <v>1417</v>
      </c>
      <c r="AY16">
        <v>563</v>
      </c>
      <c r="AZ16">
        <v>674</v>
      </c>
      <c r="BA16">
        <v>3625</v>
      </c>
      <c r="BB16">
        <v>230</v>
      </c>
      <c r="BC16">
        <v>2115</v>
      </c>
      <c r="BD16">
        <v>358</v>
      </c>
      <c r="BE16">
        <v>1832</v>
      </c>
      <c r="BF16">
        <v>1361</v>
      </c>
      <c r="BG16">
        <v>35</v>
      </c>
      <c r="BH16">
        <v>1637</v>
      </c>
      <c r="BI16">
        <v>35</v>
      </c>
      <c r="BJ16">
        <v>1637</v>
      </c>
      <c r="BK16">
        <v>2</v>
      </c>
    </row>
    <row r="17" spans="1:63" x14ac:dyDescent="0.4">
      <c r="A17" s="1" t="s">
        <v>22</v>
      </c>
      <c r="B17" s="1" t="s">
        <v>23</v>
      </c>
      <c r="C17">
        <v>5165</v>
      </c>
      <c r="D17">
        <v>645</v>
      </c>
      <c r="E17">
        <v>8036</v>
      </c>
      <c r="F17">
        <v>1070</v>
      </c>
      <c r="G17">
        <v>11734</v>
      </c>
      <c r="H17">
        <v>335</v>
      </c>
      <c r="I17">
        <v>488</v>
      </c>
      <c r="J17">
        <v>197</v>
      </c>
      <c r="K17">
        <v>358</v>
      </c>
      <c r="L17">
        <v>1060</v>
      </c>
      <c r="M17">
        <v>1873</v>
      </c>
      <c r="N17">
        <v>2758</v>
      </c>
      <c r="O17">
        <v>1474</v>
      </c>
      <c r="P17">
        <v>2362</v>
      </c>
      <c r="Q17">
        <v>2828</v>
      </c>
      <c r="R17">
        <v>4595</v>
      </c>
      <c r="S17">
        <v>12650</v>
      </c>
      <c r="T17">
        <v>4964</v>
      </c>
      <c r="U17">
        <v>14259</v>
      </c>
      <c r="V17">
        <v>2879</v>
      </c>
      <c r="W17">
        <v>669</v>
      </c>
      <c r="X17">
        <v>408</v>
      </c>
      <c r="Y17">
        <v>651</v>
      </c>
      <c r="Z17">
        <v>1193</v>
      </c>
      <c r="AA17">
        <v>2089</v>
      </c>
      <c r="AB17">
        <v>974</v>
      </c>
      <c r="AC17">
        <v>9347</v>
      </c>
      <c r="AD17">
        <v>528</v>
      </c>
      <c r="AE17">
        <v>10402</v>
      </c>
      <c r="AF17">
        <v>563</v>
      </c>
      <c r="AG17">
        <v>6931</v>
      </c>
      <c r="AH17">
        <v>48093</v>
      </c>
      <c r="AI17">
        <v>1006</v>
      </c>
      <c r="AJ17">
        <v>58129</v>
      </c>
      <c r="AK17">
        <v>1209</v>
      </c>
      <c r="AL17">
        <v>58830</v>
      </c>
      <c r="AM17">
        <v>1329</v>
      </c>
      <c r="AN17">
        <v>7546</v>
      </c>
      <c r="AO17">
        <v>1695</v>
      </c>
      <c r="AP17">
        <v>9273</v>
      </c>
      <c r="AQ17">
        <v>1655</v>
      </c>
      <c r="AR17">
        <v>921</v>
      </c>
      <c r="AS17">
        <v>588</v>
      </c>
      <c r="AT17">
        <v>499</v>
      </c>
      <c r="AU17">
        <v>412</v>
      </c>
      <c r="AV17">
        <v>2947</v>
      </c>
      <c r="AW17">
        <v>899</v>
      </c>
      <c r="AX17">
        <v>1132</v>
      </c>
      <c r="AY17">
        <v>996</v>
      </c>
      <c r="AZ17">
        <v>1326</v>
      </c>
      <c r="BA17">
        <v>3528</v>
      </c>
      <c r="BB17">
        <v>212</v>
      </c>
      <c r="BC17">
        <v>1662</v>
      </c>
      <c r="BD17">
        <v>364</v>
      </c>
      <c r="BE17">
        <v>1992</v>
      </c>
      <c r="BF17">
        <v>1279</v>
      </c>
      <c r="BG17">
        <v>59</v>
      </c>
      <c r="BH17">
        <v>4933</v>
      </c>
      <c r="BI17">
        <v>60</v>
      </c>
      <c r="BJ17">
        <v>4982</v>
      </c>
      <c r="BK17">
        <v>1</v>
      </c>
    </row>
    <row r="18" spans="1:63" x14ac:dyDescent="0.4">
      <c r="A18" s="1" t="s">
        <v>24</v>
      </c>
      <c r="B18" s="1" t="s">
        <v>25</v>
      </c>
      <c r="C18">
        <v>5634</v>
      </c>
      <c r="D18">
        <v>584</v>
      </c>
      <c r="E18">
        <v>7263</v>
      </c>
      <c r="F18">
        <v>851</v>
      </c>
      <c r="G18">
        <v>11152</v>
      </c>
      <c r="H18">
        <v>318</v>
      </c>
      <c r="I18">
        <v>744</v>
      </c>
      <c r="J18">
        <v>409</v>
      </c>
      <c r="K18">
        <v>498</v>
      </c>
      <c r="L18">
        <v>969</v>
      </c>
      <c r="M18">
        <v>2486</v>
      </c>
      <c r="N18">
        <v>3291</v>
      </c>
      <c r="O18">
        <v>2090</v>
      </c>
      <c r="P18">
        <v>2680</v>
      </c>
      <c r="Q18">
        <v>3208</v>
      </c>
      <c r="R18">
        <v>4511</v>
      </c>
      <c r="S18">
        <v>12681</v>
      </c>
      <c r="T18">
        <v>4674</v>
      </c>
      <c r="U18">
        <v>13252</v>
      </c>
      <c r="V18">
        <v>2693</v>
      </c>
      <c r="W18">
        <v>950</v>
      </c>
      <c r="X18">
        <v>390</v>
      </c>
      <c r="Y18">
        <v>718</v>
      </c>
      <c r="Z18">
        <v>457</v>
      </c>
      <c r="AA18">
        <v>810</v>
      </c>
      <c r="AB18">
        <v>907</v>
      </c>
      <c r="AC18">
        <v>8915</v>
      </c>
      <c r="AD18">
        <v>457</v>
      </c>
      <c r="AE18">
        <v>10341</v>
      </c>
      <c r="AF18">
        <v>516</v>
      </c>
      <c r="AG18">
        <v>5511</v>
      </c>
      <c r="AH18">
        <v>60315</v>
      </c>
      <c r="AI18">
        <v>1240</v>
      </c>
      <c r="AJ18">
        <v>59854</v>
      </c>
      <c r="AK18">
        <v>1237</v>
      </c>
      <c r="AL18">
        <v>59875</v>
      </c>
      <c r="AM18">
        <v>1460</v>
      </c>
      <c r="AN18">
        <v>8568</v>
      </c>
      <c r="AO18">
        <v>1561</v>
      </c>
      <c r="AP18">
        <v>9796</v>
      </c>
      <c r="AQ18">
        <v>1547</v>
      </c>
      <c r="AR18">
        <v>764</v>
      </c>
      <c r="AS18">
        <v>500</v>
      </c>
      <c r="AT18">
        <v>637</v>
      </c>
      <c r="AU18">
        <v>514</v>
      </c>
      <c r="AV18">
        <v>3074</v>
      </c>
      <c r="AW18">
        <v>1116</v>
      </c>
      <c r="AX18">
        <v>1443</v>
      </c>
      <c r="AY18">
        <v>1228</v>
      </c>
      <c r="AZ18">
        <v>1703</v>
      </c>
      <c r="BA18">
        <v>3416</v>
      </c>
      <c r="BB18">
        <v>237</v>
      </c>
      <c r="BC18">
        <v>1873</v>
      </c>
      <c r="BD18">
        <v>348</v>
      </c>
      <c r="BE18">
        <v>2085</v>
      </c>
      <c r="BF18">
        <v>1330</v>
      </c>
      <c r="BG18">
        <v>20</v>
      </c>
      <c r="BH18">
        <v>518</v>
      </c>
      <c r="BI18">
        <v>20</v>
      </c>
      <c r="BJ18">
        <v>552</v>
      </c>
      <c r="BK18">
        <v>1</v>
      </c>
    </row>
    <row r="19" spans="1:63" x14ac:dyDescent="0.4">
      <c r="A19" s="1" t="s">
        <v>26</v>
      </c>
      <c r="B19" s="1" t="s">
        <v>27</v>
      </c>
      <c r="C19">
        <v>3897</v>
      </c>
      <c r="D19">
        <v>465</v>
      </c>
      <c r="E19">
        <v>4536</v>
      </c>
      <c r="F19">
        <v>585</v>
      </c>
      <c r="G19">
        <v>11673</v>
      </c>
      <c r="H19">
        <v>320</v>
      </c>
      <c r="I19">
        <v>653</v>
      </c>
      <c r="J19">
        <v>400</v>
      </c>
      <c r="K19">
        <v>579</v>
      </c>
      <c r="L19">
        <v>889</v>
      </c>
      <c r="M19">
        <v>1433</v>
      </c>
      <c r="N19">
        <v>1859</v>
      </c>
      <c r="O19">
        <v>1516</v>
      </c>
      <c r="P19">
        <v>2011</v>
      </c>
      <c r="Q19">
        <v>3124</v>
      </c>
      <c r="R19">
        <v>3258</v>
      </c>
      <c r="S19">
        <v>9729</v>
      </c>
      <c r="T19">
        <v>3187</v>
      </c>
      <c r="U19">
        <v>8920</v>
      </c>
      <c r="V19">
        <v>2757</v>
      </c>
      <c r="W19">
        <v>854</v>
      </c>
      <c r="X19">
        <v>327</v>
      </c>
      <c r="Y19">
        <v>621</v>
      </c>
      <c r="Z19">
        <v>214</v>
      </c>
      <c r="AA19">
        <v>382</v>
      </c>
      <c r="AB19">
        <v>1020</v>
      </c>
      <c r="AC19">
        <v>5244</v>
      </c>
      <c r="AD19">
        <v>330</v>
      </c>
      <c r="AE19">
        <v>5240</v>
      </c>
      <c r="AF19">
        <v>307</v>
      </c>
      <c r="AG19">
        <v>5521</v>
      </c>
      <c r="AH19">
        <v>46309</v>
      </c>
      <c r="AI19">
        <v>985</v>
      </c>
      <c r="AJ19">
        <v>46550</v>
      </c>
      <c r="AK19">
        <v>1022</v>
      </c>
      <c r="AL19">
        <v>60213</v>
      </c>
      <c r="AM19">
        <v>1220</v>
      </c>
      <c r="AN19">
        <v>6803</v>
      </c>
      <c r="AO19">
        <v>1420</v>
      </c>
      <c r="AP19">
        <v>8761</v>
      </c>
      <c r="AQ19">
        <v>1340</v>
      </c>
      <c r="AR19">
        <v>546</v>
      </c>
      <c r="AS19">
        <v>416</v>
      </c>
      <c r="AT19">
        <v>979</v>
      </c>
      <c r="AU19">
        <v>646</v>
      </c>
      <c r="AV19">
        <v>2624</v>
      </c>
      <c r="AW19">
        <v>848</v>
      </c>
      <c r="AX19">
        <v>1031</v>
      </c>
      <c r="AY19">
        <v>1133</v>
      </c>
      <c r="AZ19">
        <v>1480</v>
      </c>
      <c r="BA19">
        <v>3132</v>
      </c>
      <c r="BB19">
        <v>203</v>
      </c>
      <c r="BC19">
        <v>1434</v>
      </c>
      <c r="BD19">
        <v>279</v>
      </c>
      <c r="BE19">
        <v>2354</v>
      </c>
      <c r="BF19">
        <v>1335</v>
      </c>
      <c r="BG19">
        <v>29</v>
      </c>
      <c r="BH19">
        <v>1156</v>
      </c>
      <c r="BI19">
        <v>30</v>
      </c>
      <c r="BJ19">
        <v>1207</v>
      </c>
      <c r="BK19">
        <v>0</v>
      </c>
    </row>
    <row r="20" spans="1:63" x14ac:dyDescent="0.4">
      <c r="A20" s="1" t="s">
        <v>28</v>
      </c>
      <c r="B20" s="1" t="s">
        <v>29</v>
      </c>
      <c r="C20">
        <v>6059</v>
      </c>
      <c r="D20">
        <v>601</v>
      </c>
      <c r="E20">
        <v>7051</v>
      </c>
      <c r="F20">
        <v>795</v>
      </c>
      <c r="G20">
        <v>11931</v>
      </c>
      <c r="H20">
        <v>511</v>
      </c>
      <c r="I20">
        <v>629</v>
      </c>
      <c r="J20">
        <v>629</v>
      </c>
      <c r="K20">
        <v>755</v>
      </c>
      <c r="L20">
        <v>771</v>
      </c>
      <c r="M20">
        <v>1670</v>
      </c>
      <c r="N20">
        <v>2188</v>
      </c>
      <c r="O20">
        <v>2136</v>
      </c>
      <c r="P20">
        <v>2837</v>
      </c>
      <c r="Q20">
        <v>2657</v>
      </c>
      <c r="R20">
        <v>4183</v>
      </c>
      <c r="S20">
        <v>11701</v>
      </c>
      <c r="T20">
        <v>4410</v>
      </c>
      <c r="U20">
        <v>12510</v>
      </c>
      <c r="V20">
        <v>2520</v>
      </c>
      <c r="W20">
        <v>1056</v>
      </c>
      <c r="X20">
        <v>548</v>
      </c>
      <c r="Y20">
        <v>952</v>
      </c>
      <c r="Z20">
        <v>573</v>
      </c>
      <c r="AA20">
        <v>1159</v>
      </c>
      <c r="AB20">
        <v>990</v>
      </c>
      <c r="AC20">
        <v>5711</v>
      </c>
      <c r="AD20">
        <v>312</v>
      </c>
      <c r="AE20">
        <v>4601</v>
      </c>
      <c r="AF20">
        <v>275</v>
      </c>
      <c r="AG20">
        <v>6638</v>
      </c>
      <c r="AH20">
        <v>47426</v>
      </c>
      <c r="AI20">
        <v>1036</v>
      </c>
      <c r="AJ20">
        <v>44792</v>
      </c>
      <c r="AK20">
        <v>972</v>
      </c>
      <c r="AL20">
        <v>64317</v>
      </c>
      <c r="AM20">
        <v>1086</v>
      </c>
      <c r="AN20">
        <v>6500</v>
      </c>
      <c r="AO20">
        <v>1502</v>
      </c>
      <c r="AP20">
        <v>9081</v>
      </c>
      <c r="AQ20">
        <v>923</v>
      </c>
      <c r="AR20">
        <v>632</v>
      </c>
      <c r="AS20">
        <v>501</v>
      </c>
      <c r="AT20">
        <v>1191</v>
      </c>
      <c r="AU20">
        <v>788</v>
      </c>
      <c r="AV20">
        <v>1902</v>
      </c>
      <c r="AW20">
        <v>786</v>
      </c>
      <c r="AX20">
        <v>934</v>
      </c>
      <c r="AY20">
        <v>1256</v>
      </c>
      <c r="AZ20">
        <v>1510</v>
      </c>
      <c r="BA20">
        <v>2663</v>
      </c>
      <c r="BB20">
        <v>263</v>
      </c>
      <c r="BC20">
        <v>1898</v>
      </c>
      <c r="BD20">
        <v>433</v>
      </c>
      <c r="BE20">
        <v>2665</v>
      </c>
      <c r="BF20">
        <v>1292</v>
      </c>
      <c r="BG20">
        <v>39</v>
      </c>
      <c r="BH20">
        <v>1992</v>
      </c>
      <c r="BI20">
        <v>39</v>
      </c>
      <c r="BJ20">
        <v>1992</v>
      </c>
      <c r="BK20">
        <v>0</v>
      </c>
    </row>
    <row r="21" spans="1:63" x14ac:dyDescent="0.4">
      <c r="A21" s="1" t="s">
        <v>30</v>
      </c>
      <c r="B21" s="1" t="s">
        <v>31</v>
      </c>
      <c r="C21">
        <v>3833</v>
      </c>
      <c r="D21">
        <v>473</v>
      </c>
      <c r="E21">
        <v>4970</v>
      </c>
      <c r="F21">
        <v>656</v>
      </c>
      <c r="G21">
        <v>11595</v>
      </c>
      <c r="H21">
        <v>411</v>
      </c>
      <c r="I21">
        <v>616</v>
      </c>
      <c r="J21">
        <v>462</v>
      </c>
      <c r="K21">
        <v>579</v>
      </c>
      <c r="L21">
        <v>720</v>
      </c>
      <c r="M21">
        <v>1568</v>
      </c>
      <c r="N21">
        <v>2159</v>
      </c>
      <c r="O21">
        <v>1618</v>
      </c>
      <c r="P21">
        <v>2510</v>
      </c>
      <c r="Q21">
        <v>2607</v>
      </c>
      <c r="R21">
        <v>4415</v>
      </c>
      <c r="S21">
        <v>11460</v>
      </c>
      <c r="T21">
        <v>4382</v>
      </c>
      <c r="U21">
        <v>11224</v>
      </c>
      <c r="V21">
        <v>2546</v>
      </c>
      <c r="W21">
        <v>1337</v>
      </c>
      <c r="X21">
        <v>1108</v>
      </c>
      <c r="Y21">
        <v>1996</v>
      </c>
      <c r="Z21">
        <v>907</v>
      </c>
      <c r="AA21">
        <v>1576</v>
      </c>
      <c r="AB21">
        <v>1166</v>
      </c>
      <c r="AC21">
        <v>6406</v>
      </c>
      <c r="AD21">
        <v>373</v>
      </c>
      <c r="AE21">
        <v>7300</v>
      </c>
      <c r="AF21">
        <v>402</v>
      </c>
      <c r="AG21">
        <v>5824</v>
      </c>
      <c r="AH21">
        <v>54843</v>
      </c>
      <c r="AI21">
        <v>1146</v>
      </c>
      <c r="AJ21">
        <v>47359</v>
      </c>
      <c r="AK21">
        <v>1038</v>
      </c>
      <c r="AL21">
        <v>72382</v>
      </c>
      <c r="AM21">
        <v>647</v>
      </c>
      <c r="AN21">
        <v>3869</v>
      </c>
      <c r="AO21">
        <v>706</v>
      </c>
      <c r="AP21">
        <v>3965</v>
      </c>
      <c r="AQ21">
        <v>863</v>
      </c>
      <c r="AR21">
        <v>411</v>
      </c>
      <c r="AS21">
        <v>186</v>
      </c>
      <c r="AT21">
        <v>708</v>
      </c>
      <c r="AU21">
        <v>479</v>
      </c>
      <c r="AV21">
        <v>1572</v>
      </c>
      <c r="AW21">
        <v>575</v>
      </c>
      <c r="AX21">
        <v>730</v>
      </c>
      <c r="AY21">
        <v>745</v>
      </c>
      <c r="AZ21">
        <v>809</v>
      </c>
      <c r="BA21">
        <v>2493</v>
      </c>
      <c r="BB21">
        <v>276</v>
      </c>
      <c r="BC21">
        <v>2336</v>
      </c>
      <c r="BD21">
        <v>352</v>
      </c>
      <c r="BE21">
        <v>2716</v>
      </c>
      <c r="BF21">
        <v>1411</v>
      </c>
      <c r="BG21">
        <v>37</v>
      </c>
      <c r="BH21">
        <v>1208</v>
      </c>
      <c r="BI21">
        <v>37</v>
      </c>
      <c r="BJ21">
        <v>1208</v>
      </c>
      <c r="BK21">
        <v>0</v>
      </c>
    </row>
    <row r="22" spans="1:63" x14ac:dyDescent="0.4">
      <c r="A22" s="1" t="s">
        <v>32</v>
      </c>
      <c r="B22" s="1" t="s">
        <v>33</v>
      </c>
      <c r="C22">
        <v>4265</v>
      </c>
      <c r="D22">
        <v>509</v>
      </c>
      <c r="E22">
        <v>4833</v>
      </c>
      <c r="F22">
        <v>610</v>
      </c>
      <c r="G22">
        <v>11379</v>
      </c>
      <c r="H22">
        <v>269</v>
      </c>
      <c r="I22">
        <v>314</v>
      </c>
      <c r="J22">
        <v>429</v>
      </c>
      <c r="K22">
        <v>554</v>
      </c>
      <c r="L22">
        <v>560</v>
      </c>
      <c r="M22">
        <v>1463</v>
      </c>
      <c r="N22">
        <v>1880</v>
      </c>
      <c r="O22">
        <v>1636</v>
      </c>
      <c r="P22">
        <v>2351</v>
      </c>
      <c r="Q22">
        <v>2434</v>
      </c>
      <c r="R22">
        <v>4116</v>
      </c>
      <c r="S22">
        <v>10940</v>
      </c>
      <c r="T22">
        <v>4157</v>
      </c>
      <c r="U22">
        <v>11557</v>
      </c>
      <c r="V22">
        <v>2495</v>
      </c>
      <c r="W22">
        <v>1223</v>
      </c>
      <c r="X22">
        <v>1264</v>
      </c>
      <c r="Y22">
        <v>2693</v>
      </c>
      <c r="Z22">
        <v>928</v>
      </c>
      <c r="AA22">
        <v>1939</v>
      </c>
      <c r="AB22">
        <v>1490</v>
      </c>
      <c r="AC22">
        <v>5946</v>
      </c>
      <c r="AD22">
        <v>341</v>
      </c>
      <c r="AE22">
        <v>5826</v>
      </c>
      <c r="AF22">
        <v>366</v>
      </c>
      <c r="AG22">
        <v>6016</v>
      </c>
      <c r="AH22">
        <v>44564</v>
      </c>
      <c r="AI22">
        <v>921</v>
      </c>
      <c r="AJ22">
        <v>46233</v>
      </c>
      <c r="AK22">
        <v>947</v>
      </c>
      <c r="AL22">
        <v>71288</v>
      </c>
      <c r="AM22">
        <v>541</v>
      </c>
      <c r="AN22">
        <v>3345</v>
      </c>
      <c r="AO22">
        <v>654</v>
      </c>
      <c r="AP22">
        <v>3935</v>
      </c>
      <c r="AQ22">
        <v>750</v>
      </c>
      <c r="AR22">
        <v>406</v>
      </c>
      <c r="AS22">
        <v>303</v>
      </c>
      <c r="AT22">
        <v>740</v>
      </c>
      <c r="AU22">
        <v>437</v>
      </c>
      <c r="AV22">
        <v>1238</v>
      </c>
      <c r="AW22">
        <v>442</v>
      </c>
      <c r="AX22">
        <v>747</v>
      </c>
      <c r="AY22">
        <v>989</v>
      </c>
      <c r="AZ22">
        <v>1208</v>
      </c>
      <c r="BA22">
        <v>1946</v>
      </c>
      <c r="BB22">
        <v>212</v>
      </c>
      <c r="BC22">
        <v>1724</v>
      </c>
      <c r="BD22">
        <v>366</v>
      </c>
      <c r="BE22">
        <v>2631</v>
      </c>
      <c r="BF22">
        <v>1300</v>
      </c>
      <c r="BG22">
        <v>12</v>
      </c>
      <c r="BH22">
        <v>337</v>
      </c>
      <c r="BI22">
        <v>10</v>
      </c>
      <c r="BJ22">
        <v>279</v>
      </c>
      <c r="BK22">
        <v>2</v>
      </c>
    </row>
    <row r="23" spans="1:63" x14ac:dyDescent="0.4">
      <c r="A23" s="1" t="s">
        <v>34</v>
      </c>
      <c r="B23" s="1" t="s">
        <v>35</v>
      </c>
      <c r="C23">
        <v>4684</v>
      </c>
      <c r="D23">
        <v>545</v>
      </c>
      <c r="E23">
        <v>5977</v>
      </c>
      <c r="F23">
        <v>702</v>
      </c>
      <c r="G23">
        <v>10682</v>
      </c>
      <c r="H23">
        <v>423</v>
      </c>
      <c r="I23">
        <v>745</v>
      </c>
      <c r="J23">
        <v>422</v>
      </c>
      <c r="K23">
        <v>494</v>
      </c>
      <c r="L23">
        <v>561</v>
      </c>
      <c r="M23">
        <v>1908</v>
      </c>
      <c r="N23">
        <v>2755</v>
      </c>
      <c r="O23">
        <v>1832</v>
      </c>
      <c r="P23">
        <v>2597</v>
      </c>
      <c r="Q23">
        <v>2510</v>
      </c>
      <c r="R23">
        <v>3684</v>
      </c>
      <c r="S23">
        <v>10480</v>
      </c>
      <c r="T23">
        <v>3680</v>
      </c>
      <c r="U23">
        <v>10596</v>
      </c>
      <c r="V23">
        <v>2486</v>
      </c>
      <c r="W23">
        <v>1350</v>
      </c>
      <c r="X23">
        <v>1639</v>
      </c>
      <c r="Y23">
        <v>3542</v>
      </c>
      <c r="Z23">
        <v>1302</v>
      </c>
      <c r="AA23">
        <v>3014</v>
      </c>
      <c r="AB23">
        <v>1804</v>
      </c>
      <c r="AC23">
        <v>8192</v>
      </c>
      <c r="AD23">
        <v>378</v>
      </c>
      <c r="AE23">
        <v>7787</v>
      </c>
      <c r="AF23">
        <v>424</v>
      </c>
      <c r="AG23">
        <v>6575</v>
      </c>
      <c r="AH23">
        <v>39415</v>
      </c>
      <c r="AI23">
        <v>856</v>
      </c>
      <c r="AJ23">
        <v>40647</v>
      </c>
      <c r="AK23">
        <v>904</v>
      </c>
      <c r="AL23">
        <v>70646</v>
      </c>
      <c r="AM23">
        <v>534</v>
      </c>
      <c r="AN23">
        <v>3353</v>
      </c>
      <c r="AO23">
        <v>611</v>
      </c>
      <c r="AP23">
        <v>4137</v>
      </c>
      <c r="AQ23">
        <v>672</v>
      </c>
      <c r="AR23">
        <v>492</v>
      </c>
      <c r="AS23">
        <v>293</v>
      </c>
      <c r="AT23">
        <v>834</v>
      </c>
      <c r="AU23">
        <v>499</v>
      </c>
      <c r="AV23">
        <v>897</v>
      </c>
      <c r="AW23">
        <v>629</v>
      </c>
      <c r="AX23">
        <v>901</v>
      </c>
      <c r="AY23">
        <v>1030</v>
      </c>
      <c r="AZ23">
        <v>1276</v>
      </c>
      <c r="BA23">
        <v>1546</v>
      </c>
      <c r="BB23">
        <v>232</v>
      </c>
      <c r="BC23">
        <v>2134</v>
      </c>
      <c r="BD23">
        <v>393</v>
      </c>
      <c r="BE23">
        <v>2896</v>
      </c>
      <c r="BF23">
        <v>1341</v>
      </c>
      <c r="BG23">
        <v>8</v>
      </c>
      <c r="BH23">
        <v>2384</v>
      </c>
      <c r="BI23">
        <v>10</v>
      </c>
      <c r="BJ23">
        <v>2456</v>
      </c>
      <c r="BK23">
        <v>0</v>
      </c>
    </row>
    <row r="24" spans="1:63" x14ac:dyDescent="0.4">
      <c r="A24" s="1" t="s">
        <v>36</v>
      </c>
      <c r="B24" s="1" t="s">
        <v>37</v>
      </c>
      <c r="C24">
        <v>5731</v>
      </c>
      <c r="D24">
        <v>616</v>
      </c>
      <c r="E24">
        <v>6559</v>
      </c>
      <c r="F24">
        <v>754</v>
      </c>
      <c r="G24">
        <v>11411</v>
      </c>
      <c r="H24">
        <v>377</v>
      </c>
      <c r="I24">
        <v>1307</v>
      </c>
      <c r="J24">
        <v>350</v>
      </c>
      <c r="K24">
        <v>407</v>
      </c>
      <c r="L24">
        <v>588</v>
      </c>
      <c r="M24">
        <v>1838</v>
      </c>
      <c r="N24">
        <v>2437</v>
      </c>
      <c r="O24">
        <v>1446</v>
      </c>
      <c r="P24">
        <v>1880</v>
      </c>
      <c r="Q24">
        <v>2916</v>
      </c>
      <c r="R24">
        <v>3683</v>
      </c>
      <c r="S24">
        <v>11018</v>
      </c>
      <c r="T24">
        <v>3802</v>
      </c>
      <c r="U24">
        <v>10420</v>
      </c>
      <c r="V24">
        <v>2363</v>
      </c>
      <c r="W24">
        <v>1381</v>
      </c>
      <c r="X24">
        <v>1526</v>
      </c>
      <c r="Y24">
        <v>3431</v>
      </c>
      <c r="Z24">
        <v>1102</v>
      </c>
      <c r="AA24">
        <v>2393</v>
      </c>
      <c r="AB24">
        <v>2208</v>
      </c>
      <c r="AC24">
        <v>7597</v>
      </c>
      <c r="AD24">
        <v>379</v>
      </c>
      <c r="AE24">
        <v>7061</v>
      </c>
      <c r="AF24">
        <v>333</v>
      </c>
      <c r="AG24">
        <v>7165</v>
      </c>
      <c r="AH24">
        <v>41968</v>
      </c>
      <c r="AI24">
        <v>1018</v>
      </c>
      <c r="AJ24">
        <v>34530</v>
      </c>
      <c r="AK24">
        <v>703</v>
      </c>
      <c r="AL24">
        <v>78671</v>
      </c>
      <c r="AM24">
        <v>470</v>
      </c>
      <c r="AN24">
        <v>3380</v>
      </c>
      <c r="AO24">
        <v>381</v>
      </c>
      <c r="AP24">
        <v>2532</v>
      </c>
      <c r="AQ24">
        <v>760</v>
      </c>
      <c r="AR24">
        <v>514</v>
      </c>
      <c r="AS24">
        <v>403</v>
      </c>
      <c r="AT24">
        <v>415</v>
      </c>
      <c r="AU24">
        <v>232</v>
      </c>
      <c r="AV24">
        <v>996</v>
      </c>
      <c r="AW24">
        <v>587</v>
      </c>
      <c r="AX24">
        <v>702</v>
      </c>
      <c r="AY24">
        <v>535</v>
      </c>
      <c r="AZ24">
        <v>663</v>
      </c>
      <c r="BA24">
        <v>1598</v>
      </c>
      <c r="BB24">
        <v>207</v>
      </c>
      <c r="BC24">
        <v>1374</v>
      </c>
      <c r="BD24">
        <v>366</v>
      </c>
      <c r="BE24">
        <v>2357</v>
      </c>
      <c r="BF24">
        <v>1403</v>
      </c>
      <c r="BG24">
        <v>20</v>
      </c>
      <c r="BH24">
        <v>1684</v>
      </c>
      <c r="BI24">
        <v>20</v>
      </c>
      <c r="BJ24">
        <v>1684</v>
      </c>
      <c r="BK24">
        <v>0</v>
      </c>
    </row>
    <row r="25" spans="1:63" x14ac:dyDescent="0.4">
      <c r="A25" s="1" t="s">
        <v>38</v>
      </c>
      <c r="B25" s="1" t="s">
        <v>39</v>
      </c>
      <c r="C25">
        <v>5782</v>
      </c>
      <c r="D25">
        <v>681</v>
      </c>
      <c r="E25">
        <v>7134</v>
      </c>
      <c r="F25">
        <v>888</v>
      </c>
      <c r="G25">
        <v>12181</v>
      </c>
      <c r="H25">
        <v>476</v>
      </c>
      <c r="I25">
        <v>584</v>
      </c>
      <c r="J25">
        <v>404</v>
      </c>
      <c r="K25">
        <v>515</v>
      </c>
      <c r="L25">
        <v>660</v>
      </c>
      <c r="M25">
        <v>1960</v>
      </c>
      <c r="N25">
        <v>2628</v>
      </c>
      <c r="O25">
        <v>1576</v>
      </c>
      <c r="P25">
        <v>2060</v>
      </c>
      <c r="Q25">
        <v>3300</v>
      </c>
      <c r="R25">
        <v>4153</v>
      </c>
      <c r="S25">
        <v>12374</v>
      </c>
      <c r="T25">
        <v>4121</v>
      </c>
      <c r="U25">
        <v>11929</v>
      </c>
      <c r="V25">
        <v>2385</v>
      </c>
      <c r="W25">
        <v>1307</v>
      </c>
      <c r="X25">
        <v>1525</v>
      </c>
      <c r="Y25">
        <v>3226</v>
      </c>
      <c r="Z25">
        <v>1630</v>
      </c>
      <c r="AA25">
        <v>3584</v>
      </c>
      <c r="AB25">
        <v>2063</v>
      </c>
      <c r="AC25">
        <v>9127</v>
      </c>
      <c r="AD25">
        <v>437</v>
      </c>
      <c r="AE25">
        <v>9465</v>
      </c>
      <c r="AF25">
        <v>482</v>
      </c>
      <c r="AG25">
        <v>6891</v>
      </c>
      <c r="AH25">
        <v>52617</v>
      </c>
      <c r="AI25">
        <v>1233</v>
      </c>
      <c r="AJ25">
        <v>56686</v>
      </c>
      <c r="AK25">
        <v>1323</v>
      </c>
      <c r="AL25">
        <v>75636</v>
      </c>
      <c r="AM25">
        <v>550</v>
      </c>
      <c r="AN25">
        <v>3893</v>
      </c>
      <c r="AO25">
        <v>450</v>
      </c>
      <c r="AP25">
        <v>2968</v>
      </c>
      <c r="AQ25">
        <v>861</v>
      </c>
      <c r="AR25">
        <v>431</v>
      </c>
      <c r="AS25">
        <v>399</v>
      </c>
      <c r="AT25">
        <v>212</v>
      </c>
      <c r="AU25">
        <v>148</v>
      </c>
      <c r="AV25">
        <v>1215</v>
      </c>
      <c r="AW25">
        <v>727</v>
      </c>
      <c r="AX25">
        <v>851</v>
      </c>
      <c r="AY25">
        <v>787</v>
      </c>
      <c r="AZ25">
        <v>930</v>
      </c>
      <c r="BA25">
        <v>1537</v>
      </c>
      <c r="BB25">
        <v>263</v>
      </c>
      <c r="BC25">
        <v>2556</v>
      </c>
      <c r="BD25">
        <v>399</v>
      </c>
      <c r="BE25">
        <v>3290</v>
      </c>
      <c r="BF25">
        <v>1406</v>
      </c>
      <c r="BG25">
        <v>18</v>
      </c>
      <c r="BH25">
        <v>128</v>
      </c>
      <c r="BI25">
        <v>17</v>
      </c>
      <c r="BJ25">
        <v>112</v>
      </c>
      <c r="BK25">
        <v>1</v>
      </c>
    </row>
    <row r="26" spans="1:63" x14ac:dyDescent="0.4">
      <c r="A26" s="1" t="s">
        <v>40</v>
      </c>
      <c r="B26" s="1" t="s">
        <v>41</v>
      </c>
      <c r="C26">
        <v>5321</v>
      </c>
      <c r="D26">
        <v>685</v>
      </c>
      <c r="E26">
        <v>9095</v>
      </c>
      <c r="F26">
        <v>1213</v>
      </c>
      <c r="G26">
        <v>10314</v>
      </c>
      <c r="H26">
        <v>656</v>
      </c>
      <c r="I26">
        <v>1175</v>
      </c>
      <c r="J26">
        <v>604</v>
      </c>
      <c r="K26">
        <v>794</v>
      </c>
      <c r="L26">
        <v>712</v>
      </c>
      <c r="M26">
        <v>2014</v>
      </c>
      <c r="N26">
        <v>2799</v>
      </c>
      <c r="O26">
        <v>2801</v>
      </c>
      <c r="P26">
        <v>3507</v>
      </c>
      <c r="Q26">
        <v>2513</v>
      </c>
      <c r="R26">
        <v>4718</v>
      </c>
      <c r="S26">
        <v>15792</v>
      </c>
      <c r="T26">
        <v>4938</v>
      </c>
      <c r="U26">
        <v>16114</v>
      </c>
      <c r="V26">
        <v>2145</v>
      </c>
      <c r="W26">
        <v>1535</v>
      </c>
      <c r="X26">
        <v>1625</v>
      </c>
      <c r="Y26">
        <v>3400</v>
      </c>
      <c r="Z26">
        <v>1958</v>
      </c>
      <c r="AA26">
        <v>4335</v>
      </c>
      <c r="AB26">
        <v>1657</v>
      </c>
      <c r="AC26">
        <v>10608</v>
      </c>
      <c r="AD26">
        <v>498</v>
      </c>
      <c r="AE26">
        <v>10650</v>
      </c>
      <c r="AF26">
        <v>536</v>
      </c>
      <c r="AG26">
        <v>7333</v>
      </c>
      <c r="AH26">
        <v>52261</v>
      </c>
      <c r="AI26">
        <v>1196</v>
      </c>
      <c r="AJ26">
        <v>61217</v>
      </c>
      <c r="AK26">
        <v>1460</v>
      </c>
      <c r="AL26">
        <v>67707</v>
      </c>
      <c r="AM26">
        <v>957</v>
      </c>
      <c r="AN26">
        <v>6427</v>
      </c>
      <c r="AO26">
        <v>723</v>
      </c>
      <c r="AP26">
        <v>4592</v>
      </c>
      <c r="AQ26">
        <v>1095</v>
      </c>
      <c r="AR26">
        <v>434</v>
      </c>
      <c r="AS26">
        <v>335</v>
      </c>
      <c r="AT26">
        <v>729</v>
      </c>
      <c r="AU26">
        <v>497</v>
      </c>
      <c r="AV26">
        <v>919</v>
      </c>
      <c r="AW26">
        <v>904</v>
      </c>
      <c r="AX26">
        <v>1228</v>
      </c>
      <c r="AY26">
        <v>1090</v>
      </c>
      <c r="AZ26">
        <v>1358</v>
      </c>
      <c r="BA26">
        <v>1351</v>
      </c>
      <c r="BB26">
        <v>270</v>
      </c>
      <c r="BC26">
        <v>2393</v>
      </c>
      <c r="BD26">
        <v>485</v>
      </c>
      <c r="BE26">
        <v>3535</v>
      </c>
      <c r="BF26">
        <v>1402</v>
      </c>
      <c r="BG26">
        <v>38</v>
      </c>
      <c r="BH26">
        <v>1364</v>
      </c>
      <c r="BI26">
        <v>38</v>
      </c>
      <c r="BJ26">
        <v>1383</v>
      </c>
      <c r="BK26">
        <v>1</v>
      </c>
    </row>
    <row r="27" spans="1:63" x14ac:dyDescent="0.4">
      <c r="A27" s="1" t="s">
        <v>42</v>
      </c>
      <c r="B27" s="1" t="s">
        <v>43</v>
      </c>
      <c r="C27">
        <v>6360</v>
      </c>
      <c r="D27">
        <v>781</v>
      </c>
      <c r="E27">
        <v>9265</v>
      </c>
      <c r="F27">
        <v>1209</v>
      </c>
      <c r="G27">
        <v>9025</v>
      </c>
      <c r="H27">
        <v>589</v>
      </c>
      <c r="I27">
        <v>563</v>
      </c>
      <c r="J27">
        <v>656</v>
      </c>
      <c r="K27">
        <v>925</v>
      </c>
      <c r="L27">
        <v>645</v>
      </c>
      <c r="M27">
        <v>2480</v>
      </c>
      <c r="N27">
        <v>3290</v>
      </c>
      <c r="O27">
        <v>2771</v>
      </c>
      <c r="P27">
        <v>3623</v>
      </c>
      <c r="Q27">
        <v>2222</v>
      </c>
      <c r="R27">
        <v>5072</v>
      </c>
      <c r="S27">
        <v>16123</v>
      </c>
      <c r="T27">
        <v>5038</v>
      </c>
      <c r="U27">
        <v>16547</v>
      </c>
      <c r="V27">
        <v>2169</v>
      </c>
      <c r="W27">
        <v>1827</v>
      </c>
      <c r="X27">
        <v>1583</v>
      </c>
      <c r="Y27">
        <v>3435</v>
      </c>
      <c r="Z27">
        <v>2010</v>
      </c>
      <c r="AA27">
        <v>4418</v>
      </c>
      <c r="AB27">
        <v>1123</v>
      </c>
      <c r="AC27">
        <v>10050</v>
      </c>
      <c r="AD27">
        <v>520</v>
      </c>
      <c r="AE27">
        <v>10783</v>
      </c>
      <c r="AF27">
        <v>560</v>
      </c>
      <c r="AG27">
        <v>7098</v>
      </c>
      <c r="AH27">
        <v>61725</v>
      </c>
      <c r="AI27">
        <v>1295</v>
      </c>
      <c r="AJ27">
        <v>62292</v>
      </c>
      <c r="AK27">
        <v>1324</v>
      </c>
      <c r="AL27">
        <v>68169</v>
      </c>
      <c r="AM27">
        <v>1323</v>
      </c>
      <c r="AN27">
        <v>8744</v>
      </c>
      <c r="AO27">
        <v>799</v>
      </c>
      <c r="AP27">
        <v>5420</v>
      </c>
      <c r="AQ27">
        <v>1619</v>
      </c>
      <c r="AR27">
        <v>566</v>
      </c>
      <c r="AS27">
        <v>557</v>
      </c>
      <c r="AT27">
        <v>462</v>
      </c>
      <c r="AU27">
        <v>355</v>
      </c>
      <c r="AV27">
        <v>969</v>
      </c>
      <c r="AW27">
        <v>862</v>
      </c>
      <c r="AX27">
        <v>1000</v>
      </c>
      <c r="AY27">
        <v>733</v>
      </c>
      <c r="AZ27">
        <v>897</v>
      </c>
      <c r="BA27">
        <v>1480</v>
      </c>
      <c r="BB27">
        <v>179</v>
      </c>
      <c r="BC27">
        <v>1017</v>
      </c>
      <c r="BD27">
        <v>316</v>
      </c>
      <c r="BE27">
        <v>1302</v>
      </c>
      <c r="BF27">
        <v>1480</v>
      </c>
      <c r="BG27">
        <v>19</v>
      </c>
      <c r="BH27">
        <v>676</v>
      </c>
      <c r="BI27">
        <v>14</v>
      </c>
      <c r="BJ27">
        <v>283</v>
      </c>
      <c r="BK27">
        <v>6</v>
      </c>
    </row>
    <row r="28" spans="1:63" x14ac:dyDescent="0.4">
      <c r="A28" s="1" t="s">
        <v>44</v>
      </c>
      <c r="B28" s="1" t="s">
        <v>45</v>
      </c>
      <c r="C28">
        <v>4959</v>
      </c>
      <c r="D28">
        <v>652</v>
      </c>
      <c r="E28">
        <v>6908</v>
      </c>
      <c r="F28">
        <v>970</v>
      </c>
      <c r="G28">
        <v>8624</v>
      </c>
      <c r="H28">
        <v>542</v>
      </c>
      <c r="I28">
        <v>802</v>
      </c>
      <c r="J28">
        <v>581</v>
      </c>
      <c r="K28">
        <v>777</v>
      </c>
      <c r="L28">
        <v>606</v>
      </c>
      <c r="M28">
        <v>2052</v>
      </c>
      <c r="N28">
        <v>2913</v>
      </c>
      <c r="O28">
        <v>2440</v>
      </c>
      <c r="P28">
        <v>3313</v>
      </c>
      <c r="Q28">
        <v>1827</v>
      </c>
      <c r="R28">
        <v>3456</v>
      </c>
      <c r="S28">
        <v>11450</v>
      </c>
      <c r="T28">
        <v>3678</v>
      </c>
      <c r="U28">
        <v>11771</v>
      </c>
      <c r="V28">
        <v>1942</v>
      </c>
      <c r="W28">
        <v>1225</v>
      </c>
      <c r="X28">
        <v>1321</v>
      </c>
      <c r="Y28">
        <v>2700</v>
      </c>
      <c r="Z28">
        <v>1381</v>
      </c>
      <c r="AA28">
        <v>2941</v>
      </c>
      <c r="AB28">
        <v>952</v>
      </c>
      <c r="AC28">
        <v>9024</v>
      </c>
      <c r="AD28">
        <v>510</v>
      </c>
      <c r="AE28">
        <v>10058</v>
      </c>
      <c r="AF28">
        <v>559</v>
      </c>
      <c r="AG28">
        <v>6200</v>
      </c>
      <c r="AH28">
        <v>61205</v>
      </c>
      <c r="AI28">
        <v>1259</v>
      </c>
      <c r="AJ28">
        <v>61765</v>
      </c>
      <c r="AK28">
        <v>1356</v>
      </c>
      <c r="AL28">
        <v>68226</v>
      </c>
      <c r="AM28">
        <v>1151</v>
      </c>
      <c r="AN28">
        <v>7954</v>
      </c>
      <c r="AO28">
        <v>1052</v>
      </c>
      <c r="AP28">
        <v>7190</v>
      </c>
      <c r="AQ28">
        <v>1718</v>
      </c>
      <c r="AR28">
        <v>515</v>
      </c>
      <c r="AS28">
        <v>417</v>
      </c>
      <c r="AT28">
        <v>345</v>
      </c>
      <c r="AU28">
        <v>277</v>
      </c>
      <c r="AV28">
        <v>1122</v>
      </c>
      <c r="AW28">
        <v>1032</v>
      </c>
      <c r="AX28">
        <v>1299</v>
      </c>
      <c r="AY28">
        <v>717</v>
      </c>
      <c r="AZ28">
        <v>848</v>
      </c>
      <c r="BA28">
        <v>1795</v>
      </c>
      <c r="BB28">
        <v>250</v>
      </c>
      <c r="BC28">
        <v>1048</v>
      </c>
      <c r="BD28">
        <v>274</v>
      </c>
      <c r="BE28">
        <v>1280</v>
      </c>
      <c r="BF28">
        <v>1674</v>
      </c>
      <c r="BG28">
        <v>14</v>
      </c>
      <c r="BH28">
        <v>208</v>
      </c>
      <c r="BI28">
        <v>11</v>
      </c>
      <c r="BJ28">
        <v>119</v>
      </c>
      <c r="BK28">
        <v>9</v>
      </c>
    </row>
    <row r="29" spans="1:63" x14ac:dyDescent="0.4">
      <c r="A29" s="1" t="s">
        <v>46</v>
      </c>
      <c r="B29" s="1" t="s">
        <v>47</v>
      </c>
      <c r="C29">
        <v>5267</v>
      </c>
      <c r="D29">
        <v>673</v>
      </c>
      <c r="E29">
        <v>7767</v>
      </c>
      <c r="F29">
        <v>1077</v>
      </c>
      <c r="G29">
        <v>8132</v>
      </c>
      <c r="H29">
        <v>466</v>
      </c>
      <c r="I29">
        <v>505</v>
      </c>
      <c r="J29">
        <v>635</v>
      </c>
      <c r="K29">
        <v>847</v>
      </c>
      <c r="L29">
        <v>437</v>
      </c>
      <c r="M29">
        <v>1977</v>
      </c>
      <c r="N29">
        <v>2935</v>
      </c>
      <c r="O29">
        <v>2224</v>
      </c>
      <c r="P29">
        <v>3507</v>
      </c>
      <c r="Q29">
        <v>1565</v>
      </c>
      <c r="R29">
        <v>4886</v>
      </c>
      <c r="S29">
        <v>14957</v>
      </c>
      <c r="T29">
        <v>5102</v>
      </c>
      <c r="U29">
        <v>16159</v>
      </c>
      <c r="V29">
        <v>1718</v>
      </c>
      <c r="W29">
        <v>983</v>
      </c>
      <c r="X29">
        <v>913</v>
      </c>
      <c r="Y29">
        <v>1642</v>
      </c>
      <c r="Z29">
        <v>1100</v>
      </c>
      <c r="AA29">
        <v>2311</v>
      </c>
      <c r="AB29">
        <v>735</v>
      </c>
      <c r="AC29">
        <v>9600</v>
      </c>
      <c r="AD29">
        <v>565</v>
      </c>
      <c r="AE29">
        <v>10807</v>
      </c>
      <c r="AF29">
        <v>630</v>
      </c>
      <c r="AG29">
        <v>5107</v>
      </c>
      <c r="AH29">
        <v>59986</v>
      </c>
      <c r="AI29">
        <v>1286</v>
      </c>
      <c r="AJ29">
        <v>63553</v>
      </c>
      <c r="AK29">
        <v>1364</v>
      </c>
      <c r="AL29">
        <v>65230</v>
      </c>
      <c r="AM29">
        <v>1628</v>
      </c>
      <c r="AN29">
        <v>9921</v>
      </c>
      <c r="AO29">
        <v>1862</v>
      </c>
      <c r="AP29">
        <v>11934</v>
      </c>
      <c r="AQ29">
        <v>1484</v>
      </c>
      <c r="AR29">
        <v>764</v>
      </c>
      <c r="AS29">
        <v>587</v>
      </c>
      <c r="AT29">
        <v>673</v>
      </c>
      <c r="AU29">
        <v>536</v>
      </c>
      <c r="AV29">
        <v>1211</v>
      </c>
      <c r="AW29">
        <v>985</v>
      </c>
      <c r="AX29">
        <v>1301</v>
      </c>
      <c r="AY29">
        <v>1159</v>
      </c>
      <c r="AZ29">
        <v>1512</v>
      </c>
      <c r="BA29">
        <v>1621</v>
      </c>
      <c r="BB29">
        <v>190</v>
      </c>
      <c r="BC29">
        <v>1898</v>
      </c>
      <c r="BD29">
        <v>322</v>
      </c>
      <c r="BE29">
        <v>1868</v>
      </c>
      <c r="BF29">
        <v>1639</v>
      </c>
      <c r="BG29">
        <v>14</v>
      </c>
      <c r="BH29">
        <v>807</v>
      </c>
      <c r="BI29">
        <v>18</v>
      </c>
      <c r="BJ29">
        <v>1215</v>
      </c>
      <c r="BK29">
        <v>5</v>
      </c>
    </row>
    <row r="30" spans="1:63" x14ac:dyDescent="0.4">
      <c r="A30" s="1" t="s">
        <v>48</v>
      </c>
      <c r="B30" s="1" t="s">
        <v>49</v>
      </c>
      <c r="C30">
        <v>5061</v>
      </c>
      <c r="D30">
        <v>646</v>
      </c>
      <c r="E30">
        <v>6127</v>
      </c>
      <c r="F30">
        <v>836</v>
      </c>
      <c r="G30">
        <v>9251</v>
      </c>
      <c r="H30">
        <v>443</v>
      </c>
      <c r="I30">
        <v>694</v>
      </c>
      <c r="J30">
        <v>455</v>
      </c>
      <c r="K30">
        <v>665</v>
      </c>
      <c r="L30">
        <v>425</v>
      </c>
      <c r="M30">
        <v>2354</v>
      </c>
      <c r="N30">
        <v>3152</v>
      </c>
      <c r="O30">
        <v>2106</v>
      </c>
      <c r="P30">
        <v>2788</v>
      </c>
      <c r="Q30">
        <v>1773</v>
      </c>
      <c r="R30">
        <v>5135</v>
      </c>
      <c r="S30">
        <v>14386</v>
      </c>
      <c r="T30">
        <v>4988</v>
      </c>
      <c r="U30">
        <v>14122</v>
      </c>
      <c r="V30">
        <v>1862</v>
      </c>
      <c r="W30">
        <v>1144</v>
      </c>
      <c r="X30">
        <v>944</v>
      </c>
      <c r="Y30">
        <v>1718</v>
      </c>
      <c r="Z30">
        <v>862</v>
      </c>
      <c r="AA30">
        <v>1577</v>
      </c>
      <c r="AB30">
        <v>753</v>
      </c>
      <c r="AC30">
        <v>9602</v>
      </c>
      <c r="AD30">
        <v>596</v>
      </c>
      <c r="AE30">
        <v>10490</v>
      </c>
      <c r="AF30">
        <v>672</v>
      </c>
      <c r="AG30">
        <v>4562</v>
      </c>
      <c r="AH30">
        <v>68865</v>
      </c>
      <c r="AI30">
        <v>1424</v>
      </c>
      <c r="AJ30">
        <v>67950</v>
      </c>
      <c r="AK30">
        <v>1436</v>
      </c>
      <c r="AL30">
        <v>66709</v>
      </c>
      <c r="AM30">
        <v>1828</v>
      </c>
      <c r="AN30">
        <v>11471</v>
      </c>
      <c r="AO30">
        <v>2161</v>
      </c>
      <c r="AP30">
        <v>14075</v>
      </c>
      <c r="AQ30">
        <v>1150</v>
      </c>
      <c r="AR30">
        <v>504</v>
      </c>
      <c r="AS30">
        <v>337</v>
      </c>
      <c r="AT30">
        <v>894</v>
      </c>
      <c r="AU30">
        <v>636</v>
      </c>
      <c r="AV30">
        <v>776</v>
      </c>
      <c r="AW30">
        <v>1285</v>
      </c>
      <c r="AX30">
        <v>1673</v>
      </c>
      <c r="AY30">
        <v>1638</v>
      </c>
      <c r="AZ30">
        <v>2103</v>
      </c>
      <c r="BA30">
        <v>1268</v>
      </c>
      <c r="BB30">
        <v>196</v>
      </c>
      <c r="BC30">
        <v>1523</v>
      </c>
      <c r="BD30">
        <v>318</v>
      </c>
      <c r="BE30">
        <v>1604</v>
      </c>
      <c r="BF30">
        <v>1613</v>
      </c>
      <c r="BG30">
        <v>13</v>
      </c>
      <c r="BH30">
        <v>1384</v>
      </c>
      <c r="BI30">
        <v>9</v>
      </c>
      <c r="BJ30">
        <v>243</v>
      </c>
      <c r="BK30">
        <v>9</v>
      </c>
    </row>
    <row r="31" spans="1:63" x14ac:dyDescent="0.4">
      <c r="A31" s="1" t="s">
        <v>50</v>
      </c>
      <c r="B31" s="1" t="s">
        <v>51</v>
      </c>
      <c r="C31">
        <v>4365</v>
      </c>
      <c r="D31">
        <v>550</v>
      </c>
      <c r="E31">
        <v>4871</v>
      </c>
      <c r="F31">
        <v>620</v>
      </c>
      <c r="G31">
        <v>10416</v>
      </c>
      <c r="H31">
        <v>282</v>
      </c>
      <c r="I31">
        <v>347</v>
      </c>
      <c r="J31">
        <v>263</v>
      </c>
      <c r="K31">
        <v>317</v>
      </c>
      <c r="L31">
        <v>444</v>
      </c>
      <c r="M31">
        <v>1799</v>
      </c>
      <c r="N31">
        <v>2488</v>
      </c>
      <c r="O31">
        <v>1565</v>
      </c>
      <c r="P31">
        <v>2216</v>
      </c>
      <c r="Q31">
        <v>1997</v>
      </c>
      <c r="R31">
        <v>3295</v>
      </c>
      <c r="S31">
        <v>9486</v>
      </c>
      <c r="T31">
        <v>3233</v>
      </c>
      <c r="U31">
        <v>9202</v>
      </c>
      <c r="V31">
        <v>1924</v>
      </c>
      <c r="W31">
        <v>1129</v>
      </c>
      <c r="X31">
        <v>627</v>
      </c>
      <c r="Y31">
        <v>1296</v>
      </c>
      <c r="Z31">
        <v>476</v>
      </c>
      <c r="AA31">
        <v>936</v>
      </c>
      <c r="AB31">
        <v>851</v>
      </c>
      <c r="AC31">
        <v>9298</v>
      </c>
      <c r="AD31">
        <v>400</v>
      </c>
      <c r="AE31">
        <v>8129</v>
      </c>
      <c r="AF31">
        <v>358</v>
      </c>
      <c r="AG31">
        <v>5785</v>
      </c>
      <c r="AH31">
        <v>48527</v>
      </c>
      <c r="AI31">
        <v>1099</v>
      </c>
      <c r="AJ31">
        <v>50445</v>
      </c>
      <c r="AK31">
        <v>1079</v>
      </c>
      <c r="AL31">
        <v>66285</v>
      </c>
      <c r="AM31">
        <v>1455</v>
      </c>
      <c r="AN31">
        <v>9112</v>
      </c>
      <c r="AO31">
        <v>1740</v>
      </c>
      <c r="AP31">
        <v>11557</v>
      </c>
      <c r="AQ31">
        <v>865</v>
      </c>
      <c r="AR31">
        <v>430</v>
      </c>
      <c r="AS31">
        <v>410</v>
      </c>
      <c r="AT31">
        <v>519</v>
      </c>
      <c r="AU31">
        <v>474</v>
      </c>
      <c r="AV31">
        <v>744</v>
      </c>
      <c r="AW31">
        <v>1046</v>
      </c>
      <c r="AX31">
        <v>1243</v>
      </c>
      <c r="AY31">
        <v>1214</v>
      </c>
      <c r="AZ31">
        <v>1567</v>
      </c>
      <c r="BA31">
        <v>1070</v>
      </c>
      <c r="BB31">
        <v>174</v>
      </c>
      <c r="BC31">
        <v>2116</v>
      </c>
      <c r="BD31">
        <v>292</v>
      </c>
      <c r="BE31">
        <v>2376</v>
      </c>
      <c r="BF31">
        <v>1605</v>
      </c>
      <c r="BG31">
        <v>22</v>
      </c>
      <c r="BH31">
        <v>1299</v>
      </c>
      <c r="BI31">
        <v>31</v>
      </c>
      <c r="BJ31">
        <v>2504</v>
      </c>
      <c r="BK31">
        <v>0</v>
      </c>
    </row>
    <row r="32" spans="1:63" x14ac:dyDescent="0.4">
      <c r="A32" s="1" t="s">
        <v>52</v>
      </c>
      <c r="B32" s="1" t="s">
        <v>53</v>
      </c>
      <c r="C32">
        <v>4357</v>
      </c>
      <c r="D32">
        <v>536</v>
      </c>
      <c r="E32">
        <v>5529</v>
      </c>
      <c r="F32">
        <v>759</v>
      </c>
      <c r="G32">
        <v>9956</v>
      </c>
      <c r="H32">
        <v>494</v>
      </c>
      <c r="I32">
        <v>623</v>
      </c>
      <c r="J32">
        <v>420</v>
      </c>
      <c r="K32">
        <v>543</v>
      </c>
      <c r="L32">
        <v>518</v>
      </c>
      <c r="M32">
        <v>1978</v>
      </c>
      <c r="N32">
        <v>2701</v>
      </c>
      <c r="O32">
        <v>2331</v>
      </c>
      <c r="P32">
        <v>3173</v>
      </c>
      <c r="Q32">
        <v>1637</v>
      </c>
      <c r="R32">
        <v>5510</v>
      </c>
      <c r="S32">
        <v>15654</v>
      </c>
      <c r="T32">
        <v>5646</v>
      </c>
      <c r="U32">
        <v>16692</v>
      </c>
      <c r="V32">
        <v>1784</v>
      </c>
      <c r="W32">
        <v>1595</v>
      </c>
      <c r="X32">
        <v>600</v>
      </c>
      <c r="Y32">
        <v>1358</v>
      </c>
      <c r="Z32">
        <v>815</v>
      </c>
      <c r="AA32">
        <v>1987</v>
      </c>
      <c r="AB32">
        <v>580</v>
      </c>
      <c r="AC32">
        <v>10446</v>
      </c>
      <c r="AD32">
        <v>570</v>
      </c>
      <c r="AE32">
        <v>9731</v>
      </c>
      <c r="AF32">
        <v>510</v>
      </c>
      <c r="AG32">
        <v>6506</v>
      </c>
      <c r="AH32">
        <v>57599</v>
      </c>
      <c r="AI32">
        <v>1214</v>
      </c>
      <c r="AJ32">
        <v>54582</v>
      </c>
      <c r="AK32">
        <v>1178</v>
      </c>
      <c r="AL32">
        <v>70773</v>
      </c>
      <c r="AM32">
        <v>1303</v>
      </c>
      <c r="AN32">
        <v>8251</v>
      </c>
      <c r="AO32">
        <v>1562</v>
      </c>
      <c r="AP32">
        <v>10125</v>
      </c>
      <c r="AQ32">
        <v>606</v>
      </c>
      <c r="AR32">
        <v>462</v>
      </c>
      <c r="AS32">
        <v>345</v>
      </c>
      <c r="AT32">
        <v>732</v>
      </c>
      <c r="AU32">
        <v>383</v>
      </c>
      <c r="AV32">
        <v>452</v>
      </c>
      <c r="AW32">
        <v>1161</v>
      </c>
      <c r="AX32">
        <v>1434</v>
      </c>
      <c r="AY32">
        <v>1185</v>
      </c>
      <c r="AZ32">
        <v>1404</v>
      </c>
      <c r="BA32">
        <v>1046</v>
      </c>
      <c r="BB32">
        <v>177</v>
      </c>
      <c r="BC32">
        <v>2286</v>
      </c>
      <c r="BD32">
        <v>413</v>
      </c>
      <c r="BE32">
        <v>2410</v>
      </c>
      <c r="BF32">
        <v>1461</v>
      </c>
      <c r="BG32">
        <v>28</v>
      </c>
      <c r="BH32">
        <v>2742</v>
      </c>
      <c r="BI32">
        <v>27</v>
      </c>
      <c r="BJ32">
        <v>2727</v>
      </c>
      <c r="BK32">
        <v>1</v>
      </c>
    </row>
    <row r="33" spans="1:63" x14ac:dyDescent="0.4">
      <c r="A33" s="1" t="s">
        <v>54</v>
      </c>
      <c r="B33" s="1" t="s">
        <v>55</v>
      </c>
      <c r="C33">
        <v>3902</v>
      </c>
      <c r="D33">
        <v>432</v>
      </c>
      <c r="E33">
        <v>4318</v>
      </c>
      <c r="F33">
        <v>533</v>
      </c>
      <c r="G33">
        <v>9548</v>
      </c>
      <c r="H33">
        <v>350</v>
      </c>
      <c r="I33">
        <v>553</v>
      </c>
      <c r="J33">
        <v>422</v>
      </c>
      <c r="K33">
        <v>565</v>
      </c>
      <c r="L33">
        <v>446</v>
      </c>
      <c r="M33">
        <v>2590</v>
      </c>
      <c r="N33">
        <v>3653</v>
      </c>
      <c r="O33">
        <v>2430</v>
      </c>
      <c r="P33">
        <v>3352</v>
      </c>
      <c r="Q33">
        <v>1789</v>
      </c>
      <c r="R33">
        <v>5727</v>
      </c>
      <c r="S33">
        <v>17460</v>
      </c>
      <c r="T33">
        <v>5603</v>
      </c>
      <c r="U33">
        <v>17315</v>
      </c>
      <c r="V33">
        <v>1869</v>
      </c>
      <c r="W33">
        <v>1624</v>
      </c>
      <c r="X33">
        <v>720</v>
      </c>
      <c r="Y33">
        <v>1537</v>
      </c>
      <c r="Z33">
        <v>676</v>
      </c>
      <c r="AA33">
        <v>1555</v>
      </c>
      <c r="AB33">
        <v>559</v>
      </c>
      <c r="AC33">
        <v>8449</v>
      </c>
      <c r="AD33">
        <v>491</v>
      </c>
      <c r="AE33">
        <v>9037</v>
      </c>
      <c r="AF33">
        <v>540</v>
      </c>
      <c r="AG33">
        <v>6167</v>
      </c>
      <c r="AH33">
        <v>57948</v>
      </c>
      <c r="AI33">
        <v>1214</v>
      </c>
      <c r="AJ33">
        <v>50236</v>
      </c>
      <c r="AK33">
        <v>1029</v>
      </c>
      <c r="AL33">
        <v>79566</v>
      </c>
      <c r="AM33">
        <v>479</v>
      </c>
      <c r="AN33">
        <v>3088</v>
      </c>
      <c r="AO33">
        <v>475</v>
      </c>
      <c r="AP33">
        <v>3203</v>
      </c>
      <c r="AQ33">
        <v>610</v>
      </c>
      <c r="AR33">
        <v>454</v>
      </c>
      <c r="AS33">
        <v>374</v>
      </c>
      <c r="AT33">
        <v>371</v>
      </c>
      <c r="AU33">
        <v>233</v>
      </c>
      <c r="AV33">
        <v>521</v>
      </c>
      <c r="AW33">
        <v>1057</v>
      </c>
      <c r="AX33">
        <v>1221</v>
      </c>
      <c r="AY33">
        <v>866</v>
      </c>
      <c r="AZ33">
        <v>944</v>
      </c>
      <c r="BA33">
        <v>1237</v>
      </c>
      <c r="BB33">
        <v>264</v>
      </c>
      <c r="BC33">
        <v>1827</v>
      </c>
      <c r="BD33">
        <v>286</v>
      </c>
      <c r="BE33">
        <v>1537</v>
      </c>
      <c r="BF33">
        <v>1520</v>
      </c>
      <c r="BG33">
        <v>11</v>
      </c>
      <c r="BH33">
        <v>307</v>
      </c>
      <c r="BI33">
        <v>11</v>
      </c>
      <c r="BJ33">
        <v>307</v>
      </c>
      <c r="BK33">
        <v>1</v>
      </c>
    </row>
    <row r="34" spans="1:63" x14ac:dyDescent="0.4">
      <c r="A34" s="1" t="s">
        <v>56</v>
      </c>
      <c r="B34" s="1" t="s">
        <v>57</v>
      </c>
      <c r="C34">
        <v>5199</v>
      </c>
      <c r="D34">
        <v>615</v>
      </c>
      <c r="E34">
        <v>5928</v>
      </c>
      <c r="F34">
        <v>750</v>
      </c>
      <c r="G34">
        <v>9572</v>
      </c>
      <c r="H34">
        <v>436</v>
      </c>
      <c r="I34">
        <v>458</v>
      </c>
      <c r="J34">
        <v>489</v>
      </c>
      <c r="K34">
        <v>577</v>
      </c>
      <c r="L34">
        <v>393</v>
      </c>
      <c r="M34">
        <v>2230</v>
      </c>
      <c r="N34">
        <v>3069</v>
      </c>
      <c r="O34">
        <v>2565</v>
      </c>
      <c r="P34">
        <v>3438</v>
      </c>
      <c r="Q34">
        <v>1442</v>
      </c>
      <c r="R34">
        <v>5014</v>
      </c>
      <c r="S34">
        <v>16011</v>
      </c>
      <c r="T34">
        <v>4496</v>
      </c>
      <c r="U34">
        <v>13447</v>
      </c>
      <c r="V34">
        <v>2382</v>
      </c>
      <c r="W34">
        <v>1454</v>
      </c>
      <c r="X34">
        <v>884</v>
      </c>
      <c r="Y34">
        <v>2005</v>
      </c>
      <c r="Z34">
        <v>820</v>
      </c>
      <c r="AA34">
        <v>1924</v>
      </c>
      <c r="AB34">
        <v>588</v>
      </c>
      <c r="AC34">
        <v>7053</v>
      </c>
      <c r="AD34">
        <v>428</v>
      </c>
      <c r="AE34">
        <v>7002</v>
      </c>
      <c r="AF34">
        <v>446</v>
      </c>
      <c r="AG34">
        <v>6473</v>
      </c>
      <c r="AH34">
        <v>57156</v>
      </c>
      <c r="AI34">
        <v>1175</v>
      </c>
      <c r="AJ34">
        <v>48871</v>
      </c>
      <c r="AK34">
        <v>1031</v>
      </c>
      <c r="AL34">
        <v>88893</v>
      </c>
      <c r="AM34">
        <v>598</v>
      </c>
      <c r="AN34">
        <v>3838</v>
      </c>
      <c r="AO34">
        <v>499</v>
      </c>
      <c r="AP34">
        <v>3161</v>
      </c>
      <c r="AQ34">
        <v>709</v>
      </c>
      <c r="AR34">
        <v>627</v>
      </c>
      <c r="AS34">
        <v>384</v>
      </c>
      <c r="AT34">
        <v>745</v>
      </c>
      <c r="AU34">
        <v>444</v>
      </c>
      <c r="AV34">
        <v>394</v>
      </c>
      <c r="AW34">
        <v>821</v>
      </c>
      <c r="AX34">
        <v>1087</v>
      </c>
      <c r="AY34">
        <v>856</v>
      </c>
      <c r="AZ34">
        <v>1096</v>
      </c>
      <c r="BA34">
        <v>1202</v>
      </c>
      <c r="BB34">
        <v>165</v>
      </c>
      <c r="BC34">
        <v>1352</v>
      </c>
      <c r="BD34">
        <v>280</v>
      </c>
      <c r="BE34">
        <v>1606</v>
      </c>
      <c r="BF34">
        <v>1500</v>
      </c>
      <c r="BG34">
        <v>16</v>
      </c>
      <c r="BH34">
        <v>136</v>
      </c>
      <c r="BI34">
        <v>15</v>
      </c>
      <c r="BJ34">
        <v>129</v>
      </c>
      <c r="BK34">
        <v>2</v>
      </c>
    </row>
    <row r="35" spans="1:63" x14ac:dyDescent="0.4">
      <c r="A35" s="1" t="s">
        <v>58</v>
      </c>
      <c r="B35" s="1" t="s">
        <v>59</v>
      </c>
      <c r="C35">
        <v>5295</v>
      </c>
      <c r="D35">
        <v>597</v>
      </c>
      <c r="E35">
        <v>6339</v>
      </c>
      <c r="F35">
        <v>775</v>
      </c>
      <c r="G35">
        <v>9433</v>
      </c>
      <c r="H35">
        <v>479</v>
      </c>
      <c r="I35">
        <v>490</v>
      </c>
      <c r="J35">
        <v>465</v>
      </c>
      <c r="K35">
        <v>598</v>
      </c>
      <c r="L35">
        <v>407</v>
      </c>
      <c r="M35">
        <v>2684</v>
      </c>
      <c r="N35">
        <v>3607</v>
      </c>
      <c r="O35">
        <v>2530</v>
      </c>
      <c r="P35">
        <v>3328</v>
      </c>
      <c r="Q35">
        <v>1593</v>
      </c>
      <c r="R35">
        <v>6287</v>
      </c>
      <c r="S35">
        <v>18595</v>
      </c>
      <c r="T35">
        <v>6226</v>
      </c>
      <c r="U35">
        <v>18124</v>
      </c>
      <c r="V35">
        <v>2438</v>
      </c>
      <c r="W35">
        <v>1494</v>
      </c>
      <c r="X35">
        <v>1489</v>
      </c>
      <c r="Y35">
        <v>3847</v>
      </c>
      <c r="Z35">
        <v>1108</v>
      </c>
      <c r="AA35">
        <v>2728</v>
      </c>
      <c r="AB35">
        <v>903</v>
      </c>
      <c r="AC35">
        <v>6740</v>
      </c>
      <c r="AD35">
        <v>422</v>
      </c>
      <c r="AE35">
        <v>8316</v>
      </c>
      <c r="AF35">
        <v>510</v>
      </c>
      <c r="AG35">
        <v>4903</v>
      </c>
      <c r="AH35">
        <v>52387</v>
      </c>
      <c r="AI35">
        <v>1122</v>
      </c>
      <c r="AJ35">
        <v>69249</v>
      </c>
      <c r="AK35">
        <v>1476</v>
      </c>
      <c r="AL35">
        <v>72611</v>
      </c>
      <c r="AM35">
        <v>528</v>
      </c>
      <c r="AN35">
        <v>4070</v>
      </c>
      <c r="AO35">
        <v>489</v>
      </c>
      <c r="AP35">
        <v>3460</v>
      </c>
      <c r="AQ35">
        <v>382</v>
      </c>
      <c r="AR35">
        <v>340</v>
      </c>
      <c r="AS35">
        <v>357</v>
      </c>
      <c r="AT35">
        <v>302</v>
      </c>
      <c r="AU35">
        <v>190</v>
      </c>
      <c r="AV35">
        <v>595</v>
      </c>
      <c r="AW35">
        <v>964</v>
      </c>
      <c r="AX35">
        <v>1383</v>
      </c>
      <c r="AY35">
        <v>774</v>
      </c>
      <c r="AZ35">
        <v>985</v>
      </c>
      <c r="BA35">
        <v>1392</v>
      </c>
      <c r="BB35">
        <v>262</v>
      </c>
      <c r="BC35">
        <v>2324</v>
      </c>
      <c r="BD35">
        <v>433</v>
      </c>
      <c r="BE35">
        <v>2670</v>
      </c>
      <c r="BF35">
        <v>1410</v>
      </c>
      <c r="BG35">
        <v>25</v>
      </c>
      <c r="BH35">
        <v>1420</v>
      </c>
      <c r="BI35">
        <v>27</v>
      </c>
      <c r="BJ35">
        <v>1453</v>
      </c>
      <c r="BK35">
        <v>0</v>
      </c>
    </row>
    <row r="36" spans="1:63" x14ac:dyDescent="0.4">
      <c r="A36" s="1" t="s">
        <v>60</v>
      </c>
      <c r="B36" s="1" t="s">
        <v>61</v>
      </c>
      <c r="C36">
        <v>4686</v>
      </c>
      <c r="D36">
        <v>539</v>
      </c>
      <c r="E36">
        <v>5626</v>
      </c>
      <c r="F36">
        <v>708</v>
      </c>
      <c r="G36">
        <v>9950</v>
      </c>
      <c r="H36">
        <v>604</v>
      </c>
      <c r="I36">
        <v>647</v>
      </c>
      <c r="J36">
        <v>455</v>
      </c>
      <c r="K36">
        <v>485</v>
      </c>
      <c r="L36">
        <v>556</v>
      </c>
      <c r="M36">
        <v>1776</v>
      </c>
      <c r="N36">
        <v>2356</v>
      </c>
      <c r="O36">
        <v>1768</v>
      </c>
      <c r="P36">
        <v>2481</v>
      </c>
      <c r="Q36">
        <v>1600</v>
      </c>
      <c r="R36">
        <v>5244</v>
      </c>
      <c r="S36">
        <v>17633</v>
      </c>
      <c r="T36">
        <v>4698</v>
      </c>
      <c r="U36">
        <v>14509</v>
      </c>
      <c r="V36">
        <v>2981</v>
      </c>
      <c r="W36">
        <v>1876</v>
      </c>
      <c r="X36">
        <v>1743</v>
      </c>
      <c r="Y36">
        <v>4003</v>
      </c>
      <c r="Z36">
        <v>1592</v>
      </c>
      <c r="AA36">
        <v>3734</v>
      </c>
      <c r="AB36">
        <v>969</v>
      </c>
      <c r="AC36">
        <v>10646</v>
      </c>
      <c r="AD36">
        <v>541</v>
      </c>
      <c r="AE36">
        <v>10157</v>
      </c>
      <c r="AF36">
        <v>527</v>
      </c>
      <c r="AG36">
        <v>5406</v>
      </c>
      <c r="AH36">
        <v>64916</v>
      </c>
      <c r="AI36">
        <v>1422</v>
      </c>
      <c r="AJ36">
        <v>42297</v>
      </c>
      <c r="AK36">
        <v>908</v>
      </c>
      <c r="AL36">
        <v>95817</v>
      </c>
      <c r="AM36">
        <v>647</v>
      </c>
      <c r="AN36">
        <v>5156</v>
      </c>
      <c r="AO36">
        <v>435</v>
      </c>
      <c r="AP36">
        <v>2703</v>
      </c>
      <c r="AQ36">
        <v>594</v>
      </c>
      <c r="AR36">
        <v>618</v>
      </c>
      <c r="AS36">
        <v>532</v>
      </c>
      <c r="AT36">
        <v>152</v>
      </c>
      <c r="AU36">
        <v>87</v>
      </c>
      <c r="AV36">
        <v>1061</v>
      </c>
      <c r="AW36">
        <v>1044</v>
      </c>
      <c r="AX36">
        <v>1120</v>
      </c>
      <c r="AY36">
        <v>735</v>
      </c>
      <c r="AZ36">
        <v>884</v>
      </c>
      <c r="BA36">
        <v>1701</v>
      </c>
      <c r="BB36">
        <v>266</v>
      </c>
      <c r="BC36">
        <v>2401</v>
      </c>
      <c r="BD36">
        <v>287</v>
      </c>
      <c r="BE36">
        <v>1687</v>
      </c>
      <c r="BF36">
        <v>1533</v>
      </c>
      <c r="BG36">
        <v>17</v>
      </c>
      <c r="BH36">
        <v>867</v>
      </c>
      <c r="BI36">
        <v>15</v>
      </c>
      <c r="BJ36">
        <v>777</v>
      </c>
      <c r="BK36">
        <v>2</v>
      </c>
    </row>
    <row r="37" spans="1:63" x14ac:dyDescent="0.4">
      <c r="A37" s="1" t="s">
        <v>62</v>
      </c>
      <c r="B37" s="1" t="s">
        <v>63</v>
      </c>
      <c r="C37">
        <v>5913</v>
      </c>
      <c r="D37">
        <v>710</v>
      </c>
      <c r="E37">
        <v>7875</v>
      </c>
      <c r="F37">
        <v>995</v>
      </c>
      <c r="G37">
        <v>9512</v>
      </c>
      <c r="H37">
        <v>621</v>
      </c>
      <c r="I37">
        <v>721</v>
      </c>
      <c r="J37">
        <v>629</v>
      </c>
      <c r="K37">
        <v>772</v>
      </c>
      <c r="L37">
        <v>544</v>
      </c>
      <c r="M37">
        <v>2272</v>
      </c>
      <c r="N37">
        <v>3080</v>
      </c>
      <c r="O37">
        <v>2295</v>
      </c>
      <c r="P37">
        <v>2987</v>
      </c>
      <c r="Q37">
        <v>1572</v>
      </c>
      <c r="R37">
        <v>5708</v>
      </c>
      <c r="S37">
        <v>19468</v>
      </c>
      <c r="T37">
        <v>5694</v>
      </c>
      <c r="U37">
        <v>19260</v>
      </c>
      <c r="V37">
        <v>2986</v>
      </c>
      <c r="W37">
        <v>1799</v>
      </c>
      <c r="X37">
        <v>1845</v>
      </c>
      <c r="Y37">
        <v>4394</v>
      </c>
      <c r="Z37">
        <v>1776</v>
      </c>
      <c r="AA37">
        <v>4382</v>
      </c>
      <c r="AB37">
        <v>940</v>
      </c>
      <c r="AC37">
        <v>8945</v>
      </c>
      <c r="AD37">
        <v>404</v>
      </c>
      <c r="AE37">
        <v>6881</v>
      </c>
      <c r="AF37">
        <v>335</v>
      </c>
      <c r="AG37">
        <v>7478</v>
      </c>
      <c r="AH37">
        <v>60164</v>
      </c>
      <c r="AI37">
        <v>1362</v>
      </c>
      <c r="AJ37">
        <v>55999</v>
      </c>
      <c r="AK37">
        <v>1291</v>
      </c>
      <c r="AL37">
        <v>100570</v>
      </c>
      <c r="AM37">
        <v>760</v>
      </c>
      <c r="AN37">
        <v>6139</v>
      </c>
      <c r="AO37">
        <v>604</v>
      </c>
      <c r="AP37">
        <v>4568</v>
      </c>
      <c r="AQ37">
        <v>749</v>
      </c>
      <c r="AR37">
        <v>546</v>
      </c>
      <c r="AS37">
        <v>390</v>
      </c>
      <c r="AT37">
        <v>457</v>
      </c>
      <c r="AU37">
        <v>341</v>
      </c>
      <c r="AV37">
        <v>1150</v>
      </c>
      <c r="AW37">
        <v>1228</v>
      </c>
      <c r="AX37">
        <v>1687</v>
      </c>
      <c r="AY37">
        <v>953</v>
      </c>
      <c r="AZ37">
        <v>1191</v>
      </c>
      <c r="BA37">
        <v>1976</v>
      </c>
      <c r="BB37">
        <v>151</v>
      </c>
      <c r="BC37">
        <v>1947</v>
      </c>
      <c r="BD37">
        <v>330</v>
      </c>
      <c r="BE37">
        <v>2926</v>
      </c>
      <c r="BF37">
        <v>1353</v>
      </c>
      <c r="BG37">
        <v>16</v>
      </c>
      <c r="BH37">
        <v>235</v>
      </c>
      <c r="BI37">
        <v>18</v>
      </c>
      <c r="BJ37">
        <v>296</v>
      </c>
      <c r="BK37">
        <v>0</v>
      </c>
    </row>
    <row r="38" spans="1:63" x14ac:dyDescent="0.4">
      <c r="A38" s="1" t="s">
        <v>64</v>
      </c>
      <c r="B38" s="1" t="s">
        <v>65</v>
      </c>
      <c r="C38">
        <v>5836</v>
      </c>
      <c r="D38">
        <v>746</v>
      </c>
      <c r="E38">
        <v>7993</v>
      </c>
      <c r="F38">
        <v>1097</v>
      </c>
      <c r="G38">
        <v>9155</v>
      </c>
      <c r="H38">
        <v>772</v>
      </c>
      <c r="I38">
        <v>852</v>
      </c>
      <c r="J38">
        <v>659</v>
      </c>
      <c r="K38">
        <v>869</v>
      </c>
      <c r="L38">
        <v>656</v>
      </c>
      <c r="M38">
        <v>2723</v>
      </c>
      <c r="N38">
        <v>3992</v>
      </c>
      <c r="O38">
        <v>2437</v>
      </c>
      <c r="P38">
        <v>3522</v>
      </c>
      <c r="Q38">
        <v>1834</v>
      </c>
      <c r="R38">
        <v>6827</v>
      </c>
      <c r="S38">
        <v>23433</v>
      </c>
      <c r="T38">
        <v>6788</v>
      </c>
      <c r="U38">
        <v>24324</v>
      </c>
      <c r="V38">
        <v>2996</v>
      </c>
      <c r="W38">
        <v>2271</v>
      </c>
      <c r="X38">
        <v>2227</v>
      </c>
      <c r="Y38">
        <v>5050</v>
      </c>
      <c r="Z38">
        <v>2156</v>
      </c>
      <c r="AA38">
        <v>5275</v>
      </c>
      <c r="AB38">
        <v>871</v>
      </c>
      <c r="AC38">
        <v>12495</v>
      </c>
      <c r="AD38">
        <v>675</v>
      </c>
      <c r="AE38">
        <v>11598</v>
      </c>
      <c r="AF38">
        <v>658</v>
      </c>
      <c r="AG38">
        <v>8580</v>
      </c>
      <c r="AH38">
        <v>64636</v>
      </c>
      <c r="AI38">
        <v>1462</v>
      </c>
      <c r="AJ38">
        <v>67455</v>
      </c>
      <c r="AK38">
        <v>1538</v>
      </c>
      <c r="AL38">
        <v>99210</v>
      </c>
      <c r="AM38">
        <v>833</v>
      </c>
      <c r="AN38">
        <v>6412</v>
      </c>
      <c r="AO38">
        <v>753</v>
      </c>
      <c r="AP38">
        <v>5552</v>
      </c>
      <c r="AQ38">
        <v>829</v>
      </c>
      <c r="AR38">
        <v>560</v>
      </c>
      <c r="AS38">
        <v>529</v>
      </c>
      <c r="AT38">
        <v>508</v>
      </c>
      <c r="AU38">
        <v>688</v>
      </c>
      <c r="AV38">
        <v>1202</v>
      </c>
      <c r="AW38">
        <v>1067</v>
      </c>
      <c r="AX38">
        <v>1589</v>
      </c>
      <c r="AY38">
        <v>1292</v>
      </c>
      <c r="AZ38">
        <v>1610</v>
      </c>
      <c r="BA38">
        <v>1751</v>
      </c>
      <c r="BB38">
        <v>163</v>
      </c>
      <c r="BC38">
        <v>2270</v>
      </c>
      <c r="BD38">
        <v>503</v>
      </c>
      <c r="BE38">
        <v>3181</v>
      </c>
      <c r="BF38">
        <v>1143</v>
      </c>
      <c r="BG38">
        <v>34</v>
      </c>
      <c r="BH38">
        <v>2470</v>
      </c>
      <c r="BI38">
        <v>34</v>
      </c>
      <c r="BJ38">
        <v>2487</v>
      </c>
      <c r="BK38">
        <v>0</v>
      </c>
    </row>
    <row r="39" spans="1:63" x14ac:dyDescent="0.4">
      <c r="A39" s="1"/>
      <c r="B39" s="1"/>
    </row>
    <row r="40" spans="1:63" x14ac:dyDescent="0.4">
      <c r="A40" s="1"/>
      <c r="B40" s="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01A8D-E8F5-4567-9EDB-7D46B2636751}">
  <dimension ref="A1:FV40"/>
  <sheetViews>
    <sheetView workbookViewId="0">
      <selection activeCell="C9" sqref="C9"/>
    </sheetView>
  </sheetViews>
  <sheetFormatPr defaultColWidth="15.625" defaultRowHeight="18.75" x14ac:dyDescent="0.4"/>
  <sheetData>
    <row r="1" spans="1:178" x14ac:dyDescent="0.4">
      <c r="A1" s="1" t="s">
        <v>66</v>
      </c>
      <c r="B1" s="1"/>
    </row>
    <row r="2" spans="1:178" x14ac:dyDescent="0.4">
      <c r="A2" s="4" t="str">
        <f>HYPERLINK("#'目次(Contents)'!A3","目次に戻る(Return to Contents)")</f>
        <v>目次に戻る(Return to Contents)</v>
      </c>
      <c r="B2" s="1"/>
    </row>
    <row r="3" spans="1:178" x14ac:dyDescent="0.4">
      <c r="A3" s="1"/>
      <c r="B3" s="2" t="s">
        <v>0</v>
      </c>
      <c r="C3" t="s">
        <v>539</v>
      </c>
      <c r="D3" t="s">
        <v>539</v>
      </c>
      <c r="E3" t="s">
        <v>539</v>
      </c>
      <c r="F3" t="s">
        <v>539</v>
      </c>
      <c r="G3" t="s">
        <v>539</v>
      </c>
      <c r="H3" t="s">
        <v>539</v>
      </c>
      <c r="I3" t="s">
        <v>539</v>
      </c>
      <c r="J3" t="s">
        <v>539</v>
      </c>
      <c r="K3" t="s">
        <v>541</v>
      </c>
      <c r="L3" t="s">
        <v>541</v>
      </c>
      <c r="M3" t="s">
        <v>541</v>
      </c>
      <c r="N3" t="s">
        <v>541</v>
      </c>
      <c r="O3" t="s">
        <v>541</v>
      </c>
      <c r="P3" t="s">
        <v>541</v>
      </c>
      <c r="Q3" t="s">
        <v>541</v>
      </c>
      <c r="R3" t="s">
        <v>541</v>
      </c>
      <c r="S3" t="s">
        <v>543</v>
      </c>
      <c r="T3" t="s">
        <v>543</v>
      </c>
      <c r="U3" t="s">
        <v>543</v>
      </c>
      <c r="V3" t="s">
        <v>543</v>
      </c>
      <c r="W3" t="s">
        <v>543</v>
      </c>
      <c r="X3" t="s">
        <v>543</v>
      </c>
      <c r="Y3" t="s">
        <v>543</v>
      </c>
      <c r="Z3" t="s">
        <v>543</v>
      </c>
      <c r="AA3" t="s">
        <v>545</v>
      </c>
      <c r="AB3" t="s">
        <v>545</v>
      </c>
      <c r="AC3" t="s">
        <v>545</v>
      </c>
      <c r="AD3" t="s">
        <v>545</v>
      </c>
      <c r="AE3" t="s">
        <v>545</v>
      </c>
      <c r="AF3" t="s">
        <v>545</v>
      </c>
      <c r="AG3" t="s">
        <v>545</v>
      </c>
      <c r="AH3" t="s">
        <v>545</v>
      </c>
      <c r="AI3" t="s">
        <v>547</v>
      </c>
      <c r="AJ3" t="s">
        <v>547</v>
      </c>
      <c r="AK3" t="s">
        <v>547</v>
      </c>
      <c r="AL3" t="s">
        <v>547</v>
      </c>
      <c r="AM3" t="s">
        <v>547</v>
      </c>
      <c r="AN3" t="s">
        <v>547</v>
      </c>
      <c r="AO3" t="s">
        <v>547</v>
      </c>
      <c r="AP3" t="s">
        <v>547</v>
      </c>
      <c r="AQ3" t="s">
        <v>549</v>
      </c>
      <c r="AR3" t="s">
        <v>549</v>
      </c>
      <c r="AS3" t="s">
        <v>549</v>
      </c>
      <c r="AT3" t="s">
        <v>549</v>
      </c>
      <c r="AU3" t="s">
        <v>549</v>
      </c>
      <c r="AV3" t="s">
        <v>549</v>
      </c>
      <c r="AW3" t="s">
        <v>549</v>
      </c>
      <c r="AX3" t="s">
        <v>549</v>
      </c>
      <c r="AY3" t="s">
        <v>551</v>
      </c>
      <c r="AZ3" t="s">
        <v>551</v>
      </c>
      <c r="BA3" t="s">
        <v>551</v>
      </c>
      <c r="BB3" t="s">
        <v>551</v>
      </c>
      <c r="BC3" t="s">
        <v>551</v>
      </c>
      <c r="BD3" t="s">
        <v>551</v>
      </c>
      <c r="BE3" t="s">
        <v>551</v>
      </c>
      <c r="BF3" t="s">
        <v>551</v>
      </c>
      <c r="BG3" t="s">
        <v>553</v>
      </c>
      <c r="BH3" t="s">
        <v>553</v>
      </c>
      <c r="BI3" t="s">
        <v>553</v>
      </c>
      <c r="BJ3" t="s">
        <v>553</v>
      </c>
      <c r="BK3" t="s">
        <v>553</v>
      </c>
      <c r="BL3" t="s">
        <v>553</v>
      </c>
      <c r="BM3" t="s">
        <v>553</v>
      </c>
      <c r="BN3" t="s">
        <v>553</v>
      </c>
      <c r="BO3" t="s">
        <v>555</v>
      </c>
      <c r="BP3" t="s">
        <v>555</v>
      </c>
      <c r="BQ3" t="s">
        <v>555</v>
      </c>
      <c r="BR3" t="s">
        <v>555</v>
      </c>
      <c r="BS3" t="s">
        <v>555</v>
      </c>
      <c r="BT3" t="s">
        <v>555</v>
      </c>
      <c r="BU3" t="s">
        <v>555</v>
      </c>
      <c r="BV3" t="s">
        <v>555</v>
      </c>
      <c r="BW3" t="s">
        <v>557</v>
      </c>
      <c r="BX3" t="s">
        <v>557</v>
      </c>
      <c r="BY3" t="s">
        <v>557</v>
      </c>
      <c r="BZ3" t="s">
        <v>557</v>
      </c>
      <c r="CA3" t="s">
        <v>557</v>
      </c>
      <c r="CB3" t="s">
        <v>557</v>
      </c>
      <c r="CC3" t="s">
        <v>557</v>
      </c>
      <c r="CD3" t="s">
        <v>557</v>
      </c>
      <c r="CE3" t="s">
        <v>559</v>
      </c>
      <c r="CF3" t="s">
        <v>559</v>
      </c>
      <c r="CG3" t="s">
        <v>559</v>
      </c>
      <c r="CH3" t="s">
        <v>559</v>
      </c>
      <c r="CI3" t="s">
        <v>559</v>
      </c>
      <c r="CJ3" t="s">
        <v>559</v>
      </c>
      <c r="CK3" t="s">
        <v>559</v>
      </c>
      <c r="CL3" t="s">
        <v>559</v>
      </c>
      <c r="CM3" t="s">
        <v>561</v>
      </c>
      <c r="CN3" t="s">
        <v>561</v>
      </c>
      <c r="CO3" t="s">
        <v>561</v>
      </c>
      <c r="CP3" t="s">
        <v>561</v>
      </c>
      <c r="CQ3" t="s">
        <v>561</v>
      </c>
      <c r="CR3" t="s">
        <v>561</v>
      </c>
      <c r="CS3" t="s">
        <v>561</v>
      </c>
      <c r="CT3" t="s">
        <v>561</v>
      </c>
      <c r="CU3" t="s">
        <v>563</v>
      </c>
      <c r="CV3" t="s">
        <v>563</v>
      </c>
      <c r="CW3" t="s">
        <v>563</v>
      </c>
      <c r="CX3" t="s">
        <v>563</v>
      </c>
      <c r="CY3" t="s">
        <v>563</v>
      </c>
      <c r="CZ3" t="s">
        <v>563</v>
      </c>
      <c r="DA3" t="s">
        <v>563</v>
      </c>
      <c r="DB3" t="s">
        <v>563</v>
      </c>
      <c r="DC3" t="s">
        <v>565</v>
      </c>
      <c r="DD3" t="s">
        <v>565</v>
      </c>
      <c r="DE3" t="s">
        <v>565</v>
      </c>
      <c r="DF3" t="s">
        <v>565</v>
      </c>
      <c r="DG3" t="s">
        <v>565</v>
      </c>
      <c r="DH3" t="s">
        <v>565</v>
      </c>
      <c r="DI3" t="s">
        <v>565</v>
      </c>
      <c r="DJ3" t="s">
        <v>565</v>
      </c>
      <c r="DK3" t="s">
        <v>567</v>
      </c>
      <c r="DL3" t="s">
        <v>567</v>
      </c>
      <c r="DM3" t="s">
        <v>567</v>
      </c>
      <c r="DN3" t="s">
        <v>567</v>
      </c>
      <c r="DO3" t="s">
        <v>567</v>
      </c>
      <c r="DP3" t="s">
        <v>567</v>
      </c>
      <c r="DQ3" t="s">
        <v>567</v>
      </c>
      <c r="DR3" t="s">
        <v>567</v>
      </c>
      <c r="DS3" t="s">
        <v>569</v>
      </c>
      <c r="DT3" t="s">
        <v>569</v>
      </c>
      <c r="DU3" t="s">
        <v>569</v>
      </c>
      <c r="DV3" t="s">
        <v>569</v>
      </c>
      <c r="DW3" t="s">
        <v>569</v>
      </c>
      <c r="DX3" t="s">
        <v>569</v>
      </c>
      <c r="DY3" t="s">
        <v>569</v>
      </c>
      <c r="DZ3" t="s">
        <v>569</v>
      </c>
      <c r="EA3" t="s">
        <v>571</v>
      </c>
      <c r="EB3" t="s">
        <v>571</v>
      </c>
      <c r="EC3" t="s">
        <v>571</v>
      </c>
      <c r="ED3" t="s">
        <v>571</v>
      </c>
      <c r="EE3" t="s">
        <v>571</v>
      </c>
      <c r="EF3" t="s">
        <v>571</v>
      </c>
      <c r="EG3" t="s">
        <v>571</v>
      </c>
      <c r="EH3" t="s">
        <v>571</v>
      </c>
      <c r="EI3" t="s">
        <v>573</v>
      </c>
      <c r="EJ3" t="s">
        <v>573</v>
      </c>
      <c r="EK3" t="s">
        <v>573</v>
      </c>
      <c r="EL3" t="s">
        <v>573</v>
      </c>
      <c r="EM3" t="s">
        <v>573</v>
      </c>
      <c r="EN3" t="s">
        <v>573</v>
      </c>
      <c r="EO3" t="s">
        <v>573</v>
      </c>
      <c r="EP3" t="s">
        <v>573</v>
      </c>
      <c r="EQ3" t="s">
        <v>575</v>
      </c>
      <c r="ER3" t="s">
        <v>575</v>
      </c>
      <c r="ES3" t="s">
        <v>575</v>
      </c>
      <c r="ET3" t="s">
        <v>575</v>
      </c>
      <c r="EU3" t="s">
        <v>575</v>
      </c>
      <c r="EV3" t="s">
        <v>575</v>
      </c>
      <c r="EW3" t="s">
        <v>575</v>
      </c>
      <c r="EX3" t="s">
        <v>575</v>
      </c>
      <c r="EY3" t="s">
        <v>577</v>
      </c>
      <c r="EZ3" t="s">
        <v>577</v>
      </c>
      <c r="FA3" t="s">
        <v>577</v>
      </c>
      <c r="FB3" t="s">
        <v>577</v>
      </c>
      <c r="FC3" t="s">
        <v>577</v>
      </c>
      <c r="FD3" t="s">
        <v>577</v>
      </c>
      <c r="FE3" t="s">
        <v>577</v>
      </c>
      <c r="FF3" t="s">
        <v>577</v>
      </c>
      <c r="FG3" t="s">
        <v>579</v>
      </c>
      <c r="FH3" t="s">
        <v>579</v>
      </c>
      <c r="FI3" t="s">
        <v>579</v>
      </c>
      <c r="FJ3" t="s">
        <v>579</v>
      </c>
      <c r="FK3" t="s">
        <v>579</v>
      </c>
      <c r="FL3" t="s">
        <v>579</v>
      </c>
      <c r="FM3" t="s">
        <v>579</v>
      </c>
      <c r="FN3" t="s">
        <v>579</v>
      </c>
      <c r="FO3" t="s">
        <v>581</v>
      </c>
      <c r="FP3" t="s">
        <v>581</v>
      </c>
      <c r="FQ3" t="s">
        <v>581</v>
      </c>
      <c r="FR3" t="s">
        <v>581</v>
      </c>
      <c r="FS3" t="s">
        <v>581</v>
      </c>
      <c r="FT3" t="s">
        <v>581</v>
      </c>
      <c r="FU3" t="s">
        <v>581</v>
      </c>
      <c r="FV3" t="s">
        <v>581</v>
      </c>
    </row>
    <row r="4" spans="1:178" x14ac:dyDescent="0.4">
      <c r="A4" s="1"/>
      <c r="B4" s="2" t="s">
        <v>1</v>
      </c>
      <c r="C4" t="s">
        <v>540</v>
      </c>
      <c r="D4" t="s">
        <v>540</v>
      </c>
      <c r="E4" t="s">
        <v>540</v>
      </c>
      <c r="F4" t="s">
        <v>540</v>
      </c>
      <c r="G4" t="s">
        <v>540</v>
      </c>
      <c r="H4" t="s">
        <v>540</v>
      </c>
      <c r="I4" t="s">
        <v>540</v>
      </c>
      <c r="J4" t="s">
        <v>540</v>
      </c>
      <c r="K4" t="s">
        <v>542</v>
      </c>
      <c r="L4" t="s">
        <v>542</v>
      </c>
      <c r="M4" t="s">
        <v>542</v>
      </c>
      <c r="N4" t="s">
        <v>542</v>
      </c>
      <c r="O4" t="s">
        <v>542</v>
      </c>
      <c r="P4" t="s">
        <v>542</v>
      </c>
      <c r="Q4" t="s">
        <v>542</v>
      </c>
      <c r="R4" t="s">
        <v>542</v>
      </c>
      <c r="S4" t="s">
        <v>544</v>
      </c>
      <c r="T4" t="s">
        <v>544</v>
      </c>
      <c r="U4" t="s">
        <v>544</v>
      </c>
      <c r="V4" t="s">
        <v>544</v>
      </c>
      <c r="W4" t="s">
        <v>544</v>
      </c>
      <c r="X4" t="s">
        <v>544</v>
      </c>
      <c r="Y4" t="s">
        <v>544</v>
      </c>
      <c r="Z4" t="s">
        <v>544</v>
      </c>
      <c r="AA4" t="s">
        <v>546</v>
      </c>
      <c r="AB4" t="s">
        <v>546</v>
      </c>
      <c r="AC4" t="s">
        <v>546</v>
      </c>
      <c r="AD4" t="s">
        <v>546</v>
      </c>
      <c r="AE4" t="s">
        <v>546</v>
      </c>
      <c r="AF4" t="s">
        <v>546</v>
      </c>
      <c r="AG4" t="s">
        <v>546</v>
      </c>
      <c r="AH4" t="s">
        <v>546</v>
      </c>
      <c r="AI4" t="s">
        <v>548</v>
      </c>
      <c r="AJ4" t="s">
        <v>548</v>
      </c>
      <c r="AK4" t="s">
        <v>548</v>
      </c>
      <c r="AL4" t="s">
        <v>548</v>
      </c>
      <c r="AM4" t="s">
        <v>548</v>
      </c>
      <c r="AN4" t="s">
        <v>548</v>
      </c>
      <c r="AO4" t="s">
        <v>548</v>
      </c>
      <c r="AP4" t="s">
        <v>548</v>
      </c>
      <c r="AQ4" t="s">
        <v>550</v>
      </c>
      <c r="AR4" t="s">
        <v>550</v>
      </c>
      <c r="AS4" t="s">
        <v>550</v>
      </c>
      <c r="AT4" t="s">
        <v>550</v>
      </c>
      <c r="AU4" t="s">
        <v>550</v>
      </c>
      <c r="AV4" t="s">
        <v>550</v>
      </c>
      <c r="AW4" t="s">
        <v>550</v>
      </c>
      <c r="AX4" t="s">
        <v>550</v>
      </c>
      <c r="AY4" t="s">
        <v>552</v>
      </c>
      <c r="AZ4" t="s">
        <v>552</v>
      </c>
      <c r="BA4" t="s">
        <v>552</v>
      </c>
      <c r="BB4" t="s">
        <v>552</v>
      </c>
      <c r="BC4" t="s">
        <v>552</v>
      </c>
      <c r="BD4" t="s">
        <v>552</v>
      </c>
      <c r="BE4" t="s">
        <v>552</v>
      </c>
      <c r="BF4" t="s">
        <v>552</v>
      </c>
      <c r="BG4" t="s">
        <v>554</v>
      </c>
      <c r="BH4" t="s">
        <v>554</v>
      </c>
      <c r="BI4" t="s">
        <v>554</v>
      </c>
      <c r="BJ4" t="s">
        <v>554</v>
      </c>
      <c r="BK4" t="s">
        <v>554</v>
      </c>
      <c r="BL4" t="s">
        <v>554</v>
      </c>
      <c r="BM4" t="s">
        <v>554</v>
      </c>
      <c r="BN4" t="s">
        <v>554</v>
      </c>
      <c r="BO4" t="s">
        <v>556</v>
      </c>
      <c r="BP4" t="s">
        <v>556</v>
      </c>
      <c r="BQ4" t="s">
        <v>556</v>
      </c>
      <c r="BR4" t="s">
        <v>556</v>
      </c>
      <c r="BS4" t="s">
        <v>556</v>
      </c>
      <c r="BT4" t="s">
        <v>556</v>
      </c>
      <c r="BU4" t="s">
        <v>556</v>
      </c>
      <c r="BV4" t="s">
        <v>556</v>
      </c>
      <c r="BW4" t="s">
        <v>558</v>
      </c>
      <c r="BX4" t="s">
        <v>558</v>
      </c>
      <c r="BY4" t="s">
        <v>558</v>
      </c>
      <c r="BZ4" t="s">
        <v>558</v>
      </c>
      <c r="CA4" t="s">
        <v>558</v>
      </c>
      <c r="CB4" t="s">
        <v>558</v>
      </c>
      <c r="CC4" t="s">
        <v>558</v>
      </c>
      <c r="CD4" t="s">
        <v>558</v>
      </c>
      <c r="CE4" t="s">
        <v>560</v>
      </c>
      <c r="CF4" t="s">
        <v>560</v>
      </c>
      <c r="CG4" t="s">
        <v>560</v>
      </c>
      <c r="CH4" t="s">
        <v>560</v>
      </c>
      <c r="CI4" t="s">
        <v>560</v>
      </c>
      <c r="CJ4" t="s">
        <v>560</v>
      </c>
      <c r="CK4" t="s">
        <v>560</v>
      </c>
      <c r="CL4" t="s">
        <v>560</v>
      </c>
      <c r="CM4" t="s">
        <v>562</v>
      </c>
      <c r="CN4" t="s">
        <v>562</v>
      </c>
      <c r="CO4" t="s">
        <v>562</v>
      </c>
      <c r="CP4" t="s">
        <v>562</v>
      </c>
      <c r="CQ4" t="s">
        <v>562</v>
      </c>
      <c r="CR4" t="s">
        <v>562</v>
      </c>
      <c r="CS4" t="s">
        <v>562</v>
      </c>
      <c r="CT4" t="s">
        <v>562</v>
      </c>
      <c r="CU4" t="s">
        <v>564</v>
      </c>
      <c r="CV4" t="s">
        <v>564</v>
      </c>
      <c r="CW4" t="s">
        <v>564</v>
      </c>
      <c r="CX4" t="s">
        <v>564</v>
      </c>
      <c r="CY4" t="s">
        <v>564</v>
      </c>
      <c r="CZ4" t="s">
        <v>564</v>
      </c>
      <c r="DA4" t="s">
        <v>564</v>
      </c>
      <c r="DB4" t="s">
        <v>564</v>
      </c>
      <c r="DC4" t="s">
        <v>566</v>
      </c>
      <c r="DD4" t="s">
        <v>566</v>
      </c>
      <c r="DE4" t="s">
        <v>566</v>
      </c>
      <c r="DF4" t="s">
        <v>566</v>
      </c>
      <c r="DG4" t="s">
        <v>566</v>
      </c>
      <c r="DH4" t="s">
        <v>566</v>
      </c>
      <c r="DI4" t="s">
        <v>566</v>
      </c>
      <c r="DJ4" t="s">
        <v>566</v>
      </c>
      <c r="DK4" t="s">
        <v>568</v>
      </c>
      <c r="DL4" t="s">
        <v>568</v>
      </c>
      <c r="DM4" t="s">
        <v>568</v>
      </c>
      <c r="DN4" t="s">
        <v>568</v>
      </c>
      <c r="DO4" t="s">
        <v>568</v>
      </c>
      <c r="DP4" t="s">
        <v>568</v>
      </c>
      <c r="DQ4" t="s">
        <v>568</v>
      </c>
      <c r="DR4" t="s">
        <v>568</v>
      </c>
      <c r="DS4" t="s">
        <v>570</v>
      </c>
      <c r="DT4" t="s">
        <v>570</v>
      </c>
      <c r="DU4" t="s">
        <v>570</v>
      </c>
      <c r="DV4" t="s">
        <v>570</v>
      </c>
      <c r="DW4" t="s">
        <v>570</v>
      </c>
      <c r="DX4" t="s">
        <v>570</v>
      </c>
      <c r="DY4" t="s">
        <v>570</v>
      </c>
      <c r="DZ4" t="s">
        <v>570</v>
      </c>
      <c r="EA4" t="s">
        <v>572</v>
      </c>
      <c r="EB4" t="s">
        <v>572</v>
      </c>
      <c r="EC4" t="s">
        <v>572</v>
      </c>
      <c r="ED4" t="s">
        <v>572</v>
      </c>
      <c r="EE4" t="s">
        <v>572</v>
      </c>
      <c r="EF4" t="s">
        <v>572</v>
      </c>
      <c r="EG4" t="s">
        <v>572</v>
      </c>
      <c r="EH4" t="s">
        <v>572</v>
      </c>
      <c r="EI4" t="s">
        <v>574</v>
      </c>
      <c r="EJ4" t="s">
        <v>574</v>
      </c>
      <c r="EK4" t="s">
        <v>574</v>
      </c>
      <c r="EL4" t="s">
        <v>574</v>
      </c>
      <c r="EM4" t="s">
        <v>574</v>
      </c>
      <c r="EN4" t="s">
        <v>574</v>
      </c>
      <c r="EO4" t="s">
        <v>574</v>
      </c>
      <c r="EP4" t="s">
        <v>574</v>
      </c>
      <c r="EQ4" t="s">
        <v>576</v>
      </c>
      <c r="ER4" t="s">
        <v>576</v>
      </c>
      <c r="ES4" t="s">
        <v>576</v>
      </c>
      <c r="ET4" t="s">
        <v>576</v>
      </c>
      <c r="EU4" t="s">
        <v>576</v>
      </c>
      <c r="EV4" t="s">
        <v>576</v>
      </c>
      <c r="EW4" t="s">
        <v>576</v>
      </c>
      <c r="EX4" t="s">
        <v>576</v>
      </c>
      <c r="EY4" t="s">
        <v>578</v>
      </c>
      <c r="EZ4" t="s">
        <v>578</v>
      </c>
      <c r="FA4" t="s">
        <v>578</v>
      </c>
      <c r="FB4" t="s">
        <v>578</v>
      </c>
      <c r="FC4" t="s">
        <v>578</v>
      </c>
      <c r="FD4" t="s">
        <v>578</v>
      </c>
      <c r="FE4" t="s">
        <v>578</v>
      </c>
      <c r="FF4" t="s">
        <v>578</v>
      </c>
      <c r="FG4" t="s">
        <v>580</v>
      </c>
      <c r="FH4" t="s">
        <v>580</v>
      </c>
      <c r="FI4" t="s">
        <v>580</v>
      </c>
      <c r="FJ4" t="s">
        <v>580</v>
      </c>
      <c r="FK4" t="s">
        <v>580</v>
      </c>
      <c r="FL4" t="s">
        <v>580</v>
      </c>
      <c r="FM4" t="s">
        <v>580</v>
      </c>
      <c r="FN4" t="s">
        <v>580</v>
      </c>
      <c r="FO4" t="s">
        <v>582</v>
      </c>
      <c r="FP4" t="s">
        <v>582</v>
      </c>
      <c r="FQ4" t="s">
        <v>582</v>
      </c>
      <c r="FR4" t="s">
        <v>582</v>
      </c>
      <c r="FS4" t="s">
        <v>582</v>
      </c>
      <c r="FT4" t="s">
        <v>582</v>
      </c>
      <c r="FU4" t="s">
        <v>582</v>
      </c>
      <c r="FV4" t="s">
        <v>582</v>
      </c>
    </row>
    <row r="5" spans="1:178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338</v>
      </c>
      <c r="BQ5" t="s">
        <v>257</v>
      </c>
      <c r="BR5" t="s">
        <v>74</v>
      </c>
      <c r="BS5" t="s">
        <v>398</v>
      </c>
      <c r="BT5" t="s">
        <v>263</v>
      </c>
      <c r="BU5" t="s">
        <v>76</v>
      </c>
      <c r="BV5" t="s">
        <v>400</v>
      </c>
      <c r="BW5" t="s">
        <v>69</v>
      </c>
      <c r="BX5" t="s">
        <v>338</v>
      </c>
      <c r="BY5" t="s">
        <v>257</v>
      </c>
      <c r="BZ5" t="s">
        <v>74</v>
      </c>
      <c r="CA5" t="s">
        <v>398</v>
      </c>
      <c r="CB5" t="s">
        <v>263</v>
      </c>
      <c r="CC5" t="s">
        <v>76</v>
      </c>
      <c r="CD5" t="s">
        <v>400</v>
      </c>
      <c r="CE5" t="s">
        <v>69</v>
      </c>
      <c r="CF5" t="s">
        <v>338</v>
      </c>
      <c r="CG5" t="s">
        <v>257</v>
      </c>
      <c r="CH5" t="s">
        <v>74</v>
      </c>
      <c r="CI5" t="s">
        <v>398</v>
      </c>
      <c r="CJ5" t="s">
        <v>263</v>
      </c>
      <c r="CK5" t="s">
        <v>76</v>
      </c>
      <c r="CL5" t="s">
        <v>400</v>
      </c>
      <c r="CM5" t="s">
        <v>69</v>
      </c>
      <c r="CN5" t="s">
        <v>338</v>
      </c>
      <c r="CO5" t="s">
        <v>257</v>
      </c>
      <c r="CP5" t="s">
        <v>74</v>
      </c>
      <c r="CQ5" t="s">
        <v>398</v>
      </c>
      <c r="CR5" t="s">
        <v>263</v>
      </c>
      <c r="CS5" t="s">
        <v>76</v>
      </c>
      <c r="CT5" t="s">
        <v>400</v>
      </c>
      <c r="CU5" t="s">
        <v>69</v>
      </c>
      <c r="CV5" t="s">
        <v>338</v>
      </c>
      <c r="CW5" t="s">
        <v>257</v>
      </c>
      <c r="CX5" t="s">
        <v>74</v>
      </c>
      <c r="CY5" t="s">
        <v>398</v>
      </c>
      <c r="CZ5" t="s">
        <v>263</v>
      </c>
      <c r="DA5" t="s">
        <v>76</v>
      </c>
      <c r="DB5" t="s">
        <v>400</v>
      </c>
      <c r="DC5" t="s">
        <v>69</v>
      </c>
      <c r="DD5" t="s">
        <v>338</v>
      </c>
      <c r="DE5" t="s">
        <v>257</v>
      </c>
      <c r="DF5" t="s">
        <v>74</v>
      </c>
      <c r="DG5" t="s">
        <v>398</v>
      </c>
      <c r="DH5" t="s">
        <v>263</v>
      </c>
      <c r="DI5" t="s">
        <v>76</v>
      </c>
      <c r="DJ5" t="s">
        <v>400</v>
      </c>
      <c r="DK5" t="s">
        <v>69</v>
      </c>
      <c r="DL5" t="s">
        <v>338</v>
      </c>
      <c r="DM5" t="s">
        <v>257</v>
      </c>
      <c r="DN5" t="s">
        <v>74</v>
      </c>
      <c r="DO5" t="s">
        <v>398</v>
      </c>
      <c r="DP5" t="s">
        <v>263</v>
      </c>
      <c r="DQ5" t="s">
        <v>76</v>
      </c>
      <c r="DR5" t="s">
        <v>400</v>
      </c>
      <c r="DS5" t="s">
        <v>69</v>
      </c>
      <c r="DT5" t="s">
        <v>338</v>
      </c>
      <c r="DU5" t="s">
        <v>257</v>
      </c>
      <c r="DV5" t="s">
        <v>74</v>
      </c>
      <c r="DW5" t="s">
        <v>398</v>
      </c>
      <c r="DX5" t="s">
        <v>263</v>
      </c>
      <c r="DY5" t="s">
        <v>76</v>
      </c>
      <c r="DZ5" t="s">
        <v>400</v>
      </c>
      <c r="EA5" t="s">
        <v>69</v>
      </c>
      <c r="EB5" t="s">
        <v>338</v>
      </c>
      <c r="EC5" t="s">
        <v>257</v>
      </c>
      <c r="ED5" t="s">
        <v>74</v>
      </c>
      <c r="EE5" t="s">
        <v>398</v>
      </c>
      <c r="EF5" t="s">
        <v>263</v>
      </c>
      <c r="EG5" t="s">
        <v>76</v>
      </c>
      <c r="EH5" t="s">
        <v>400</v>
      </c>
      <c r="EI5" t="s">
        <v>69</v>
      </c>
      <c r="EJ5" t="s">
        <v>338</v>
      </c>
      <c r="EK5" t="s">
        <v>257</v>
      </c>
      <c r="EL5" t="s">
        <v>74</v>
      </c>
      <c r="EM5" t="s">
        <v>398</v>
      </c>
      <c r="EN5" t="s">
        <v>263</v>
      </c>
      <c r="EO5" t="s">
        <v>76</v>
      </c>
      <c r="EP5" t="s">
        <v>400</v>
      </c>
      <c r="EQ5" t="s">
        <v>69</v>
      </c>
      <c r="ER5" t="s">
        <v>338</v>
      </c>
      <c r="ES5" t="s">
        <v>257</v>
      </c>
      <c r="ET5" t="s">
        <v>74</v>
      </c>
      <c r="EU5" t="s">
        <v>398</v>
      </c>
      <c r="EV5" t="s">
        <v>263</v>
      </c>
      <c r="EW5" t="s">
        <v>76</v>
      </c>
      <c r="EX5" t="s">
        <v>400</v>
      </c>
      <c r="EY5" t="s">
        <v>69</v>
      </c>
      <c r="EZ5" t="s">
        <v>338</v>
      </c>
      <c r="FA5" t="s">
        <v>257</v>
      </c>
      <c r="FB5" t="s">
        <v>74</v>
      </c>
      <c r="FC5" t="s">
        <v>398</v>
      </c>
      <c r="FD5" t="s">
        <v>263</v>
      </c>
      <c r="FE5" t="s">
        <v>76</v>
      </c>
      <c r="FF5" t="s">
        <v>400</v>
      </c>
      <c r="FG5" t="s">
        <v>69</v>
      </c>
      <c r="FH5" t="s">
        <v>338</v>
      </c>
      <c r="FI5" t="s">
        <v>257</v>
      </c>
      <c r="FJ5" t="s">
        <v>74</v>
      </c>
      <c r="FK5" t="s">
        <v>398</v>
      </c>
      <c r="FL5" t="s">
        <v>263</v>
      </c>
      <c r="FM5" t="s">
        <v>76</v>
      </c>
      <c r="FN5" t="s">
        <v>400</v>
      </c>
      <c r="FO5" t="s">
        <v>69</v>
      </c>
      <c r="FP5" t="s">
        <v>338</v>
      </c>
      <c r="FQ5" t="s">
        <v>257</v>
      </c>
      <c r="FR5" t="s">
        <v>74</v>
      </c>
      <c r="FS5" t="s">
        <v>398</v>
      </c>
      <c r="FT5" t="s">
        <v>263</v>
      </c>
      <c r="FU5" t="s">
        <v>76</v>
      </c>
      <c r="FV5" t="s">
        <v>400</v>
      </c>
    </row>
    <row r="6" spans="1:178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340</v>
      </c>
      <c r="BQ6" t="s">
        <v>259</v>
      </c>
      <c r="BR6" t="s">
        <v>75</v>
      </c>
      <c r="BS6" t="s">
        <v>399</v>
      </c>
      <c r="BT6" t="s">
        <v>264</v>
      </c>
      <c r="BU6" t="s">
        <v>77</v>
      </c>
      <c r="BV6" t="s">
        <v>401</v>
      </c>
      <c r="BW6" t="s">
        <v>72</v>
      </c>
      <c r="BX6" t="s">
        <v>340</v>
      </c>
      <c r="BY6" t="s">
        <v>259</v>
      </c>
      <c r="BZ6" t="s">
        <v>75</v>
      </c>
      <c r="CA6" t="s">
        <v>399</v>
      </c>
      <c r="CB6" t="s">
        <v>264</v>
      </c>
      <c r="CC6" t="s">
        <v>77</v>
      </c>
      <c r="CD6" t="s">
        <v>401</v>
      </c>
      <c r="CE6" t="s">
        <v>72</v>
      </c>
      <c r="CF6" t="s">
        <v>340</v>
      </c>
      <c r="CG6" t="s">
        <v>259</v>
      </c>
      <c r="CH6" t="s">
        <v>75</v>
      </c>
      <c r="CI6" t="s">
        <v>399</v>
      </c>
      <c r="CJ6" t="s">
        <v>264</v>
      </c>
      <c r="CK6" t="s">
        <v>77</v>
      </c>
      <c r="CL6" t="s">
        <v>401</v>
      </c>
      <c r="CM6" t="s">
        <v>72</v>
      </c>
      <c r="CN6" t="s">
        <v>340</v>
      </c>
      <c r="CO6" t="s">
        <v>259</v>
      </c>
      <c r="CP6" t="s">
        <v>75</v>
      </c>
      <c r="CQ6" t="s">
        <v>399</v>
      </c>
      <c r="CR6" t="s">
        <v>264</v>
      </c>
      <c r="CS6" t="s">
        <v>77</v>
      </c>
      <c r="CT6" t="s">
        <v>401</v>
      </c>
      <c r="CU6" t="s">
        <v>72</v>
      </c>
      <c r="CV6" t="s">
        <v>340</v>
      </c>
      <c r="CW6" t="s">
        <v>259</v>
      </c>
      <c r="CX6" t="s">
        <v>75</v>
      </c>
      <c r="CY6" t="s">
        <v>399</v>
      </c>
      <c r="CZ6" t="s">
        <v>264</v>
      </c>
      <c r="DA6" t="s">
        <v>77</v>
      </c>
      <c r="DB6" t="s">
        <v>401</v>
      </c>
      <c r="DC6" t="s">
        <v>72</v>
      </c>
      <c r="DD6" t="s">
        <v>340</v>
      </c>
      <c r="DE6" t="s">
        <v>259</v>
      </c>
      <c r="DF6" t="s">
        <v>75</v>
      </c>
      <c r="DG6" t="s">
        <v>399</v>
      </c>
      <c r="DH6" t="s">
        <v>264</v>
      </c>
      <c r="DI6" t="s">
        <v>77</v>
      </c>
      <c r="DJ6" t="s">
        <v>401</v>
      </c>
      <c r="DK6" t="s">
        <v>72</v>
      </c>
      <c r="DL6" t="s">
        <v>340</v>
      </c>
      <c r="DM6" t="s">
        <v>259</v>
      </c>
      <c r="DN6" t="s">
        <v>75</v>
      </c>
      <c r="DO6" t="s">
        <v>399</v>
      </c>
      <c r="DP6" t="s">
        <v>264</v>
      </c>
      <c r="DQ6" t="s">
        <v>77</v>
      </c>
      <c r="DR6" t="s">
        <v>401</v>
      </c>
      <c r="DS6" t="s">
        <v>72</v>
      </c>
      <c r="DT6" t="s">
        <v>340</v>
      </c>
      <c r="DU6" t="s">
        <v>259</v>
      </c>
      <c r="DV6" t="s">
        <v>75</v>
      </c>
      <c r="DW6" t="s">
        <v>399</v>
      </c>
      <c r="DX6" t="s">
        <v>264</v>
      </c>
      <c r="DY6" t="s">
        <v>77</v>
      </c>
      <c r="DZ6" t="s">
        <v>401</v>
      </c>
      <c r="EA6" t="s">
        <v>72</v>
      </c>
      <c r="EB6" t="s">
        <v>340</v>
      </c>
      <c r="EC6" t="s">
        <v>259</v>
      </c>
      <c r="ED6" t="s">
        <v>75</v>
      </c>
      <c r="EE6" t="s">
        <v>399</v>
      </c>
      <c r="EF6" t="s">
        <v>264</v>
      </c>
      <c r="EG6" t="s">
        <v>77</v>
      </c>
      <c r="EH6" t="s">
        <v>401</v>
      </c>
      <c r="EI6" t="s">
        <v>72</v>
      </c>
      <c r="EJ6" t="s">
        <v>340</v>
      </c>
      <c r="EK6" t="s">
        <v>259</v>
      </c>
      <c r="EL6" t="s">
        <v>75</v>
      </c>
      <c r="EM6" t="s">
        <v>399</v>
      </c>
      <c r="EN6" t="s">
        <v>264</v>
      </c>
      <c r="EO6" t="s">
        <v>77</v>
      </c>
      <c r="EP6" t="s">
        <v>401</v>
      </c>
      <c r="EQ6" t="s">
        <v>72</v>
      </c>
      <c r="ER6" t="s">
        <v>340</v>
      </c>
      <c r="ES6" t="s">
        <v>259</v>
      </c>
      <c r="ET6" t="s">
        <v>75</v>
      </c>
      <c r="EU6" t="s">
        <v>399</v>
      </c>
      <c r="EV6" t="s">
        <v>264</v>
      </c>
      <c r="EW6" t="s">
        <v>77</v>
      </c>
      <c r="EX6" t="s">
        <v>401</v>
      </c>
      <c r="EY6" t="s">
        <v>72</v>
      </c>
      <c r="EZ6" t="s">
        <v>340</v>
      </c>
      <c r="FA6" t="s">
        <v>259</v>
      </c>
      <c r="FB6" t="s">
        <v>75</v>
      </c>
      <c r="FC6" t="s">
        <v>399</v>
      </c>
      <c r="FD6" t="s">
        <v>264</v>
      </c>
      <c r="FE6" t="s">
        <v>77</v>
      </c>
      <c r="FF6" t="s">
        <v>401</v>
      </c>
      <c r="FG6" t="s">
        <v>72</v>
      </c>
      <c r="FH6" t="s">
        <v>340</v>
      </c>
      <c r="FI6" t="s">
        <v>259</v>
      </c>
      <c r="FJ6" t="s">
        <v>75</v>
      </c>
      <c r="FK6" t="s">
        <v>399</v>
      </c>
      <c r="FL6" t="s">
        <v>264</v>
      </c>
      <c r="FM6" t="s">
        <v>77</v>
      </c>
      <c r="FN6" t="s">
        <v>401</v>
      </c>
      <c r="FO6" t="s">
        <v>72</v>
      </c>
      <c r="FP6" t="s">
        <v>340</v>
      </c>
      <c r="FQ6" t="s">
        <v>259</v>
      </c>
      <c r="FR6" t="s">
        <v>75</v>
      </c>
      <c r="FS6" t="s">
        <v>399</v>
      </c>
      <c r="FT6" t="s">
        <v>264</v>
      </c>
      <c r="FU6" t="s">
        <v>77</v>
      </c>
      <c r="FV6" t="s">
        <v>401</v>
      </c>
    </row>
    <row r="7" spans="1:178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251</v>
      </c>
      <c r="L7" t="s">
        <v>70</v>
      </c>
      <c r="M7" t="s">
        <v>258</v>
      </c>
      <c r="N7" t="s">
        <v>251</v>
      </c>
      <c r="O7" t="s">
        <v>70</v>
      </c>
      <c r="P7" t="s">
        <v>258</v>
      </c>
      <c r="Q7" t="s">
        <v>251</v>
      </c>
      <c r="R7" t="s">
        <v>70</v>
      </c>
      <c r="S7" t="s">
        <v>251</v>
      </c>
      <c r="T7" t="s">
        <v>70</v>
      </c>
      <c r="U7" t="s">
        <v>258</v>
      </c>
      <c r="V7" t="s">
        <v>251</v>
      </c>
      <c r="W7" t="s">
        <v>70</v>
      </c>
      <c r="X7" t="s">
        <v>258</v>
      </c>
      <c r="Y7" t="s">
        <v>251</v>
      </c>
      <c r="Z7" t="s">
        <v>70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251</v>
      </c>
      <c r="AJ7" t="s">
        <v>70</v>
      </c>
      <c r="AK7" t="s">
        <v>258</v>
      </c>
      <c r="AL7" t="s">
        <v>251</v>
      </c>
      <c r="AM7" t="s">
        <v>70</v>
      </c>
      <c r="AN7" t="s">
        <v>258</v>
      </c>
      <c r="AO7" t="s">
        <v>251</v>
      </c>
      <c r="AP7" t="s">
        <v>70</v>
      </c>
      <c r="AQ7" t="s">
        <v>251</v>
      </c>
      <c r="AR7" t="s">
        <v>70</v>
      </c>
      <c r="AS7" t="s">
        <v>258</v>
      </c>
      <c r="AT7" t="s">
        <v>251</v>
      </c>
      <c r="AU7" t="s">
        <v>70</v>
      </c>
      <c r="AV7" t="s">
        <v>258</v>
      </c>
      <c r="AW7" t="s">
        <v>251</v>
      </c>
      <c r="AX7" t="s">
        <v>70</v>
      </c>
      <c r="AY7" t="s">
        <v>251</v>
      </c>
      <c r="AZ7" t="s">
        <v>70</v>
      </c>
      <c r="BA7" t="s">
        <v>258</v>
      </c>
      <c r="BB7" t="s">
        <v>251</v>
      </c>
      <c r="BC7" t="s">
        <v>70</v>
      </c>
      <c r="BD7" t="s">
        <v>258</v>
      </c>
      <c r="BE7" t="s">
        <v>251</v>
      </c>
      <c r="BF7" t="s">
        <v>70</v>
      </c>
      <c r="BG7" t="s">
        <v>251</v>
      </c>
      <c r="BH7" t="s">
        <v>70</v>
      </c>
      <c r="BI7" t="s">
        <v>258</v>
      </c>
      <c r="BJ7" t="s">
        <v>251</v>
      </c>
      <c r="BK7" t="s">
        <v>70</v>
      </c>
      <c r="BL7" t="s">
        <v>258</v>
      </c>
      <c r="BM7" t="s">
        <v>251</v>
      </c>
      <c r="BN7" t="s">
        <v>70</v>
      </c>
      <c r="BO7" t="s">
        <v>251</v>
      </c>
      <c r="BP7" t="s">
        <v>70</v>
      </c>
      <c r="BQ7" t="s">
        <v>258</v>
      </c>
      <c r="BR7" t="s">
        <v>251</v>
      </c>
      <c r="BS7" t="s">
        <v>70</v>
      </c>
      <c r="BT7" t="s">
        <v>258</v>
      </c>
      <c r="BU7" t="s">
        <v>251</v>
      </c>
      <c r="BV7" t="s">
        <v>70</v>
      </c>
      <c r="BW7" t="s">
        <v>251</v>
      </c>
      <c r="BX7" t="s">
        <v>70</v>
      </c>
      <c r="BY7" t="s">
        <v>258</v>
      </c>
      <c r="BZ7" t="s">
        <v>251</v>
      </c>
      <c r="CA7" t="s">
        <v>70</v>
      </c>
      <c r="CB7" t="s">
        <v>258</v>
      </c>
      <c r="CC7" t="s">
        <v>251</v>
      </c>
      <c r="CD7" t="s">
        <v>70</v>
      </c>
      <c r="CE7" t="s">
        <v>251</v>
      </c>
      <c r="CF7" t="s">
        <v>70</v>
      </c>
      <c r="CG7" t="s">
        <v>258</v>
      </c>
      <c r="CH7" t="s">
        <v>251</v>
      </c>
      <c r="CI7" t="s">
        <v>70</v>
      </c>
      <c r="CJ7" t="s">
        <v>258</v>
      </c>
      <c r="CK7" t="s">
        <v>251</v>
      </c>
      <c r="CL7" t="s">
        <v>70</v>
      </c>
      <c r="CM7" t="s">
        <v>251</v>
      </c>
      <c r="CN7" t="s">
        <v>70</v>
      </c>
      <c r="CO7" t="s">
        <v>258</v>
      </c>
      <c r="CP7" t="s">
        <v>251</v>
      </c>
      <c r="CQ7" t="s">
        <v>70</v>
      </c>
      <c r="CR7" t="s">
        <v>258</v>
      </c>
      <c r="CS7" t="s">
        <v>251</v>
      </c>
      <c r="CT7" t="s">
        <v>70</v>
      </c>
      <c r="CU7" t="s">
        <v>251</v>
      </c>
      <c r="CV7" t="s">
        <v>70</v>
      </c>
      <c r="CW7" t="s">
        <v>258</v>
      </c>
      <c r="CX7" t="s">
        <v>251</v>
      </c>
      <c r="CY7" t="s">
        <v>70</v>
      </c>
      <c r="CZ7" t="s">
        <v>258</v>
      </c>
      <c r="DA7" t="s">
        <v>251</v>
      </c>
      <c r="DB7" t="s">
        <v>70</v>
      </c>
      <c r="DC7" t="s">
        <v>251</v>
      </c>
      <c r="DD7" t="s">
        <v>70</v>
      </c>
      <c r="DE7" t="s">
        <v>258</v>
      </c>
      <c r="DF7" t="s">
        <v>251</v>
      </c>
      <c r="DG7" t="s">
        <v>70</v>
      </c>
      <c r="DH7" t="s">
        <v>258</v>
      </c>
      <c r="DI7" t="s">
        <v>251</v>
      </c>
      <c r="DJ7" t="s">
        <v>70</v>
      </c>
      <c r="DK7" t="s">
        <v>251</v>
      </c>
      <c r="DL7" t="s">
        <v>70</v>
      </c>
      <c r="DM7" t="s">
        <v>258</v>
      </c>
      <c r="DN7" t="s">
        <v>251</v>
      </c>
      <c r="DO7" t="s">
        <v>70</v>
      </c>
      <c r="DP7" t="s">
        <v>258</v>
      </c>
      <c r="DQ7" t="s">
        <v>251</v>
      </c>
      <c r="DR7" t="s">
        <v>70</v>
      </c>
      <c r="DS7" t="s">
        <v>251</v>
      </c>
      <c r="DT7" t="s">
        <v>70</v>
      </c>
      <c r="DU7" t="s">
        <v>258</v>
      </c>
      <c r="DV7" t="s">
        <v>251</v>
      </c>
      <c r="DW7" t="s">
        <v>70</v>
      </c>
      <c r="DX7" t="s">
        <v>258</v>
      </c>
      <c r="DY7" t="s">
        <v>251</v>
      </c>
      <c r="DZ7" t="s">
        <v>70</v>
      </c>
      <c r="EA7" t="s">
        <v>251</v>
      </c>
      <c r="EB7" t="s">
        <v>70</v>
      </c>
      <c r="EC7" t="s">
        <v>258</v>
      </c>
      <c r="ED7" t="s">
        <v>251</v>
      </c>
      <c r="EE7" t="s">
        <v>70</v>
      </c>
      <c r="EF7" t="s">
        <v>258</v>
      </c>
      <c r="EG7" t="s">
        <v>251</v>
      </c>
      <c r="EH7" t="s">
        <v>70</v>
      </c>
      <c r="EI7" t="s">
        <v>251</v>
      </c>
      <c r="EJ7" t="s">
        <v>70</v>
      </c>
      <c r="EK7" t="s">
        <v>258</v>
      </c>
      <c r="EL7" t="s">
        <v>251</v>
      </c>
      <c r="EM7" t="s">
        <v>70</v>
      </c>
      <c r="EN7" t="s">
        <v>258</v>
      </c>
      <c r="EO7" t="s">
        <v>251</v>
      </c>
      <c r="EP7" t="s">
        <v>70</v>
      </c>
      <c r="EQ7" t="s">
        <v>251</v>
      </c>
      <c r="ER7" t="s">
        <v>70</v>
      </c>
      <c r="ES7" t="s">
        <v>258</v>
      </c>
      <c r="ET7" t="s">
        <v>251</v>
      </c>
      <c r="EU7" t="s">
        <v>70</v>
      </c>
      <c r="EV7" t="s">
        <v>258</v>
      </c>
      <c r="EW7" t="s">
        <v>251</v>
      </c>
      <c r="EX7" t="s">
        <v>70</v>
      </c>
      <c r="EY7" t="s">
        <v>251</v>
      </c>
      <c r="EZ7" t="s">
        <v>70</v>
      </c>
      <c r="FA7" t="s">
        <v>258</v>
      </c>
      <c r="FB7" t="s">
        <v>251</v>
      </c>
      <c r="FC7" t="s">
        <v>70</v>
      </c>
      <c r="FD7" t="s">
        <v>258</v>
      </c>
      <c r="FE7" t="s">
        <v>251</v>
      </c>
      <c r="FF7" t="s">
        <v>70</v>
      </c>
      <c r="FG7" t="s">
        <v>251</v>
      </c>
      <c r="FH7" t="s">
        <v>70</v>
      </c>
      <c r="FI7" t="s">
        <v>258</v>
      </c>
      <c r="FJ7" t="s">
        <v>251</v>
      </c>
      <c r="FK7" t="s">
        <v>70</v>
      </c>
      <c r="FL7" t="s">
        <v>258</v>
      </c>
      <c r="FM7" t="s">
        <v>251</v>
      </c>
      <c r="FN7" t="s">
        <v>70</v>
      </c>
      <c r="FO7" t="s">
        <v>251</v>
      </c>
      <c r="FP7" t="s">
        <v>70</v>
      </c>
      <c r="FQ7" t="s">
        <v>258</v>
      </c>
      <c r="FR7" t="s">
        <v>251</v>
      </c>
      <c r="FS7" t="s">
        <v>70</v>
      </c>
      <c r="FT7" t="s">
        <v>258</v>
      </c>
      <c r="FU7" t="s">
        <v>251</v>
      </c>
      <c r="FV7" t="s">
        <v>70</v>
      </c>
    </row>
    <row r="8" spans="1:178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253</v>
      </c>
      <c r="L8" t="s">
        <v>70</v>
      </c>
      <c r="M8" t="s">
        <v>260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253</v>
      </c>
      <c r="T8" t="s">
        <v>70</v>
      </c>
      <c r="U8" t="s">
        <v>260</v>
      </c>
      <c r="V8" t="s">
        <v>253</v>
      </c>
      <c r="W8" t="s">
        <v>70</v>
      </c>
      <c r="X8" t="s">
        <v>260</v>
      </c>
      <c r="Y8" t="s">
        <v>253</v>
      </c>
      <c r="Z8" t="s">
        <v>70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253</v>
      </c>
      <c r="AJ8" t="s">
        <v>70</v>
      </c>
      <c r="AK8" t="s">
        <v>260</v>
      </c>
      <c r="AL8" t="s">
        <v>253</v>
      </c>
      <c r="AM8" t="s">
        <v>70</v>
      </c>
      <c r="AN8" t="s">
        <v>260</v>
      </c>
      <c r="AO8" t="s">
        <v>253</v>
      </c>
      <c r="AP8" t="s">
        <v>70</v>
      </c>
      <c r="AQ8" t="s">
        <v>253</v>
      </c>
      <c r="AR8" t="s">
        <v>70</v>
      </c>
      <c r="AS8" t="s">
        <v>260</v>
      </c>
      <c r="AT8" t="s">
        <v>253</v>
      </c>
      <c r="AU8" t="s">
        <v>70</v>
      </c>
      <c r="AV8" t="s">
        <v>260</v>
      </c>
      <c r="AW8" t="s">
        <v>253</v>
      </c>
      <c r="AX8" t="s">
        <v>70</v>
      </c>
      <c r="AY8" t="s">
        <v>253</v>
      </c>
      <c r="AZ8" t="s">
        <v>70</v>
      </c>
      <c r="BA8" t="s">
        <v>260</v>
      </c>
      <c r="BB8" t="s">
        <v>253</v>
      </c>
      <c r="BC8" t="s">
        <v>70</v>
      </c>
      <c r="BD8" t="s">
        <v>260</v>
      </c>
      <c r="BE8" t="s">
        <v>253</v>
      </c>
      <c r="BF8" t="s">
        <v>70</v>
      </c>
      <c r="BG8" t="s">
        <v>253</v>
      </c>
      <c r="BH8" t="s">
        <v>70</v>
      </c>
      <c r="BI8" t="s">
        <v>260</v>
      </c>
      <c r="BJ8" t="s">
        <v>253</v>
      </c>
      <c r="BK8" t="s">
        <v>70</v>
      </c>
      <c r="BL8" t="s">
        <v>260</v>
      </c>
      <c r="BM8" t="s">
        <v>253</v>
      </c>
      <c r="BN8" t="s">
        <v>70</v>
      </c>
      <c r="BO8" t="s">
        <v>253</v>
      </c>
      <c r="BP8" t="s">
        <v>70</v>
      </c>
      <c r="BQ8" t="s">
        <v>260</v>
      </c>
      <c r="BR8" t="s">
        <v>253</v>
      </c>
      <c r="BS8" t="s">
        <v>70</v>
      </c>
      <c r="BT8" t="s">
        <v>260</v>
      </c>
      <c r="BU8" t="s">
        <v>253</v>
      </c>
      <c r="BV8" t="s">
        <v>70</v>
      </c>
      <c r="BW8" t="s">
        <v>253</v>
      </c>
      <c r="BX8" t="s">
        <v>70</v>
      </c>
      <c r="BY8" t="s">
        <v>260</v>
      </c>
      <c r="BZ8" t="s">
        <v>253</v>
      </c>
      <c r="CA8" t="s">
        <v>70</v>
      </c>
      <c r="CB8" t="s">
        <v>260</v>
      </c>
      <c r="CC8" t="s">
        <v>253</v>
      </c>
      <c r="CD8" t="s">
        <v>70</v>
      </c>
      <c r="CE8" t="s">
        <v>253</v>
      </c>
      <c r="CF8" t="s">
        <v>70</v>
      </c>
      <c r="CG8" t="s">
        <v>260</v>
      </c>
      <c r="CH8" t="s">
        <v>253</v>
      </c>
      <c r="CI8" t="s">
        <v>70</v>
      </c>
      <c r="CJ8" t="s">
        <v>260</v>
      </c>
      <c r="CK8" t="s">
        <v>253</v>
      </c>
      <c r="CL8" t="s">
        <v>70</v>
      </c>
      <c r="CM8" t="s">
        <v>253</v>
      </c>
      <c r="CN8" t="s">
        <v>70</v>
      </c>
      <c r="CO8" t="s">
        <v>260</v>
      </c>
      <c r="CP8" t="s">
        <v>253</v>
      </c>
      <c r="CQ8" t="s">
        <v>70</v>
      </c>
      <c r="CR8" t="s">
        <v>260</v>
      </c>
      <c r="CS8" t="s">
        <v>253</v>
      </c>
      <c r="CT8" t="s">
        <v>70</v>
      </c>
      <c r="CU8" t="s">
        <v>253</v>
      </c>
      <c r="CV8" t="s">
        <v>70</v>
      </c>
      <c r="CW8" t="s">
        <v>260</v>
      </c>
      <c r="CX8" t="s">
        <v>253</v>
      </c>
      <c r="CY8" t="s">
        <v>70</v>
      </c>
      <c r="CZ8" t="s">
        <v>260</v>
      </c>
      <c r="DA8" t="s">
        <v>253</v>
      </c>
      <c r="DB8" t="s">
        <v>70</v>
      </c>
      <c r="DC8" t="s">
        <v>253</v>
      </c>
      <c r="DD8" t="s">
        <v>70</v>
      </c>
      <c r="DE8" t="s">
        <v>260</v>
      </c>
      <c r="DF8" t="s">
        <v>253</v>
      </c>
      <c r="DG8" t="s">
        <v>70</v>
      </c>
      <c r="DH8" t="s">
        <v>260</v>
      </c>
      <c r="DI8" t="s">
        <v>253</v>
      </c>
      <c r="DJ8" t="s">
        <v>70</v>
      </c>
      <c r="DK8" t="s">
        <v>253</v>
      </c>
      <c r="DL8" t="s">
        <v>70</v>
      </c>
      <c r="DM8" t="s">
        <v>260</v>
      </c>
      <c r="DN8" t="s">
        <v>253</v>
      </c>
      <c r="DO8" t="s">
        <v>70</v>
      </c>
      <c r="DP8" t="s">
        <v>260</v>
      </c>
      <c r="DQ8" t="s">
        <v>253</v>
      </c>
      <c r="DR8" t="s">
        <v>70</v>
      </c>
      <c r="DS8" t="s">
        <v>253</v>
      </c>
      <c r="DT8" t="s">
        <v>70</v>
      </c>
      <c r="DU8" t="s">
        <v>260</v>
      </c>
      <c r="DV8" t="s">
        <v>253</v>
      </c>
      <c r="DW8" t="s">
        <v>70</v>
      </c>
      <c r="DX8" t="s">
        <v>260</v>
      </c>
      <c r="DY8" t="s">
        <v>253</v>
      </c>
      <c r="DZ8" t="s">
        <v>70</v>
      </c>
      <c r="EA8" t="s">
        <v>253</v>
      </c>
      <c r="EB8" t="s">
        <v>70</v>
      </c>
      <c r="EC8" t="s">
        <v>260</v>
      </c>
      <c r="ED8" t="s">
        <v>253</v>
      </c>
      <c r="EE8" t="s">
        <v>70</v>
      </c>
      <c r="EF8" t="s">
        <v>260</v>
      </c>
      <c r="EG8" t="s">
        <v>253</v>
      </c>
      <c r="EH8" t="s">
        <v>70</v>
      </c>
      <c r="EI8" t="s">
        <v>253</v>
      </c>
      <c r="EJ8" t="s">
        <v>70</v>
      </c>
      <c r="EK8" t="s">
        <v>260</v>
      </c>
      <c r="EL8" t="s">
        <v>253</v>
      </c>
      <c r="EM8" t="s">
        <v>70</v>
      </c>
      <c r="EN8" t="s">
        <v>260</v>
      </c>
      <c r="EO8" t="s">
        <v>253</v>
      </c>
      <c r="EP8" t="s">
        <v>70</v>
      </c>
      <c r="EQ8" t="s">
        <v>253</v>
      </c>
      <c r="ER8" t="s">
        <v>70</v>
      </c>
      <c r="ES8" t="s">
        <v>260</v>
      </c>
      <c r="ET8" t="s">
        <v>253</v>
      </c>
      <c r="EU8" t="s">
        <v>70</v>
      </c>
      <c r="EV8" t="s">
        <v>260</v>
      </c>
      <c r="EW8" t="s">
        <v>253</v>
      </c>
      <c r="EX8" t="s">
        <v>70</v>
      </c>
      <c r="EY8" t="s">
        <v>253</v>
      </c>
      <c r="EZ8" t="s">
        <v>70</v>
      </c>
      <c r="FA8" t="s">
        <v>260</v>
      </c>
      <c r="FB8" t="s">
        <v>253</v>
      </c>
      <c r="FC8" t="s">
        <v>70</v>
      </c>
      <c r="FD8" t="s">
        <v>260</v>
      </c>
      <c r="FE8" t="s">
        <v>253</v>
      </c>
      <c r="FF8" t="s">
        <v>70</v>
      </c>
      <c r="FG8" t="s">
        <v>253</v>
      </c>
      <c r="FH8" t="s">
        <v>70</v>
      </c>
      <c r="FI8" t="s">
        <v>260</v>
      </c>
      <c r="FJ8" t="s">
        <v>253</v>
      </c>
      <c r="FK8" t="s">
        <v>70</v>
      </c>
      <c r="FL8" t="s">
        <v>260</v>
      </c>
      <c r="FM8" t="s">
        <v>253</v>
      </c>
      <c r="FN8" t="s">
        <v>70</v>
      </c>
      <c r="FO8" t="s">
        <v>253</v>
      </c>
      <c r="FP8" t="s">
        <v>70</v>
      </c>
      <c r="FQ8" t="s">
        <v>260</v>
      </c>
      <c r="FR8" t="s">
        <v>253</v>
      </c>
      <c r="FS8" t="s">
        <v>70</v>
      </c>
      <c r="FT8" t="s">
        <v>260</v>
      </c>
      <c r="FU8" t="s">
        <v>253</v>
      </c>
      <c r="FV8" t="s">
        <v>70</v>
      </c>
    </row>
    <row r="9" spans="1:178" x14ac:dyDescent="0.4">
      <c r="A9" s="1" t="s">
        <v>6</v>
      </c>
      <c r="B9" s="3" t="s">
        <v>7</v>
      </c>
      <c r="C9">
        <v>456</v>
      </c>
      <c r="D9">
        <v>8989</v>
      </c>
      <c r="E9">
        <v>20069</v>
      </c>
      <c r="F9">
        <v>459</v>
      </c>
      <c r="G9">
        <v>9069</v>
      </c>
      <c r="H9">
        <v>20439</v>
      </c>
      <c r="I9">
        <v>30</v>
      </c>
      <c r="J9">
        <v>707</v>
      </c>
      <c r="K9">
        <v>12539</v>
      </c>
      <c r="L9">
        <v>66639</v>
      </c>
      <c r="M9">
        <v>185025</v>
      </c>
      <c r="N9">
        <v>13905</v>
      </c>
      <c r="O9">
        <v>69653</v>
      </c>
      <c r="P9">
        <v>198855</v>
      </c>
      <c r="Q9">
        <v>2129</v>
      </c>
      <c r="R9">
        <v>7981</v>
      </c>
      <c r="S9">
        <v>1271</v>
      </c>
      <c r="T9">
        <v>5480</v>
      </c>
      <c r="U9">
        <v>20608</v>
      </c>
      <c r="V9">
        <v>1298</v>
      </c>
      <c r="W9">
        <v>5527</v>
      </c>
      <c r="X9">
        <v>20764</v>
      </c>
      <c r="Y9">
        <v>26</v>
      </c>
      <c r="Z9">
        <v>34</v>
      </c>
      <c r="AA9">
        <v>1004</v>
      </c>
      <c r="AB9">
        <v>5631</v>
      </c>
      <c r="AC9">
        <v>25652</v>
      </c>
      <c r="AD9">
        <v>979</v>
      </c>
      <c r="AE9">
        <v>5541</v>
      </c>
      <c r="AF9">
        <v>24755</v>
      </c>
      <c r="AG9">
        <v>57</v>
      </c>
      <c r="AH9">
        <v>269</v>
      </c>
      <c r="AI9">
        <v>521</v>
      </c>
      <c r="AJ9">
        <v>2770</v>
      </c>
      <c r="AK9">
        <v>14048</v>
      </c>
      <c r="AL9">
        <v>507</v>
      </c>
      <c r="AM9">
        <v>2606</v>
      </c>
      <c r="AN9">
        <v>13168</v>
      </c>
      <c r="AO9">
        <v>82</v>
      </c>
      <c r="AP9">
        <v>574</v>
      </c>
      <c r="AQ9">
        <v>922</v>
      </c>
      <c r="AR9">
        <v>5485</v>
      </c>
      <c r="AS9">
        <v>29927</v>
      </c>
      <c r="AT9">
        <v>905</v>
      </c>
      <c r="AU9">
        <v>5523</v>
      </c>
      <c r="AV9">
        <v>29892</v>
      </c>
      <c r="AW9">
        <v>52</v>
      </c>
      <c r="AX9">
        <v>305</v>
      </c>
      <c r="AY9">
        <v>917</v>
      </c>
      <c r="AZ9">
        <v>2840</v>
      </c>
      <c r="BA9">
        <v>13947</v>
      </c>
      <c r="BB9">
        <v>1155</v>
      </c>
      <c r="BC9">
        <v>3425</v>
      </c>
      <c r="BD9">
        <v>16529</v>
      </c>
      <c r="BE9">
        <v>70</v>
      </c>
      <c r="BF9">
        <v>145</v>
      </c>
      <c r="BG9">
        <v>217</v>
      </c>
      <c r="BH9">
        <v>1720</v>
      </c>
      <c r="BI9">
        <v>9354</v>
      </c>
      <c r="BJ9">
        <v>216</v>
      </c>
      <c r="BK9">
        <v>1727</v>
      </c>
      <c r="BL9">
        <v>9390</v>
      </c>
      <c r="BM9">
        <v>5</v>
      </c>
      <c r="BN9">
        <v>40</v>
      </c>
      <c r="BO9">
        <v>150</v>
      </c>
      <c r="BP9">
        <v>494</v>
      </c>
      <c r="BQ9">
        <v>2523</v>
      </c>
      <c r="BR9">
        <v>145</v>
      </c>
      <c r="BS9">
        <v>480</v>
      </c>
      <c r="BT9">
        <v>2456</v>
      </c>
      <c r="BU9">
        <v>5</v>
      </c>
      <c r="BV9">
        <v>13</v>
      </c>
      <c r="BW9">
        <v>1057</v>
      </c>
      <c r="BX9">
        <v>7928</v>
      </c>
      <c r="BY9">
        <v>38418</v>
      </c>
      <c r="BZ9">
        <v>1054</v>
      </c>
      <c r="CA9">
        <v>7915</v>
      </c>
      <c r="CB9">
        <v>38429</v>
      </c>
      <c r="CC9">
        <v>8</v>
      </c>
      <c r="CD9">
        <v>151</v>
      </c>
      <c r="CE9">
        <v>992</v>
      </c>
      <c r="CF9">
        <v>2725</v>
      </c>
      <c r="CG9">
        <v>15265</v>
      </c>
      <c r="CH9">
        <v>991</v>
      </c>
      <c r="CI9">
        <v>2730</v>
      </c>
      <c r="CJ9">
        <v>16810</v>
      </c>
      <c r="CK9">
        <v>5</v>
      </c>
      <c r="CL9">
        <v>59</v>
      </c>
      <c r="CM9">
        <v>26410</v>
      </c>
      <c r="CN9">
        <v>63609</v>
      </c>
      <c r="CO9">
        <v>165820</v>
      </c>
      <c r="CP9">
        <v>25948</v>
      </c>
      <c r="CQ9">
        <v>62492</v>
      </c>
      <c r="CR9">
        <v>163129</v>
      </c>
      <c r="CS9">
        <v>2093</v>
      </c>
      <c r="CT9">
        <v>5278</v>
      </c>
      <c r="CU9">
        <v>2918</v>
      </c>
      <c r="CV9">
        <v>27209</v>
      </c>
      <c r="CW9">
        <v>58387</v>
      </c>
      <c r="CX9">
        <v>2918</v>
      </c>
      <c r="CY9">
        <v>27200</v>
      </c>
      <c r="CZ9">
        <v>62744</v>
      </c>
      <c r="DA9">
        <v>266</v>
      </c>
      <c r="DB9">
        <v>2834</v>
      </c>
      <c r="DC9">
        <v>1602</v>
      </c>
      <c r="DD9">
        <v>13657</v>
      </c>
      <c r="DE9">
        <v>34832</v>
      </c>
      <c r="DF9">
        <v>1595</v>
      </c>
      <c r="DG9">
        <v>13708</v>
      </c>
      <c r="DH9">
        <v>36295</v>
      </c>
      <c r="DI9">
        <v>73</v>
      </c>
      <c r="DJ9">
        <v>624</v>
      </c>
      <c r="DK9">
        <v>2206</v>
      </c>
      <c r="DL9">
        <v>37384</v>
      </c>
      <c r="DM9">
        <v>73460</v>
      </c>
      <c r="DN9">
        <v>2167</v>
      </c>
      <c r="DO9">
        <v>37174</v>
      </c>
      <c r="DP9">
        <v>81023</v>
      </c>
      <c r="DQ9">
        <v>216</v>
      </c>
      <c r="DR9">
        <v>3833</v>
      </c>
      <c r="DS9">
        <v>476</v>
      </c>
      <c r="DT9">
        <v>15702</v>
      </c>
      <c r="DU9">
        <v>26080</v>
      </c>
      <c r="DV9">
        <v>475</v>
      </c>
      <c r="DW9">
        <v>15374</v>
      </c>
      <c r="DX9">
        <v>26258</v>
      </c>
      <c r="DY9">
        <v>26</v>
      </c>
      <c r="DZ9">
        <v>1170</v>
      </c>
      <c r="EA9">
        <v>63</v>
      </c>
      <c r="EB9">
        <v>515</v>
      </c>
      <c r="EC9">
        <v>1513</v>
      </c>
      <c r="ED9">
        <v>61</v>
      </c>
      <c r="EE9">
        <v>521</v>
      </c>
      <c r="EF9">
        <v>2835</v>
      </c>
      <c r="EG9">
        <v>14</v>
      </c>
      <c r="EH9">
        <v>117</v>
      </c>
      <c r="EI9">
        <v>153</v>
      </c>
      <c r="EJ9">
        <v>4472</v>
      </c>
      <c r="EK9">
        <v>7488</v>
      </c>
      <c r="EL9">
        <v>143</v>
      </c>
      <c r="EM9">
        <v>4172</v>
      </c>
      <c r="EN9">
        <v>6943</v>
      </c>
      <c r="EO9">
        <v>48</v>
      </c>
      <c r="EP9">
        <v>1287</v>
      </c>
      <c r="EQ9">
        <v>322</v>
      </c>
      <c r="ER9">
        <v>1504</v>
      </c>
      <c r="ES9">
        <v>3511</v>
      </c>
      <c r="ET9">
        <v>324</v>
      </c>
      <c r="EU9">
        <v>1530</v>
      </c>
      <c r="EV9">
        <v>3649</v>
      </c>
      <c r="EW9">
        <v>69</v>
      </c>
      <c r="EX9">
        <v>263</v>
      </c>
      <c r="EY9">
        <v>2925</v>
      </c>
      <c r="EZ9">
        <v>8780</v>
      </c>
      <c r="FA9">
        <v>35359</v>
      </c>
      <c r="FB9">
        <v>2853</v>
      </c>
      <c r="FC9">
        <v>8619</v>
      </c>
      <c r="FD9">
        <v>35423</v>
      </c>
      <c r="FE9">
        <v>156</v>
      </c>
      <c r="FF9">
        <v>420</v>
      </c>
      <c r="FG9">
        <v>2505</v>
      </c>
      <c r="FH9">
        <v>25932</v>
      </c>
      <c r="FI9">
        <v>104863</v>
      </c>
      <c r="FJ9">
        <v>2510</v>
      </c>
      <c r="FK9">
        <v>26061</v>
      </c>
      <c r="FL9">
        <v>102824</v>
      </c>
      <c r="FM9">
        <v>342</v>
      </c>
      <c r="FN9">
        <v>4042</v>
      </c>
      <c r="FO9">
        <v>7975</v>
      </c>
      <c r="FP9">
        <v>3678</v>
      </c>
      <c r="FQ9">
        <v>9260</v>
      </c>
      <c r="FR9">
        <v>8363</v>
      </c>
      <c r="FS9">
        <v>3736</v>
      </c>
      <c r="FT9">
        <v>10850</v>
      </c>
      <c r="FU9">
        <v>1693</v>
      </c>
      <c r="FV9">
        <v>466</v>
      </c>
    </row>
    <row r="10" spans="1:178" x14ac:dyDescent="0.4">
      <c r="A10" s="1" t="s">
        <v>8</v>
      </c>
      <c r="B10" s="3" t="s">
        <v>9</v>
      </c>
      <c r="C10">
        <v>515</v>
      </c>
      <c r="D10">
        <v>9428</v>
      </c>
      <c r="E10">
        <v>20992</v>
      </c>
      <c r="F10">
        <v>522</v>
      </c>
      <c r="G10">
        <v>9642</v>
      </c>
      <c r="H10">
        <v>22875</v>
      </c>
      <c r="I10">
        <v>23</v>
      </c>
      <c r="J10">
        <v>492</v>
      </c>
      <c r="K10">
        <v>16458</v>
      </c>
      <c r="L10">
        <v>94910</v>
      </c>
      <c r="M10">
        <v>259783</v>
      </c>
      <c r="N10">
        <v>17557</v>
      </c>
      <c r="O10">
        <v>95302</v>
      </c>
      <c r="P10">
        <v>277771</v>
      </c>
      <c r="Q10">
        <v>3102</v>
      </c>
      <c r="R10">
        <v>12481</v>
      </c>
      <c r="S10">
        <v>1479</v>
      </c>
      <c r="T10">
        <v>6387</v>
      </c>
      <c r="U10">
        <v>25178</v>
      </c>
      <c r="V10">
        <v>1483</v>
      </c>
      <c r="W10">
        <v>6395</v>
      </c>
      <c r="X10">
        <v>25203</v>
      </c>
      <c r="Y10">
        <v>22</v>
      </c>
      <c r="Z10">
        <v>26</v>
      </c>
      <c r="AA10">
        <v>1178</v>
      </c>
      <c r="AB10">
        <v>6382</v>
      </c>
      <c r="AC10">
        <v>29452</v>
      </c>
      <c r="AD10">
        <v>1168</v>
      </c>
      <c r="AE10">
        <v>6350</v>
      </c>
      <c r="AF10">
        <v>28745</v>
      </c>
      <c r="AG10">
        <v>67</v>
      </c>
      <c r="AH10">
        <v>302</v>
      </c>
      <c r="AI10">
        <v>715</v>
      </c>
      <c r="AJ10">
        <v>3598</v>
      </c>
      <c r="AK10">
        <v>20486</v>
      </c>
      <c r="AL10">
        <v>731</v>
      </c>
      <c r="AM10">
        <v>3614</v>
      </c>
      <c r="AN10">
        <v>21367</v>
      </c>
      <c r="AO10">
        <v>66</v>
      </c>
      <c r="AP10">
        <v>556</v>
      </c>
      <c r="AQ10">
        <v>1064</v>
      </c>
      <c r="AR10">
        <v>6708</v>
      </c>
      <c r="AS10">
        <v>37100</v>
      </c>
      <c r="AT10">
        <v>1064</v>
      </c>
      <c r="AU10">
        <v>6784</v>
      </c>
      <c r="AV10">
        <v>37859</v>
      </c>
      <c r="AW10">
        <v>52</v>
      </c>
      <c r="AX10">
        <v>232</v>
      </c>
      <c r="AY10">
        <v>1117</v>
      </c>
      <c r="AZ10">
        <v>3445</v>
      </c>
      <c r="BA10">
        <v>17066</v>
      </c>
      <c r="BB10">
        <v>1393</v>
      </c>
      <c r="BC10">
        <v>4239</v>
      </c>
      <c r="BD10">
        <v>20098</v>
      </c>
      <c r="BE10">
        <v>87</v>
      </c>
      <c r="BF10">
        <v>220</v>
      </c>
      <c r="BG10">
        <v>295</v>
      </c>
      <c r="BH10">
        <v>2431</v>
      </c>
      <c r="BI10">
        <v>12917</v>
      </c>
      <c r="BJ10">
        <v>297</v>
      </c>
      <c r="BK10">
        <v>2453</v>
      </c>
      <c r="BL10">
        <v>12938</v>
      </c>
      <c r="BM10">
        <v>3</v>
      </c>
      <c r="BN10">
        <v>18</v>
      </c>
      <c r="BO10">
        <v>124</v>
      </c>
      <c r="BP10">
        <v>412</v>
      </c>
      <c r="BQ10">
        <v>2446</v>
      </c>
      <c r="BR10">
        <v>129</v>
      </c>
      <c r="BS10">
        <v>424</v>
      </c>
      <c r="BT10">
        <v>2514</v>
      </c>
      <c r="BU10">
        <v>0</v>
      </c>
      <c r="BV10">
        <v>0</v>
      </c>
      <c r="BW10">
        <v>1000</v>
      </c>
      <c r="BX10">
        <v>7871</v>
      </c>
      <c r="BY10">
        <v>39801</v>
      </c>
      <c r="BZ10">
        <v>999</v>
      </c>
      <c r="CA10">
        <v>7852</v>
      </c>
      <c r="CB10">
        <v>39658</v>
      </c>
      <c r="CC10">
        <v>9</v>
      </c>
      <c r="CD10">
        <v>170</v>
      </c>
      <c r="CE10">
        <v>817</v>
      </c>
      <c r="CF10">
        <v>2181</v>
      </c>
      <c r="CG10">
        <v>12469</v>
      </c>
      <c r="CH10">
        <v>815</v>
      </c>
      <c r="CI10">
        <v>2154</v>
      </c>
      <c r="CJ10">
        <v>13866</v>
      </c>
      <c r="CK10">
        <v>7</v>
      </c>
      <c r="CL10">
        <v>85</v>
      </c>
      <c r="CM10">
        <v>21856</v>
      </c>
      <c r="CN10">
        <v>57540</v>
      </c>
      <c r="CO10">
        <v>156142</v>
      </c>
      <c r="CP10">
        <v>22839</v>
      </c>
      <c r="CQ10">
        <v>59465</v>
      </c>
      <c r="CR10">
        <v>164881</v>
      </c>
      <c r="CS10">
        <v>1131</v>
      </c>
      <c r="CT10">
        <v>3341</v>
      </c>
      <c r="CU10">
        <v>3648</v>
      </c>
      <c r="CV10">
        <v>35442</v>
      </c>
      <c r="CW10">
        <v>76732</v>
      </c>
      <c r="CX10">
        <v>3626</v>
      </c>
      <c r="CY10">
        <v>35344</v>
      </c>
      <c r="CZ10">
        <v>84729</v>
      </c>
      <c r="DA10">
        <v>289</v>
      </c>
      <c r="DB10">
        <v>2952</v>
      </c>
      <c r="DC10">
        <v>1920</v>
      </c>
      <c r="DD10">
        <v>15752</v>
      </c>
      <c r="DE10">
        <v>42166</v>
      </c>
      <c r="DF10">
        <v>1933</v>
      </c>
      <c r="DG10">
        <v>15954</v>
      </c>
      <c r="DH10">
        <v>44591</v>
      </c>
      <c r="DI10">
        <v>72</v>
      </c>
      <c r="DJ10">
        <v>603</v>
      </c>
      <c r="DK10">
        <v>2935</v>
      </c>
      <c r="DL10">
        <v>52562</v>
      </c>
      <c r="DM10">
        <v>103790</v>
      </c>
      <c r="DN10">
        <v>2949</v>
      </c>
      <c r="DO10">
        <v>52604</v>
      </c>
      <c r="DP10">
        <v>118390</v>
      </c>
      <c r="DQ10">
        <v>201</v>
      </c>
      <c r="DR10">
        <v>3864</v>
      </c>
      <c r="DS10">
        <v>579</v>
      </c>
      <c r="DT10">
        <v>19585</v>
      </c>
      <c r="DU10">
        <v>32220</v>
      </c>
      <c r="DV10">
        <v>565</v>
      </c>
      <c r="DW10">
        <v>19049</v>
      </c>
      <c r="DX10">
        <v>33627</v>
      </c>
      <c r="DY10">
        <v>40</v>
      </c>
      <c r="DZ10">
        <v>1709</v>
      </c>
      <c r="EA10">
        <v>62</v>
      </c>
      <c r="EB10">
        <v>499</v>
      </c>
      <c r="EC10">
        <v>1451</v>
      </c>
      <c r="ED10">
        <v>66</v>
      </c>
      <c r="EE10">
        <v>531</v>
      </c>
      <c r="EF10">
        <v>2970</v>
      </c>
      <c r="EG10">
        <v>9</v>
      </c>
      <c r="EH10">
        <v>83</v>
      </c>
      <c r="EI10">
        <v>163</v>
      </c>
      <c r="EJ10">
        <v>4593</v>
      </c>
      <c r="EK10">
        <v>7760</v>
      </c>
      <c r="EL10">
        <v>173</v>
      </c>
      <c r="EM10">
        <v>4844</v>
      </c>
      <c r="EN10">
        <v>8063</v>
      </c>
      <c r="EO10">
        <v>38</v>
      </c>
      <c r="EP10">
        <v>1036</v>
      </c>
      <c r="EQ10">
        <v>381</v>
      </c>
      <c r="ER10">
        <v>1919</v>
      </c>
      <c r="ES10">
        <v>4413</v>
      </c>
      <c r="ET10">
        <v>405</v>
      </c>
      <c r="EU10">
        <v>1986</v>
      </c>
      <c r="EV10">
        <v>4724</v>
      </c>
      <c r="EW10">
        <v>58</v>
      </c>
      <c r="EX10">
        <v>234</v>
      </c>
      <c r="EY10">
        <v>3273</v>
      </c>
      <c r="EZ10">
        <v>10147</v>
      </c>
      <c r="FA10">
        <v>42438</v>
      </c>
      <c r="FB10">
        <v>3330</v>
      </c>
      <c r="FC10">
        <v>10259</v>
      </c>
      <c r="FD10">
        <v>44060</v>
      </c>
      <c r="FE10">
        <v>100</v>
      </c>
      <c r="FF10">
        <v>308</v>
      </c>
      <c r="FG10">
        <v>3036</v>
      </c>
      <c r="FH10">
        <v>30404</v>
      </c>
      <c r="FI10">
        <v>125453</v>
      </c>
      <c r="FJ10">
        <v>2988</v>
      </c>
      <c r="FK10">
        <v>30327</v>
      </c>
      <c r="FL10">
        <v>124477</v>
      </c>
      <c r="FM10">
        <v>389</v>
      </c>
      <c r="FN10">
        <v>4119</v>
      </c>
      <c r="FO10">
        <v>7389</v>
      </c>
      <c r="FP10">
        <v>3476</v>
      </c>
      <c r="FQ10">
        <v>8578</v>
      </c>
      <c r="FR10">
        <v>7424</v>
      </c>
      <c r="FS10">
        <v>3597</v>
      </c>
      <c r="FT10">
        <v>10493</v>
      </c>
      <c r="FU10">
        <v>1656</v>
      </c>
      <c r="FV10">
        <v>349</v>
      </c>
    </row>
    <row r="11" spans="1:178" x14ac:dyDescent="0.4">
      <c r="A11" s="1" t="s">
        <v>10</v>
      </c>
      <c r="B11" s="3" t="s">
        <v>11</v>
      </c>
      <c r="C11">
        <v>540</v>
      </c>
      <c r="D11">
        <v>10688</v>
      </c>
      <c r="E11">
        <v>24121</v>
      </c>
      <c r="F11">
        <v>526</v>
      </c>
      <c r="G11">
        <v>10486</v>
      </c>
      <c r="H11">
        <v>25588</v>
      </c>
      <c r="I11">
        <v>37</v>
      </c>
      <c r="J11">
        <v>695</v>
      </c>
      <c r="K11">
        <v>13735</v>
      </c>
      <c r="L11">
        <v>91929</v>
      </c>
      <c r="M11">
        <v>248004</v>
      </c>
      <c r="N11">
        <v>15729</v>
      </c>
      <c r="O11">
        <v>95661</v>
      </c>
      <c r="P11">
        <v>280648</v>
      </c>
      <c r="Q11">
        <v>2842</v>
      </c>
      <c r="R11">
        <v>12225</v>
      </c>
      <c r="S11">
        <v>1231</v>
      </c>
      <c r="T11">
        <v>5677</v>
      </c>
      <c r="U11">
        <v>23175</v>
      </c>
      <c r="V11">
        <v>1223</v>
      </c>
      <c r="W11">
        <v>5659</v>
      </c>
      <c r="X11">
        <v>23129</v>
      </c>
      <c r="Y11">
        <v>30</v>
      </c>
      <c r="Z11">
        <v>44</v>
      </c>
      <c r="AA11">
        <v>1043</v>
      </c>
      <c r="AB11">
        <v>5863</v>
      </c>
      <c r="AC11">
        <v>26038</v>
      </c>
      <c r="AD11">
        <v>1061</v>
      </c>
      <c r="AE11">
        <v>5925</v>
      </c>
      <c r="AF11">
        <v>26127</v>
      </c>
      <c r="AG11">
        <v>49</v>
      </c>
      <c r="AH11">
        <v>241</v>
      </c>
      <c r="AI11">
        <v>788</v>
      </c>
      <c r="AJ11">
        <v>3977</v>
      </c>
      <c r="AK11">
        <v>24740</v>
      </c>
      <c r="AL11">
        <v>790</v>
      </c>
      <c r="AM11">
        <v>3795</v>
      </c>
      <c r="AN11">
        <v>24423</v>
      </c>
      <c r="AO11">
        <v>64</v>
      </c>
      <c r="AP11">
        <v>739</v>
      </c>
      <c r="AQ11">
        <v>1133</v>
      </c>
      <c r="AR11">
        <v>7644</v>
      </c>
      <c r="AS11">
        <v>42623</v>
      </c>
      <c r="AT11">
        <v>1128</v>
      </c>
      <c r="AU11">
        <v>7593</v>
      </c>
      <c r="AV11">
        <v>42837</v>
      </c>
      <c r="AW11">
        <v>57</v>
      </c>
      <c r="AX11">
        <v>281</v>
      </c>
      <c r="AY11">
        <v>958</v>
      </c>
      <c r="AZ11">
        <v>3287</v>
      </c>
      <c r="BA11">
        <v>16665</v>
      </c>
      <c r="BB11">
        <v>1282</v>
      </c>
      <c r="BC11">
        <v>4201</v>
      </c>
      <c r="BD11">
        <v>21133</v>
      </c>
      <c r="BE11">
        <v>81</v>
      </c>
      <c r="BF11">
        <v>218</v>
      </c>
      <c r="BG11">
        <v>400</v>
      </c>
      <c r="BH11">
        <v>3804</v>
      </c>
      <c r="BI11">
        <v>19671</v>
      </c>
      <c r="BJ11">
        <v>397</v>
      </c>
      <c r="BK11">
        <v>3768</v>
      </c>
      <c r="BL11">
        <v>19636</v>
      </c>
      <c r="BM11">
        <v>6</v>
      </c>
      <c r="BN11">
        <v>54</v>
      </c>
      <c r="BO11">
        <v>105</v>
      </c>
      <c r="BP11">
        <v>368</v>
      </c>
      <c r="BQ11">
        <v>2080</v>
      </c>
      <c r="BR11">
        <v>105</v>
      </c>
      <c r="BS11">
        <v>367</v>
      </c>
      <c r="BT11">
        <v>2082</v>
      </c>
      <c r="BU11">
        <v>0</v>
      </c>
      <c r="BV11">
        <v>0</v>
      </c>
      <c r="BW11">
        <v>1029</v>
      </c>
      <c r="BX11">
        <v>7321</v>
      </c>
      <c r="BY11">
        <v>36149</v>
      </c>
      <c r="BZ11">
        <v>1029</v>
      </c>
      <c r="CA11">
        <v>7398</v>
      </c>
      <c r="CB11">
        <v>36702</v>
      </c>
      <c r="CC11">
        <v>9</v>
      </c>
      <c r="CD11">
        <v>93</v>
      </c>
      <c r="CE11">
        <v>957</v>
      </c>
      <c r="CF11">
        <v>3578</v>
      </c>
      <c r="CG11">
        <v>20090</v>
      </c>
      <c r="CH11">
        <v>957</v>
      </c>
      <c r="CI11">
        <v>3579</v>
      </c>
      <c r="CJ11">
        <v>21921</v>
      </c>
      <c r="CK11">
        <v>4</v>
      </c>
      <c r="CL11">
        <v>84</v>
      </c>
      <c r="CM11">
        <v>15557</v>
      </c>
      <c r="CN11">
        <v>43927</v>
      </c>
      <c r="CO11">
        <v>129145</v>
      </c>
      <c r="CP11">
        <v>15311</v>
      </c>
      <c r="CQ11">
        <v>43280</v>
      </c>
      <c r="CR11">
        <v>133861</v>
      </c>
      <c r="CS11">
        <v>1362</v>
      </c>
      <c r="CT11">
        <v>3881</v>
      </c>
      <c r="CU11">
        <v>3677</v>
      </c>
      <c r="CV11">
        <v>36649</v>
      </c>
      <c r="CW11">
        <v>83299</v>
      </c>
      <c r="CX11">
        <v>3553</v>
      </c>
      <c r="CY11">
        <v>35260</v>
      </c>
      <c r="CZ11">
        <v>89970</v>
      </c>
      <c r="DA11">
        <v>405</v>
      </c>
      <c r="DB11">
        <v>4236</v>
      </c>
      <c r="DC11">
        <v>1668</v>
      </c>
      <c r="DD11">
        <v>13642</v>
      </c>
      <c r="DE11">
        <v>35090</v>
      </c>
      <c r="DF11">
        <v>1639</v>
      </c>
      <c r="DG11">
        <v>13634</v>
      </c>
      <c r="DH11">
        <v>37846</v>
      </c>
      <c r="DI11">
        <v>110</v>
      </c>
      <c r="DJ11">
        <v>786</v>
      </c>
      <c r="DK11">
        <v>2993</v>
      </c>
      <c r="DL11">
        <v>51673</v>
      </c>
      <c r="DM11">
        <v>107710</v>
      </c>
      <c r="DN11">
        <v>2919</v>
      </c>
      <c r="DO11">
        <v>50716</v>
      </c>
      <c r="DP11">
        <v>121211</v>
      </c>
      <c r="DQ11">
        <v>261</v>
      </c>
      <c r="DR11">
        <v>4481</v>
      </c>
      <c r="DS11">
        <v>587</v>
      </c>
      <c r="DT11">
        <v>21605</v>
      </c>
      <c r="DU11">
        <v>39850</v>
      </c>
      <c r="DV11">
        <v>585</v>
      </c>
      <c r="DW11">
        <v>21577</v>
      </c>
      <c r="DX11">
        <v>42207</v>
      </c>
      <c r="DY11">
        <v>42</v>
      </c>
      <c r="DZ11">
        <v>1737</v>
      </c>
      <c r="EA11">
        <v>73</v>
      </c>
      <c r="EB11">
        <v>621</v>
      </c>
      <c r="EC11">
        <v>1905</v>
      </c>
      <c r="ED11">
        <v>64</v>
      </c>
      <c r="EE11">
        <v>539</v>
      </c>
      <c r="EF11">
        <v>3196</v>
      </c>
      <c r="EG11">
        <v>18</v>
      </c>
      <c r="EH11">
        <v>165</v>
      </c>
      <c r="EI11">
        <v>185</v>
      </c>
      <c r="EJ11">
        <v>5092</v>
      </c>
      <c r="EK11">
        <v>10602</v>
      </c>
      <c r="EL11">
        <v>187</v>
      </c>
      <c r="EM11">
        <v>5125</v>
      </c>
      <c r="EN11">
        <v>10477</v>
      </c>
      <c r="EO11">
        <v>36</v>
      </c>
      <c r="EP11">
        <v>1003</v>
      </c>
      <c r="EQ11">
        <v>351</v>
      </c>
      <c r="ER11">
        <v>1639</v>
      </c>
      <c r="ES11">
        <v>4069</v>
      </c>
      <c r="ET11">
        <v>328</v>
      </c>
      <c r="EU11">
        <v>1558</v>
      </c>
      <c r="EV11">
        <v>4070</v>
      </c>
      <c r="EW11">
        <v>94</v>
      </c>
      <c r="EX11">
        <v>352</v>
      </c>
      <c r="EY11">
        <v>3052</v>
      </c>
      <c r="EZ11">
        <v>9875</v>
      </c>
      <c r="FA11">
        <v>41317</v>
      </c>
      <c r="FB11">
        <v>3072</v>
      </c>
      <c r="FC11">
        <v>9921</v>
      </c>
      <c r="FD11">
        <v>44151</v>
      </c>
      <c r="FE11">
        <v>79</v>
      </c>
      <c r="FF11">
        <v>259</v>
      </c>
      <c r="FG11">
        <v>2467</v>
      </c>
      <c r="FH11">
        <v>29030</v>
      </c>
      <c r="FI11">
        <v>105077</v>
      </c>
      <c r="FJ11">
        <v>2358</v>
      </c>
      <c r="FK11">
        <v>26656</v>
      </c>
      <c r="FL11">
        <v>101451</v>
      </c>
      <c r="FM11">
        <v>499</v>
      </c>
      <c r="FN11">
        <v>6506</v>
      </c>
      <c r="FO11">
        <v>6303</v>
      </c>
      <c r="FP11">
        <v>4497</v>
      </c>
      <c r="FQ11">
        <v>10371</v>
      </c>
      <c r="FR11">
        <v>6917</v>
      </c>
      <c r="FS11">
        <v>4309</v>
      </c>
      <c r="FT11">
        <v>12025</v>
      </c>
      <c r="FU11">
        <v>1044</v>
      </c>
      <c r="FV11">
        <v>533</v>
      </c>
    </row>
    <row r="12" spans="1:178" x14ac:dyDescent="0.4">
      <c r="A12" s="1" t="s">
        <v>12</v>
      </c>
      <c r="B12" s="3" t="s">
        <v>13</v>
      </c>
      <c r="C12">
        <v>557</v>
      </c>
      <c r="D12">
        <v>11167</v>
      </c>
      <c r="E12">
        <v>26586</v>
      </c>
      <c r="F12">
        <v>550</v>
      </c>
      <c r="G12">
        <v>10835</v>
      </c>
      <c r="H12">
        <v>28457</v>
      </c>
      <c r="I12">
        <v>44</v>
      </c>
      <c r="J12">
        <v>1022</v>
      </c>
      <c r="K12">
        <v>9929</v>
      </c>
      <c r="L12">
        <v>68417</v>
      </c>
      <c r="M12">
        <v>197712</v>
      </c>
      <c r="N12">
        <v>11355</v>
      </c>
      <c r="O12">
        <v>72484</v>
      </c>
      <c r="P12">
        <v>224894</v>
      </c>
      <c r="Q12">
        <v>2511</v>
      </c>
      <c r="R12">
        <v>10214</v>
      </c>
      <c r="S12">
        <v>890</v>
      </c>
      <c r="T12">
        <v>3951</v>
      </c>
      <c r="U12">
        <v>17804</v>
      </c>
      <c r="V12">
        <v>913</v>
      </c>
      <c r="W12">
        <v>3982</v>
      </c>
      <c r="X12">
        <v>17895</v>
      </c>
      <c r="Y12">
        <v>7</v>
      </c>
      <c r="Z12">
        <v>13</v>
      </c>
      <c r="AA12">
        <v>897</v>
      </c>
      <c r="AB12">
        <v>5009</v>
      </c>
      <c r="AC12">
        <v>25414</v>
      </c>
      <c r="AD12">
        <v>897</v>
      </c>
      <c r="AE12">
        <v>5055</v>
      </c>
      <c r="AF12">
        <v>25639</v>
      </c>
      <c r="AG12">
        <v>49</v>
      </c>
      <c r="AH12">
        <v>194</v>
      </c>
      <c r="AI12">
        <v>584</v>
      </c>
      <c r="AJ12">
        <v>3485</v>
      </c>
      <c r="AK12">
        <v>20967</v>
      </c>
      <c r="AL12">
        <v>600</v>
      </c>
      <c r="AM12">
        <v>3427</v>
      </c>
      <c r="AN12">
        <v>21150</v>
      </c>
      <c r="AO12">
        <v>48</v>
      </c>
      <c r="AP12">
        <v>798</v>
      </c>
      <c r="AQ12">
        <v>980</v>
      </c>
      <c r="AR12">
        <v>6479</v>
      </c>
      <c r="AS12">
        <v>37456</v>
      </c>
      <c r="AT12">
        <v>983</v>
      </c>
      <c r="AU12">
        <v>6496</v>
      </c>
      <c r="AV12">
        <v>37917</v>
      </c>
      <c r="AW12">
        <v>54</v>
      </c>
      <c r="AX12">
        <v>261</v>
      </c>
      <c r="AY12">
        <v>824</v>
      </c>
      <c r="AZ12">
        <v>2686</v>
      </c>
      <c r="BA12">
        <v>14658</v>
      </c>
      <c r="BB12">
        <v>1071</v>
      </c>
      <c r="BC12">
        <v>3453</v>
      </c>
      <c r="BD12">
        <v>18694</v>
      </c>
      <c r="BE12">
        <v>89</v>
      </c>
      <c r="BF12">
        <v>201</v>
      </c>
      <c r="BG12">
        <v>425</v>
      </c>
      <c r="BH12">
        <v>4233</v>
      </c>
      <c r="BI12">
        <v>22801</v>
      </c>
      <c r="BJ12">
        <v>428</v>
      </c>
      <c r="BK12">
        <v>4266</v>
      </c>
      <c r="BL12">
        <v>22858</v>
      </c>
      <c r="BM12">
        <v>3</v>
      </c>
      <c r="BN12">
        <v>21</v>
      </c>
      <c r="BO12">
        <v>97</v>
      </c>
      <c r="BP12">
        <v>318</v>
      </c>
      <c r="BQ12">
        <v>1878</v>
      </c>
      <c r="BR12">
        <v>97</v>
      </c>
      <c r="BS12">
        <v>318</v>
      </c>
      <c r="BT12">
        <v>1879</v>
      </c>
      <c r="BU12">
        <v>0</v>
      </c>
      <c r="BV12">
        <v>0</v>
      </c>
      <c r="BW12">
        <v>702</v>
      </c>
      <c r="BX12">
        <v>6085</v>
      </c>
      <c r="BY12">
        <v>32285</v>
      </c>
      <c r="BZ12">
        <v>699</v>
      </c>
      <c r="CA12">
        <v>6065</v>
      </c>
      <c r="CB12">
        <v>32328</v>
      </c>
      <c r="CC12">
        <v>12</v>
      </c>
      <c r="CD12">
        <v>113</v>
      </c>
      <c r="CE12">
        <v>823</v>
      </c>
      <c r="CF12">
        <v>2247</v>
      </c>
      <c r="CG12">
        <v>12830</v>
      </c>
      <c r="CH12">
        <v>824</v>
      </c>
      <c r="CI12">
        <v>2311</v>
      </c>
      <c r="CJ12">
        <v>14020</v>
      </c>
      <c r="CK12">
        <v>3</v>
      </c>
      <c r="CL12">
        <v>19</v>
      </c>
      <c r="CM12">
        <v>16091</v>
      </c>
      <c r="CN12">
        <v>42023</v>
      </c>
      <c r="CO12">
        <v>124358</v>
      </c>
      <c r="CP12">
        <v>15503</v>
      </c>
      <c r="CQ12">
        <v>40518</v>
      </c>
      <c r="CR12">
        <v>126511</v>
      </c>
      <c r="CS12">
        <v>1935</v>
      </c>
      <c r="CT12">
        <v>5278</v>
      </c>
      <c r="CU12">
        <v>2765</v>
      </c>
      <c r="CV12">
        <v>29030</v>
      </c>
      <c r="CW12">
        <v>68393</v>
      </c>
      <c r="CX12">
        <v>2801</v>
      </c>
      <c r="CY12">
        <v>29194</v>
      </c>
      <c r="CZ12">
        <v>76739</v>
      </c>
      <c r="DA12">
        <v>359</v>
      </c>
      <c r="DB12">
        <v>3942</v>
      </c>
      <c r="DC12">
        <v>1137</v>
      </c>
      <c r="DD12">
        <v>9306</v>
      </c>
      <c r="DE12">
        <v>25172</v>
      </c>
      <c r="DF12">
        <v>1153</v>
      </c>
      <c r="DG12">
        <v>9436</v>
      </c>
      <c r="DH12">
        <v>28210</v>
      </c>
      <c r="DI12">
        <v>106</v>
      </c>
      <c r="DJ12">
        <v>846</v>
      </c>
      <c r="DK12">
        <v>2093</v>
      </c>
      <c r="DL12">
        <v>40215</v>
      </c>
      <c r="DM12">
        <v>82911</v>
      </c>
      <c r="DN12">
        <v>2137</v>
      </c>
      <c r="DO12">
        <v>40445</v>
      </c>
      <c r="DP12">
        <v>103491</v>
      </c>
      <c r="DQ12">
        <v>210</v>
      </c>
      <c r="DR12">
        <v>4186</v>
      </c>
      <c r="DS12">
        <v>552</v>
      </c>
      <c r="DT12">
        <v>21340</v>
      </c>
      <c r="DU12">
        <v>38985</v>
      </c>
      <c r="DV12">
        <v>544</v>
      </c>
      <c r="DW12">
        <v>20869</v>
      </c>
      <c r="DX12">
        <v>44401</v>
      </c>
      <c r="DY12">
        <v>50</v>
      </c>
      <c r="DZ12">
        <v>2207</v>
      </c>
      <c r="EA12">
        <v>64</v>
      </c>
      <c r="EB12">
        <v>545</v>
      </c>
      <c r="EC12">
        <v>1928</v>
      </c>
      <c r="ED12">
        <v>71</v>
      </c>
      <c r="EE12">
        <v>617</v>
      </c>
      <c r="EF12">
        <v>3651</v>
      </c>
      <c r="EG12">
        <v>11</v>
      </c>
      <c r="EH12">
        <v>93</v>
      </c>
      <c r="EI12">
        <v>130</v>
      </c>
      <c r="EJ12">
        <v>3849</v>
      </c>
      <c r="EK12">
        <v>9541</v>
      </c>
      <c r="EL12">
        <v>138</v>
      </c>
      <c r="EM12">
        <v>4067</v>
      </c>
      <c r="EN12">
        <v>10075</v>
      </c>
      <c r="EO12">
        <v>28</v>
      </c>
      <c r="EP12">
        <v>785</v>
      </c>
      <c r="EQ12">
        <v>279</v>
      </c>
      <c r="ER12">
        <v>1535</v>
      </c>
      <c r="ES12">
        <v>3839</v>
      </c>
      <c r="ET12">
        <v>323</v>
      </c>
      <c r="EU12">
        <v>1684</v>
      </c>
      <c r="EV12">
        <v>4392</v>
      </c>
      <c r="EW12">
        <v>63</v>
      </c>
      <c r="EX12">
        <v>285</v>
      </c>
      <c r="EY12">
        <v>2894</v>
      </c>
      <c r="EZ12">
        <v>9330</v>
      </c>
      <c r="FA12">
        <v>40291</v>
      </c>
      <c r="FB12">
        <v>2869</v>
      </c>
      <c r="FC12">
        <v>9289</v>
      </c>
      <c r="FD12">
        <v>42358</v>
      </c>
      <c r="FE12">
        <v>100</v>
      </c>
      <c r="FF12">
        <v>287</v>
      </c>
      <c r="FG12">
        <v>1886</v>
      </c>
      <c r="FH12">
        <v>22449</v>
      </c>
      <c r="FI12">
        <v>84426</v>
      </c>
      <c r="FJ12">
        <v>1886</v>
      </c>
      <c r="FK12">
        <v>22772</v>
      </c>
      <c r="FL12">
        <v>83770</v>
      </c>
      <c r="FM12">
        <v>498</v>
      </c>
      <c r="FN12">
        <v>6175</v>
      </c>
      <c r="FO12">
        <v>5850</v>
      </c>
      <c r="FP12">
        <v>4414</v>
      </c>
      <c r="FQ12">
        <v>11101</v>
      </c>
      <c r="FR12">
        <v>6598</v>
      </c>
      <c r="FS12">
        <v>4627</v>
      </c>
      <c r="FT12">
        <v>13545</v>
      </c>
      <c r="FU12">
        <v>341</v>
      </c>
      <c r="FV12">
        <v>452</v>
      </c>
    </row>
    <row r="13" spans="1:178" x14ac:dyDescent="0.4">
      <c r="A13" s="1" t="s">
        <v>14</v>
      </c>
      <c r="B13" s="3" t="s">
        <v>15</v>
      </c>
      <c r="C13">
        <v>523</v>
      </c>
      <c r="D13">
        <v>10770</v>
      </c>
      <c r="E13">
        <v>25714</v>
      </c>
      <c r="F13">
        <v>525</v>
      </c>
      <c r="G13">
        <v>10523</v>
      </c>
      <c r="H13">
        <v>27023</v>
      </c>
      <c r="I13">
        <v>42</v>
      </c>
      <c r="J13">
        <v>1270</v>
      </c>
      <c r="K13">
        <v>9281</v>
      </c>
      <c r="L13">
        <v>61091</v>
      </c>
      <c r="M13">
        <v>197763</v>
      </c>
      <c r="N13">
        <v>10841</v>
      </c>
      <c r="O13">
        <v>65438</v>
      </c>
      <c r="P13">
        <v>226945</v>
      </c>
      <c r="Q13">
        <v>1890</v>
      </c>
      <c r="R13">
        <v>7717</v>
      </c>
      <c r="S13">
        <v>710</v>
      </c>
      <c r="T13">
        <v>3087</v>
      </c>
      <c r="U13">
        <v>15526</v>
      </c>
      <c r="V13">
        <v>708</v>
      </c>
      <c r="W13">
        <v>3087</v>
      </c>
      <c r="X13">
        <v>15521</v>
      </c>
      <c r="Y13">
        <v>9</v>
      </c>
      <c r="Z13">
        <v>13</v>
      </c>
      <c r="AA13">
        <v>800</v>
      </c>
      <c r="AB13">
        <v>4407</v>
      </c>
      <c r="AC13">
        <v>24263</v>
      </c>
      <c r="AD13">
        <v>785</v>
      </c>
      <c r="AE13">
        <v>4315</v>
      </c>
      <c r="AF13">
        <v>23368</v>
      </c>
      <c r="AG13">
        <v>64</v>
      </c>
      <c r="AH13">
        <v>284</v>
      </c>
      <c r="AI13">
        <v>523</v>
      </c>
      <c r="AJ13">
        <v>2791</v>
      </c>
      <c r="AK13">
        <v>17292</v>
      </c>
      <c r="AL13">
        <v>529</v>
      </c>
      <c r="AM13">
        <v>2818</v>
      </c>
      <c r="AN13">
        <v>18167</v>
      </c>
      <c r="AO13">
        <v>42</v>
      </c>
      <c r="AP13">
        <v>772</v>
      </c>
      <c r="AQ13">
        <v>867</v>
      </c>
      <c r="AR13">
        <v>5738</v>
      </c>
      <c r="AS13">
        <v>36169</v>
      </c>
      <c r="AT13">
        <v>866</v>
      </c>
      <c r="AU13">
        <v>5765</v>
      </c>
      <c r="AV13">
        <v>36751</v>
      </c>
      <c r="AW13">
        <v>55</v>
      </c>
      <c r="AX13">
        <v>234</v>
      </c>
      <c r="AY13">
        <v>747</v>
      </c>
      <c r="AZ13">
        <v>2530</v>
      </c>
      <c r="BA13">
        <v>15863</v>
      </c>
      <c r="BB13">
        <v>958</v>
      </c>
      <c r="BC13">
        <v>3160</v>
      </c>
      <c r="BD13">
        <v>19742</v>
      </c>
      <c r="BE13">
        <v>83</v>
      </c>
      <c r="BF13">
        <v>175</v>
      </c>
      <c r="BG13">
        <v>366</v>
      </c>
      <c r="BH13">
        <v>3618</v>
      </c>
      <c r="BI13">
        <v>19887</v>
      </c>
      <c r="BJ13">
        <v>357</v>
      </c>
      <c r="BK13">
        <v>3536</v>
      </c>
      <c r="BL13">
        <v>19551</v>
      </c>
      <c r="BM13">
        <v>12</v>
      </c>
      <c r="BN13">
        <v>103</v>
      </c>
      <c r="BO13">
        <v>90</v>
      </c>
      <c r="BP13">
        <v>303</v>
      </c>
      <c r="BQ13">
        <v>2352</v>
      </c>
      <c r="BR13">
        <v>90</v>
      </c>
      <c r="BS13">
        <v>305</v>
      </c>
      <c r="BT13">
        <v>2353</v>
      </c>
      <c r="BU13">
        <v>0</v>
      </c>
      <c r="BV13">
        <v>0</v>
      </c>
      <c r="BW13">
        <v>597</v>
      </c>
      <c r="BX13">
        <v>6731</v>
      </c>
      <c r="BY13">
        <v>36962</v>
      </c>
      <c r="BZ13">
        <v>593</v>
      </c>
      <c r="CA13">
        <v>6699</v>
      </c>
      <c r="CB13">
        <v>36872</v>
      </c>
      <c r="CC13">
        <v>16</v>
      </c>
      <c r="CD13">
        <v>145</v>
      </c>
      <c r="CE13">
        <v>1046</v>
      </c>
      <c r="CF13">
        <v>3770</v>
      </c>
      <c r="CG13">
        <v>22496</v>
      </c>
      <c r="CH13">
        <v>1044</v>
      </c>
      <c r="CI13">
        <v>3731</v>
      </c>
      <c r="CJ13">
        <v>25211</v>
      </c>
      <c r="CK13">
        <v>5</v>
      </c>
      <c r="CL13">
        <v>57</v>
      </c>
      <c r="CM13">
        <v>19359</v>
      </c>
      <c r="CN13">
        <v>49752</v>
      </c>
      <c r="CO13">
        <v>150023</v>
      </c>
      <c r="CP13">
        <v>19919</v>
      </c>
      <c r="CQ13">
        <v>51286</v>
      </c>
      <c r="CR13">
        <v>159231</v>
      </c>
      <c r="CS13">
        <v>1363</v>
      </c>
      <c r="CT13">
        <v>3668</v>
      </c>
      <c r="CU13">
        <v>3144</v>
      </c>
      <c r="CV13">
        <v>33299</v>
      </c>
      <c r="CW13">
        <v>85581</v>
      </c>
      <c r="CX13">
        <v>3119</v>
      </c>
      <c r="CY13">
        <v>32562</v>
      </c>
      <c r="CZ13">
        <v>93859</v>
      </c>
      <c r="DA13">
        <v>379</v>
      </c>
      <c r="DB13">
        <v>4609</v>
      </c>
      <c r="DC13">
        <v>1093</v>
      </c>
      <c r="DD13">
        <v>8454</v>
      </c>
      <c r="DE13">
        <v>24398</v>
      </c>
      <c r="DF13">
        <v>1125</v>
      </c>
      <c r="DG13">
        <v>8825</v>
      </c>
      <c r="DH13">
        <v>28640</v>
      </c>
      <c r="DI13">
        <v>84</v>
      </c>
      <c r="DJ13">
        <v>620</v>
      </c>
      <c r="DK13">
        <v>1956</v>
      </c>
      <c r="DL13">
        <v>36794</v>
      </c>
      <c r="DM13">
        <v>83730</v>
      </c>
      <c r="DN13">
        <v>1948</v>
      </c>
      <c r="DO13">
        <v>37095</v>
      </c>
      <c r="DP13">
        <v>100584</v>
      </c>
      <c r="DQ13">
        <v>210</v>
      </c>
      <c r="DR13">
        <v>3778</v>
      </c>
      <c r="DS13">
        <v>657</v>
      </c>
      <c r="DT13">
        <v>27004</v>
      </c>
      <c r="DU13">
        <v>51188</v>
      </c>
      <c r="DV13">
        <v>661</v>
      </c>
      <c r="DW13">
        <v>27258</v>
      </c>
      <c r="DX13">
        <v>56727</v>
      </c>
      <c r="DY13">
        <v>46</v>
      </c>
      <c r="DZ13">
        <v>1953</v>
      </c>
      <c r="EA13">
        <v>65</v>
      </c>
      <c r="EB13">
        <v>606</v>
      </c>
      <c r="EC13">
        <v>1976</v>
      </c>
      <c r="ED13">
        <v>60</v>
      </c>
      <c r="EE13">
        <v>567</v>
      </c>
      <c r="EF13">
        <v>3213</v>
      </c>
      <c r="EG13">
        <v>16</v>
      </c>
      <c r="EH13">
        <v>132</v>
      </c>
      <c r="EI13">
        <v>99</v>
      </c>
      <c r="EJ13">
        <v>3188</v>
      </c>
      <c r="EK13">
        <v>8206</v>
      </c>
      <c r="EL13">
        <v>98</v>
      </c>
      <c r="EM13">
        <v>3130</v>
      </c>
      <c r="EN13">
        <v>8011</v>
      </c>
      <c r="EO13">
        <v>29</v>
      </c>
      <c r="EP13">
        <v>843</v>
      </c>
      <c r="EQ13">
        <v>267</v>
      </c>
      <c r="ER13">
        <v>1473</v>
      </c>
      <c r="ES13">
        <v>3771</v>
      </c>
      <c r="ET13">
        <v>284</v>
      </c>
      <c r="EU13">
        <v>1589</v>
      </c>
      <c r="EV13">
        <v>4207</v>
      </c>
      <c r="EW13">
        <v>58</v>
      </c>
      <c r="EX13">
        <v>205</v>
      </c>
      <c r="EY13">
        <v>3320</v>
      </c>
      <c r="EZ13">
        <v>10725</v>
      </c>
      <c r="FA13">
        <v>46591</v>
      </c>
      <c r="FB13">
        <v>3324</v>
      </c>
      <c r="FC13">
        <v>10739</v>
      </c>
      <c r="FD13">
        <v>47685</v>
      </c>
      <c r="FE13">
        <v>95</v>
      </c>
      <c r="FF13">
        <v>268</v>
      </c>
      <c r="FG13">
        <v>2237</v>
      </c>
      <c r="FH13">
        <v>23651</v>
      </c>
      <c r="FI13">
        <v>101517</v>
      </c>
      <c r="FJ13">
        <v>2267</v>
      </c>
      <c r="FK13">
        <v>24806</v>
      </c>
      <c r="FL13">
        <v>102067</v>
      </c>
      <c r="FM13">
        <v>468</v>
      </c>
      <c r="FN13">
        <v>5042</v>
      </c>
      <c r="FO13">
        <v>5698</v>
      </c>
      <c r="FP13">
        <v>4370</v>
      </c>
      <c r="FQ13">
        <v>11377</v>
      </c>
      <c r="FR13">
        <v>5941</v>
      </c>
      <c r="FS13">
        <v>4396</v>
      </c>
      <c r="FT13">
        <v>13492</v>
      </c>
      <c r="FU13">
        <v>243</v>
      </c>
      <c r="FV13">
        <v>450</v>
      </c>
    </row>
    <row r="14" spans="1:178" x14ac:dyDescent="0.4">
      <c r="A14" s="1" t="s">
        <v>16</v>
      </c>
      <c r="B14" s="1" t="s">
        <v>17</v>
      </c>
      <c r="C14">
        <v>52</v>
      </c>
      <c r="D14">
        <v>1246</v>
      </c>
      <c r="E14">
        <v>2910</v>
      </c>
      <c r="F14">
        <v>72</v>
      </c>
      <c r="G14">
        <v>1545</v>
      </c>
      <c r="H14">
        <v>3962</v>
      </c>
      <c r="I14">
        <v>23</v>
      </c>
      <c r="J14">
        <v>595</v>
      </c>
      <c r="K14">
        <v>984</v>
      </c>
      <c r="L14">
        <v>6556</v>
      </c>
      <c r="M14">
        <v>19491</v>
      </c>
      <c r="N14">
        <v>1267</v>
      </c>
      <c r="O14">
        <v>7726</v>
      </c>
      <c r="P14">
        <v>24591</v>
      </c>
      <c r="Q14">
        <v>2685</v>
      </c>
      <c r="R14">
        <v>11758</v>
      </c>
      <c r="S14">
        <v>95</v>
      </c>
      <c r="T14">
        <v>405</v>
      </c>
      <c r="U14">
        <v>1536</v>
      </c>
      <c r="V14">
        <v>117</v>
      </c>
      <c r="W14">
        <v>435</v>
      </c>
      <c r="X14">
        <v>1617</v>
      </c>
      <c r="Y14">
        <v>9</v>
      </c>
      <c r="Z14">
        <v>13</v>
      </c>
      <c r="AA14">
        <v>132</v>
      </c>
      <c r="AB14">
        <v>802</v>
      </c>
      <c r="AC14">
        <v>3928</v>
      </c>
      <c r="AD14">
        <v>148</v>
      </c>
      <c r="AE14">
        <v>855</v>
      </c>
      <c r="AF14">
        <v>4267</v>
      </c>
      <c r="AG14">
        <v>39</v>
      </c>
      <c r="AH14">
        <v>179</v>
      </c>
      <c r="AI14">
        <v>58</v>
      </c>
      <c r="AJ14">
        <v>276</v>
      </c>
      <c r="AK14">
        <v>1837</v>
      </c>
      <c r="AL14">
        <v>81</v>
      </c>
      <c r="AM14">
        <v>517</v>
      </c>
      <c r="AN14">
        <v>2985</v>
      </c>
      <c r="AO14">
        <v>32</v>
      </c>
      <c r="AP14">
        <v>487</v>
      </c>
      <c r="AQ14">
        <v>94</v>
      </c>
      <c r="AR14">
        <v>545</v>
      </c>
      <c r="AS14">
        <v>3565</v>
      </c>
      <c r="AT14">
        <v>116</v>
      </c>
      <c r="AU14">
        <v>669</v>
      </c>
      <c r="AV14">
        <v>4438</v>
      </c>
      <c r="AW14">
        <v>39</v>
      </c>
      <c r="AX14">
        <v>164</v>
      </c>
      <c r="AY14">
        <v>59</v>
      </c>
      <c r="AZ14">
        <v>213</v>
      </c>
      <c r="BA14">
        <v>1298</v>
      </c>
      <c r="BB14">
        <v>148</v>
      </c>
      <c r="BC14">
        <v>476</v>
      </c>
      <c r="BD14">
        <v>2442</v>
      </c>
      <c r="BE14">
        <v>52</v>
      </c>
      <c r="BF14">
        <v>140</v>
      </c>
      <c r="BG14">
        <v>50</v>
      </c>
      <c r="BH14">
        <v>483</v>
      </c>
      <c r="BI14">
        <v>2770</v>
      </c>
      <c r="BJ14">
        <v>51</v>
      </c>
      <c r="BK14">
        <v>488</v>
      </c>
      <c r="BL14">
        <v>2837</v>
      </c>
      <c r="BM14">
        <v>4</v>
      </c>
      <c r="BN14">
        <v>30</v>
      </c>
      <c r="BO14">
        <v>10</v>
      </c>
      <c r="BP14">
        <v>37</v>
      </c>
      <c r="BQ14">
        <v>249</v>
      </c>
      <c r="BR14">
        <v>10</v>
      </c>
      <c r="BS14">
        <v>37</v>
      </c>
      <c r="BT14">
        <v>249</v>
      </c>
      <c r="BU14">
        <v>0</v>
      </c>
      <c r="BV14">
        <v>0</v>
      </c>
      <c r="BW14">
        <v>66</v>
      </c>
      <c r="BX14">
        <v>543</v>
      </c>
      <c r="BY14">
        <v>3437</v>
      </c>
      <c r="BZ14">
        <v>63</v>
      </c>
      <c r="CA14">
        <v>521</v>
      </c>
      <c r="CB14">
        <v>3327</v>
      </c>
      <c r="CC14">
        <v>13</v>
      </c>
      <c r="CD14">
        <v>122</v>
      </c>
      <c r="CE14">
        <v>93</v>
      </c>
      <c r="CF14">
        <v>308</v>
      </c>
      <c r="CG14">
        <v>1701</v>
      </c>
      <c r="CH14">
        <v>95</v>
      </c>
      <c r="CI14">
        <v>358</v>
      </c>
      <c r="CJ14">
        <v>1967</v>
      </c>
      <c r="CK14">
        <v>4</v>
      </c>
      <c r="CL14">
        <v>76</v>
      </c>
      <c r="CM14">
        <v>1117</v>
      </c>
      <c r="CN14">
        <v>2980</v>
      </c>
      <c r="CO14">
        <v>8547</v>
      </c>
      <c r="CP14">
        <v>1335</v>
      </c>
      <c r="CQ14">
        <v>3617</v>
      </c>
      <c r="CR14">
        <v>11050</v>
      </c>
      <c r="CS14">
        <v>1354</v>
      </c>
      <c r="CT14">
        <v>3864</v>
      </c>
      <c r="CU14">
        <v>269</v>
      </c>
      <c r="CV14">
        <v>2778</v>
      </c>
      <c r="CW14">
        <v>6164</v>
      </c>
      <c r="CX14">
        <v>325</v>
      </c>
      <c r="CY14">
        <v>3269</v>
      </c>
      <c r="CZ14">
        <v>8334</v>
      </c>
      <c r="DA14">
        <v>345</v>
      </c>
      <c r="DB14">
        <v>3731</v>
      </c>
      <c r="DC14">
        <v>97</v>
      </c>
      <c r="DD14">
        <v>788</v>
      </c>
      <c r="DE14">
        <v>2082</v>
      </c>
      <c r="DF14">
        <v>102</v>
      </c>
      <c r="DG14">
        <v>832</v>
      </c>
      <c r="DH14">
        <v>2629</v>
      </c>
      <c r="DI14">
        <v>92</v>
      </c>
      <c r="DJ14">
        <v>705</v>
      </c>
      <c r="DK14">
        <v>207</v>
      </c>
      <c r="DL14">
        <v>3811</v>
      </c>
      <c r="DM14">
        <v>7705</v>
      </c>
      <c r="DN14">
        <v>230</v>
      </c>
      <c r="DO14">
        <v>4014</v>
      </c>
      <c r="DP14">
        <v>10594</v>
      </c>
      <c r="DQ14">
        <v>232</v>
      </c>
      <c r="DR14">
        <v>4465</v>
      </c>
      <c r="DS14">
        <v>53</v>
      </c>
      <c r="DT14">
        <v>2113</v>
      </c>
      <c r="DU14">
        <v>3664</v>
      </c>
      <c r="DV14">
        <v>61</v>
      </c>
      <c r="DW14">
        <v>2503</v>
      </c>
      <c r="DX14">
        <v>5731</v>
      </c>
      <c r="DY14">
        <v>35</v>
      </c>
      <c r="DZ14">
        <v>1667</v>
      </c>
      <c r="EA14">
        <v>5</v>
      </c>
      <c r="EB14">
        <v>35</v>
      </c>
      <c r="EC14">
        <v>124</v>
      </c>
      <c r="ED14">
        <v>6</v>
      </c>
      <c r="EE14">
        <v>36</v>
      </c>
      <c r="EF14">
        <v>221</v>
      </c>
      <c r="EG14">
        <v>14</v>
      </c>
      <c r="EH14">
        <v>114</v>
      </c>
      <c r="EI14">
        <v>12</v>
      </c>
      <c r="EJ14">
        <v>375</v>
      </c>
      <c r="EK14">
        <v>837</v>
      </c>
      <c r="EL14">
        <v>19</v>
      </c>
      <c r="EM14">
        <v>618</v>
      </c>
      <c r="EN14">
        <v>1340</v>
      </c>
      <c r="EO14">
        <v>26</v>
      </c>
      <c r="EP14">
        <v>697</v>
      </c>
      <c r="EQ14">
        <v>32</v>
      </c>
      <c r="ER14">
        <v>178</v>
      </c>
      <c r="ES14">
        <v>454</v>
      </c>
      <c r="ET14">
        <v>39</v>
      </c>
      <c r="EU14">
        <v>203</v>
      </c>
      <c r="EV14">
        <v>575</v>
      </c>
      <c r="EW14">
        <v>88</v>
      </c>
      <c r="EX14">
        <v>341</v>
      </c>
      <c r="EY14">
        <v>280</v>
      </c>
      <c r="EZ14">
        <v>938</v>
      </c>
      <c r="FA14">
        <v>4095</v>
      </c>
      <c r="FB14">
        <v>279</v>
      </c>
      <c r="FC14">
        <v>924</v>
      </c>
      <c r="FD14">
        <v>4281</v>
      </c>
      <c r="FE14">
        <v>89</v>
      </c>
      <c r="FF14">
        <v>268</v>
      </c>
      <c r="FG14">
        <v>175</v>
      </c>
      <c r="FH14">
        <v>2180</v>
      </c>
      <c r="FI14">
        <v>7762</v>
      </c>
      <c r="FJ14">
        <v>221</v>
      </c>
      <c r="FK14">
        <v>2975</v>
      </c>
      <c r="FL14">
        <v>8886</v>
      </c>
      <c r="FM14">
        <v>477</v>
      </c>
      <c r="FN14">
        <v>5990</v>
      </c>
      <c r="FO14">
        <v>546</v>
      </c>
      <c r="FP14">
        <v>386</v>
      </c>
      <c r="FQ14">
        <v>918</v>
      </c>
      <c r="FR14">
        <v>719</v>
      </c>
      <c r="FS14">
        <v>512</v>
      </c>
      <c r="FT14">
        <v>1295</v>
      </c>
      <c r="FU14">
        <v>695</v>
      </c>
      <c r="FV14">
        <v>457</v>
      </c>
    </row>
    <row r="15" spans="1:178" x14ac:dyDescent="0.4">
      <c r="A15" s="1" t="s">
        <v>18</v>
      </c>
      <c r="B15" s="1" t="s">
        <v>19</v>
      </c>
      <c r="C15">
        <v>39</v>
      </c>
      <c r="D15">
        <v>807</v>
      </c>
      <c r="E15">
        <v>1712</v>
      </c>
      <c r="F15">
        <v>28</v>
      </c>
      <c r="G15">
        <v>640</v>
      </c>
      <c r="H15">
        <v>1298</v>
      </c>
      <c r="I15">
        <v>34</v>
      </c>
      <c r="J15">
        <v>762</v>
      </c>
      <c r="K15">
        <v>717</v>
      </c>
      <c r="L15">
        <v>4766</v>
      </c>
      <c r="M15">
        <v>13926</v>
      </c>
      <c r="N15">
        <v>642</v>
      </c>
      <c r="O15">
        <v>4106</v>
      </c>
      <c r="P15">
        <v>12541</v>
      </c>
      <c r="Q15">
        <v>2833</v>
      </c>
      <c r="R15">
        <v>12545</v>
      </c>
      <c r="S15">
        <v>68</v>
      </c>
      <c r="T15">
        <v>317</v>
      </c>
      <c r="U15">
        <v>1297</v>
      </c>
      <c r="V15">
        <v>68</v>
      </c>
      <c r="W15">
        <v>317</v>
      </c>
      <c r="X15">
        <v>1297</v>
      </c>
      <c r="Y15">
        <v>9</v>
      </c>
      <c r="Z15">
        <v>13</v>
      </c>
      <c r="AA15">
        <v>56</v>
      </c>
      <c r="AB15">
        <v>334</v>
      </c>
      <c r="AC15">
        <v>1706</v>
      </c>
      <c r="AD15">
        <v>41</v>
      </c>
      <c r="AE15">
        <v>267</v>
      </c>
      <c r="AF15">
        <v>1301</v>
      </c>
      <c r="AG15">
        <v>54</v>
      </c>
      <c r="AH15">
        <v>246</v>
      </c>
      <c r="AI15">
        <v>36</v>
      </c>
      <c r="AJ15">
        <v>212</v>
      </c>
      <c r="AK15">
        <v>1236</v>
      </c>
      <c r="AL15">
        <v>24</v>
      </c>
      <c r="AM15">
        <v>132</v>
      </c>
      <c r="AN15">
        <v>688</v>
      </c>
      <c r="AO15">
        <v>44</v>
      </c>
      <c r="AP15">
        <v>567</v>
      </c>
      <c r="AQ15">
        <v>68</v>
      </c>
      <c r="AR15">
        <v>417</v>
      </c>
      <c r="AS15">
        <v>2319</v>
      </c>
      <c r="AT15">
        <v>70</v>
      </c>
      <c r="AU15">
        <v>415</v>
      </c>
      <c r="AV15">
        <v>2360</v>
      </c>
      <c r="AW15">
        <v>37</v>
      </c>
      <c r="AX15">
        <v>165</v>
      </c>
      <c r="AY15">
        <v>65</v>
      </c>
      <c r="AZ15">
        <v>215</v>
      </c>
      <c r="BA15">
        <v>889</v>
      </c>
      <c r="BB15">
        <v>48</v>
      </c>
      <c r="BC15">
        <v>175</v>
      </c>
      <c r="BD15">
        <v>803</v>
      </c>
      <c r="BE15">
        <v>77</v>
      </c>
      <c r="BF15">
        <v>208</v>
      </c>
      <c r="BG15">
        <v>21</v>
      </c>
      <c r="BH15">
        <v>184</v>
      </c>
      <c r="BI15">
        <v>970</v>
      </c>
      <c r="BJ15">
        <v>18</v>
      </c>
      <c r="BK15">
        <v>161</v>
      </c>
      <c r="BL15">
        <v>775</v>
      </c>
      <c r="BM15">
        <v>7</v>
      </c>
      <c r="BN15">
        <v>53</v>
      </c>
      <c r="BO15">
        <v>4</v>
      </c>
      <c r="BP15">
        <v>9</v>
      </c>
      <c r="BQ15">
        <v>45</v>
      </c>
      <c r="BR15">
        <v>4</v>
      </c>
      <c r="BS15">
        <v>9</v>
      </c>
      <c r="BT15">
        <v>45</v>
      </c>
      <c r="BU15">
        <v>0</v>
      </c>
      <c r="BV15">
        <v>0</v>
      </c>
      <c r="BW15">
        <v>36</v>
      </c>
      <c r="BX15">
        <v>121</v>
      </c>
      <c r="BY15">
        <v>1256</v>
      </c>
      <c r="BZ15">
        <v>33</v>
      </c>
      <c r="CA15">
        <v>94</v>
      </c>
      <c r="CB15">
        <v>1058</v>
      </c>
      <c r="CC15">
        <v>16</v>
      </c>
      <c r="CD15">
        <v>149</v>
      </c>
      <c r="CE15">
        <v>44</v>
      </c>
      <c r="CF15">
        <v>87</v>
      </c>
      <c r="CG15">
        <v>540</v>
      </c>
      <c r="CH15">
        <v>42</v>
      </c>
      <c r="CI15">
        <v>74</v>
      </c>
      <c r="CJ15">
        <v>531</v>
      </c>
      <c r="CK15">
        <v>6</v>
      </c>
      <c r="CL15">
        <v>89</v>
      </c>
      <c r="CM15">
        <v>1097</v>
      </c>
      <c r="CN15">
        <v>2919</v>
      </c>
      <c r="CO15">
        <v>8755</v>
      </c>
      <c r="CP15">
        <v>1041</v>
      </c>
      <c r="CQ15">
        <v>2704</v>
      </c>
      <c r="CR15">
        <v>8477</v>
      </c>
      <c r="CS15">
        <v>1408</v>
      </c>
      <c r="CT15">
        <v>4066</v>
      </c>
      <c r="CU15">
        <v>202</v>
      </c>
      <c r="CV15">
        <v>2380</v>
      </c>
      <c r="CW15">
        <v>5765</v>
      </c>
      <c r="CX15">
        <v>188</v>
      </c>
      <c r="CY15">
        <v>2123</v>
      </c>
      <c r="CZ15">
        <v>5755</v>
      </c>
      <c r="DA15">
        <v>355</v>
      </c>
      <c r="DB15">
        <v>3956</v>
      </c>
      <c r="DC15">
        <v>104</v>
      </c>
      <c r="DD15">
        <v>1004</v>
      </c>
      <c r="DE15">
        <v>2360</v>
      </c>
      <c r="DF15">
        <v>109</v>
      </c>
      <c r="DG15">
        <v>1024</v>
      </c>
      <c r="DH15">
        <v>2766</v>
      </c>
      <c r="DI15">
        <v>88</v>
      </c>
      <c r="DJ15">
        <v>699</v>
      </c>
      <c r="DK15">
        <v>166</v>
      </c>
      <c r="DL15">
        <v>3147</v>
      </c>
      <c r="DM15">
        <v>5952</v>
      </c>
      <c r="DN15">
        <v>172</v>
      </c>
      <c r="DO15">
        <v>3461</v>
      </c>
      <c r="DP15">
        <v>8177</v>
      </c>
      <c r="DQ15">
        <v>224</v>
      </c>
      <c r="DR15">
        <v>4104</v>
      </c>
      <c r="DS15">
        <v>48</v>
      </c>
      <c r="DT15">
        <v>1959</v>
      </c>
      <c r="DU15">
        <v>3101</v>
      </c>
      <c r="DV15">
        <v>38</v>
      </c>
      <c r="DW15">
        <v>1668</v>
      </c>
      <c r="DX15">
        <v>3147</v>
      </c>
      <c r="DY15">
        <v>45</v>
      </c>
      <c r="DZ15">
        <v>1958</v>
      </c>
      <c r="EA15">
        <v>3</v>
      </c>
      <c r="EB15">
        <v>23</v>
      </c>
      <c r="EC15">
        <v>99</v>
      </c>
      <c r="ED15">
        <v>5</v>
      </c>
      <c r="EE15">
        <v>47</v>
      </c>
      <c r="EF15">
        <v>320</v>
      </c>
      <c r="EG15">
        <v>12</v>
      </c>
      <c r="EH15">
        <v>90</v>
      </c>
      <c r="EI15">
        <v>13</v>
      </c>
      <c r="EJ15">
        <v>409</v>
      </c>
      <c r="EK15">
        <v>894</v>
      </c>
      <c r="EL15">
        <v>6</v>
      </c>
      <c r="EM15">
        <v>182</v>
      </c>
      <c r="EN15">
        <v>359</v>
      </c>
      <c r="EO15">
        <v>33</v>
      </c>
      <c r="EP15">
        <v>924</v>
      </c>
      <c r="EQ15">
        <v>20</v>
      </c>
      <c r="ER15">
        <v>76</v>
      </c>
      <c r="ES15">
        <v>208</v>
      </c>
      <c r="ET15">
        <v>22</v>
      </c>
      <c r="EU15">
        <v>101</v>
      </c>
      <c r="EV15">
        <v>261</v>
      </c>
      <c r="EW15">
        <v>87</v>
      </c>
      <c r="EX15">
        <v>319</v>
      </c>
      <c r="EY15">
        <v>216</v>
      </c>
      <c r="EZ15">
        <v>693</v>
      </c>
      <c r="FA15">
        <v>3116</v>
      </c>
      <c r="FB15">
        <v>215</v>
      </c>
      <c r="FC15">
        <v>676</v>
      </c>
      <c r="FD15">
        <v>3187</v>
      </c>
      <c r="FE15">
        <v>90</v>
      </c>
      <c r="FF15">
        <v>286</v>
      </c>
      <c r="FG15">
        <v>144</v>
      </c>
      <c r="FH15">
        <v>1601</v>
      </c>
      <c r="FI15">
        <v>5991</v>
      </c>
      <c r="FJ15">
        <v>111</v>
      </c>
      <c r="FK15">
        <v>1156</v>
      </c>
      <c r="FL15">
        <v>5033</v>
      </c>
      <c r="FM15">
        <v>510</v>
      </c>
      <c r="FN15">
        <v>6435</v>
      </c>
      <c r="FO15">
        <v>390</v>
      </c>
      <c r="FP15">
        <v>299</v>
      </c>
      <c r="FQ15">
        <v>680</v>
      </c>
      <c r="FR15">
        <v>465</v>
      </c>
      <c r="FS15">
        <v>218</v>
      </c>
      <c r="FT15">
        <v>543</v>
      </c>
      <c r="FU15">
        <v>662</v>
      </c>
      <c r="FV15">
        <v>551</v>
      </c>
    </row>
    <row r="16" spans="1:178" x14ac:dyDescent="0.4">
      <c r="A16" s="1" t="s">
        <v>20</v>
      </c>
      <c r="B16" s="1" t="s">
        <v>21</v>
      </c>
      <c r="C16">
        <v>37</v>
      </c>
      <c r="D16">
        <v>689</v>
      </c>
      <c r="E16">
        <v>1521</v>
      </c>
      <c r="F16">
        <v>33</v>
      </c>
      <c r="G16">
        <v>678</v>
      </c>
      <c r="H16">
        <v>1602</v>
      </c>
      <c r="I16">
        <v>38</v>
      </c>
      <c r="J16">
        <v>773</v>
      </c>
      <c r="K16">
        <v>719</v>
      </c>
      <c r="L16">
        <v>4947</v>
      </c>
      <c r="M16">
        <v>14398</v>
      </c>
      <c r="N16">
        <v>831</v>
      </c>
      <c r="O16">
        <v>5466</v>
      </c>
      <c r="P16">
        <v>16624</v>
      </c>
      <c r="Q16">
        <v>2810</v>
      </c>
      <c r="R16">
        <v>12214</v>
      </c>
      <c r="S16">
        <v>62</v>
      </c>
      <c r="T16">
        <v>311</v>
      </c>
      <c r="U16">
        <v>1584</v>
      </c>
      <c r="V16">
        <v>61</v>
      </c>
      <c r="W16">
        <v>309</v>
      </c>
      <c r="X16">
        <v>1579</v>
      </c>
      <c r="Y16">
        <v>10</v>
      </c>
      <c r="Z16">
        <v>15</v>
      </c>
      <c r="AA16">
        <v>70</v>
      </c>
      <c r="AB16">
        <v>402</v>
      </c>
      <c r="AC16">
        <v>1961</v>
      </c>
      <c r="AD16">
        <v>63</v>
      </c>
      <c r="AE16">
        <v>344</v>
      </c>
      <c r="AF16">
        <v>1602</v>
      </c>
      <c r="AG16">
        <v>61</v>
      </c>
      <c r="AH16">
        <v>304</v>
      </c>
      <c r="AI16">
        <v>45</v>
      </c>
      <c r="AJ16">
        <v>268</v>
      </c>
      <c r="AK16">
        <v>1451</v>
      </c>
      <c r="AL16">
        <v>40</v>
      </c>
      <c r="AM16">
        <v>211</v>
      </c>
      <c r="AN16">
        <v>1495</v>
      </c>
      <c r="AO16">
        <v>49</v>
      </c>
      <c r="AP16">
        <v>624</v>
      </c>
      <c r="AQ16">
        <v>63</v>
      </c>
      <c r="AR16">
        <v>519</v>
      </c>
      <c r="AS16">
        <v>2484</v>
      </c>
      <c r="AT16">
        <v>54</v>
      </c>
      <c r="AU16">
        <v>401</v>
      </c>
      <c r="AV16">
        <v>2026</v>
      </c>
      <c r="AW16">
        <v>46</v>
      </c>
      <c r="AX16">
        <v>283</v>
      </c>
      <c r="AY16">
        <v>58</v>
      </c>
      <c r="AZ16">
        <v>178</v>
      </c>
      <c r="BA16">
        <v>839</v>
      </c>
      <c r="BB16">
        <v>69</v>
      </c>
      <c r="BC16">
        <v>193</v>
      </c>
      <c r="BD16">
        <v>1013</v>
      </c>
      <c r="BE16">
        <v>77</v>
      </c>
      <c r="BF16">
        <v>220</v>
      </c>
      <c r="BG16">
        <v>39</v>
      </c>
      <c r="BH16">
        <v>429</v>
      </c>
      <c r="BI16">
        <v>2163</v>
      </c>
      <c r="BJ16">
        <v>43</v>
      </c>
      <c r="BK16">
        <v>464</v>
      </c>
      <c r="BL16">
        <v>2409</v>
      </c>
      <c r="BM16">
        <v>3</v>
      </c>
      <c r="BN16">
        <v>18</v>
      </c>
      <c r="BO16">
        <v>9</v>
      </c>
      <c r="BP16">
        <v>18</v>
      </c>
      <c r="BQ16">
        <v>62</v>
      </c>
      <c r="BR16">
        <v>9</v>
      </c>
      <c r="BS16">
        <v>18</v>
      </c>
      <c r="BT16">
        <v>62</v>
      </c>
      <c r="BU16">
        <v>0</v>
      </c>
      <c r="BV16">
        <v>0</v>
      </c>
      <c r="BW16">
        <v>52</v>
      </c>
      <c r="BX16">
        <v>546</v>
      </c>
      <c r="BY16">
        <v>1984</v>
      </c>
      <c r="BZ16">
        <v>50</v>
      </c>
      <c r="CA16">
        <v>354</v>
      </c>
      <c r="CB16">
        <v>1591</v>
      </c>
      <c r="CC16">
        <v>18</v>
      </c>
      <c r="CD16">
        <v>341</v>
      </c>
      <c r="CE16">
        <v>68</v>
      </c>
      <c r="CF16">
        <v>252</v>
      </c>
      <c r="CG16">
        <v>940</v>
      </c>
      <c r="CH16">
        <v>68</v>
      </c>
      <c r="CI16">
        <v>249</v>
      </c>
      <c r="CJ16">
        <v>984</v>
      </c>
      <c r="CK16">
        <v>6</v>
      </c>
      <c r="CL16">
        <v>92</v>
      </c>
      <c r="CM16">
        <v>1190</v>
      </c>
      <c r="CN16">
        <v>3113</v>
      </c>
      <c r="CO16">
        <v>8914</v>
      </c>
      <c r="CP16">
        <v>1095</v>
      </c>
      <c r="CQ16">
        <v>2892</v>
      </c>
      <c r="CR16">
        <v>8507</v>
      </c>
      <c r="CS16">
        <v>1502</v>
      </c>
      <c r="CT16">
        <v>4281</v>
      </c>
      <c r="CU16">
        <v>201</v>
      </c>
      <c r="CV16">
        <v>2085</v>
      </c>
      <c r="CW16">
        <v>4970</v>
      </c>
      <c r="CX16">
        <v>160</v>
      </c>
      <c r="CY16">
        <v>1840</v>
      </c>
      <c r="CZ16">
        <v>4977</v>
      </c>
      <c r="DA16">
        <v>396</v>
      </c>
      <c r="DB16">
        <v>4202</v>
      </c>
      <c r="DC16">
        <v>85</v>
      </c>
      <c r="DD16">
        <v>918</v>
      </c>
      <c r="DE16">
        <v>1838</v>
      </c>
      <c r="DF16">
        <v>86</v>
      </c>
      <c r="DG16">
        <v>942</v>
      </c>
      <c r="DH16">
        <v>2090</v>
      </c>
      <c r="DI16">
        <v>88</v>
      </c>
      <c r="DJ16">
        <v>690</v>
      </c>
      <c r="DK16">
        <v>170</v>
      </c>
      <c r="DL16">
        <v>3180</v>
      </c>
      <c r="DM16">
        <v>6639</v>
      </c>
      <c r="DN16">
        <v>171</v>
      </c>
      <c r="DO16">
        <v>3185</v>
      </c>
      <c r="DP16">
        <v>8482</v>
      </c>
      <c r="DQ16">
        <v>223</v>
      </c>
      <c r="DR16">
        <v>4099</v>
      </c>
      <c r="DS16">
        <v>45</v>
      </c>
      <c r="DT16">
        <v>1694</v>
      </c>
      <c r="DU16">
        <v>3025</v>
      </c>
      <c r="DV16">
        <v>44</v>
      </c>
      <c r="DW16">
        <v>1728</v>
      </c>
      <c r="DX16">
        <v>3393</v>
      </c>
      <c r="DY16">
        <v>46</v>
      </c>
      <c r="DZ16">
        <v>1925</v>
      </c>
      <c r="EA16">
        <v>2</v>
      </c>
      <c r="EB16">
        <v>17</v>
      </c>
      <c r="EC16">
        <v>59</v>
      </c>
      <c r="ED16">
        <v>5</v>
      </c>
      <c r="EE16">
        <v>35</v>
      </c>
      <c r="EF16">
        <v>297</v>
      </c>
      <c r="EG16">
        <v>9</v>
      </c>
      <c r="EH16">
        <v>72</v>
      </c>
      <c r="EI16">
        <v>11</v>
      </c>
      <c r="EJ16">
        <v>325</v>
      </c>
      <c r="EK16">
        <v>691</v>
      </c>
      <c r="EL16">
        <v>9</v>
      </c>
      <c r="EM16">
        <v>239</v>
      </c>
      <c r="EN16">
        <v>775</v>
      </c>
      <c r="EO16">
        <v>35</v>
      </c>
      <c r="EP16">
        <v>1010</v>
      </c>
      <c r="EQ16">
        <v>20</v>
      </c>
      <c r="ER16">
        <v>102</v>
      </c>
      <c r="ES16">
        <v>237</v>
      </c>
      <c r="ET16">
        <v>23</v>
      </c>
      <c r="EU16">
        <v>121</v>
      </c>
      <c r="EV16">
        <v>299</v>
      </c>
      <c r="EW16">
        <v>85</v>
      </c>
      <c r="EX16">
        <v>304</v>
      </c>
      <c r="EY16">
        <v>193</v>
      </c>
      <c r="EZ16">
        <v>642</v>
      </c>
      <c r="FA16">
        <v>2636</v>
      </c>
      <c r="FB16">
        <v>175</v>
      </c>
      <c r="FC16">
        <v>605</v>
      </c>
      <c r="FD16">
        <v>2790</v>
      </c>
      <c r="FE16">
        <v>108</v>
      </c>
      <c r="FF16">
        <v>323</v>
      </c>
      <c r="FG16">
        <v>138</v>
      </c>
      <c r="FH16">
        <v>1770</v>
      </c>
      <c r="FI16">
        <v>6400</v>
      </c>
      <c r="FJ16">
        <v>126</v>
      </c>
      <c r="FK16">
        <v>1491</v>
      </c>
      <c r="FL16">
        <v>5710</v>
      </c>
      <c r="FM16">
        <v>522</v>
      </c>
      <c r="FN16">
        <v>6715</v>
      </c>
      <c r="FO16">
        <v>432</v>
      </c>
      <c r="FP16">
        <v>318</v>
      </c>
      <c r="FQ16">
        <v>961</v>
      </c>
      <c r="FR16">
        <v>492</v>
      </c>
      <c r="FS16">
        <v>421</v>
      </c>
      <c r="FT16">
        <v>1446</v>
      </c>
      <c r="FU16">
        <v>604</v>
      </c>
      <c r="FV16">
        <v>486</v>
      </c>
    </row>
    <row r="17" spans="1:178" x14ac:dyDescent="0.4">
      <c r="A17" s="1" t="s">
        <v>22</v>
      </c>
      <c r="B17" s="1" t="s">
        <v>23</v>
      </c>
      <c r="C17">
        <v>46</v>
      </c>
      <c r="D17">
        <v>773</v>
      </c>
      <c r="E17">
        <v>1770</v>
      </c>
      <c r="F17">
        <v>41</v>
      </c>
      <c r="G17">
        <v>659</v>
      </c>
      <c r="H17">
        <v>1973</v>
      </c>
      <c r="I17">
        <v>43</v>
      </c>
      <c r="J17">
        <v>887</v>
      </c>
      <c r="K17">
        <v>841</v>
      </c>
      <c r="L17">
        <v>5771</v>
      </c>
      <c r="M17">
        <v>16717</v>
      </c>
      <c r="N17">
        <v>965</v>
      </c>
      <c r="O17">
        <v>6055</v>
      </c>
      <c r="P17">
        <v>19340</v>
      </c>
      <c r="Q17">
        <v>2726</v>
      </c>
      <c r="R17">
        <v>11962</v>
      </c>
      <c r="S17">
        <v>74</v>
      </c>
      <c r="T17">
        <v>311</v>
      </c>
      <c r="U17">
        <v>1610</v>
      </c>
      <c r="V17">
        <v>80</v>
      </c>
      <c r="W17">
        <v>319</v>
      </c>
      <c r="X17">
        <v>1631</v>
      </c>
      <c r="Y17">
        <v>4</v>
      </c>
      <c r="Z17">
        <v>7</v>
      </c>
      <c r="AA17">
        <v>67</v>
      </c>
      <c r="AB17">
        <v>387</v>
      </c>
      <c r="AC17">
        <v>1930</v>
      </c>
      <c r="AD17">
        <v>73</v>
      </c>
      <c r="AE17">
        <v>410</v>
      </c>
      <c r="AF17">
        <v>2154</v>
      </c>
      <c r="AG17">
        <v>55</v>
      </c>
      <c r="AH17">
        <v>281</v>
      </c>
      <c r="AI17">
        <v>37</v>
      </c>
      <c r="AJ17">
        <v>276</v>
      </c>
      <c r="AK17">
        <v>1874</v>
      </c>
      <c r="AL17">
        <v>38</v>
      </c>
      <c r="AM17">
        <v>220</v>
      </c>
      <c r="AN17">
        <v>1719</v>
      </c>
      <c r="AO17">
        <v>48</v>
      </c>
      <c r="AP17">
        <v>680</v>
      </c>
      <c r="AQ17">
        <v>74</v>
      </c>
      <c r="AR17">
        <v>555</v>
      </c>
      <c r="AS17">
        <v>2618</v>
      </c>
      <c r="AT17">
        <v>71</v>
      </c>
      <c r="AU17">
        <v>588</v>
      </c>
      <c r="AV17">
        <v>2748</v>
      </c>
      <c r="AW17">
        <v>49</v>
      </c>
      <c r="AX17">
        <v>250</v>
      </c>
      <c r="AY17">
        <v>74</v>
      </c>
      <c r="AZ17">
        <v>307</v>
      </c>
      <c r="BA17">
        <v>1728</v>
      </c>
      <c r="BB17">
        <v>87</v>
      </c>
      <c r="BC17">
        <v>375</v>
      </c>
      <c r="BD17">
        <v>1967</v>
      </c>
      <c r="BE17">
        <v>80</v>
      </c>
      <c r="BF17">
        <v>210</v>
      </c>
      <c r="BG17">
        <v>35</v>
      </c>
      <c r="BH17">
        <v>390</v>
      </c>
      <c r="BI17">
        <v>2193</v>
      </c>
      <c r="BJ17">
        <v>35</v>
      </c>
      <c r="BK17">
        <v>390</v>
      </c>
      <c r="BL17">
        <v>2185</v>
      </c>
      <c r="BM17">
        <v>3</v>
      </c>
      <c r="BN17">
        <v>18</v>
      </c>
      <c r="BO17">
        <v>9</v>
      </c>
      <c r="BP17">
        <v>32</v>
      </c>
      <c r="BQ17">
        <v>185</v>
      </c>
      <c r="BR17">
        <v>9</v>
      </c>
      <c r="BS17">
        <v>32</v>
      </c>
      <c r="BT17">
        <v>185</v>
      </c>
      <c r="BU17">
        <v>0</v>
      </c>
      <c r="BV17">
        <v>0</v>
      </c>
      <c r="BW17">
        <v>73</v>
      </c>
      <c r="BX17">
        <v>475</v>
      </c>
      <c r="BY17">
        <v>2893</v>
      </c>
      <c r="BZ17">
        <v>78</v>
      </c>
      <c r="CA17">
        <v>694</v>
      </c>
      <c r="CB17">
        <v>3488</v>
      </c>
      <c r="CC17">
        <v>13</v>
      </c>
      <c r="CD17">
        <v>122</v>
      </c>
      <c r="CE17">
        <v>101</v>
      </c>
      <c r="CF17">
        <v>166</v>
      </c>
      <c r="CG17">
        <v>1441</v>
      </c>
      <c r="CH17">
        <v>101</v>
      </c>
      <c r="CI17">
        <v>162</v>
      </c>
      <c r="CJ17">
        <v>1744</v>
      </c>
      <c r="CK17">
        <v>6</v>
      </c>
      <c r="CL17">
        <v>96</v>
      </c>
      <c r="CM17">
        <v>1147</v>
      </c>
      <c r="CN17">
        <v>2979</v>
      </c>
      <c r="CO17">
        <v>8822</v>
      </c>
      <c r="CP17">
        <v>1241</v>
      </c>
      <c r="CQ17">
        <v>3097</v>
      </c>
      <c r="CR17">
        <v>9327</v>
      </c>
      <c r="CS17">
        <v>1407</v>
      </c>
      <c r="CT17">
        <v>4154</v>
      </c>
      <c r="CU17">
        <v>192</v>
      </c>
      <c r="CV17">
        <v>2074</v>
      </c>
      <c r="CW17">
        <v>4792</v>
      </c>
      <c r="CX17">
        <v>232</v>
      </c>
      <c r="CY17">
        <v>2502</v>
      </c>
      <c r="CZ17">
        <v>6352</v>
      </c>
      <c r="DA17">
        <v>356</v>
      </c>
      <c r="DB17">
        <v>3775</v>
      </c>
      <c r="DC17">
        <v>72</v>
      </c>
      <c r="DD17">
        <v>650</v>
      </c>
      <c r="DE17">
        <v>1761</v>
      </c>
      <c r="DF17">
        <v>78</v>
      </c>
      <c r="DG17">
        <v>689</v>
      </c>
      <c r="DH17">
        <v>2076</v>
      </c>
      <c r="DI17">
        <v>83</v>
      </c>
      <c r="DJ17">
        <v>667</v>
      </c>
      <c r="DK17">
        <v>174</v>
      </c>
      <c r="DL17">
        <v>3258</v>
      </c>
      <c r="DM17">
        <v>6798</v>
      </c>
      <c r="DN17">
        <v>155</v>
      </c>
      <c r="DO17">
        <v>2898</v>
      </c>
      <c r="DP17">
        <v>7434</v>
      </c>
      <c r="DQ17">
        <v>242</v>
      </c>
      <c r="DR17">
        <v>4460</v>
      </c>
      <c r="DS17">
        <v>52</v>
      </c>
      <c r="DT17">
        <v>1874</v>
      </c>
      <c r="DU17">
        <v>3462</v>
      </c>
      <c r="DV17">
        <v>47</v>
      </c>
      <c r="DW17">
        <v>1675</v>
      </c>
      <c r="DX17">
        <v>3620</v>
      </c>
      <c r="DY17">
        <v>51</v>
      </c>
      <c r="DZ17">
        <v>2123</v>
      </c>
      <c r="EA17">
        <v>5</v>
      </c>
      <c r="EB17">
        <v>48</v>
      </c>
      <c r="EC17">
        <v>193</v>
      </c>
      <c r="ED17">
        <v>3</v>
      </c>
      <c r="EE17">
        <v>27</v>
      </c>
      <c r="EF17">
        <v>242</v>
      </c>
      <c r="EG17">
        <v>11</v>
      </c>
      <c r="EH17">
        <v>93</v>
      </c>
      <c r="EI17">
        <v>12</v>
      </c>
      <c r="EJ17">
        <v>355</v>
      </c>
      <c r="EK17">
        <v>1007</v>
      </c>
      <c r="EL17">
        <v>10</v>
      </c>
      <c r="EM17">
        <v>282</v>
      </c>
      <c r="EN17">
        <v>691</v>
      </c>
      <c r="EO17">
        <v>37</v>
      </c>
      <c r="EP17">
        <v>1083</v>
      </c>
      <c r="EQ17">
        <v>19</v>
      </c>
      <c r="ER17">
        <v>111</v>
      </c>
      <c r="ES17">
        <v>248</v>
      </c>
      <c r="ET17">
        <v>21</v>
      </c>
      <c r="EU17">
        <v>103</v>
      </c>
      <c r="EV17">
        <v>250</v>
      </c>
      <c r="EW17">
        <v>84</v>
      </c>
      <c r="EX17">
        <v>315</v>
      </c>
      <c r="EY17">
        <v>220</v>
      </c>
      <c r="EZ17">
        <v>694</v>
      </c>
      <c r="FA17">
        <v>2813</v>
      </c>
      <c r="FB17">
        <v>231</v>
      </c>
      <c r="FC17">
        <v>748</v>
      </c>
      <c r="FD17">
        <v>3379</v>
      </c>
      <c r="FE17">
        <v>97</v>
      </c>
      <c r="FF17">
        <v>268</v>
      </c>
      <c r="FG17">
        <v>141</v>
      </c>
      <c r="FH17">
        <v>1814</v>
      </c>
      <c r="FI17">
        <v>6664</v>
      </c>
      <c r="FJ17">
        <v>130</v>
      </c>
      <c r="FK17">
        <v>1625</v>
      </c>
      <c r="FL17">
        <v>6280</v>
      </c>
      <c r="FM17">
        <v>533</v>
      </c>
      <c r="FN17">
        <v>6904</v>
      </c>
      <c r="FO17">
        <v>496</v>
      </c>
      <c r="FP17">
        <v>727</v>
      </c>
      <c r="FQ17">
        <v>1320</v>
      </c>
      <c r="FR17">
        <v>587</v>
      </c>
      <c r="FS17">
        <v>758</v>
      </c>
      <c r="FT17">
        <v>1498</v>
      </c>
      <c r="FU17">
        <v>513</v>
      </c>
      <c r="FV17">
        <v>447</v>
      </c>
    </row>
    <row r="18" spans="1:178" x14ac:dyDescent="0.4">
      <c r="A18" s="1" t="s">
        <v>24</v>
      </c>
      <c r="B18" s="1" t="s">
        <v>25</v>
      </c>
      <c r="C18">
        <v>50</v>
      </c>
      <c r="D18">
        <v>1097</v>
      </c>
      <c r="E18">
        <v>2783</v>
      </c>
      <c r="F18">
        <v>42</v>
      </c>
      <c r="G18">
        <v>836</v>
      </c>
      <c r="H18">
        <v>2437</v>
      </c>
      <c r="I18">
        <v>51</v>
      </c>
      <c r="J18">
        <v>1149</v>
      </c>
      <c r="K18">
        <v>798</v>
      </c>
      <c r="L18">
        <v>5734</v>
      </c>
      <c r="M18">
        <v>16246</v>
      </c>
      <c r="N18">
        <v>880</v>
      </c>
      <c r="O18">
        <v>5718</v>
      </c>
      <c r="P18">
        <v>17688</v>
      </c>
      <c r="Q18">
        <v>2770</v>
      </c>
      <c r="R18">
        <v>12291</v>
      </c>
      <c r="S18">
        <v>66</v>
      </c>
      <c r="T18">
        <v>314</v>
      </c>
      <c r="U18">
        <v>1605</v>
      </c>
      <c r="V18">
        <v>65</v>
      </c>
      <c r="W18">
        <v>311</v>
      </c>
      <c r="X18">
        <v>1600</v>
      </c>
      <c r="Y18">
        <v>5</v>
      </c>
      <c r="Z18">
        <v>10</v>
      </c>
      <c r="AA18">
        <v>59</v>
      </c>
      <c r="AB18">
        <v>330</v>
      </c>
      <c r="AC18">
        <v>1590</v>
      </c>
      <c r="AD18">
        <v>74</v>
      </c>
      <c r="AE18">
        <v>429</v>
      </c>
      <c r="AF18">
        <v>2114</v>
      </c>
      <c r="AG18">
        <v>40</v>
      </c>
      <c r="AH18">
        <v>182</v>
      </c>
      <c r="AI18">
        <v>60</v>
      </c>
      <c r="AJ18">
        <v>355</v>
      </c>
      <c r="AK18">
        <v>1899</v>
      </c>
      <c r="AL18">
        <v>51</v>
      </c>
      <c r="AM18">
        <v>254</v>
      </c>
      <c r="AN18">
        <v>1920</v>
      </c>
      <c r="AO18">
        <v>57</v>
      </c>
      <c r="AP18">
        <v>781</v>
      </c>
      <c r="AQ18">
        <v>73</v>
      </c>
      <c r="AR18">
        <v>499</v>
      </c>
      <c r="AS18">
        <v>2880</v>
      </c>
      <c r="AT18">
        <v>69</v>
      </c>
      <c r="AU18">
        <v>488</v>
      </c>
      <c r="AV18">
        <v>2707</v>
      </c>
      <c r="AW18">
        <v>53</v>
      </c>
      <c r="AX18">
        <v>261</v>
      </c>
      <c r="AY18">
        <v>67</v>
      </c>
      <c r="AZ18">
        <v>205</v>
      </c>
      <c r="BA18">
        <v>1221</v>
      </c>
      <c r="BB18">
        <v>84</v>
      </c>
      <c r="BC18">
        <v>250</v>
      </c>
      <c r="BD18">
        <v>1466</v>
      </c>
      <c r="BE18">
        <v>79</v>
      </c>
      <c r="BF18">
        <v>205</v>
      </c>
      <c r="BG18">
        <v>35</v>
      </c>
      <c r="BH18">
        <v>262</v>
      </c>
      <c r="BI18">
        <v>1256</v>
      </c>
      <c r="BJ18">
        <v>28</v>
      </c>
      <c r="BK18">
        <v>217</v>
      </c>
      <c r="BL18">
        <v>1051</v>
      </c>
      <c r="BM18">
        <v>10</v>
      </c>
      <c r="BN18">
        <v>63</v>
      </c>
      <c r="BO18">
        <v>8</v>
      </c>
      <c r="BP18">
        <v>27</v>
      </c>
      <c r="BQ18">
        <v>176</v>
      </c>
      <c r="BR18">
        <v>7</v>
      </c>
      <c r="BS18">
        <v>23</v>
      </c>
      <c r="BT18">
        <v>161</v>
      </c>
      <c r="BU18">
        <v>1</v>
      </c>
      <c r="BV18">
        <v>4</v>
      </c>
      <c r="BW18">
        <v>39</v>
      </c>
      <c r="BX18">
        <v>389</v>
      </c>
      <c r="BY18">
        <v>1575</v>
      </c>
      <c r="BZ18">
        <v>37</v>
      </c>
      <c r="CA18">
        <v>328</v>
      </c>
      <c r="CB18">
        <v>1391</v>
      </c>
      <c r="CC18">
        <v>15</v>
      </c>
      <c r="CD18">
        <v>183</v>
      </c>
      <c r="CE18">
        <v>86</v>
      </c>
      <c r="CF18">
        <v>216</v>
      </c>
      <c r="CG18">
        <v>1254</v>
      </c>
      <c r="CH18">
        <v>85</v>
      </c>
      <c r="CI18">
        <v>222</v>
      </c>
      <c r="CJ18">
        <v>1425</v>
      </c>
      <c r="CK18">
        <v>7</v>
      </c>
      <c r="CL18">
        <v>90</v>
      </c>
      <c r="CM18">
        <v>1449</v>
      </c>
      <c r="CN18">
        <v>3851</v>
      </c>
      <c r="CO18">
        <v>11569</v>
      </c>
      <c r="CP18">
        <v>1273</v>
      </c>
      <c r="CQ18">
        <v>3362</v>
      </c>
      <c r="CR18">
        <v>10781</v>
      </c>
      <c r="CS18">
        <v>1582</v>
      </c>
      <c r="CT18">
        <v>4637</v>
      </c>
      <c r="CU18">
        <v>198</v>
      </c>
      <c r="CV18">
        <v>2082</v>
      </c>
      <c r="CW18">
        <v>5001</v>
      </c>
      <c r="CX18">
        <v>181</v>
      </c>
      <c r="CY18">
        <v>1992</v>
      </c>
      <c r="CZ18">
        <v>5257</v>
      </c>
      <c r="DA18">
        <v>373</v>
      </c>
      <c r="DB18">
        <v>3864</v>
      </c>
      <c r="DC18">
        <v>53</v>
      </c>
      <c r="DD18">
        <v>455</v>
      </c>
      <c r="DE18">
        <v>1212</v>
      </c>
      <c r="DF18">
        <v>50</v>
      </c>
      <c r="DG18">
        <v>427</v>
      </c>
      <c r="DH18">
        <v>1372</v>
      </c>
      <c r="DI18">
        <v>87</v>
      </c>
      <c r="DJ18">
        <v>709</v>
      </c>
      <c r="DK18">
        <v>159</v>
      </c>
      <c r="DL18">
        <v>3074</v>
      </c>
      <c r="DM18">
        <v>6605</v>
      </c>
      <c r="DN18">
        <v>153</v>
      </c>
      <c r="DO18">
        <v>2803</v>
      </c>
      <c r="DP18">
        <v>6989</v>
      </c>
      <c r="DQ18">
        <v>248</v>
      </c>
      <c r="DR18">
        <v>4729</v>
      </c>
      <c r="DS18">
        <v>44</v>
      </c>
      <c r="DT18">
        <v>1554</v>
      </c>
      <c r="DU18">
        <v>2752</v>
      </c>
      <c r="DV18">
        <v>40</v>
      </c>
      <c r="DW18">
        <v>1419</v>
      </c>
      <c r="DX18">
        <v>2841</v>
      </c>
      <c r="DY18">
        <v>55</v>
      </c>
      <c r="DZ18">
        <v>2258</v>
      </c>
      <c r="EA18">
        <v>4</v>
      </c>
      <c r="EB18">
        <v>31</v>
      </c>
      <c r="EC18">
        <v>175</v>
      </c>
      <c r="ED18">
        <v>4</v>
      </c>
      <c r="EE18">
        <v>23</v>
      </c>
      <c r="EF18">
        <v>217</v>
      </c>
      <c r="EG18">
        <v>11</v>
      </c>
      <c r="EH18">
        <v>101</v>
      </c>
      <c r="EI18">
        <v>11</v>
      </c>
      <c r="EJ18">
        <v>376</v>
      </c>
      <c r="EK18">
        <v>875</v>
      </c>
      <c r="EL18">
        <v>9</v>
      </c>
      <c r="EM18">
        <v>362</v>
      </c>
      <c r="EN18">
        <v>805</v>
      </c>
      <c r="EO18">
        <v>39</v>
      </c>
      <c r="EP18">
        <v>1097</v>
      </c>
      <c r="EQ18">
        <v>17</v>
      </c>
      <c r="ER18">
        <v>100</v>
      </c>
      <c r="ES18">
        <v>276</v>
      </c>
      <c r="ET18">
        <v>23</v>
      </c>
      <c r="EU18">
        <v>104</v>
      </c>
      <c r="EV18">
        <v>275</v>
      </c>
      <c r="EW18">
        <v>79</v>
      </c>
      <c r="EX18">
        <v>314</v>
      </c>
      <c r="EY18">
        <v>225</v>
      </c>
      <c r="EZ18">
        <v>732</v>
      </c>
      <c r="FA18">
        <v>2975</v>
      </c>
      <c r="FB18">
        <v>230</v>
      </c>
      <c r="FC18">
        <v>725</v>
      </c>
      <c r="FD18">
        <v>3042</v>
      </c>
      <c r="FE18">
        <v>92</v>
      </c>
      <c r="FF18">
        <v>274</v>
      </c>
      <c r="FG18">
        <v>169</v>
      </c>
      <c r="FH18">
        <v>2024</v>
      </c>
      <c r="FI18">
        <v>7667</v>
      </c>
      <c r="FJ18">
        <v>158</v>
      </c>
      <c r="FK18">
        <v>1841</v>
      </c>
      <c r="FL18">
        <v>7907</v>
      </c>
      <c r="FM18">
        <v>544</v>
      </c>
      <c r="FN18">
        <v>7085</v>
      </c>
      <c r="FO18">
        <v>562</v>
      </c>
      <c r="FP18">
        <v>322</v>
      </c>
      <c r="FQ18">
        <v>817</v>
      </c>
      <c r="FR18">
        <v>570</v>
      </c>
      <c r="FS18">
        <v>265</v>
      </c>
      <c r="FT18">
        <v>873</v>
      </c>
      <c r="FU18">
        <v>506</v>
      </c>
      <c r="FV18">
        <v>514</v>
      </c>
    </row>
    <row r="19" spans="1:178" x14ac:dyDescent="0.4">
      <c r="A19" s="1" t="s">
        <v>26</v>
      </c>
      <c r="B19" s="1" t="s">
        <v>27</v>
      </c>
      <c r="C19">
        <v>43</v>
      </c>
      <c r="D19">
        <v>922</v>
      </c>
      <c r="E19">
        <v>2259</v>
      </c>
      <c r="F19">
        <v>29</v>
      </c>
      <c r="G19">
        <v>742</v>
      </c>
      <c r="H19">
        <v>1825</v>
      </c>
      <c r="I19">
        <v>65</v>
      </c>
      <c r="J19">
        <v>1329</v>
      </c>
      <c r="K19">
        <v>789</v>
      </c>
      <c r="L19">
        <v>5140</v>
      </c>
      <c r="M19">
        <v>15077</v>
      </c>
      <c r="N19">
        <v>891</v>
      </c>
      <c r="O19">
        <v>5393</v>
      </c>
      <c r="P19">
        <v>17154</v>
      </c>
      <c r="Q19">
        <v>2784</v>
      </c>
      <c r="R19">
        <v>12268</v>
      </c>
      <c r="S19">
        <v>60</v>
      </c>
      <c r="T19">
        <v>280</v>
      </c>
      <c r="U19">
        <v>1334</v>
      </c>
      <c r="V19">
        <v>57</v>
      </c>
      <c r="W19">
        <v>276</v>
      </c>
      <c r="X19">
        <v>1324</v>
      </c>
      <c r="Y19">
        <v>8</v>
      </c>
      <c r="Z19">
        <v>14</v>
      </c>
      <c r="AA19">
        <v>54</v>
      </c>
      <c r="AB19">
        <v>290</v>
      </c>
      <c r="AC19">
        <v>1625</v>
      </c>
      <c r="AD19">
        <v>44</v>
      </c>
      <c r="AE19">
        <v>227</v>
      </c>
      <c r="AF19">
        <v>1254</v>
      </c>
      <c r="AG19">
        <v>50</v>
      </c>
      <c r="AH19">
        <v>245</v>
      </c>
      <c r="AI19">
        <v>40</v>
      </c>
      <c r="AJ19">
        <v>242</v>
      </c>
      <c r="AK19">
        <v>1298</v>
      </c>
      <c r="AL19">
        <v>40</v>
      </c>
      <c r="AM19">
        <v>189</v>
      </c>
      <c r="AN19">
        <v>1234</v>
      </c>
      <c r="AO19">
        <v>57</v>
      </c>
      <c r="AP19">
        <v>834</v>
      </c>
      <c r="AQ19">
        <v>69</v>
      </c>
      <c r="AR19">
        <v>440</v>
      </c>
      <c r="AS19">
        <v>2893</v>
      </c>
      <c r="AT19">
        <v>70</v>
      </c>
      <c r="AU19">
        <v>452</v>
      </c>
      <c r="AV19">
        <v>3004</v>
      </c>
      <c r="AW19">
        <v>52</v>
      </c>
      <c r="AX19">
        <v>249</v>
      </c>
      <c r="AY19">
        <v>62</v>
      </c>
      <c r="AZ19">
        <v>208</v>
      </c>
      <c r="BA19">
        <v>1595</v>
      </c>
      <c r="BB19">
        <v>71</v>
      </c>
      <c r="BC19">
        <v>267</v>
      </c>
      <c r="BD19">
        <v>1811</v>
      </c>
      <c r="BE19">
        <v>85</v>
      </c>
      <c r="BF19">
        <v>193</v>
      </c>
      <c r="BG19">
        <v>38</v>
      </c>
      <c r="BH19">
        <v>351</v>
      </c>
      <c r="BI19">
        <v>1701</v>
      </c>
      <c r="BJ19">
        <v>36</v>
      </c>
      <c r="BK19">
        <v>322</v>
      </c>
      <c r="BL19">
        <v>1490</v>
      </c>
      <c r="BM19">
        <v>12</v>
      </c>
      <c r="BN19">
        <v>92</v>
      </c>
      <c r="BO19">
        <v>7</v>
      </c>
      <c r="BP19">
        <v>29</v>
      </c>
      <c r="BQ19">
        <v>183</v>
      </c>
      <c r="BR19">
        <v>6</v>
      </c>
      <c r="BS19">
        <v>22</v>
      </c>
      <c r="BT19">
        <v>160</v>
      </c>
      <c r="BU19">
        <v>2</v>
      </c>
      <c r="BV19">
        <v>11</v>
      </c>
      <c r="BW19">
        <v>87</v>
      </c>
      <c r="BX19">
        <v>1051</v>
      </c>
      <c r="BY19">
        <v>5071</v>
      </c>
      <c r="BZ19">
        <v>88</v>
      </c>
      <c r="CA19">
        <v>1102</v>
      </c>
      <c r="CB19">
        <v>5205</v>
      </c>
      <c r="CC19">
        <v>14</v>
      </c>
      <c r="CD19">
        <v>132</v>
      </c>
      <c r="CE19">
        <v>82</v>
      </c>
      <c r="CF19">
        <v>176</v>
      </c>
      <c r="CG19">
        <v>1311</v>
      </c>
      <c r="CH19">
        <v>82</v>
      </c>
      <c r="CI19">
        <v>169</v>
      </c>
      <c r="CJ19">
        <v>1388</v>
      </c>
      <c r="CK19">
        <v>7</v>
      </c>
      <c r="CL19">
        <v>97</v>
      </c>
      <c r="CM19">
        <v>1334</v>
      </c>
      <c r="CN19">
        <v>3471</v>
      </c>
      <c r="CO19">
        <v>10526</v>
      </c>
      <c r="CP19">
        <v>1260</v>
      </c>
      <c r="CQ19">
        <v>3239</v>
      </c>
      <c r="CR19">
        <v>10045</v>
      </c>
      <c r="CS19">
        <v>1654</v>
      </c>
      <c r="CT19">
        <v>4856</v>
      </c>
      <c r="CU19">
        <v>222</v>
      </c>
      <c r="CV19">
        <v>2125</v>
      </c>
      <c r="CW19">
        <v>5068</v>
      </c>
      <c r="CX19">
        <v>196</v>
      </c>
      <c r="CY19">
        <v>1929</v>
      </c>
      <c r="CZ19">
        <v>5132</v>
      </c>
      <c r="DA19">
        <v>396</v>
      </c>
      <c r="DB19">
        <v>3998</v>
      </c>
      <c r="DC19">
        <v>72</v>
      </c>
      <c r="DD19">
        <v>612</v>
      </c>
      <c r="DE19">
        <v>1933</v>
      </c>
      <c r="DF19">
        <v>73</v>
      </c>
      <c r="DG19">
        <v>660</v>
      </c>
      <c r="DH19">
        <v>2027</v>
      </c>
      <c r="DI19">
        <v>87</v>
      </c>
      <c r="DJ19">
        <v>676</v>
      </c>
      <c r="DK19">
        <v>160</v>
      </c>
      <c r="DL19">
        <v>2886</v>
      </c>
      <c r="DM19">
        <v>6074</v>
      </c>
      <c r="DN19">
        <v>160</v>
      </c>
      <c r="DO19">
        <v>3109</v>
      </c>
      <c r="DP19">
        <v>8507</v>
      </c>
      <c r="DQ19">
        <v>245</v>
      </c>
      <c r="DR19">
        <v>4447</v>
      </c>
      <c r="DS19">
        <v>48</v>
      </c>
      <c r="DT19">
        <v>1711</v>
      </c>
      <c r="DU19">
        <v>3390</v>
      </c>
      <c r="DV19">
        <v>48</v>
      </c>
      <c r="DW19">
        <v>1759</v>
      </c>
      <c r="DX19">
        <v>4203</v>
      </c>
      <c r="DY19">
        <v>55</v>
      </c>
      <c r="DZ19">
        <v>2210</v>
      </c>
      <c r="EA19">
        <v>5</v>
      </c>
      <c r="EB19">
        <v>38</v>
      </c>
      <c r="EC19">
        <v>118</v>
      </c>
      <c r="ED19">
        <v>3</v>
      </c>
      <c r="EE19">
        <v>27</v>
      </c>
      <c r="EF19">
        <v>199</v>
      </c>
      <c r="EG19">
        <v>13</v>
      </c>
      <c r="EH19">
        <v>112</v>
      </c>
      <c r="EI19">
        <v>8</v>
      </c>
      <c r="EJ19">
        <v>188</v>
      </c>
      <c r="EK19">
        <v>626</v>
      </c>
      <c r="EL19">
        <v>3</v>
      </c>
      <c r="EM19">
        <v>95</v>
      </c>
      <c r="EN19">
        <v>222</v>
      </c>
      <c r="EO19">
        <v>44</v>
      </c>
      <c r="EP19">
        <v>1190</v>
      </c>
      <c r="EQ19">
        <v>21</v>
      </c>
      <c r="ER19">
        <v>107</v>
      </c>
      <c r="ES19">
        <v>289</v>
      </c>
      <c r="ET19">
        <v>15</v>
      </c>
      <c r="EU19">
        <v>84</v>
      </c>
      <c r="EV19">
        <v>238</v>
      </c>
      <c r="EW19">
        <v>85</v>
      </c>
      <c r="EX19">
        <v>332</v>
      </c>
      <c r="EY19">
        <v>210</v>
      </c>
      <c r="EZ19">
        <v>667</v>
      </c>
      <c r="FA19">
        <v>2821</v>
      </c>
      <c r="FB19">
        <v>190</v>
      </c>
      <c r="FC19">
        <v>618</v>
      </c>
      <c r="FD19">
        <v>2647</v>
      </c>
      <c r="FE19">
        <v>112</v>
      </c>
      <c r="FF19">
        <v>323</v>
      </c>
      <c r="FG19">
        <v>159</v>
      </c>
      <c r="FH19">
        <v>1897</v>
      </c>
      <c r="FI19">
        <v>7200</v>
      </c>
      <c r="FJ19">
        <v>144</v>
      </c>
      <c r="FK19">
        <v>1711</v>
      </c>
      <c r="FL19">
        <v>6172</v>
      </c>
      <c r="FM19">
        <v>558</v>
      </c>
      <c r="FN19">
        <v>7263</v>
      </c>
      <c r="FO19">
        <v>492</v>
      </c>
      <c r="FP19">
        <v>410</v>
      </c>
      <c r="FQ19">
        <v>1240</v>
      </c>
      <c r="FR19">
        <v>489</v>
      </c>
      <c r="FS19">
        <v>349</v>
      </c>
      <c r="FT19">
        <v>1248</v>
      </c>
      <c r="FU19">
        <v>508</v>
      </c>
      <c r="FV19">
        <v>569</v>
      </c>
    </row>
    <row r="20" spans="1:178" x14ac:dyDescent="0.4">
      <c r="A20" s="1" t="s">
        <v>28</v>
      </c>
      <c r="B20" s="1" t="s">
        <v>29</v>
      </c>
      <c r="C20">
        <v>55</v>
      </c>
      <c r="D20">
        <v>1127</v>
      </c>
      <c r="E20">
        <v>3151</v>
      </c>
      <c r="F20">
        <v>77</v>
      </c>
      <c r="G20">
        <v>1545</v>
      </c>
      <c r="H20">
        <v>4592</v>
      </c>
      <c r="I20">
        <v>43</v>
      </c>
      <c r="J20">
        <v>910</v>
      </c>
      <c r="K20">
        <v>991</v>
      </c>
      <c r="L20">
        <v>6422</v>
      </c>
      <c r="M20">
        <v>19114</v>
      </c>
      <c r="N20">
        <v>1205</v>
      </c>
      <c r="O20">
        <v>7634</v>
      </c>
      <c r="P20">
        <v>24639</v>
      </c>
      <c r="Q20">
        <v>2706</v>
      </c>
      <c r="R20">
        <v>11427</v>
      </c>
      <c r="S20">
        <v>67</v>
      </c>
      <c r="T20">
        <v>282</v>
      </c>
      <c r="U20">
        <v>1267</v>
      </c>
      <c r="V20">
        <v>64</v>
      </c>
      <c r="W20">
        <v>280</v>
      </c>
      <c r="X20">
        <v>1263</v>
      </c>
      <c r="Y20">
        <v>11</v>
      </c>
      <c r="Z20">
        <v>16</v>
      </c>
      <c r="AA20">
        <v>94</v>
      </c>
      <c r="AB20">
        <v>542</v>
      </c>
      <c r="AC20">
        <v>2804</v>
      </c>
      <c r="AD20">
        <v>89</v>
      </c>
      <c r="AE20">
        <v>534</v>
      </c>
      <c r="AF20">
        <v>2513</v>
      </c>
      <c r="AG20">
        <v>55</v>
      </c>
      <c r="AH20">
        <v>253</v>
      </c>
      <c r="AI20">
        <v>63</v>
      </c>
      <c r="AJ20">
        <v>321</v>
      </c>
      <c r="AK20">
        <v>1901</v>
      </c>
      <c r="AL20">
        <v>87</v>
      </c>
      <c r="AM20">
        <v>577</v>
      </c>
      <c r="AN20">
        <v>2774</v>
      </c>
      <c r="AO20">
        <v>33</v>
      </c>
      <c r="AP20">
        <v>579</v>
      </c>
      <c r="AQ20">
        <v>105</v>
      </c>
      <c r="AR20">
        <v>661</v>
      </c>
      <c r="AS20">
        <v>4303</v>
      </c>
      <c r="AT20">
        <v>98</v>
      </c>
      <c r="AU20">
        <v>650</v>
      </c>
      <c r="AV20">
        <v>3986</v>
      </c>
      <c r="AW20">
        <v>59</v>
      </c>
      <c r="AX20">
        <v>260</v>
      </c>
      <c r="AY20">
        <v>64</v>
      </c>
      <c r="AZ20">
        <v>151</v>
      </c>
      <c r="BA20">
        <v>649</v>
      </c>
      <c r="BB20">
        <v>111</v>
      </c>
      <c r="BC20">
        <v>281</v>
      </c>
      <c r="BD20">
        <v>1319</v>
      </c>
      <c r="BE20">
        <v>71</v>
      </c>
      <c r="BF20">
        <v>158</v>
      </c>
      <c r="BG20">
        <v>39</v>
      </c>
      <c r="BH20">
        <v>486</v>
      </c>
      <c r="BI20">
        <v>2465</v>
      </c>
      <c r="BJ20">
        <v>44</v>
      </c>
      <c r="BK20">
        <v>523</v>
      </c>
      <c r="BL20">
        <v>2646</v>
      </c>
      <c r="BM20">
        <v>7</v>
      </c>
      <c r="BN20">
        <v>55</v>
      </c>
      <c r="BO20">
        <v>4</v>
      </c>
      <c r="BP20">
        <v>10</v>
      </c>
      <c r="BQ20">
        <v>40</v>
      </c>
      <c r="BR20">
        <v>6</v>
      </c>
      <c r="BS20">
        <v>21</v>
      </c>
      <c r="BT20">
        <v>78</v>
      </c>
      <c r="BU20">
        <v>0</v>
      </c>
      <c r="BV20">
        <v>0</v>
      </c>
      <c r="BW20">
        <v>73</v>
      </c>
      <c r="BX20">
        <v>886</v>
      </c>
      <c r="BY20">
        <v>4490</v>
      </c>
      <c r="BZ20">
        <v>70</v>
      </c>
      <c r="CA20">
        <v>860</v>
      </c>
      <c r="CB20">
        <v>4250</v>
      </c>
      <c r="CC20">
        <v>17</v>
      </c>
      <c r="CD20">
        <v>158</v>
      </c>
      <c r="CE20">
        <v>73</v>
      </c>
      <c r="CF20">
        <v>149</v>
      </c>
      <c r="CG20">
        <v>1006</v>
      </c>
      <c r="CH20">
        <v>78</v>
      </c>
      <c r="CI20">
        <v>207</v>
      </c>
      <c r="CJ20">
        <v>1257</v>
      </c>
      <c r="CK20">
        <v>2</v>
      </c>
      <c r="CL20">
        <v>39</v>
      </c>
      <c r="CM20">
        <v>1315</v>
      </c>
      <c r="CN20">
        <v>3568</v>
      </c>
      <c r="CO20">
        <v>11192</v>
      </c>
      <c r="CP20">
        <v>1367</v>
      </c>
      <c r="CQ20">
        <v>3870</v>
      </c>
      <c r="CR20">
        <v>12533</v>
      </c>
      <c r="CS20">
        <v>1601</v>
      </c>
      <c r="CT20">
        <v>4547</v>
      </c>
      <c r="CU20">
        <v>245</v>
      </c>
      <c r="CV20">
        <v>2625</v>
      </c>
      <c r="CW20">
        <v>6061</v>
      </c>
      <c r="CX20">
        <v>273</v>
      </c>
      <c r="CY20">
        <v>2606</v>
      </c>
      <c r="CZ20">
        <v>6523</v>
      </c>
      <c r="DA20">
        <v>367</v>
      </c>
      <c r="DB20">
        <v>4009</v>
      </c>
      <c r="DC20">
        <v>94</v>
      </c>
      <c r="DD20">
        <v>896</v>
      </c>
      <c r="DE20">
        <v>2560</v>
      </c>
      <c r="DF20">
        <v>88</v>
      </c>
      <c r="DG20">
        <v>864</v>
      </c>
      <c r="DH20">
        <v>2568</v>
      </c>
      <c r="DI20">
        <v>94</v>
      </c>
      <c r="DJ20">
        <v>724</v>
      </c>
      <c r="DK20">
        <v>167</v>
      </c>
      <c r="DL20">
        <v>3313</v>
      </c>
      <c r="DM20">
        <v>7264</v>
      </c>
      <c r="DN20">
        <v>172</v>
      </c>
      <c r="DO20">
        <v>3253</v>
      </c>
      <c r="DP20">
        <v>8515</v>
      </c>
      <c r="DQ20">
        <v>240</v>
      </c>
      <c r="DR20">
        <v>4507</v>
      </c>
      <c r="DS20">
        <v>44</v>
      </c>
      <c r="DT20">
        <v>1790</v>
      </c>
      <c r="DU20">
        <v>3271</v>
      </c>
      <c r="DV20">
        <v>50</v>
      </c>
      <c r="DW20">
        <v>1921</v>
      </c>
      <c r="DX20">
        <v>4046</v>
      </c>
      <c r="DY20">
        <v>49</v>
      </c>
      <c r="DZ20">
        <v>2079</v>
      </c>
      <c r="EA20">
        <v>4</v>
      </c>
      <c r="EB20">
        <v>32</v>
      </c>
      <c r="EC20">
        <v>150</v>
      </c>
      <c r="ED20">
        <v>2</v>
      </c>
      <c r="EE20">
        <v>16</v>
      </c>
      <c r="EF20">
        <v>81</v>
      </c>
      <c r="EG20">
        <v>15</v>
      </c>
      <c r="EH20">
        <v>128</v>
      </c>
      <c r="EI20">
        <v>8</v>
      </c>
      <c r="EJ20">
        <v>239</v>
      </c>
      <c r="EK20">
        <v>611</v>
      </c>
      <c r="EL20">
        <v>14</v>
      </c>
      <c r="EM20">
        <v>355</v>
      </c>
      <c r="EN20">
        <v>1236</v>
      </c>
      <c r="EO20">
        <v>38</v>
      </c>
      <c r="EP20">
        <v>1074</v>
      </c>
      <c r="EQ20">
        <v>20</v>
      </c>
      <c r="ER20">
        <v>99</v>
      </c>
      <c r="ES20">
        <v>268</v>
      </c>
      <c r="ET20">
        <v>38</v>
      </c>
      <c r="EU20">
        <v>200</v>
      </c>
      <c r="EV20">
        <v>537</v>
      </c>
      <c r="EW20">
        <v>68</v>
      </c>
      <c r="EX20">
        <v>234</v>
      </c>
      <c r="EY20">
        <v>280</v>
      </c>
      <c r="EZ20">
        <v>910</v>
      </c>
      <c r="FA20">
        <v>3909</v>
      </c>
      <c r="FB20">
        <v>292</v>
      </c>
      <c r="FC20">
        <v>941</v>
      </c>
      <c r="FD20">
        <v>4209</v>
      </c>
      <c r="FE20">
        <v>100</v>
      </c>
      <c r="FF20">
        <v>292</v>
      </c>
      <c r="FG20">
        <v>189</v>
      </c>
      <c r="FH20">
        <v>2118</v>
      </c>
      <c r="FI20">
        <v>8697</v>
      </c>
      <c r="FJ20">
        <v>239</v>
      </c>
      <c r="FK20">
        <v>2883</v>
      </c>
      <c r="FL20">
        <v>10229</v>
      </c>
      <c r="FM20">
        <v>508</v>
      </c>
      <c r="FN20">
        <v>6498</v>
      </c>
      <c r="FO20">
        <v>576</v>
      </c>
      <c r="FP20">
        <v>432</v>
      </c>
      <c r="FQ20">
        <v>1195</v>
      </c>
      <c r="FR20">
        <v>672</v>
      </c>
      <c r="FS20">
        <v>513</v>
      </c>
      <c r="FT20">
        <v>1494</v>
      </c>
      <c r="FU20">
        <v>412</v>
      </c>
      <c r="FV20">
        <v>486</v>
      </c>
    </row>
    <row r="21" spans="1:178" x14ac:dyDescent="0.4">
      <c r="A21" s="1" t="s">
        <v>30</v>
      </c>
      <c r="B21" s="1" t="s">
        <v>31</v>
      </c>
      <c r="C21">
        <v>43</v>
      </c>
      <c r="D21">
        <v>874</v>
      </c>
      <c r="E21">
        <v>2021</v>
      </c>
      <c r="F21">
        <v>45</v>
      </c>
      <c r="G21">
        <v>813</v>
      </c>
      <c r="H21">
        <v>2108</v>
      </c>
      <c r="I21">
        <v>41</v>
      </c>
      <c r="J21">
        <v>971</v>
      </c>
      <c r="K21">
        <v>853</v>
      </c>
      <c r="L21">
        <v>5700</v>
      </c>
      <c r="M21">
        <v>16995</v>
      </c>
      <c r="N21">
        <v>891</v>
      </c>
      <c r="O21">
        <v>5382</v>
      </c>
      <c r="P21">
        <v>16509</v>
      </c>
      <c r="Q21">
        <v>2776</v>
      </c>
      <c r="R21">
        <v>12141</v>
      </c>
      <c r="S21">
        <v>74</v>
      </c>
      <c r="T21">
        <v>325</v>
      </c>
      <c r="U21">
        <v>1420</v>
      </c>
      <c r="V21">
        <v>74</v>
      </c>
      <c r="W21">
        <v>324</v>
      </c>
      <c r="X21">
        <v>1418</v>
      </c>
      <c r="Y21">
        <v>11</v>
      </c>
      <c r="Z21">
        <v>17</v>
      </c>
      <c r="AA21">
        <v>72</v>
      </c>
      <c r="AB21">
        <v>406</v>
      </c>
      <c r="AC21">
        <v>2178</v>
      </c>
      <c r="AD21">
        <v>64</v>
      </c>
      <c r="AE21">
        <v>377</v>
      </c>
      <c r="AF21">
        <v>2185</v>
      </c>
      <c r="AG21">
        <v>63</v>
      </c>
      <c r="AH21">
        <v>281</v>
      </c>
      <c r="AI21">
        <v>39</v>
      </c>
      <c r="AJ21">
        <v>291</v>
      </c>
      <c r="AK21">
        <v>1428</v>
      </c>
      <c r="AL21">
        <v>31</v>
      </c>
      <c r="AM21">
        <v>225</v>
      </c>
      <c r="AN21">
        <v>1137</v>
      </c>
      <c r="AO21">
        <v>41</v>
      </c>
      <c r="AP21">
        <v>645</v>
      </c>
      <c r="AQ21">
        <v>82</v>
      </c>
      <c r="AR21">
        <v>497</v>
      </c>
      <c r="AS21">
        <v>2872</v>
      </c>
      <c r="AT21">
        <v>79</v>
      </c>
      <c r="AU21">
        <v>462</v>
      </c>
      <c r="AV21">
        <v>2971</v>
      </c>
      <c r="AW21">
        <v>62</v>
      </c>
      <c r="AX21">
        <v>295</v>
      </c>
      <c r="AY21">
        <v>77</v>
      </c>
      <c r="AZ21">
        <v>254</v>
      </c>
      <c r="BA21">
        <v>1156</v>
      </c>
      <c r="BB21">
        <v>83</v>
      </c>
      <c r="BC21">
        <v>244</v>
      </c>
      <c r="BD21">
        <v>1257</v>
      </c>
      <c r="BE21">
        <v>82</v>
      </c>
      <c r="BF21">
        <v>219</v>
      </c>
      <c r="BG21">
        <v>25</v>
      </c>
      <c r="BH21">
        <v>223</v>
      </c>
      <c r="BI21">
        <v>1197</v>
      </c>
      <c r="BJ21">
        <v>27</v>
      </c>
      <c r="BK21">
        <v>242</v>
      </c>
      <c r="BL21">
        <v>1333</v>
      </c>
      <c r="BM21">
        <v>5</v>
      </c>
      <c r="BN21">
        <v>36</v>
      </c>
      <c r="BO21">
        <v>9</v>
      </c>
      <c r="BP21">
        <v>37</v>
      </c>
      <c r="BQ21">
        <v>285</v>
      </c>
      <c r="BR21">
        <v>7</v>
      </c>
      <c r="BS21">
        <v>30</v>
      </c>
      <c r="BT21">
        <v>255</v>
      </c>
      <c r="BU21">
        <v>2</v>
      </c>
      <c r="BV21">
        <v>7</v>
      </c>
      <c r="BW21">
        <v>52</v>
      </c>
      <c r="BX21">
        <v>321</v>
      </c>
      <c r="BY21">
        <v>2148</v>
      </c>
      <c r="BZ21">
        <v>57</v>
      </c>
      <c r="CA21">
        <v>362</v>
      </c>
      <c r="CB21">
        <v>2478</v>
      </c>
      <c r="CC21">
        <v>12</v>
      </c>
      <c r="CD21">
        <v>117</v>
      </c>
      <c r="CE21">
        <v>48</v>
      </c>
      <c r="CF21">
        <v>97</v>
      </c>
      <c r="CG21">
        <v>718</v>
      </c>
      <c r="CH21">
        <v>47</v>
      </c>
      <c r="CI21">
        <v>81</v>
      </c>
      <c r="CJ21">
        <v>696</v>
      </c>
      <c r="CK21">
        <v>3</v>
      </c>
      <c r="CL21">
        <v>55</v>
      </c>
      <c r="CM21">
        <v>1627</v>
      </c>
      <c r="CN21">
        <v>4157</v>
      </c>
      <c r="CO21">
        <v>11807</v>
      </c>
      <c r="CP21">
        <v>1468</v>
      </c>
      <c r="CQ21">
        <v>3658</v>
      </c>
      <c r="CR21">
        <v>11484</v>
      </c>
      <c r="CS21">
        <v>1758</v>
      </c>
      <c r="CT21">
        <v>5031</v>
      </c>
      <c r="CU21">
        <v>246</v>
      </c>
      <c r="CV21">
        <v>2538</v>
      </c>
      <c r="CW21">
        <v>6100</v>
      </c>
      <c r="CX21">
        <v>227</v>
      </c>
      <c r="CY21">
        <v>2397</v>
      </c>
      <c r="CZ21">
        <v>6218</v>
      </c>
      <c r="DA21">
        <v>384</v>
      </c>
      <c r="DB21">
        <v>4109</v>
      </c>
      <c r="DC21">
        <v>86</v>
      </c>
      <c r="DD21">
        <v>674</v>
      </c>
      <c r="DE21">
        <v>2103</v>
      </c>
      <c r="DF21">
        <v>100</v>
      </c>
      <c r="DG21">
        <v>742</v>
      </c>
      <c r="DH21">
        <v>2424</v>
      </c>
      <c r="DI21">
        <v>81</v>
      </c>
      <c r="DJ21">
        <v>652</v>
      </c>
      <c r="DK21">
        <v>166</v>
      </c>
      <c r="DL21">
        <v>3317</v>
      </c>
      <c r="DM21">
        <v>7440</v>
      </c>
      <c r="DN21">
        <v>169</v>
      </c>
      <c r="DO21">
        <v>3203</v>
      </c>
      <c r="DP21">
        <v>8164</v>
      </c>
      <c r="DQ21">
        <v>236</v>
      </c>
      <c r="DR21">
        <v>4588</v>
      </c>
      <c r="DS21">
        <v>38</v>
      </c>
      <c r="DT21">
        <v>1633</v>
      </c>
      <c r="DU21">
        <v>3105</v>
      </c>
      <c r="DV21">
        <v>35</v>
      </c>
      <c r="DW21">
        <v>1408</v>
      </c>
      <c r="DX21">
        <v>2730</v>
      </c>
      <c r="DY21">
        <v>52</v>
      </c>
      <c r="DZ21">
        <v>2304</v>
      </c>
      <c r="EA21">
        <v>4</v>
      </c>
      <c r="EB21">
        <v>36</v>
      </c>
      <c r="EC21">
        <v>96</v>
      </c>
      <c r="ED21">
        <v>7</v>
      </c>
      <c r="EE21">
        <v>53</v>
      </c>
      <c r="EF21">
        <v>324</v>
      </c>
      <c r="EG21">
        <v>12</v>
      </c>
      <c r="EH21">
        <v>111</v>
      </c>
      <c r="EI21">
        <v>8</v>
      </c>
      <c r="EJ21">
        <v>237</v>
      </c>
      <c r="EK21">
        <v>749</v>
      </c>
      <c r="EL21">
        <v>5</v>
      </c>
      <c r="EM21">
        <v>170</v>
      </c>
      <c r="EN21">
        <v>358</v>
      </c>
      <c r="EO21">
        <v>41</v>
      </c>
      <c r="EP21">
        <v>1141</v>
      </c>
      <c r="EQ21">
        <v>17</v>
      </c>
      <c r="ER21">
        <v>89</v>
      </c>
      <c r="ES21">
        <v>233</v>
      </c>
      <c r="ET21">
        <v>22</v>
      </c>
      <c r="EU21">
        <v>93</v>
      </c>
      <c r="EV21">
        <v>242</v>
      </c>
      <c r="EW21">
        <v>64</v>
      </c>
      <c r="EX21">
        <v>233</v>
      </c>
      <c r="EY21">
        <v>234</v>
      </c>
      <c r="EZ21">
        <v>737</v>
      </c>
      <c r="FA21">
        <v>3301</v>
      </c>
      <c r="FB21">
        <v>233</v>
      </c>
      <c r="FC21">
        <v>735</v>
      </c>
      <c r="FD21">
        <v>3511</v>
      </c>
      <c r="FE21">
        <v>99</v>
      </c>
      <c r="FF21">
        <v>287</v>
      </c>
      <c r="FG21">
        <v>146</v>
      </c>
      <c r="FH21">
        <v>1690</v>
      </c>
      <c r="FI21">
        <v>6560</v>
      </c>
      <c r="FJ21">
        <v>131</v>
      </c>
      <c r="FK21">
        <v>1493</v>
      </c>
      <c r="FL21">
        <v>6357</v>
      </c>
      <c r="FM21">
        <v>523</v>
      </c>
      <c r="FN21">
        <v>6696</v>
      </c>
      <c r="FO21">
        <v>511</v>
      </c>
      <c r="FP21">
        <v>272</v>
      </c>
      <c r="FQ21">
        <v>785</v>
      </c>
      <c r="FR21">
        <v>511</v>
      </c>
      <c r="FS21">
        <v>252</v>
      </c>
      <c r="FT21">
        <v>844</v>
      </c>
      <c r="FU21">
        <v>412</v>
      </c>
      <c r="FV21">
        <v>508</v>
      </c>
    </row>
    <row r="22" spans="1:178" x14ac:dyDescent="0.4">
      <c r="A22" s="1" t="s">
        <v>32</v>
      </c>
      <c r="B22" s="1" t="s">
        <v>33</v>
      </c>
      <c r="C22">
        <v>47</v>
      </c>
      <c r="D22">
        <v>928</v>
      </c>
      <c r="E22">
        <v>2132</v>
      </c>
      <c r="F22">
        <v>38</v>
      </c>
      <c r="G22">
        <v>714</v>
      </c>
      <c r="H22">
        <v>1906</v>
      </c>
      <c r="I22">
        <v>50</v>
      </c>
      <c r="J22">
        <v>1184</v>
      </c>
      <c r="K22">
        <v>835</v>
      </c>
      <c r="L22">
        <v>5842</v>
      </c>
      <c r="M22">
        <v>16828</v>
      </c>
      <c r="N22">
        <v>929</v>
      </c>
      <c r="O22">
        <v>5698</v>
      </c>
      <c r="P22">
        <v>17863</v>
      </c>
      <c r="Q22">
        <v>2754</v>
      </c>
      <c r="R22">
        <v>12460</v>
      </c>
      <c r="S22">
        <v>75</v>
      </c>
      <c r="T22">
        <v>306</v>
      </c>
      <c r="U22">
        <v>1328</v>
      </c>
      <c r="V22">
        <v>71</v>
      </c>
      <c r="W22">
        <v>299</v>
      </c>
      <c r="X22">
        <v>1311</v>
      </c>
      <c r="Y22">
        <v>15</v>
      </c>
      <c r="Z22">
        <v>24</v>
      </c>
      <c r="AA22">
        <v>94</v>
      </c>
      <c r="AB22">
        <v>522</v>
      </c>
      <c r="AC22">
        <v>2700</v>
      </c>
      <c r="AD22">
        <v>97</v>
      </c>
      <c r="AE22">
        <v>562</v>
      </c>
      <c r="AF22">
        <v>2834</v>
      </c>
      <c r="AG22">
        <v>60</v>
      </c>
      <c r="AH22">
        <v>241</v>
      </c>
      <c r="AI22">
        <v>49</v>
      </c>
      <c r="AJ22">
        <v>278</v>
      </c>
      <c r="AK22">
        <v>2158</v>
      </c>
      <c r="AL22">
        <v>39</v>
      </c>
      <c r="AM22">
        <v>180</v>
      </c>
      <c r="AN22">
        <v>1238</v>
      </c>
      <c r="AO22">
        <v>51</v>
      </c>
      <c r="AP22">
        <v>744</v>
      </c>
      <c r="AQ22">
        <v>84</v>
      </c>
      <c r="AR22">
        <v>534</v>
      </c>
      <c r="AS22">
        <v>3335</v>
      </c>
      <c r="AT22">
        <v>93</v>
      </c>
      <c r="AU22">
        <v>566</v>
      </c>
      <c r="AV22">
        <v>3640</v>
      </c>
      <c r="AW22">
        <v>53</v>
      </c>
      <c r="AX22">
        <v>263</v>
      </c>
      <c r="AY22">
        <v>69</v>
      </c>
      <c r="AZ22">
        <v>204</v>
      </c>
      <c r="BA22">
        <v>1184</v>
      </c>
      <c r="BB22">
        <v>89</v>
      </c>
      <c r="BC22">
        <v>274</v>
      </c>
      <c r="BD22">
        <v>1517</v>
      </c>
      <c r="BE22">
        <v>80</v>
      </c>
      <c r="BF22">
        <v>196</v>
      </c>
      <c r="BG22">
        <v>36</v>
      </c>
      <c r="BH22">
        <v>388</v>
      </c>
      <c r="BI22">
        <v>2129</v>
      </c>
      <c r="BJ22">
        <v>37</v>
      </c>
      <c r="BK22">
        <v>388</v>
      </c>
      <c r="BL22">
        <v>2155</v>
      </c>
      <c r="BM22">
        <v>4</v>
      </c>
      <c r="BN22">
        <v>36</v>
      </c>
      <c r="BO22">
        <v>7</v>
      </c>
      <c r="BP22">
        <v>23</v>
      </c>
      <c r="BQ22">
        <v>119</v>
      </c>
      <c r="BR22">
        <v>7</v>
      </c>
      <c r="BS22">
        <v>27</v>
      </c>
      <c r="BT22">
        <v>113</v>
      </c>
      <c r="BU22">
        <v>2</v>
      </c>
      <c r="BV22">
        <v>3</v>
      </c>
      <c r="BW22">
        <v>41</v>
      </c>
      <c r="BX22">
        <v>231</v>
      </c>
      <c r="BY22">
        <v>1600</v>
      </c>
      <c r="BZ22">
        <v>38</v>
      </c>
      <c r="CA22">
        <v>215</v>
      </c>
      <c r="CB22">
        <v>1573</v>
      </c>
      <c r="CC22">
        <v>15</v>
      </c>
      <c r="CD22">
        <v>133</v>
      </c>
      <c r="CE22">
        <v>55</v>
      </c>
      <c r="CF22">
        <v>254</v>
      </c>
      <c r="CG22">
        <v>875</v>
      </c>
      <c r="CH22">
        <v>57</v>
      </c>
      <c r="CI22">
        <v>303</v>
      </c>
      <c r="CJ22">
        <v>1121</v>
      </c>
      <c r="CK22">
        <v>1</v>
      </c>
      <c r="CL22">
        <v>6</v>
      </c>
      <c r="CM22">
        <v>1855</v>
      </c>
      <c r="CN22">
        <v>4717</v>
      </c>
      <c r="CO22">
        <v>14268</v>
      </c>
      <c r="CP22">
        <v>1448</v>
      </c>
      <c r="CQ22">
        <v>3805</v>
      </c>
      <c r="CR22">
        <v>12263</v>
      </c>
      <c r="CS22">
        <v>2164</v>
      </c>
      <c r="CT22">
        <v>5935</v>
      </c>
      <c r="CU22">
        <v>286</v>
      </c>
      <c r="CV22">
        <v>2719</v>
      </c>
      <c r="CW22">
        <v>6548</v>
      </c>
      <c r="CX22">
        <v>235</v>
      </c>
      <c r="CY22">
        <v>2294</v>
      </c>
      <c r="CZ22">
        <v>6047</v>
      </c>
      <c r="DA22">
        <v>435</v>
      </c>
      <c r="DB22">
        <v>4532</v>
      </c>
      <c r="DC22">
        <v>105</v>
      </c>
      <c r="DD22">
        <v>766</v>
      </c>
      <c r="DE22">
        <v>2476</v>
      </c>
      <c r="DF22">
        <v>89</v>
      </c>
      <c r="DG22">
        <v>665</v>
      </c>
      <c r="DH22">
        <v>2292</v>
      </c>
      <c r="DI22">
        <v>98</v>
      </c>
      <c r="DJ22">
        <v>778</v>
      </c>
      <c r="DK22">
        <v>162</v>
      </c>
      <c r="DL22">
        <v>3277</v>
      </c>
      <c r="DM22">
        <v>6238</v>
      </c>
      <c r="DN22">
        <v>149</v>
      </c>
      <c r="DO22">
        <v>2956</v>
      </c>
      <c r="DP22">
        <v>7627</v>
      </c>
      <c r="DQ22">
        <v>250</v>
      </c>
      <c r="DR22">
        <v>4979</v>
      </c>
      <c r="DS22">
        <v>53</v>
      </c>
      <c r="DT22">
        <v>1833</v>
      </c>
      <c r="DU22">
        <v>3303</v>
      </c>
      <c r="DV22">
        <v>48</v>
      </c>
      <c r="DW22">
        <v>1826</v>
      </c>
      <c r="DX22">
        <v>4143</v>
      </c>
      <c r="DY22">
        <v>57</v>
      </c>
      <c r="DZ22">
        <v>2311</v>
      </c>
      <c r="EA22">
        <v>9</v>
      </c>
      <c r="EB22">
        <v>90</v>
      </c>
      <c r="EC22">
        <v>303</v>
      </c>
      <c r="ED22">
        <v>5</v>
      </c>
      <c r="EE22">
        <v>45</v>
      </c>
      <c r="EF22">
        <v>173</v>
      </c>
      <c r="EG22">
        <v>16</v>
      </c>
      <c r="EH22">
        <v>156</v>
      </c>
      <c r="EI22">
        <v>11</v>
      </c>
      <c r="EJ22">
        <v>283</v>
      </c>
      <c r="EK22">
        <v>601</v>
      </c>
      <c r="EL22">
        <v>13</v>
      </c>
      <c r="EM22">
        <v>332</v>
      </c>
      <c r="EN22">
        <v>851</v>
      </c>
      <c r="EO22">
        <v>39</v>
      </c>
      <c r="EP22">
        <v>1092</v>
      </c>
      <c r="EQ22">
        <v>29</v>
      </c>
      <c r="ER22">
        <v>164</v>
      </c>
      <c r="ES22">
        <v>350</v>
      </c>
      <c r="ET22">
        <v>25</v>
      </c>
      <c r="EU22">
        <v>112</v>
      </c>
      <c r="EV22">
        <v>295</v>
      </c>
      <c r="EW22">
        <v>69</v>
      </c>
      <c r="EX22">
        <v>288</v>
      </c>
      <c r="EY22">
        <v>273</v>
      </c>
      <c r="EZ22">
        <v>860</v>
      </c>
      <c r="FA22">
        <v>3782</v>
      </c>
      <c r="FB22">
        <v>231</v>
      </c>
      <c r="FC22">
        <v>753</v>
      </c>
      <c r="FD22">
        <v>3500</v>
      </c>
      <c r="FE22">
        <v>140</v>
      </c>
      <c r="FF22">
        <v>392</v>
      </c>
      <c r="FG22">
        <v>151</v>
      </c>
      <c r="FH22">
        <v>1745</v>
      </c>
      <c r="FI22">
        <v>7109</v>
      </c>
      <c r="FJ22">
        <v>155</v>
      </c>
      <c r="FK22">
        <v>1904</v>
      </c>
      <c r="FL22">
        <v>7586</v>
      </c>
      <c r="FM22">
        <v>519</v>
      </c>
      <c r="FN22">
        <v>6535</v>
      </c>
      <c r="FO22">
        <v>439</v>
      </c>
      <c r="FP22">
        <v>346</v>
      </c>
      <c r="FQ22">
        <v>933</v>
      </c>
      <c r="FR22">
        <v>511</v>
      </c>
      <c r="FS22">
        <v>327</v>
      </c>
      <c r="FT22">
        <v>1159</v>
      </c>
      <c r="FU22">
        <v>340</v>
      </c>
      <c r="FV22">
        <v>530</v>
      </c>
    </row>
    <row r="23" spans="1:178" x14ac:dyDescent="0.4">
      <c r="A23" s="1" t="s">
        <v>34</v>
      </c>
      <c r="B23" s="1" t="s">
        <v>35</v>
      </c>
      <c r="C23">
        <v>42</v>
      </c>
      <c r="D23">
        <v>783</v>
      </c>
      <c r="E23">
        <v>1938</v>
      </c>
      <c r="F23">
        <v>48</v>
      </c>
      <c r="G23">
        <v>945</v>
      </c>
      <c r="H23">
        <v>2373</v>
      </c>
      <c r="I23">
        <v>44</v>
      </c>
      <c r="J23">
        <v>1022</v>
      </c>
      <c r="K23">
        <v>787</v>
      </c>
      <c r="L23">
        <v>5920</v>
      </c>
      <c r="M23">
        <v>16849</v>
      </c>
      <c r="N23">
        <v>1083</v>
      </c>
      <c r="O23">
        <v>7863</v>
      </c>
      <c r="P23">
        <v>22738</v>
      </c>
      <c r="Q23">
        <v>2511</v>
      </c>
      <c r="R23">
        <v>10214</v>
      </c>
      <c r="S23">
        <v>75</v>
      </c>
      <c r="T23">
        <v>308</v>
      </c>
      <c r="U23">
        <v>1326</v>
      </c>
      <c r="V23">
        <v>83</v>
      </c>
      <c r="W23">
        <v>319</v>
      </c>
      <c r="X23">
        <v>1355</v>
      </c>
      <c r="Y23">
        <v>7</v>
      </c>
      <c r="Z23">
        <v>13</v>
      </c>
      <c r="AA23">
        <v>79</v>
      </c>
      <c r="AB23">
        <v>401</v>
      </c>
      <c r="AC23">
        <v>2087</v>
      </c>
      <c r="AD23">
        <v>90</v>
      </c>
      <c r="AE23">
        <v>448</v>
      </c>
      <c r="AF23">
        <v>2434</v>
      </c>
      <c r="AG23">
        <v>49</v>
      </c>
      <c r="AH23">
        <v>194</v>
      </c>
      <c r="AI23">
        <v>56</v>
      </c>
      <c r="AJ23">
        <v>428</v>
      </c>
      <c r="AK23">
        <v>2712</v>
      </c>
      <c r="AL23">
        <v>59</v>
      </c>
      <c r="AM23">
        <v>373</v>
      </c>
      <c r="AN23">
        <v>2487</v>
      </c>
      <c r="AO23">
        <v>48</v>
      </c>
      <c r="AP23">
        <v>798</v>
      </c>
      <c r="AQ23">
        <v>100</v>
      </c>
      <c r="AR23">
        <v>624</v>
      </c>
      <c r="AS23">
        <v>4061</v>
      </c>
      <c r="AT23">
        <v>99</v>
      </c>
      <c r="AU23">
        <v>625</v>
      </c>
      <c r="AV23">
        <v>3917</v>
      </c>
      <c r="AW23">
        <v>54</v>
      </c>
      <c r="AX23">
        <v>261</v>
      </c>
      <c r="AY23">
        <v>81</v>
      </c>
      <c r="AZ23">
        <v>259</v>
      </c>
      <c r="BA23">
        <v>1629</v>
      </c>
      <c r="BB23">
        <v>101</v>
      </c>
      <c r="BC23">
        <v>353</v>
      </c>
      <c r="BD23">
        <v>2183</v>
      </c>
      <c r="BE23">
        <v>89</v>
      </c>
      <c r="BF23">
        <v>201</v>
      </c>
      <c r="BG23">
        <v>64</v>
      </c>
      <c r="BH23">
        <v>703</v>
      </c>
      <c r="BI23">
        <v>3946</v>
      </c>
      <c r="BJ23">
        <v>65</v>
      </c>
      <c r="BK23">
        <v>718</v>
      </c>
      <c r="BL23">
        <v>4004</v>
      </c>
      <c r="BM23">
        <v>3</v>
      </c>
      <c r="BN23">
        <v>21</v>
      </c>
      <c r="BO23">
        <v>11</v>
      </c>
      <c r="BP23">
        <v>37</v>
      </c>
      <c r="BQ23">
        <v>186</v>
      </c>
      <c r="BR23">
        <v>13</v>
      </c>
      <c r="BS23">
        <v>40</v>
      </c>
      <c r="BT23">
        <v>223</v>
      </c>
      <c r="BU23">
        <v>0</v>
      </c>
      <c r="BV23">
        <v>0</v>
      </c>
      <c r="BW23">
        <v>61</v>
      </c>
      <c r="BX23">
        <v>332</v>
      </c>
      <c r="BY23">
        <v>2746</v>
      </c>
      <c r="BZ23">
        <v>64</v>
      </c>
      <c r="CA23">
        <v>352</v>
      </c>
      <c r="CB23">
        <v>2833</v>
      </c>
      <c r="CC23">
        <v>12</v>
      </c>
      <c r="CD23">
        <v>113</v>
      </c>
      <c r="CE23">
        <v>67</v>
      </c>
      <c r="CF23">
        <v>151</v>
      </c>
      <c r="CG23">
        <v>1184</v>
      </c>
      <c r="CH23">
        <v>65</v>
      </c>
      <c r="CI23">
        <v>138</v>
      </c>
      <c r="CJ23">
        <v>1120</v>
      </c>
      <c r="CK23">
        <v>3</v>
      </c>
      <c r="CL23">
        <v>19</v>
      </c>
      <c r="CM23">
        <v>1693</v>
      </c>
      <c r="CN23">
        <v>4283</v>
      </c>
      <c r="CO23">
        <v>12433</v>
      </c>
      <c r="CP23">
        <v>1921</v>
      </c>
      <c r="CQ23">
        <v>4930</v>
      </c>
      <c r="CR23">
        <v>15204</v>
      </c>
      <c r="CS23">
        <v>1935</v>
      </c>
      <c r="CT23">
        <v>5278</v>
      </c>
      <c r="CU23">
        <v>262</v>
      </c>
      <c r="CV23">
        <v>2652</v>
      </c>
      <c r="CW23">
        <v>6084</v>
      </c>
      <c r="CX23">
        <v>339</v>
      </c>
      <c r="CY23">
        <v>3276</v>
      </c>
      <c r="CZ23">
        <v>8789</v>
      </c>
      <c r="DA23">
        <v>359</v>
      </c>
      <c r="DB23">
        <v>3942</v>
      </c>
      <c r="DC23">
        <v>104</v>
      </c>
      <c r="DD23">
        <v>831</v>
      </c>
      <c r="DE23">
        <v>2402</v>
      </c>
      <c r="DF23">
        <v>97</v>
      </c>
      <c r="DG23">
        <v>796</v>
      </c>
      <c r="DH23">
        <v>2551</v>
      </c>
      <c r="DI23">
        <v>106</v>
      </c>
      <c r="DJ23">
        <v>846</v>
      </c>
      <c r="DK23">
        <v>182</v>
      </c>
      <c r="DL23">
        <v>3623</v>
      </c>
      <c r="DM23">
        <v>7288</v>
      </c>
      <c r="DN23">
        <v>222</v>
      </c>
      <c r="DO23">
        <v>4447</v>
      </c>
      <c r="DP23">
        <v>11365</v>
      </c>
      <c r="DQ23">
        <v>210</v>
      </c>
      <c r="DR23">
        <v>4186</v>
      </c>
      <c r="DS23">
        <v>43</v>
      </c>
      <c r="DT23">
        <v>1774</v>
      </c>
      <c r="DU23">
        <v>3689</v>
      </c>
      <c r="DV23">
        <v>50</v>
      </c>
      <c r="DW23">
        <v>1878</v>
      </c>
      <c r="DX23">
        <v>4265</v>
      </c>
      <c r="DY23">
        <v>50</v>
      </c>
      <c r="DZ23">
        <v>2207</v>
      </c>
      <c r="EA23">
        <v>7</v>
      </c>
      <c r="EB23">
        <v>53</v>
      </c>
      <c r="EC23">
        <v>180</v>
      </c>
      <c r="ED23">
        <v>12</v>
      </c>
      <c r="EE23">
        <v>116</v>
      </c>
      <c r="EF23">
        <v>579</v>
      </c>
      <c r="EG23">
        <v>11</v>
      </c>
      <c r="EH23">
        <v>93</v>
      </c>
      <c r="EI23">
        <v>5</v>
      </c>
      <c r="EJ23">
        <v>160</v>
      </c>
      <c r="EK23">
        <v>369</v>
      </c>
      <c r="EL23">
        <v>16</v>
      </c>
      <c r="EM23">
        <v>467</v>
      </c>
      <c r="EN23">
        <v>1178</v>
      </c>
      <c r="EO23">
        <v>28</v>
      </c>
      <c r="EP23">
        <v>785</v>
      </c>
      <c r="EQ23">
        <v>27</v>
      </c>
      <c r="ER23">
        <v>225</v>
      </c>
      <c r="ES23">
        <v>493</v>
      </c>
      <c r="ET23">
        <v>34</v>
      </c>
      <c r="EU23">
        <v>231</v>
      </c>
      <c r="EV23">
        <v>532</v>
      </c>
      <c r="EW23">
        <v>63</v>
      </c>
      <c r="EX23">
        <v>285</v>
      </c>
      <c r="EY23">
        <v>342</v>
      </c>
      <c r="EZ23">
        <v>1120</v>
      </c>
      <c r="FA23">
        <v>5070</v>
      </c>
      <c r="FB23">
        <v>381</v>
      </c>
      <c r="FC23">
        <v>1223</v>
      </c>
      <c r="FD23">
        <v>5724</v>
      </c>
      <c r="FE23">
        <v>100</v>
      </c>
      <c r="FF23">
        <v>287</v>
      </c>
      <c r="FG23">
        <v>155</v>
      </c>
      <c r="FH23">
        <v>1694</v>
      </c>
      <c r="FI23">
        <v>7397</v>
      </c>
      <c r="FJ23">
        <v>176</v>
      </c>
      <c r="FK23">
        <v>2055</v>
      </c>
      <c r="FL23">
        <v>8011</v>
      </c>
      <c r="FM23">
        <v>498</v>
      </c>
      <c r="FN23">
        <v>6175</v>
      </c>
      <c r="FO23">
        <v>412</v>
      </c>
      <c r="FP23">
        <v>243</v>
      </c>
      <c r="FQ23">
        <v>624</v>
      </c>
      <c r="FR23">
        <v>411</v>
      </c>
      <c r="FS23">
        <v>320</v>
      </c>
      <c r="FT23">
        <v>1147</v>
      </c>
      <c r="FU23">
        <v>341</v>
      </c>
      <c r="FV23">
        <v>452</v>
      </c>
    </row>
    <row r="24" spans="1:178" x14ac:dyDescent="0.4">
      <c r="A24" s="1" t="s">
        <v>36</v>
      </c>
      <c r="B24" s="1" t="s">
        <v>37</v>
      </c>
      <c r="C24">
        <v>45</v>
      </c>
      <c r="D24">
        <v>1014</v>
      </c>
      <c r="E24">
        <v>2356</v>
      </c>
      <c r="F24">
        <v>45</v>
      </c>
      <c r="G24">
        <v>920</v>
      </c>
      <c r="H24">
        <v>2307</v>
      </c>
      <c r="I24">
        <v>44</v>
      </c>
      <c r="J24">
        <v>1115</v>
      </c>
      <c r="K24">
        <v>786</v>
      </c>
      <c r="L24">
        <v>5553</v>
      </c>
      <c r="M24">
        <v>16286</v>
      </c>
      <c r="N24">
        <v>728</v>
      </c>
      <c r="O24">
        <v>4816</v>
      </c>
      <c r="P24">
        <v>15253</v>
      </c>
      <c r="Q24">
        <v>2633</v>
      </c>
      <c r="R24">
        <v>11094</v>
      </c>
      <c r="S24">
        <v>65</v>
      </c>
      <c r="T24">
        <v>259</v>
      </c>
      <c r="U24">
        <v>1282</v>
      </c>
      <c r="V24">
        <v>52</v>
      </c>
      <c r="W24">
        <v>240</v>
      </c>
      <c r="X24">
        <v>1225</v>
      </c>
      <c r="Y24">
        <v>20</v>
      </c>
      <c r="Z24">
        <v>32</v>
      </c>
      <c r="AA24">
        <v>86</v>
      </c>
      <c r="AB24">
        <v>490</v>
      </c>
      <c r="AC24">
        <v>2821</v>
      </c>
      <c r="AD24">
        <v>80</v>
      </c>
      <c r="AE24">
        <v>470</v>
      </c>
      <c r="AF24">
        <v>2555</v>
      </c>
      <c r="AG24">
        <v>55</v>
      </c>
      <c r="AH24">
        <v>213</v>
      </c>
      <c r="AI24">
        <v>32</v>
      </c>
      <c r="AJ24">
        <v>200</v>
      </c>
      <c r="AK24">
        <v>1264</v>
      </c>
      <c r="AL24">
        <v>39</v>
      </c>
      <c r="AM24">
        <v>230</v>
      </c>
      <c r="AN24">
        <v>1880</v>
      </c>
      <c r="AO24">
        <v>41</v>
      </c>
      <c r="AP24">
        <v>769</v>
      </c>
      <c r="AQ24">
        <v>53</v>
      </c>
      <c r="AR24">
        <v>294</v>
      </c>
      <c r="AS24">
        <v>2177</v>
      </c>
      <c r="AT24">
        <v>48</v>
      </c>
      <c r="AU24">
        <v>272</v>
      </c>
      <c r="AV24">
        <v>1895</v>
      </c>
      <c r="AW24">
        <v>59</v>
      </c>
      <c r="AX24">
        <v>284</v>
      </c>
      <c r="AY24">
        <v>67</v>
      </c>
      <c r="AZ24">
        <v>222</v>
      </c>
      <c r="BA24">
        <v>1574</v>
      </c>
      <c r="BB24">
        <v>85</v>
      </c>
      <c r="BC24">
        <v>257</v>
      </c>
      <c r="BD24">
        <v>1798</v>
      </c>
      <c r="BE24">
        <v>83</v>
      </c>
      <c r="BF24">
        <v>194</v>
      </c>
      <c r="BG24">
        <v>13</v>
      </c>
      <c r="BH24">
        <v>135</v>
      </c>
      <c r="BI24">
        <v>753</v>
      </c>
      <c r="BJ24">
        <v>14</v>
      </c>
      <c r="BK24">
        <v>138</v>
      </c>
      <c r="BL24">
        <v>761</v>
      </c>
      <c r="BM24">
        <v>2</v>
      </c>
      <c r="BN24">
        <v>18</v>
      </c>
      <c r="BO24">
        <v>4</v>
      </c>
      <c r="BP24">
        <v>20</v>
      </c>
      <c r="BQ24">
        <v>232</v>
      </c>
      <c r="BR24">
        <v>4</v>
      </c>
      <c r="BS24">
        <v>20</v>
      </c>
      <c r="BT24">
        <v>232</v>
      </c>
      <c r="BU24">
        <v>0</v>
      </c>
      <c r="BV24">
        <v>0</v>
      </c>
      <c r="BW24">
        <v>57</v>
      </c>
      <c r="BX24">
        <v>484</v>
      </c>
      <c r="BY24">
        <v>3603</v>
      </c>
      <c r="BZ24">
        <v>50</v>
      </c>
      <c r="CA24">
        <v>426</v>
      </c>
      <c r="CB24">
        <v>3221</v>
      </c>
      <c r="CC24">
        <v>19</v>
      </c>
      <c r="CD24">
        <v>171</v>
      </c>
      <c r="CE24">
        <v>112</v>
      </c>
      <c r="CF24">
        <v>379</v>
      </c>
      <c r="CG24">
        <v>2724</v>
      </c>
      <c r="CH24">
        <v>112</v>
      </c>
      <c r="CI24">
        <v>383</v>
      </c>
      <c r="CJ24">
        <v>3139</v>
      </c>
      <c r="CK24">
        <v>3</v>
      </c>
      <c r="CL24">
        <v>14</v>
      </c>
      <c r="CM24">
        <v>2097</v>
      </c>
      <c r="CN24">
        <v>4984</v>
      </c>
      <c r="CO24">
        <v>14545</v>
      </c>
      <c r="CP24">
        <v>1736</v>
      </c>
      <c r="CQ24">
        <v>4187</v>
      </c>
      <c r="CR24">
        <v>12450</v>
      </c>
      <c r="CS24">
        <v>2295</v>
      </c>
      <c r="CT24">
        <v>6057</v>
      </c>
      <c r="CU24">
        <v>239</v>
      </c>
      <c r="CV24">
        <v>2669</v>
      </c>
      <c r="CW24">
        <v>6791</v>
      </c>
      <c r="CX24">
        <v>201</v>
      </c>
      <c r="CY24">
        <v>2200</v>
      </c>
      <c r="CZ24">
        <v>6122</v>
      </c>
      <c r="DA24">
        <v>396</v>
      </c>
      <c r="DB24">
        <v>4390</v>
      </c>
      <c r="DC24">
        <v>105</v>
      </c>
      <c r="DD24">
        <v>749</v>
      </c>
      <c r="DE24">
        <v>2412</v>
      </c>
      <c r="DF24">
        <v>113</v>
      </c>
      <c r="DG24">
        <v>783</v>
      </c>
      <c r="DH24">
        <v>2852</v>
      </c>
      <c r="DI24">
        <v>99</v>
      </c>
      <c r="DJ24">
        <v>827</v>
      </c>
      <c r="DK24">
        <v>151</v>
      </c>
      <c r="DL24">
        <v>3077</v>
      </c>
      <c r="DM24">
        <v>6039</v>
      </c>
      <c r="DN24">
        <v>167</v>
      </c>
      <c r="DO24">
        <v>3212</v>
      </c>
      <c r="DP24">
        <v>8029</v>
      </c>
      <c r="DQ24">
        <v>194</v>
      </c>
      <c r="DR24">
        <v>4053</v>
      </c>
      <c r="DS24">
        <v>30</v>
      </c>
      <c r="DT24">
        <v>1244</v>
      </c>
      <c r="DU24">
        <v>2470</v>
      </c>
      <c r="DV24">
        <v>22</v>
      </c>
      <c r="DW24">
        <v>990</v>
      </c>
      <c r="DX24">
        <v>2448</v>
      </c>
      <c r="DY24">
        <v>58</v>
      </c>
      <c r="DZ24">
        <v>2461</v>
      </c>
      <c r="EA24">
        <v>4</v>
      </c>
      <c r="EB24">
        <v>28</v>
      </c>
      <c r="EC24">
        <v>86</v>
      </c>
      <c r="ED24">
        <v>2</v>
      </c>
      <c r="EE24">
        <v>16</v>
      </c>
      <c r="EF24">
        <v>100</v>
      </c>
      <c r="EG24">
        <v>13</v>
      </c>
      <c r="EH24">
        <v>105</v>
      </c>
      <c r="EI24">
        <v>12</v>
      </c>
      <c r="EJ24">
        <v>394</v>
      </c>
      <c r="EK24">
        <v>908</v>
      </c>
      <c r="EL24">
        <v>6</v>
      </c>
      <c r="EM24">
        <v>221</v>
      </c>
      <c r="EN24">
        <v>548</v>
      </c>
      <c r="EO24">
        <v>34</v>
      </c>
      <c r="EP24">
        <v>958</v>
      </c>
      <c r="EQ24">
        <v>18</v>
      </c>
      <c r="ER24">
        <v>105</v>
      </c>
      <c r="ES24">
        <v>265</v>
      </c>
      <c r="ET24">
        <v>23</v>
      </c>
      <c r="EU24">
        <v>118</v>
      </c>
      <c r="EV24">
        <v>287</v>
      </c>
      <c r="EW24">
        <v>59</v>
      </c>
      <c r="EX24">
        <v>275</v>
      </c>
      <c r="EY24">
        <v>227</v>
      </c>
      <c r="EZ24">
        <v>707</v>
      </c>
      <c r="FA24">
        <v>3002</v>
      </c>
      <c r="FB24">
        <v>210</v>
      </c>
      <c r="FC24">
        <v>681</v>
      </c>
      <c r="FD24">
        <v>3157</v>
      </c>
      <c r="FE24">
        <v>117</v>
      </c>
      <c r="FF24">
        <v>312</v>
      </c>
      <c r="FG24">
        <v>132</v>
      </c>
      <c r="FH24">
        <v>1560</v>
      </c>
      <c r="FI24">
        <v>6738</v>
      </c>
      <c r="FJ24">
        <v>140</v>
      </c>
      <c r="FK24">
        <v>1809</v>
      </c>
      <c r="FL24">
        <v>6913</v>
      </c>
      <c r="FM24">
        <v>490</v>
      </c>
      <c r="FN24">
        <v>5926</v>
      </c>
      <c r="FO24">
        <v>420</v>
      </c>
      <c r="FP24">
        <v>292</v>
      </c>
      <c r="FQ24">
        <v>878</v>
      </c>
      <c r="FR24">
        <v>428</v>
      </c>
      <c r="FS24">
        <v>242</v>
      </c>
      <c r="FT24">
        <v>840</v>
      </c>
      <c r="FU24">
        <v>333</v>
      </c>
      <c r="FV24">
        <v>507</v>
      </c>
    </row>
    <row r="25" spans="1:178" x14ac:dyDescent="0.4">
      <c r="A25" s="1" t="s">
        <v>38</v>
      </c>
      <c r="B25" s="1" t="s">
        <v>39</v>
      </c>
      <c r="C25">
        <v>46</v>
      </c>
      <c r="D25">
        <v>784</v>
      </c>
      <c r="E25">
        <v>1878</v>
      </c>
      <c r="F25">
        <v>49</v>
      </c>
      <c r="G25">
        <v>1067</v>
      </c>
      <c r="H25">
        <v>2643</v>
      </c>
      <c r="I25">
        <v>41</v>
      </c>
      <c r="J25">
        <v>830</v>
      </c>
      <c r="K25">
        <v>738</v>
      </c>
      <c r="L25">
        <v>5196</v>
      </c>
      <c r="M25">
        <v>14838</v>
      </c>
      <c r="N25">
        <v>973</v>
      </c>
      <c r="O25">
        <v>6116</v>
      </c>
      <c r="P25">
        <v>19643</v>
      </c>
      <c r="Q25">
        <v>2460</v>
      </c>
      <c r="R25">
        <v>10327</v>
      </c>
      <c r="S25">
        <v>68</v>
      </c>
      <c r="T25">
        <v>292</v>
      </c>
      <c r="U25">
        <v>1277</v>
      </c>
      <c r="V25">
        <v>82</v>
      </c>
      <c r="W25">
        <v>312</v>
      </c>
      <c r="X25">
        <v>1336</v>
      </c>
      <c r="Y25">
        <v>6</v>
      </c>
      <c r="Z25">
        <v>12</v>
      </c>
      <c r="AA25">
        <v>62</v>
      </c>
      <c r="AB25">
        <v>329</v>
      </c>
      <c r="AC25">
        <v>1748</v>
      </c>
      <c r="AD25">
        <v>58</v>
      </c>
      <c r="AE25">
        <v>282</v>
      </c>
      <c r="AF25">
        <v>1582</v>
      </c>
      <c r="AG25">
        <v>59</v>
      </c>
      <c r="AH25">
        <v>260</v>
      </c>
      <c r="AI25">
        <v>37</v>
      </c>
      <c r="AJ25">
        <v>235</v>
      </c>
      <c r="AK25">
        <v>1407</v>
      </c>
      <c r="AL25">
        <v>31</v>
      </c>
      <c r="AM25">
        <v>137</v>
      </c>
      <c r="AN25">
        <v>857</v>
      </c>
      <c r="AO25">
        <v>47</v>
      </c>
      <c r="AP25">
        <v>867</v>
      </c>
      <c r="AQ25">
        <v>88</v>
      </c>
      <c r="AR25">
        <v>526</v>
      </c>
      <c r="AS25">
        <v>3444</v>
      </c>
      <c r="AT25">
        <v>89</v>
      </c>
      <c r="AU25">
        <v>551</v>
      </c>
      <c r="AV25">
        <v>3729</v>
      </c>
      <c r="AW25">
        <v>58</v>
      </c>
      <c r="AX25">
        <v>259</v>
      </c>
      <c r="AY25">
        <v>73</v>
      </c>
      <c r="AZ25">
        <v>237</v>
      </c>
      <c r="BA25">
        <v>1568</v>
      </c>
      <c r="BB25">
        <v>62</v>
      </c>
      <c r="BC25">
        <v>194</v>
      </c>
      <c r="BD25">
        <v>1385</v>
      </c>
      <c r="BE25">
        <v>104</v>
      </c>
      <c r="BF25">
        <v>268</v>
      </c>
      <c r="BG25">
        <v>20</v>
      </c>
      <c r="BH25">
        <v>190</v>
      </c>
      <c r="BI25">
        <v>1134</v>
      </c>
      <c r="BJ25">
        <v>17</v>
      </c>
      <c r="BK25">
        <v>169</v>
      </c>
      <c r="BL25">
        <v>991</v>
      </c>
      <c r="BM25">
        <v>5</v>
      </c>
      <c r="BN25">
        <v>39</v>
      </c>
      <c r="BO25">
        <v>11</v>
      </c>
      <c r="BP25">
        <v>52</v>
      </c>
      <c r="BQ25">
        <v>232</v>
      </c>
      <c r="BR25">
        <v>6</v>
      </c>
      <c r="BS25">
        <v>34</v>
      </c>
      <c r="BT25">
        <v>157</v>
      </c>
      <c r="BU25">
        <v>5</v>
      </c>
      <c r="BV25">
        <v>18</v>
      </c>
      <c r="BW25">
        <v>50</v>
      </c>
      <c r="BX25">
        <v>887</v>
      </c>
      <c r="BY25">
        <v>3395</v>
      </c>
      <c r="BZ25">
        <v>50</v>
      </c>
      <c r="CA25">
        <v>897</v>
      </c>
      <c r="CB25">
        <v>3572</v>
      </c>
      <c r="CC25">
        <v>19</v>
      </c>
      <c r="CD25">
        <v>161</v>
      </c>
      <c r="CE25">
        <v>80</v>
      </c>
      <c r="CF25">
        <v>210</v>
      </c>
      <c r="CG25">
        <v>1659</v>
      </c>
      <c r="CH25">
        <v>79</v>
      </c>
      <c r="CI25">
        <v>195</v>
      </c>
      <c r="CJ25">
        <v>1822</v>
      </c>
      <c r="CK25">
        <v>4</v>
      </c>
      <c r="CL25">
        <v>29</v>
      </c>
      <c r="CM25">
        <v>2307</v>
      </c>
      <c r="CN25">
        <v>5516</v>
      </c>
      <c r="CO25">
        <v>15851</v>
      </c>
      <c r="CP25">
        <v>2597</v>
      </c>
      <c r="CQ25">
        <v>6142</v>
      </c>
      <c r="CR25">
        <v>17960</v>
      </c>
      <c r="CS25">
        <v>2004</v>
      </c>
      <c r="CT25">
        <v>5435</v>
      </c>
      <c r="CU25">
        <v>258</v>
      </c>
      <c r="CV25">
        <v>2897</v>
      </c>
      <c r="CW25">
        <v>7232</v>
      </c>
      <c r="CX25">
        <v>260</v>
      </c>
      <c r="CY25">
        <v>2873</v>
      </c>
      <c r="CZ25">
        <v>7985</v>
      </c>
      <c r="DA25">
        <v>394</v>
      </c>
      <c r="DB25">
        <v>4414</v>
      </c>
      <c r="DC25">
        <v>84</v>
      </c>
      <c r="DD25">
        <v>723</v>
      </c>
      <c r="DE25">
        <v>1941</v>
      </c>
      <c r="DF25">
        <v>88</v>
      </c>
      <c r="DG25">
        <v>785</v>
      </c>
      <c r="DH25">
        <v>2370</v>
      </c>
      <c r="DI25">
        <v>96</v>
      </c>
      <c r="DJ25">
        <v>782</v>
      </c>
      <c r="DK25">
        <v>167</v>
      </c>
      <c r="DL25">
        <v>3293</v>
      </c>
      <c r="DM25">
        <v>6266</v>
      </c>
      <c r="DN25">
        <v>172</v>
      </c>
      <c r="DO25">
        <v>3251</v>
      </c>
      <c r="DP25">
        <v>8440</v>
      </c>
      <c r="DQ25">
        <v>189</v>
      </c>
      <c r="DR25">
        <v>4095</v>
      </c>
      <c r="DS25">
        <v>46</v>
      </c>
      <c r="DT25">
        <v>2141</v>
      </c>
      <c r="DU25">
        <v>3988</v>
      </c>
      <c r="DV25">
        <v>48</v>
      </c>
      <c r="DW25">
        <v>2222</v>
      </c>
      <c r="DX25">
        <v>4314</v>
      </c>
      <c r="DY25">
        <v>56</v>
      </c>
      <c r="DZ25">
        <v>2379</v>
      </c>
      <c r="EA25">
        <v>5</v>
      </c>
      <c r="EB25">
        <v>47</v>
      </c>
      <c r="EC25">
        <v>156</v>
      </c>
      <c r="ED25">
        <v>4</v>
      </c>
      <c r="EE25">
        <v>36</v>
      </c>
      <c r="EF25">
        <v>190</v>
      </c>
      <c r="EG25">
        <v>14</v>
      </c>
      <c r="EH25">
        <v>116</v>
      </c>
      <c r="EI25">
        <v>9</v>
      </c>
      <c r="EJ25">
        <v>272</v>
      </c>
      <c r="EK25">
        <v>633</v>
      </c>
      <c r="EL25">
        <v>10</v>
      </c>
      <c r="EM25">
        <v>348</v>
      </c>
      <c r="EN25">
        <v>792</v>
      </c>
      <c r="EO25">
        <v>33</v>
      </c>
      <c r="EP25">
        <v>882</v>
      </c>
      <c r="EQ25">
        <v>27</v>
      </c>
      <c r="ER25">
        <v>153</v>
      </c>
      <c r="ES25">
        <v>398</v>
      </c>
      <c r="ET25">
        <v>25</v>
      </c>
      <c r="EU25">
        <v>157</v>
      </c>
      <c r="EV25">
        <v>380</v>
      </c>
      <c r="EW25">
        <v>62</v>
      </c>
      <c r="EX25">
        <v>274</v>
      </c>
      <c r="EY25">
        <v>271</v>
      </c>
      <c r="EZ25">
        <v>866</v>
      </c>
      <c r="FA25">
        <v>3560</v>
      </c>
      <c r="FB25">
        <v>288</v>
      </c>
      <c r="FC25">
        <v>909</v>
      </c>
      <c r="FD25">
        <v>3805</v>
      </c>
      <c r="FE25">
        <v>100</v>
      </c>
      <c r="FF25">
        <v>269</v>
      </c>
      <c r="FG25">
        <v>132</v>
      </c>
      <c r="FH25">
        <v>1433</v>
      </c>
      <c r="FI25">
        <v>6637</v>
      </c>
      <c r="FJ25">
        <v>138</v>
      </c>
      <c r="FK25">
        <v>1531</v>
      </c>
      <c r="FL25">
        <v>6564</v>
      </c>
      <c r="FM25">
        <v>484</v>
      </c>
      <c r="FN25">
        <v>5827</v>
      </c>
      <c r="FO25">
        <v>512</v>
      </c>
      <c r="FP25">
        <v>369</v>
      </c>
      <c r="FQ25">
        <v>941</v>
      </c>
      <c r="FR25">
        <v>577</v>
      </c>
      <c r="FS25">
        <v>412</v>
      </c>
      <c r="FT25">
        <v>1199</v>
      </c>
      <c r="FU25">
        <v>268</v>
      </c>
      <c r="FV25">
        <v>459</v>
      </c>
    </row>
    <row r="26" spans="1:178" x14ac:dyDescent="0.4">
      <c r="A26" s="1" t="s">
        <v>40</v>
      </c>
      <c r="B26" s="1" t="s">
        <v>41</v>
      </c>
      <c r="C26">
        <v>53</v>
      </c>
      <c r="D26">
        <v>1090</v>
      </c>
      <c r="E26">
        <v>2501</v>
      </c>
      <c r="F26">
        <v>50</v>
      </c>
      <c r="G26">
        <v>894</v>
      </c>
      <c r="H26">
        <v>2411</v>
      </c>
      <c r="I26">
        <v>44</v>
      </c>
      <c r="J26">
        <v>1028</v>
      </c>
      <c r="K26">
        <v>905</v>
      </c>
      <c r="L26">
        <v>6062</v>
      </c>
      <c r="M26">
        <v>18073</v>
      </c>
      <c r="N26">
        <v>1220</v>
      </c>
      <c r="O26">
        <v>7420</v>
      </c>
      <c r="P26">
        <v>24066</v>
      </c>
      <c r="Q26">
        <v>2203</v>
      </c>
      <c r="R26">
        <v>9001</v>
      </c>
      <c r="S26">
        <v>70</v>
      </c>
      <c r="T26">
        <v>296</v>
      </c>
      <c r="U26">
        <v>1359</v>
      </c>
      <c r="V26">
        <v>73</v>
      </c>
      <c r="W26">
        <v>303</v>
      </c>
      <c r="X26">
        <v>1382</v>
      </c>
      <c r="Y26">
        <v>3</v>
      </c>
      <c r="Z26">
        <v>5</v>
      </c>
      <c r="AA26">
        <v>89</v>
      </c>
      <c r="AB26">
        <v>535</v>
      </c>
      <c r="AC26">
        <v>3202</v>
      </c>
      <c r="AD26">
        <v>117</v>
      </c>
      <c r="AE26">
        <v>671</v>
      </c>
      <c r="AF26">
        <v>3933</v>
      </c>
      <c r="AG26">
        <v>31</v>
      </c>
      <c r="AH26">
        <v>124</v>
      </c>
      <c r="AI26">
        <v>75</v>
      </c>
      <c r="AJ26">
        <v>354</v>
      </c>
      <c r="AK26">
        <v>2085</v>
      </c>
      <c r="AL26">
        <v>85</v>
      </c>
      <c r="AM26">
        <v>512</v>
      </c>
      <c r="AN26">
        <v>2670</v>
      </c>
      <c r="AO26">
        <v>37</v>
      </c>
      <c r="AP26">
        <v>709</v>
      </c>
      <c r="AQ26">
        <v>132</v>
      </c>
      <c r="AR26">
        <v>805</v>
      </c>
      <c r="AS26">
        <v>5329</v>
      </c>
      <c r="AT26">
        <v>133</v>
      </c>
      <c r="AU26">
        <v>816</v>
      </c>
      <c r="AV26">
        <v>5403</v>
      </c>
      <c r="AW26">
        <v>57</v>
      </c>
      <c r="AX26">
        <v>249</v>
      </c>
      <c r="AY26">
        <v>75</v>
      </c>
      <c r="AZ26">
        <v>304</v>
      </c>
      <c r="BA26">
        <v>2330</v>
      </c>
      <c r="BB26">
        <v>142</v>
      </c>
      <c r="BC26">
        <v>524</v>
      </c>
      <c r="BD26">
        <v>3498</v>
      </c>
      <c r="BE26">
        <v>80</v>
      </c>
      <c r="BF26">
        <v>174</v>
      </c>
      <c r="BG26">
        <v>52</v>
      </c>
      <c r="BH26">
        <v>518</v>
      </c>
      <c r="BI26">
        <v>2837</v>
      </c>
      <c r="BJ26">
        <v>53</v>
      </c>
      <c r="BK26">
        <v>524</v>
      </c>
      <c r="BL26">
        <v>2894</v>
      </c>
      <c r="BM26">
        <v>4</v>
      </c>
      <c r="BN26">
        <v>33</v>
      </c>
      <c r="BO26">
        <v>21</v>
      </c>
      <c r="BP26">
        <v>75</v>
      </c>
      <c r="BQ26">
        <v>757</v>
      </c>
      <c r="BR26">
        <v>24</v>
      </c>
      <c r="BS26">
        <v>90</v>
      </c>
      <c r="BT26">
        <v>796</v>
      </c>
      <c r="BU26">
        <v>2</v>
      </c>
      <c r="BV26">
        <v>3</v>
      </c>
      <c r="BW26">
        <v>62</v>
      </c>
      <c r="BX26">
        <v>659</v>
      </c>
      <c r="BY26">
        <v>2751</v>
      </c>
      <c r="BZ26">
        <v>67</v>
      </c>
      <c r="CA26">
        <v>695</v>
      </c>
      <c r="CB26">
        <v>2933</v>
      </c>
      <c r="CC26">
        <v>14</v>
      </c>
      <c r="CD26">
        <v>125</v>
      </c>
      <c r="CE26">
        <v>132</v>
      </c>
      <c r="CF26">
        <v>535</v>
      </c>
      <c r="CG26">
        <v>3118</v>
      </c>
      <c r="CH26">
        <v>133</v>
      </c>
      <c r="CI26">
        <v>544</v>
      </c>
      <c r="CJ26">
        <v>3679</v>
      </c>
      <c r="CK26">
        <v>3</v>
      </c>
      <c r="CL26">
        <v>20</v>
      </c>
      <c r="CM26">
        <v>2288</v>
      </c>
      <c r="CN26">
        <v>5565</v>
      </c>
      <c r="CO26">
        <v>15880</v>
      </c>
      <c r="CP26">
        <v>2636</v>
      </c>
      <c r="CQ26">
        <v>6639</v>
      </c>
      <c r="CR26">
        <v>19281</v>
      </c>
      <c r="CS26">
        <v>1655</v>
      </c>
      <c r="CT26">
        <v>4349</v>
      </c>
      <c r="CU26">
        <v>236</v>
      </c>
      <c r="CV26">
        <v>2611</v>
      </c>
      <c r="CW26">
        <v>6092</v>
      </c>
      <c r="CX26">
        <v>291</v>
      </c>
      <c r="CY26">
        <v>3385</v>
      </c>
      <c r="CZ26">
        <v>9603</v>
      </c>
      <c r="DA26">
        <v>340</v>
      </c>
      <c r="DB26">
        <v>3648</v>
      </c>
      <c r="DC26">
        <v>120</v>
      </c>
      <c r="DD26">
        <v>922</v>
      </c>
      <c r="DE26">
        <v>2810</v>
      </c>
      <c r="DF26">
        <v>133</v>
      </c>
      <c r="DG26">
        <v>1076</v>
      </c>
      <c r="DH26">
        <v>3307</v>
      </c>
      <c r="DI26">
        <v>84</v>
      </c>
      <c r="DJ26">
        <v>642</v>
      </c>
      <c r="DK26">
        <v>172</v>
      </c>
      <c r="DL26">
        <v>3242</v>
      </c>
      <c r="DM26">
        <v>7286</v>
      </c>
      <c r="DN26">
        <v>186</v>
      </c>
      <c r="DO26">
        <v>3733</v>
      </c>
      <c r="DP26">
        <v>8910</v>
      </c>
      <c r="DQ26">
        <v>174</v>
      </c>
      <c r="DR26">
        <v>3584</v>
      </c>
      <c r="DS26">
        <v>59</v>
      </c>
      <c r="DT26">
        <v>2186</v>
      </c>
      <c r="DU26">
        <v>3601</v>
      </c>
      <c r="DV26">
        <v>67</v>
      </c>
      <c r="DW26">
        <v>2445</v>
      </c>
      <c r="DX26">
        <v>4917</v>
      </c>
      <c r="DY26">
        <v>48</v>
      </c>
      <c r="DZ26">
        <v>2120</v>
      </c>
      <c r="EA26">
        <v>10</v>
      </c>
      <c r="EB26">
        <v>111</v>
      </c>
      <c r="EC26">
        <v>319</v>
      </c>
      <c r="ED26">
        <v>10</v>
      </c>
      <c r="EE26">
        <v>110</v>
      </c>
      <c r="EF26">
        <v>417</v>
      </c>
      <c r="EG26">
        <v>14</v>
      </c>
      <c r="EH26">
        <v>117</v>
      </c>
      <c r="EI26">
        <v>6</v>
      </c>
      <c r="EJ26">
        <v>199</v>
      </c>
      <c r="EK26">
        <v>584</v>
      </c>
      <c r="EL26">
        <v>14</v>
      </c>
      <c r="EM26">
        <v>381</v>
      </c>
      <c r="EN26">
        <v>958</v>
      </c>
      <c r="EO26">
        <v>25</v>
      </c>
      <c r="EP26">
        <v>700</v>
      </c>
      <c r="EQ26">
        <v>25</v>
      </c>
      <c r="ER26">
        <v>136</v>
      </c>
      <c r="ES26">
        <v>351</v>
      </c>
      <c r="ET26">
        <v>40</v>
      </c>
      <c r="EU26">
        <v>228</v>
      </c>
      <c r="EV26">
        <v>618</v>
      </c>
      <c r="EW26">
        <v>48</v>
      </c>
      <c r="EX26">
        <v>185</v>
      </c>
      <c r="EY26">
        <v>306</v>
      </c>
      <c r="EZ26">
        <v>989</v>
      </c>
      <c r="FA26">
        <v>4411</v>
      </c>
      <c r="FB26">
        <v>305</v>
      </c>
      <c r="FC26">
        <v>990</v>
      </c>
      <c r="FD26">
        <v>4513</v>
      </c>
      <c r="FE26">
        <v>101</v>
      </c>
      <c r="FF26">
        <v>269</v>
      </c>
      <c r="FG26">
        <v>151</v>
      </c>
      <c r="FH26">
        <v>1620</v>
      </c>
      <c r="FI26">
        <v>7575</v>
      </c>
      <c r="FJ26">
        <v>186</v>
      </c>
      <c r="FK26">
        <v>2224</v>
      </c>
      <c r="FL26">
        <v>8231</v>
      </c>
      <c r="FM26">
        <v>449</v>
      </c>
      <c r="FN26">
        <v>5223</v>
      </c>
      <c r="FO26">
        <v>556</v>
      </c>
      <c r="FP26">
        <v>585</v>
      </c>
      <c r="FQ26">
        <v>1572</v>
      </c>
      <c r="FR26">
        <v>732</v>
      </c>
      <c r="FS26">
        <v>674</v>
      </c>
      <c r="FT26">
        <v>2073</v>
      </c>
      <c r="FU26">
        <v>1098</v>
      </c>
      <c r="FV26">
        <v>448</v>
      </c>
    </row>
    <row r="27" spans="1:178" x14ac:dyDescent="0.4">
      <c r="A27" s="1" t="s">
        <v>42</v>
      </c>
      <c r="B27" s="1" t="s">
        <v>43</v>
      </c>
      <c r="C27">
        <v>37</v>
      </c>
      <c r="D27">
        <v>743</v>
      </c>
      <c r="E27">
        <v>1706</v>
      </c>
      <c r="F27">
        <v>25</v>
      </c>
      <c r="G27">
        <v>513</v>
      </c>
      <c r="H27">
        <v>1256</v>
      </c>
      <c r="I27">
        <v>56</v>
      </c>
      <c r="J27">
        <v>1258</v>
      </c>
      <c r="K27">
        <v>610</v>
      </c>
      <c r="L27">
        <v>4202</v>
      </c>
      <c r="M27">
        <v>12791</v>
      </c>
      <c r="N27">
        <v>653</v>
      </c>
      <c r="O27">
        <v>3872</v>
      </c>
      <c r="P27">
        <v>12191</v>
      </c>
      <c r="Q27">
        <v>2218</v>
      </c>
      <c r="R27">
        <v>9480</v>
      </c>
      <c r="S27">
        <v>44</v>
      </c>
      <c r="T27">
        <v>193</v>
      </c>
      <c r="U27">
        <v>1015</v>
      </c>
      <c r="V27">
        <v>45</v>
      </c>
      <c r="W27">
        <v>194</v>
      </c>
      <c r="X27">
        <v>1018</v>
      </c>
      <c r="Y27">
        <v>2</v>
      </c>
      <c r="Z27">
        <v>4</v>
      </c>
      <c r="AA27">
        <v>56</v>
      </c>
      <c r="AB27">
        <v>319</v>
      </c>
      <c r="AC27">
        <v>1572</v>
      </c>
      <c r="AD27">
        <v>46</v>
      </c>
      <c r="AE27">
        <v>282</v>
      </c>
      <c r="AF27">
        <v>1341</v>
      </c>
      <c r="AG27">
        <v>41</v>
      </c>
      <c r="AH27">
        <v>161</v>
      </c>
      <c r="AI27">
        <v>43</v>
      </c>
      <c r="AJ27">
        <v>275</v>
      </c>
      <c r="AK27">
        <v>1884</v>
      </c>
      <c r="AL27">
        <v>34</v>
      </c>
      <c r="AM27">
        <v>211</v>
      </c>
      <c r="AN27">
        <v>1409</v>
      </c>
      <c r="AO27">
        <v>46</v>
      </c>
      <c r="AP27">
        <v>773</v>
      </c>
      <c r="AQ27">
        <v>56</v>
      </c>
      <c r="AR27">
        <v>374</v>
      </c>
      <c r="AS27">
        <v>2454</v>
      </c>
      <c r="AT27">
        <v>63</v>
      </c>
      <c r="AU27">
        <v>395</v>
      </c>
      <c r="AV27">
        <v>2643</v>
      </c>
      <c r="AW27">
        <v>50</v>
      </c>
      <c r="AX27">
        <v>228</v>
      </c>
      <c r="AY27">
        <v>57</v>
      </c>
      <c r="AZ27">
        <v>183</v>
      </c>
      <c r="BA27">
        <v>1069</v>
      </c>
      <c r="BB27">
        <v>50</v>
      </c>
      <c r="BC27">
        <v>148</v>
      </c>
      <c r="BD27">
        <v>1010</v>
      </c>
      <c r="BE27">
        <v>90</v>
      </c>
      <c r="BF27">
        <v>215</v>
      </c>
      <c r="BG27">
        <v>24</v>
      </c>
      <c r="BH27">
        <v>256</v>
      </c>
      <c r="BI27">
        <v>1275</v>
      </c>
      <c r="BJ27">
        <v>25</v>
      </c>
      <c r="BK27">
        <v>261</v>
      </c>
      <c r="BL27">
        <v>1315</v>
      </c>
      <c r="BM27">
        <v>3</v>
      </c>
      <c r="BN27">
        <v>28</v>
      </c>
      <c r="BO27">
        <v>2</v>
      </c>
      <c r="BP27">
        <v>3</v>
      </c>
      <c r="BQ27">
        <v>9</v>
      </c>
      <c r="BR27">
        <v>2</v>
      </c>
      <c r="BS27">
        <v>3</v>
      </c>
      <c r="BT27">
        <v>9</v>
      </c>
      <c r="BU27">
        <v>2</v>
      </c>
      <c r="BV27">
        <v>3</v>
      </c>
      <c r="BW27">
        <v>29</v>
      </c>
      <c r="BX27">
        <v>252</v>
      </c>
      <c r="BY27">
        <v>1703</v>
      </c>
      <c r="BZ27">
        <v>29</v>
      </c>
      <c r="CA27">
        <v>252</v>
      </c>
      <c r="CB27">
        <v>1703</v>
      </c>
      <c r="CC27">
        <v>14</v>
      </c>
      <c r="CD27">
        <v>125</v>
      </c>
      <c r="CE27">
        <v>74</v>
      </c>
      <c r="CF27">
        <v>500</v>
      </c>
      <c r="CG27">
        <v>1834</v>
      </c>
      <c r="CH27">
        <v>75</v>
      </c>
      <c r="CI27">
        <v>499</v>
      </c>
      <c r="CJ27">
        <v>1932</v>
      </c>
      <c r="CK27">
        <v>2</v>
      </c>
      <c r="CL27">
        <v>21</v>
      </c>
      <c r="CM27">
        <v>1973</v>
      </c>
      <c r="CN27">
        <v>4709</v>
      </c>
      <c r="CO27">
        <v>14074</v>
      </c>
      <c r="CP27">
        <v>1831</v>
      </c>
      <c r="CQ27">
        <v>4331</v>
      </c>
      <c r="CR27">
        <v>13247</v>
      </c>
      <c r="CS27">
        <v>1796</v>
      </c>
      <c r="CT27">
        <v>4720</v>
      </c>
      <c r="CU27">
        <v>244</v>
      </c>
      <c r="CV27">
        <v>2628</v>
      </c>
      <c r="CW27">
        <v>6879</v>
      </c>
      <c r="CX27">
        <v>210</v>
      </c>
      <c r="CY27">
        <v>2207</v>
      </c>
      <c r="CZ27">
        <v>6422</v>
      </c>
      <c r="DA27">
        <v>372</v>
      </c>
      <c r="DB27">
        <v>4042</v>
      </c>
      <c r="DC27">
        <v>139</v>
      </c>
      <c r="DD27">
        <v>997</v>
      </c>
      <c r="DE27">
        <v>3196</v>
      </c>
      <c r="DF27">
        <v>158</v>
      </c>
      <c r="DG27">
        <v>1096</v>
      </c>
      <c r="DH27">
        <v>3846</v>
      </c>
      <c r="DI27">
        <v>66</v>
      </c>
      <c r="DJ27">
        <v>545</v>
      </c>
      <c r="DK27">
        <v>154</v>
      </c>
      <c r="DL27">
        <v>2991</v>
      </c>
      <c r="DM27">
        <v>5995</v>
      </c>
      <c r="DN27">
        <v>137</v>
      </c>
      <c r="DO27">
        <v>2734</v>
      </c>
      <c r="DP27">
        <v>7741</v>
      </c>
      <c r="DQ27">
        <v>189</v>
      </c>
      <c r="DR27">
        <v>3771</v>
      </c>
      <c r="DS27">
        <v>42</v>
      </c>
      <c r="DT27">
        <v>1731</v>
      </c>
      <c r="DU27">
        <v>2498</v>
      </c>
      <c r="DV27">
        <v>38</v>
      </c>
      <c r="DW27">
        <v>1683</v>
      </c>
      <c r="DX27">
        <v>3297</v>
      </c>
      <c r="DY27">
        <v>52</v>
      </c>
      <c r="DZ27">
        <v>2168</v>
      </c>
      <c r="EA27">
        <v>4</v>
      </c>
      <c r="EB27">
        <v>25</v>
      </c>
      <c r="EC27">
        <v>87</v>
      </c>
      <c r="ED27">
        <v>6</v>
      </c>
      <c r="EE27">
        <v>50</v>
      </c>
      <c r="EF27">
        <v>454</v>
      </c>
      <c r="EG27">
        <v>12</v>
      </c>
      <c r="EH27">
        <v>92</v>
      </c>
      <c r="EI27">
        <v>5</v>
      </c>
      <c r="EJ27">
        <v>189</v>
      </c>
      <c r="EK27">
        <v>460</v>
      </c>
      <c r="EL27">
        <v>5</v>
      </c>
      <c r="EM27">
        <v>185</v>
      </c>
      <c r="EN27">
        <v>443</v>
      </c>
      <c r="EO27">
        <v>25</v>
      </c>
      <c r="EP27">
        <v>704</v>
      </c>
      <c r="EQ27">
        <v>20</v>
      </c>
      <c r="ER27">
        <v>72</v>
      </c>
      <c r="ES27">
        <v>179</v>
      </c>
      <c r="ET27">
        <v>9</v>
      </c>
      <c r="EU27">
        <v>32</v>
      </c>
      <c r="EV27">
        <v>85</v>
      </c>
      <c r="EW27">
        <v>60</v>
      </c>
      <c r="EX27">
        <v>228</v>
      </c>
      <c r="EY27">
        <v>230</v>
      </c>
      <c r="EZ27">
        <v>746</v>
      </c>
      <c r="FA27">
        <v>3210</v>
      </c>
      <c r="FB27">
        <v>240</v>
      </c>
      <c r="FC27">
        <v>762</v>
      </c>
      <c r="FD27">
        <v>3307</v>
      </c>
      <c r="FE27">
        <v>90</v>
      </c>
      <c r="FF27">
        <v>250</v>
      </c>
      <c r="FG27">
        <v>173</v>
      </c>
      <c r="FH27">
        <v>1953</v>
      </c>
      <c r="FI27">
        <v>6626</v>
      </c>
      <c r="FJ27">
        <v>149</v>
      </c>
      <c r="FK27">
        <v>1510</v>
      </c>
      <c r="FL27">
        <v>5519</v>
      </c>
      <c r="FM27">
        <v>473</v>
      </c>
      <c r="FN27">
        <v>5619</v>
      </c>
      <c r="FO27">
        <v>476</v>
      </c>
      <c r="FP27">
        <v>306</v>
      </c>
      <c r="FQ27">
        <v>882</v>
      </c>
      <c r="FR27">
        <v>420</v>
      </c>
      <c r="FS27">
        <v>301</v>
      </c>
      <c r="FT27">
        <v>1124</v>
      </c>
      <c r="FU27">
        <v>148</v>
      </c>
      <c r="FV27">
        <v>376</v>
      </c>
    </row>
    <row r="28" spans="1:178" x14ac:dyDescent="0.4">
      <c r="A28" s="1" t="s">
        <v>44</v>
      </c>
      <c r="B28" s="1" t="s">
        <v>45</v>
      </c>
      <c r="C28">
        <v>42</v>
      </c>
      <c r="D28">
        <v>886</v>
      </c>
      <c r="E28">
        <v>2100</v>
      </c>
      <c r="F28">
        <v>50</v>
      </c>
      <c r="G28">
        <v>909</v>
      </c>
      <c r="H28">
        <v>2263</v>
      </c>
      <c r="I28">
        <v>48</v>
      </c>
      <c r="J28">
        <v>1234</v>
      </c>
      <c r="K28">
        <v>729</v>
      </c>
      <c r="L28">
        <v>4804</v>
      </c>
      <c r="M28">
        <v>14706</v>
      </c>
      <c r="N28">
        <v>737</v>
      </c>
      <c r="O28">
        <v>4675</v>
      </c>
      <c r="P28">
        <v>15774</v>
      </c>
      <c r="Q28">
        <v>2300</v>
      </c>
      <c r="R28">
        <v>9786</v>
      </c>
      <c r="S28">
        <v>35</v>
      </c>
      <c r="T28">
        <v>151</v>
      </c>
      <c r="U28">
        <v>819</v>
      </c>
      <c r="V28">
        <v>34</v>
      </c>
      <c r="W28">
        <v>150</v>
      </c>
      <c r="X28">
        <v>816</v>
      </c>
      <c r="Y28">
        <v>3</v>
      </c>
      <c r="Z28">
        <v>5</v>
      </c>
      <c r="AA28">
        <v>67</v>
      </c>
      <c r="AB28">
        <v>321</v>
      </c>
      <c r="AC28">
        <v>2120</v>
      </c>
      <c r="AD28">
        <v>53</v>
      </c>
      <c r="AE28">
        <v>279</v>
      </c>
      <c r="AF28">
        <v>1774</v>
      </c>
      <c r="AG28">
        <v>55</v>
      </c>
      <c r="AH28">
        <v>203</v>
      </c>
      <c r="AI28">
        <v>29</v>
      </c>
      <c r="AJ28">
        <v>254</v>
      </c>
      <c r="AK28">
        <v>1332</v>
      </c>
      <c r="AL28">
        <v>27</v>
      </c>
      <c r="AM28">
        <v>180</v>
      </c>
      <c r="AN28">
        <v>1300</v>
      </c>
      <c r="AO28">
        <v>48</v>
      </c>
      <c r="AP28">
        <v>847</v>
      </c>
      <c r="AQ28">
        <v>63</v>
      </c>
      <c r="AR28">
        <v>516</v>
      </c>
      <c r="AS28">
        <v>2612</v>
      </c>
      <c r="AT28">
        <v>53</v>
      </c>
      <c r="AU28">
        <v>419</v>
      </c>
      <c r="AV28">
        <v>2338</v>
      </c>
      <c r="AW28">
        <v>60</v>
      </c>
      <c r="AX28">
        <v>325</v>
      </c>
      <c r="AY28">
        <v>45</v>
      </c>
      <c r="AZ28">
        <v>139</v>
      </c>
      <c r="BA28">
        <v>915</v>
      </c>
      <c r="BB28">
        <v>65</v>
      </c>
      <c r="BC28">
        <v>209</v>
      </c>
      <c r="BD28">
        <v>1176</v>
      </c>
      <c r="BE28">
        <v>83</v>
      </c>
      <c r="BF28">
        <v>187</v>
      </c>
      <c r="BG28">
        <v>31</v>
      </c>
      <c r="BH28">
        <v>330</v>
      </c>
      <c r="BI28">
        <v>1807</v>
      </c>
      <c r="BJ28">
        <v>32</v>
      </c>
      <c r="BK28">
        <v>340</v>
      </c>
      <c r="BL28">
        <v>1831</v>
      </c>
      <c r="BM28">
        <v>2</v>
      </c>
      <c r="BN28">
        <v>18</v>
      </c>
      <c r="BO28">
        <v>5</v>
      </c>
      <c r="BP28">
        <v>17</v>
      </c>
      <c r="BQ28">
        <v>129</v>
      </c>
      <c r="BR28">
        <v>7</v>
      </c>
      <c r="BS28">
        <v>20</v>
      </c>
      <c r="BT28">
        <v>166</v>
      </c>
      <c r="BU28">
        <v>0</v>
      </c>
      <c r="BV28">
        <v>0</v>
      </c>
      <c r="BW28">
        <v>60</v>
      </c>
      <c r="BX28">
        <v>591</v>
      </c>
      <c r="BY28">
        <v>3915</v>
      </c>
      <c r="BZ28">
        <v>59</v>
      </c>
      <c r="CA28">
        <v>585</v>
      </c>
      <c r="CB28">
        <v>3890</v>
      </c>
      <c r="CC28">
        <v>15</v>
      </c>
      <c r="CD28">
        <v>131</v>
      </c>
      <c r="CE28">
        <v>53</v>
      </c>
      <c r="CF28">
        <v>220</v>
      </c>
      <c r="CG28">
        <v>1106</v>
      </c>
      <c r="CH28">
        <v>51</v>
      </c>
      <c r="CI28">
        <v>215</v>
      </c>
      <c r="CJ28">
        <v>1058</v>
      </c>
      <c r="CK28">
        <v>4</v>
      </c>
      <c r="CL28">
        <v>26</v>
      </c>
      <c r="CM28">
        <v>1210</v>
      </c>
      <c r="CN28">
        <v>3214</v>
      </c>
      <c r="CO28">
        <v>10154</v>
      </c>
      <c r="CP28">
        <v>1784</v>
      </c>
      <c r="CQ28">
        <v>4511</v>
      </c>
      <c r="CR28">
        <v>13882</v>
      </c>
      <c r="CS28">
        <v>1221</v>
      </c>
      <c r="CT28">
        <v>3416</v>
      </c>
      <c r="CU28">
        <v>235</v>
      </c>
      <c r="CV28">
        <v>2431</v>
      </c>
      <c r="CW28">
        <v>5943</v>
      </c>
      <c r="CX28">
        <v>231</v>
      </c>
      <c r="CY28">
        <v>2271</v>
      </c>
      <c r="CZ28">
        <v>6432</v>
      </c>
      <c r="DA28">
        <v>376</v>
      </c>
      <c r="DB28">
        <v>4203</v>
      </c>
      <c r="DC28">
        <v>96</v>
      </c>
      <c r="DD28">
        <v>710</v>
      </c>
      <c r="DE28">
        <v>1854</v>
      </c>
      <c r="DF28">
        <v>87</v>
      </c>
      <c r="DG28">
        <v>667</v>
      </c>
      <c r="DH28">
        <v>1944</v>
      </c>
      <c r="DI28">
        <v>76</v>
      </c>
      <c r="DJ28">
        <v>602</v>
      </c>
      <c r="DK28">
        <v>124</v>
      </c>
      <c r="DL28">
        <v>2396</v>
      </c>
      <c r="DM28">
        <v>4928</v>
      </c>
      <c r="DN28">
        <v>138</v>
      </c>
      <c r="DO28">
        <v>2560</v>
      </c>
      <c r="DP28">
        <v>6333</v>
      </c>
      <c r="DQ28">
        <v>175</v>
      </c>
      <c r="DR28">
        <v>3607</v>
      </c>
      <c r="DS28">
        <v>47</v>
      </c>
      <c r="DT28">
        <v>1772</v>
      </c>
      <c r="DU28">
        <v>2870</v>
      </c>
      <c r="DV28">
        <v>41</v>
      </c>
      <c r="DW28">
        <v>1445</v>
      </c>
      <c r="DX28">
        <v>2976</v>
      </c>
      <c r="DY28">
        <v>58</v>
      </c>
      <c r="DZ28">
        <v>2494</v>
      </c>
      <c r="EA28">
        <v>6</v>
      </c>
      <c r="EB28">
        <v>69</v>
      </c>
      <c r="EC28">
        <v>215</v>
      </c>
      <c r="ED28">
        <v>5</v>
      </c>
      <c r="EE28">
        <v>59</v>
      </c>
      <c r="EF28">
        <v>376</v>
      </c>
      <c r="EG28">
        <v>13</v>
      </c>
      <c r="EH28">
        <v>102</v>
      </c>
      <c r="EI28">
        <v>9</v>
      </c>
      <c r="EJ28">
        <v>287</v>
      </c>
      <c r="EK28">
        <v>704</v>
      </c>
      <c r="EL28">
        <v>8</v>
      </c>
      <c r="EM28">
        <v>270</v>
      </c>
      <c r="EN28">
        <v>617</v>
      </c>
      <c r="EO28">
        <v>26</v>
      </c>
      <c r="EP28">
        <v>721</v>
      </c>
      <c r="EQ28">
        <v>18</v>
      </c>
      <c r="ER28">
        <v>113</v>
      </c>
      <c r="ES28">
        <v>268</v>
      </c>
      <c r="ET28">
        <v>14</v>
      </c>
      <c r="EU28">
        <v>62</v>
      </c>
      <c r="EV28">
        <v>182</v>
      </c>
      <c r="EW28">
        <v>65</v>
      </c>
      <c r="EX28">
        <v>282</v>
      </c>
      <c r="EY28">
        <v>260</v>
      </c>
      <c r="EZ28">
        <v>795</v>
      </c>
      <c r="FA28">
        <v>3463</v>
      </c>
      <c r="FB28">
        <v>249</v>
      </c>
      <c r="FC28">
        <v>769</v>
      </c>
      <c r="FD28">
        <v>3384</v>
      </c>
      <c r="FE28">
        <v>101</v>
      </c>
      <c r="FF28">
        <v>276</v>
      </c>
      <c r="FG28">
        <v>189</v>
      </c>
      <c r="FH28">
        <v>1827</v>
      </c>
      <c r="FI28">
        <v>8372</v>
      </c>
      <c r="FJ28">
        <v>187</v>
      </c>
      <c r="FK28">
        <v>2021</v>
      </c>
      <c r="FL28">
        <v>8675</v>
      </c>
      <c r="FM28">
        <v>475</v>
      </c>
      <c r="FN28">
        <v>5424</v>
      </c>
      <c r="FO28">
        <v>514</v>
      </c>
      <c r="FP28">
        <v>288</v>
      </c>
      <c r="FQ28">
        <v>685</v>
      </c>
      <c r="FR28">
        <v>503</v>
      </c>
      <c r="FS28">
        <v>248</v>
      </c>
      <c r="FT28">
        <v>785</v>
      </c>
      <c r="FU28">
        <v>162</v>
      </c>
      <c r="FV28">
        <v>418</v>
      </c>
    </row>
    <row r="29" spans="1:178" x14ac:dyDescent="0.4">
      <c r="A29" s="1" t="s">
        <v>46</v>
      </c>
      <c r="B29" s="1" t="s">
        <v>47</v>
      </c>
      <c r="C29">
        <v>44</v>
      </c>
      <c r="D29">
        <v>1107</v>
      </c>
      <c r="E29">
        <v>2980</v>
      </c>
      <c r="F29">
        <v>50</v>
      </c>
      <c r="G29">
        <v>1195</v>
      </c>
      <c r="H29">
        <v>3283</v>
      </c>
      <c r="I29">
        <v>42</v>
      </c>
      <c r="J29">
        <v>1147</v>
      </c>
      <c r="K29">
        <v>831</v>
      </c>
      <c r="L29">
        <v>5531</v>
      </c>
      <c r="M29">
        <v>16501</v>
      </c>
      <c r="N29">
        <v>1026</v>
      </c>
      <c r="O29">
        <v>6566</v>
      </c>
      <c r="P29">
        <v>20312</v>
      </c>
      <c r="Q29">
        <v>2212</v>
      </c>
      <c r="R29">
        <v>9023</v>
      </c>
      <c r="S29">
        <v>59</v>
      </c>
      <c r="T29">
        <v>245</v>
      </c>
      <c r="U29">
        <v>1245</v>
      </c>
      <c r="V29">
        <v>55</v>
      </c>
      <c r="W29">
        <v>240</v>
      </c>
      <c r="X29">
        <v>1228</v>
      </c>
      <c r="Y29">
        <v>7</v>
      </c>
      <c r="Z29">
        <v>10</v>
      </c>
      <c r="AA29">
        <v>51</v>
      </c>
      <c r="AB29">
        <v>271</v>
      </c>
      <c r="AC29">
        <v>1472</v>
      </c>
      <c r="AD29">
        <v>50</v>
      </c>
      <c r="AE29">
        <v>261</v>
      </c>
      <c r="AF29">
        <v>1462</v>
      </c>
      <c r="AG29">
        <v>56</v>
      </c>
      <c r="AH29">
        <v>213</v>
      </c>
      <c r="AI29">
        <v>28</v>
      </c>
      <c r="AJ29">
        <v>133</v>
      </c>
      <c r="AK29">
        <v>677</v>
      </c>
      <c r="AL29">
        <v>37</v>
      </c>
      <c r="AM29">
        <v>244</v>
      </c>
      <c r="AN29">
        <v>1140</v>
      </c>
      <c r="AO29">
        <v>39</v>
      </c>
      <c r="AP29">
        <v>736</v>
      </c>
      <c r="AQ29">
        <v>63</v>
      </c>
      <c r="AR29">
        <v>373</v>
      </c>
      <c r="AS29">
        <v>2581</v>
      </c>
      <c r="AT29">
        <v>68</v>
      </c>
      <c r="AU29">
        <v>420</v>
      </c>
      <c r="AV29">
        <v>2885</v>
      </c>
      <c r="AW29">
        <v>55</v>
      </c>
      <c r="AX29">
        <v>278</v>
      </c>
      <c r="AY29">
        <v>59</v>
      </c>
      <c r="AZ29">
        <v>186</v>
      </c>
      <c r="BA29">
        <v>1045</v>
      </c>
      <c r="BB29">
        <v>65</v>
      </c>
      <c r="BC29">
        <v>200</v>
      </c>
      <c r="BD29">
        <v>1067</v>
      </c>
      <c r="BE29">
        <v>87</v>
      </c>
      <c r="BF29">
        <v>207</v>
      </c>
      <c r="BG29">
        <v>45</v>
      </c>
      <c r="BH29">
        <v>501</v>
      </c>
      <c r="BI29">
        <v>2728</v>
      </c>
      <c r="BJ29">
        <v>47</v>
      </c>
      <c r="BK29">
        <v>519</v>
      </c>
      <c r="BL29">
        <v>2854</v>
      </c>
      <c r="BM29">
        <v>0</v>
      </c>
      <c r="BN29">
        <v>0</v>
      </c>
      <c r="BO29">
        <v>11</v>
      </c>
      <c r="BP29">
        <v>30</v>
      </c>
      <c r="BQ29">
        <v>313</v>
      </c>
      <c r="BR29">
        <v>9</v>
      </c>
      <c r="BS29">
        <v>27</v>
      </c>
      <c r="BT29">
        <v>277</v>
      </c>
      <c r="BU29">
        <v>2</v>
      </c>
      <c r="BV29">
        <v>3</v>
      </c>
      <c r="BW29">
        <v>42</v>
      </c>
      <c r="BX29">
        <v>381</v>
      </c>
      <c r="BY29">
        <v>2221</v>
      </c>
      <c r="BZ29">
        <v>44</v>
      </c>
      <c r="CA29">
        <v>394</v>
      </c>
      <c r="CB29">
        <v>2290</v>
      </c>
      <c r="CC29">
        <v>13</v>
      </c>
      <c r="CD29">
        <v>118</v>
      </c>
      <c r="CE29">
        <v>75</v>
      </c>
      <c r="CF29">
        <v>204</v>
      </c>
      <c r="CG29">
        <v>1324</v>
      </c>
      <c r="CH29">
        <v>76</v>
      </c>
      <c r="CI29">
        <v>220</v>
      </c>
      <c r="CJ29">
        <v>1747</v>
      </c>
      <c r="CK29">
        <v>3</v>
      </c>
      <c r="CL29">
        <v>10</v>
      </c>
      <c r="CM29">
        <v>1098</v>
      </c>
      <c r="CN29">
        <v>3039</v>
      </c>
      <c r="CO29">
        <v>9824</v>
      </c>
      <c r="CP29">
        <v>994</v>
      </c>
      <c r="CQ29">
        <v>2693</v>
      </c>
      <c r="CR29">
        <v>9167</v>
      </c>
      <c r="CS29">
        <v>1324</v>
      </c>
      <c r="CT29">
        <v>3753</v>
      </c>
      <c r="CU29">
        <v>250</v>
      </c>
      <c r="CV29">
        <v>2719</v>
      </c>
      <c r="CW29">
        <v>7008</v>
      </c>
      <c r="CX29">
        <v>220</v>
      </c>
      <c r="CY29">
        <v>2362</v>
      </c>
      <c r="CZ29">
        <v>6458</v>
      </c>
      <c r="DA29">
        <v>405</v>
      </c>
      <c r="DB29">
        <v>4556</v>
      </c>
      <c r="DC29">
        <v>111</v>
      </c>
      <c r="DD29">
        <v>762</v>
      </c>
      <c r="DE29">
        <v>2306</v>
      </c>
      <c r="DF29">
        <v>117</v>
      </c>
      <c r="DG29">
        <v>813</v>
      </c>
      <c r="DH29">
        <v>2809</v>
      </c>
      <c r="DI29">
        <v>71</v>
      </c>
      <c r="DJ29">
        <v>566</v>
      </c>
      <c r="DK29">
        <v>147</v>
      </c>
      <c r="DL29">
        <v>2754</v>
      </c>
      <c r="DM29">
        <v>5892</v>
      </c>
      <c r="DN29">
        <v>154</v>
      </c>
      <c r="DO29">
        <v>2988</v>
      </c>
      <c r="DP29">
        <v>6734</v>
      </c>
      <c r="DQ29">
        <v>168</v>
      </c>
      <c r="DR29">
        <v>3372</v>
      </c>
      <c r="DS29">
        <v>51</v>
      </c>
      <c r="DT29">
        <v>2222</v>
      </c>
      <c r="DU29">
        <v>3545</v>
      </c>
      <c r="DV29">
        <v>57</v>
      </c>
      <c r="DW29">
        <v>2396</v>
      </c>
      <c r="DX29">
        <v>4381</v>
      </c>
      <c r="DY29">
        <v>52</v>
      </c>
      <c r="DZ29">
        <v>2321</v>
      </c>
      <c r="EA29">
        <v>5</v>
      </c>
      <c r="EB29">
        <v>39</v>
      </c>
      <c r="EC29">
        <v>149</v>
      </c>
      <c r="ED29">
        <v>7</v>
      </c>
      <c r="EE29">
        <v>51</v>
      </c>
      <c r="EF29">
        <v>435</v>
      </c>
      <c r="EG29">
        <v>11</v>
      </c>
      <c r="EH29">
        <v>90</v>
      </c>
      <c r="EI29">
        <v>7</v>
      </c>
      <c r="EJ29">
        <v>224</v>
      </c>
      <c r="EK29">
        <v>556</v>
      </c>
      <c r="EL29">
        <v>6</v>
      </c>
      <c r="EM29">
        <v>204</v>
      </c>
      <c r="EN29">
        <v>562</v>
      </c>
      <c r="EO29">
        <v>27</v>
      </c>
      <c r="EP29">
        <v>741</v>
      </c>
      <c r="EQ29">
        <v>19</v>
      </c>
      <c r="ER29">
        <v>113</v>
      </c>
      <c r="ES29">
        <v>279</v>
      </c>
      <c r="ET29">
        <v>22</v>
      </c>
      <c r="EU29">
        <v>116</v>
      </c>
      <c r="EV29">
        <v>288</v>
      </c>
      <c r="EW29">
        <v>63</v>
      </c>
      <c r="EX29">
        <v>282</v>
      </c>
      <c r="EY29">
        <v>311</v>
      </c>
      <c r="EZ29">
        <v>1011</v>
      </c>
      <c r="FA29">
        <v>4232</v>
      </c>
      <c r="FB29">
        <v>303</v>
      </c>
      <c r="FC29">
        <v>989</v>
      </c>
      <c r="FD29">
        <v>4177</v>
      </c>
      <c r="FE29">
        <v>109</v>
      </c>
      <c r="FF29">
        <v>297</v>
      </c>
      <c r="FG29">
        <v>209</v>
      </c>
      <c r="FH29">
        <v>2174</v>
      </c>
      <c r="FI29">
        <v>9509</v>
      </c>
      <c r="FJ29">
        <v>199</v>
      </c>
      <c r="FK29">
        <v>2032</v>
      </c>
      <c r="FL29">
        <v>8702</v>
      </c>
      <c r="FM29">
        <v>485</v>
      </c>
      <c r="FN29">
        <v>5568</v>
      </c>
      <c r="FO29">
        <v>497</v>
      </c>
      <c r="FP29">
        <v>454</v>
      </c>
      <c r="FQ29">
        <v>1102</v>
      </c>
      <c r="FR29">
        <v>440</v>
      </c>
      <c r="FS29">
        <v>486</v>
      </c>
      <c r="FT29">
        <v>1421</v>
      </c>
      <c r="FU29">
        <v>216</v>
      </c>
      <c r="FV29">
        <v>392</v>
      </c>
    </row>
    <row r="30" spans="1:178" x14ac:dyDescent="0.4">
      <c r="A30" s="1" t="s">
        <v>48</v>
      </c>
      <c r="B30" s="1" t="s">
        <v>49</v>
      </c>
      <c r="C30">
        <v>49</v>
      </c>
      <c r="D30">
        <v>802</v>
      </c>
      <c r="E30">
        <v>1864</v>
      </c>
      <c r="F30">
        <v>34</v>
      </c>
      <c r="G30">
        <v>788</v>
      </c>
      <c r="H30">
        <v>1960</v>
      </c>
      <c r="I30">
        <v>57</v>
      </c>
      <c r="J30">
        <v>1161</v>
      </c>
      <c r="K30">
        <v>748</v>
      </c>
      <c r="L30">
        <v>5011</v>
      </c>
      <c r="M30">
        <v>16936</v>
      </c>
      <c r="N30">
        <v>782</v>
      </c>
      <c r="O30">
        <v>4629</v>
      </c>
      <c r="P30">
        <v>16525</v>
      </c>
      <c r="Q30">
        <v>2225</v>
      </c>
      <c r="R30">
        <v>9064</v>
      </c>
      <c r="S30">
        <v>60</v>
      </c>
      <c r="T30">
        <v>273</v>
      </c>
      <c r="U30">
        <v>1350</v>
      </c>
      <c r="V30">
        <v>57</v>
      </c>
      <c r="W30">
        <v>268</v>
      </c>
      <c r="X30">
        <v>1335</v>
      </c>
      <c r="Y30">
        <v>10</v>
      </c>
      <c r="Z30">
        <v>15</v>
      </c>
      <c r="AA30">
        <v>68</v>
      </c>
      <c r="AB30">
        <v>449</v>
      </c>
      <c r="AC30">
        <v>2448</v>
      </c>
      <c r="AD30">
        <v>61</v>
      </c>
      <c r="AE30">
        <v>378</v>
      </c>
      <c r="AF30">
        <v>1997</v>
      </c>
      <c r="AG30">
        <v>63</v>
      </c>
      <c r="AH30">
        <v>284</v>
      </c>
      <c r="AI30">
        <v>45</v>
      </c>
      <c r="AJ30">
        <v>241</v>
      </c>
      <c r="AK30">
        <v>1512</v>
      </c>
      <c r="AL30">
        <v>44</v>
      </c>
      <c r="AM30">
        <v>239</v>
      </c>
      <c r="AN30">
        <v>1328</v>
      </c>
      <c r="AO30">
        <v>40</v>
      </c>
      <c r="AP30">
        <v>739</v>
      </c>
      <c r="AQ30">
        <v>52</v>
      </c>
      <c r="AR30">
        <v>358</v>
      </c>
      <c r="AS30">
        <v>2710</v>
      </c>
      <c r="AT30">
        <v>63</v>
      </c>
      <c r="AU30">
        <v>411</v>
      </c>
      <c r="AV30">
        <v>2924</v>
      </c>
      <c r="AW30">
        <v>44</v>
      </c>
      <c r="AX30">
        <v>225</v>
      </c>
      <c r="AY30">
        <v>60</v>
      </c>
      <c r="AZ30">
        <v>252</v>
      </c>
      <c r="BA30">
        <v>1585</v>
      </c>
      <c r="BB30">
        <v>62</v>
      </c>
      <c r="BC30">
        <v>236</v>
      </c>
      <c r="BD30">
        <v>1658</v>
      </c>
      <c r="BE30">
        <v>90</v>
      </c>
      <c r="BF30">
        <v>224</v>
      </c>
      <c r="BG30">
        <v>22</v>
      </c>
      <c r="BH30">
        <v>161</v>
      </c>
      <c r="BI30">
        <v>932</v>
      </c>
      <c r="BJ30">
        <v>21</v>
      </c>
      <c r="BK30">
        <v>155</v>
      </c>
      <c r="BL30">
        <v>897</v>
      </c>
      <c r="BM30">
        <v>1</v>
      </c>
      <c r="BN30">
        <v>6</v>
      </c>
      <c r="BO30">
        <v>3</v>
      </c>
      <c r="BP30">
        <v>9</v>
      </c>
      <c r="BQ30">
        <v>77</v>
      </c>
      <c r="BR30">
        <v>5</v>
      </c>
      <c r="BS30">
        <v>12</v>
      </c>
      <c r="BT30">
        <v>113</v>
      </c>
      <c r="BU30">
        <v>0</v>
      </c>
      <c r="BV30">
        <v>0</v>
      </c>
      <c r="BW30">
        <v>42</v>
      </c>
      <c r="BX30">
        <v>621</v>
      </c>
      <c r="BY30">
        <v>3009</v>
      </c>
      <c r="BZ30">
        <v>41</v>
      </c>
      <c r="CA30">
        <v>572</v>
      </c>
      <c r="CB30">
        <v>2875</v>
      </c>
      <c r="CC30">
        <v>14</v>
      </c>
      <c r="CD30">
        <v>167</v>
      </c>
      <c r="CE30">
        <v>90</v>
      </c>
      <c r="CF30">
        <v>350</v>
      </c>
      <c r="CG30">
        <v>1974</v>
      </c>
      <c r="CH30">
        <v>88</v>
      </c>
      <c r="CI30">
        <v>341</v>
      </c>
      <c r="CJ30">
        <v>2073</v>
      </c>
      <c r="CK30">
        <v>5</v>
      </c>
      <c r="CL30">
        <v>19</v>
      </c>
      <c r="CM30">
        <v>1299</v>
      </c>
      <c r="CN30">
        <v>3597</v>
      </c>
      <c r="CO30">
        <v>11383</v>
      </c>
      <c r="CP30">
        <v>1227</v>
      </c>
      <c r="CQ30">
        <v>3256</v>
      </c>
      <c r="CR30">
        <v>10694</v>
      </c>
      <c r="CS30">
        <v>1394</v>
      </c>
      <c r="CT30">
        <v>4087</v>
      </c>
      <c r="CU30">
        <v>255</v>
      </c>
      <c r="CV30">
        <v>3096</v>
      </c>
      <c r="CW30">
        <v>7532</v>
      </c>
      <c r="CX30">
        <v>197</v>
      </c>
      <c r="CY30">
        <v>2263</v>
      </c>
      <c r="CZ30">
        <v>6115</v>
      </c>
      <c r="DA30">
        <v>462</v>
      </c>
      <c r="DB30">
        <v>5387</v>
      </c>
      <c r="DC30">
        <v>72</v>
      </c>
      <c r="DD30">
        <v>581</v>
      </c>
      <c r="DE30">
        <v>1576</v>
      </c>
      <c r="DF30">
        <v>57</v>
      </c>
      <c r="DG30">
        <v>479</v>
      </c>
      <c r="DH30">
        <v>1383</v>
      </c>
      <c r="DI30">
        <v>85</v>
      </c>
      <c r="DJ30">
        <v>664</v>
      </c>
      <c r="DK30">
        <v>178</v>
      </c>
      <c r="DL30">
        <v>3267</v>
      </c>
      <c r="DM30">
        <v>7316</v>
      </c>
      <c r="DN30">
        <v>126</v>
      </c>
      <c r="DO30">
        <v>2497</v>
      </c>
      <c r="DP30">
        <v>6903</v>
      </c>
      <c r="DQ30">
        <v>215</v>
      </c>
      <c r="DR30">
        <v>4129</v>
      </c>
      <c r="DS30">
        <v>73</v>
      </c>
      <c r="DT30">
        <v>2820</v>
      </c>
      <c r="DU30">
        <v>4968</v>
      </c>
      <c r="DV30">
        <v>63</v>
      </c>
      <c r="DW30">
        <v>2394</v>
      </c>
      <c r="DX30">
        <v>5351</v>
      </c>
      <c r="DY30">
        <v>62</v>
      </c>
      <c r="DZ30">
        <v>2747</v>
      </c>
      <c r="EA30">
        <v>4</v>
      </c>
      <c r="EB30">
        <v>38</v>
      </c>
      <c r="EC30">
        <v>139</v>
      </c>
      <c r="ED30">
        <v>6</v>
      </c>
      <c r="EE30">
        <v>55</v>
      </c>
      <c r="EF30">
        <v>310</v>
      </c>
      <c r="EG30">
        <v>9</v>
      </c>
      <c r="EH30">
        <v>73</v>
      </c>
      <c r="EI30">
        <v>8</v>
      </c>
      <c r="EJ30">
        <v>231</v>
      </c>
      <c r="EK30">
        <v>529</v>
      </c>
      <c r="EL30">
        <v>8</v>
      </c>
      <c r="EM30">
        <v>237</v>
      </c>
      <c r="EN30">
        <v>543</v>
      </c>
      <c r="EO30">
        <v>27</v>
      </c>
      <c r="EP30">
        <v>735</v>
      </c>
      <c r="EQ30">
        <v>15</v>
      </c>
      <c r="ER30">
        <v>109</v>
      </c>
      <c r="ES30">
        <v>338</v>
      </c>
      <c r="ET30">
        <v>26</v>
      </c>
      <c r="EU30">
        <v>161</v>
      </c>
      <c r="EV30">
        <v>551</v>
      </c>
      <c r="EW30">
        <v>53</v>
      </c>
      <c r="EX30">
        <v>233</v>
      </c>
      <c r="EY30">
        <v>290</v>
      </c>
      <c r="EZ30">
        <v>954</v>
      </c>
      <c r="FA30">
        <v>4003</v>
      </c>
      <c r="FB30">
        <v>313</v>
      </c>
      <c r="FC30">
        <v>1007</v>
      </c>
      <c r="FD30">
        <v>4221</v>
      </c>
      <c r="FE30">
        <v>86</v>
      </c>
      <c r="FF30">
        <v>244</v>
      </c>
      <c r="FG30">
        <v>227</v>
      </c>
      <c r="FH30">
        <v>2374</v>
      </c>
      <c r="FI30">
        <v>9911</v>
      </c>
      <c r="FJ30">
        <v>225</v>
      </c>
      <c r="FK30">
        <v>2222</v>
      </c>
      <c r="FL30">
        <v>9387</v>
      </c>
      <c r="FM30">
        <v>487</v>
      </c>
      <c r="FN30">
        <v>5720</v>
      </c>
      <c r="FO30">
        <v>457</v>
      </c>
      <c r="FP30">
        <v>335</v>
      </c>
      <c r="FQ30">
        <v>871</v>
      </c>
      <c r="FR30">
        <v>550</v>
      </c>
      <c r="FS30">
        <v>358</v>
      </c>
      <c r="FT30">
        <v>972</v>
      </c>
      <c r="FU30">
        <v>188</v>
      </c>
      <c r="FV30">
        <v>375</v>
      </c>
    </row>
    <row r="31" spans="1:178" x14ac:dyDescent="0.4">
      <c r="A31" s="1" t="s">
        <v>50</v>
      </c>
      <c r="B31" s="1" t="s">
        <v>51</v>
      </c>
      <c r="C31">
        <v>35</v>
      </c>
      <c r="D31">
        <v>636</v>
      </c>
      <c r="E31">
        <v>1591</v>
      </c>
      <c r="F31">
        <v>32</v>
      </c>
      <c r="G31">
        <v>696</v>
      </c>
      <c r="H31">
        <v>1671</v>
      </c>
      <c r="I31">
        <v>60</v>
      </c>
      <c r="J31">
        <v>1101</v>
      </c>
      <c r="K31">
        <v>687</v>
      </c>
      <c r="L31">
        <v>4395</v>
      </c>
      <c r="M31">
        <v>15171</v>
      </c>
      <c r="N31">
        <v>792</v>
      </c>
      <c r="O31">
        <v>4540</v>
      </c>
      <c r="P31">
        <v>16414</v>
      </c>
      <c r="Q31">
        <v>2210</v>
      </c>
      <c r="R31">
        <v>9180</v>
      </c>
      <c r="S31">
        <v>60</v>
      </c>
      <c r="T31">
        <v>263</v>
      </c>
      <c r="U31">
        <v>1389</v>
      </c>
      <c r="V31">
        <v>62</v>
      </c>
      <c r="W31">
        <v>264</v>
      </c>
      <c r="X31">
        <v>1392</v>
      </c>
      <c r="Y31">
        <v>8</v>
      </c>
      <c r="Z31">
        <v>14</v>
      </c>
      <c r="AA31">
        <v>59</v>
      </c>
      <c r="AB31">
        <v>354</v>
      </c>
      <c r="AC31">
        <v>1808</v>
      </c>
      <c r="AD31">
        <v>56</v>
      </c>
      <c r="AE31">
        <v>345</v>
      </c>
      <c r="AF31">
        <v>1732</v>
      </c>
      <c r="AG31">
        <v>66</v>
      </c>
      <c r="AH31">
        <v>292</v>
      </c>
      <c r="AI31">
        <v>49</v>
      </c>
      <c r="AJ31">
        <v>261</v>
      </c>
      <c r="AK31">
        <v>1867</v>
      </c>
      <c r="AL31">
        <v>53</v>
      </c>
      <c r="AM31">
        <v>258</v>
      </c>
      <c r="AN31">
        <v>1786</v>
      </c>
      <c r="AO31">
        <v>36</v>
      </c>
      <c r="AP31">
        <v>742</v>
      </c>
      <c r="AQ31">
        <v>52</v>
      </c>
      <c r="AR31">
        <v>292</v>
      </c>
      <c r="AS31">
        <v>1948</v>
      </c>
      <c r="AT31">
        <v>48</v>
      </c>
      <c r="AU31">
        <v>285</v>
      </c>
      <c r="AV31">
        <v>2015</v>
      </c>
      <c r="AW31">
        <v>48</v>
      </c>
      <c r="AX31">
        <v>233</v>
      </c>
      <c r="AY31">
        <v>70</v>
      </c>
      <c r="AZ31">
        <v>227</v>
      </c>
      <c r="BA31">
        <v>1390</v>
      </c>
      <c r="BB31">
        <v>66</v>
      </c>
      <c r="BC31">
        <v>224</v>
      </c>
      <c r="BD31">
        <v>1461</v>
      </c>
      <c r="BE31">
        <v>96</v>
      </c>
      <c r="BF31">
        <v>224</v>
      </c>
      <c r="BG31">
        <v>25</v>
      </c>
      <c r="BH31">
        <v>195</v>
      </c>
      <c r="BI31">
        <v>1058</v>
      </c>
      <c r="BJ31">
        <v>20</v>
      </c>
      <c r="BK31">
        <v>162</v>
      </c>
      <c r="BL31">
        <v>923</v>
      </c>
      <c r="BM31">
        <v>6</v>
      </c>
      <c r="BN31">
        <v>39</v>
      </c>
      <c r="BO31">
        <v>9</v>
      </c>
      <c r="BP31">
        <v>23</v>
      </c>
      <c r="BQ31">
        <v>176</v>
      </c>
      <c r="BR31">
        <v>8</v>
      </c>
      <c r="BS31">
        <v>20</v>
      </c>
      <c r="BT31">
        <v>160</v>
      </c>
      <c r="BU31">
        <v>1</v>
      </c>
      <c r="BV31">
        <v>4</v>
      </c>
      <c r="BW31">
        <v>58</v>
      </c>
      <c r="BX31">
        <v>828</v>
      </c>
      <c r="BY31">
        <v>3825</v>
      </c>
      <c r="BZ31">
        <v>56</v>
      </c>
      <c r="CA31">
        <v>755</v>
      </c>
      <c r="CB31">
        <v>3488</v>
      </c>
      <c r="CC31">
        <v>16</v>
      </c>
      <c r="CD31">
        <v>240</v>
      </c>
      <c r="CE31">
        <v>77</v>
      </c>
      <c r="CF31">
        <v>157</v>
      </c>
      <c r="CG31">
        <v>1244</v>
      </c>
      <c r="CH31">
        <v>75</v>
      </c>
      <c r="CI31">
        <v>148</v>
      </c>
      <c r="CJ31">
        <v>1386</v>
      </c>
      <c r="CK31">
        <v>7</v>
      </c>
      <c r="CL31">
        <v>29</v>
      </c>
      <c r="CM31">
        <v>1292</v>
      </c>
      <c r="CN31">
        <v>3612</v>
      </c>
      <c r="CO31">
        <v>11342</v>
      </c>
      <c r="CP31">
        <v>1400</v>
      </c>
      <c r="CQ31">
        <v>3772</v>
      </c>
      <c r="CR31">
        <v>12094</v>
      </c>
      <c r="CS31">
        <v>1285</v>
      </c>
      <c r="CT31">
        <v>3920</v>
      </c>
      <c r="CU31">
        <v>240</v>
      </c>
      <c r="CV31">
        <v>2656</v>
      </c>
      <c r="CW31">
        <v>6784</v>
      </c>
      <c r="CX31">
        <v>209</v>
      </c>
      <c r="CY31">
        <v>2325</v>
      </c>
      <c r="CZ31">
        <v>6941</v>
      </c>
      <c r="DA31">
        <v>493</v>
      </c>
      <c r="DB31">
        <v>5720</v>
      </c>
      <c r="DC31">
        <v>78</v>
      </c>
      <c r="DD31">
        <v>563</v>
      </c>
      <c r="DE31">
        <v>1661</v>
      </c>
      <c r="DF31">
        <v>67</v>
      </c>
      <c r="DG31">
        <v>524</v>
      </c>
      <c r="DH31">
        <v>1742</v>
      </c>
      <c r="DI31">
        <v>97</v>
      </c>
      <c r="DJ31">
        <v>718</v>
      </c>
      <c r="DK31">
        <v>188</v>
      </c>
      <c r="DL31">
        <v>3392</v>
      </c>
      <c r="DM31">
        <v>8437</v>
      </c>
      <c r="DN31">
        <v>165</v>
      </c>
      <c r="DO31">
        <v>3122</v>
      </c>
      <c r="DP31">
        <v>8364</v>
      </c>
      <c r="DQ31">
        <v>238</v>
      </c>
      <c r="DR31">
        <v>4398</v>
      </c>
      <c r="DS31">
        <v>55</v>
      </c>
      <c r="DT31">
        <v>2328</v>
      </c>
      <c r="DU31">
        <v>4325</v>
      </c>
      <c r="DV31">
        <v>59</v>
      </c>
      <c r="DW31">
        <v>2543</v>
      </c>
      <c r="DX31">
        <v>5482</v>
      </c>
      <c r="DY31">
        <v>58</v>
      </c>
      <c r="DZ31">
        <v>2532</v>
      </c>
      <c r="EA31">
        <v>1</v>
      </c>
      <c r="EB31">
        <v>7</v>
      </c>
      <c r="EC31">
        <v>25</v>
      </c>
      <c r="ED31">
        <v>0</v>
      </c>
      <c r="EE31">
        <v>0</v>
      </c>
      <c r="EF31">
        <v>0</v>
      </c>
      <c r="EG31">
        <v>10</v>
      </c>
      <c r="EH31">
        <v>80</v>
      </c>
      <c r="EI31">
        <v>12</v>
      </c>
      <c r="EJ31">
        <v>413</v>
      </c>
      <c r="EK31">
        <v>1096</v>
      </c>
      <c r="EL31">
        <v>7</v>
      </c>
      <c r="EM31">
        <v>234</v>
      </c>
      <c r="EN31">
        <v>654</v>
      </c>
      <c r="EO31">
        <v>32</v>
      </c>
      <c r="EP31">
        <v>914</v>
      </c>
      <c r="EQ31">
        <v>21</v>
      </c>
      <c r="ER31">
        <v>101</v>
      </c>
      <c r="ES31">
        <v>271</v>
      </c>
      <c r="ET31">
        <v>13</v>
      </c>
      <c r="EU31">
        <v>62</v>
      </c>
      <c r="EV31">
        <v>154</v>
      </c>
      <c r="EW31">
        <v>62</v>
      </c>
      <c r="EX31">
        <v>275</v>
      </c>
      <c r="EY31">
        <v>255</v>
      </c>
      <c r="EZ31">
        <v>823</v>
      </c>
      <c r="FA31">
        <v>3470</v>
      </c>
      <c r="FB31">
        <v>253</v>
      </c>
      <c r="FC31">
        <v>811</v>
      </c>
      <c r="FD31">
        <v>3524</v>
      </c>
      <c r="FE31">
        <v>88</v>
      </c>
      <c r="FF31">
        <v>256</v>
      </c>
      <c r="FG31">
        <v>181</v>
      </c>
      <c r="FH31">
        <v>1915</v>
      </c>
      <c r="FI31">
        <v>7034</v>
      </c>
      <c r="FJ31">
        <v>169</v>
      </c>
      <c r="FK31">
        <v>1797</v>
      </c>
      <c r="FL31">
        <v>7063</v>
      </c>
      <c r="FM31">
        <v>499</v>
      </c>
      <c r="FN31">
        <v>5840</v>
      </c>
      <c r="FO31">
        <v>427</v>
      </c>
      <c r="FP31">
        <v>359</v>
      </c>
      <c r="FQ31">
        <v>951</v>
      </c>
      <c r="FR31">
        <v>452</v>
      </c>
      <c r="FS31">
        <v>320</v>
      </c>
      <c r="FT31">
        <v>1091</v>
      </c>
      <c r="FU31">
        <v>181</v>
      </c>
      <c r="FV31">
        <v>416</v>
      </c>
    </row>
    <row r="32" spans="1:178" x14ac:dyDescent="0.4">
      <c r="A32" s="1" t="s">
        <v>52</v>
      </c>
      <c r="B32" s="1" t="s">
        <v>53</v>
      </c>
      <c r="C32">
        <v>44</v>
      </c>
      <c r="D32">
        <v>964</v>
      </c>
      <c r="E32">
        <v>2554</v>
      </c>
      <c r="F32">
        <v>71</v>
      </c>
      <c r="G32">
        <v>1233</v>
      </c>
      <c r="H32">
        <v>3488</v>
      </c>
      <c r="I32">
        <v>33</v>
      </c>
      <c r="J32">
        <v>832</v>
      </c>
      <c r="K32">
        <v>886</v>
      </c>
      <c r="L32">
        <v>5635</v>
      </c>
      <c r="M32">
        <v>19644</v>
      </c>
      <c r="N32">
        <v>1078</v>
      </c>
      <c r="O32">
        <v>6498</v>
      </c>
      <c r="P32">
        <v>24282</v>
      </c>
      <c r="Q32">
        <v>2093</v>
      </c>
      <c r="R32">
        <v>8526</v>
      </c>
      <c r="S32">
        <v>71</v>
      </c>
      <c r="T32">
        <v>311</v>
      </c>
      <c r="U32">
        <v>1661</v>
      </c>
      <c r="V32">
        <v>69</v>
      </c>
      <c r="W32">
        <v>308</v>
      </c>
      <c r="X32">
        <v>1653</v>
      </c>
      <c r="Y32">
        <v>10</v>
      </c>
      <c r="Z32">
        <v>17</v>
      </c>
      <c r="AA32">
        <v>58</v>
      </c>
      <c r="AB32">
        <v>322</v>
      </c>
      <c r="AC32">
        <v>1559</v>
      </c>
      <c r="AD32">
        <v>73</v>
      </c>
      <c r="AE32">
        <v>387</v>
      </c>
      <c r="AF32">
        <v>1924</v>
      </c>
      <c r="AG32">
        <v>51</v>
      </c>
      <c r="AH32">
        <v>228</v>
      </c>
      <c r="AI32">
        <v>54</v>
      </c>
      <c r="AJ32">
        <v>246</v>
      </c>
      <c r="AK32">
        <v>1294</v>
      </c>
      <c r="AL32">
        <v>56</v>
      </c>
      <c r="AM32">
        <v>226</v>
      </c>
      <c r="AN32">
        <v>1667</v>
      </c>
      <c r="AO32">
        <v>34</v>
      </c>
      <c r="AP32">
        <v>762</v>
      </c>
      <c r="AQ32">
        <v>73</v>
      </c>
      <c r="AR32">
        <v>466</v>
      </c>
      <c r="AS32">
        <v>2716</v>
      </c>
      <c r="AT32">
        <v>71</v>
      </c>
      <c r="AU32">
        <v>428</v>
      </c>
      <c r="AV32">
        <v>2657</v>
      </c>
      <c r="AW32">
        <v>50</v>
      </c>
      <c r="AX32">
        <v>269</v>
      </c>
      <c r="AY32">
        <v>49</v>
      </c>
      <c r="AZ32">
        <v>197</v>
      </c>
      <c r="BA32">
        <v>1053</v>
      </c>
      <c r="BB32">
        <v>110</v>
      </c>
      <c r="BC32">
        <v>384</v>
      </c>
      <c r="BD32">
        <v>1969</v>
      </c>
      <c r="BE32">
        <v>84</v>
      </c>
      <c r="BF32">
        <v>196</v>
      </c>
      <c r="BG32">
        <v>45</v>
      </c>
      <c r="BH32">
        <v>523</v>
      </c>
      <c r="BI32">
        <v>3042</v>
      </c>
      <c r="BJ32">
        <v>49</v>
      </c>
      <c r="BK32">
        <v>543</v>
      </c>
      <c r="BL32">
        <v>3093</v>
      </c>
      <c r="BM32">
        <v>2</v>
      </c>
      <c r="BN32">
        <v>19</v>
      </c>
      <c r="BO32">
        <v>7</v>
      </c>
      <c r="BP32">
        <v>28</v>
      </c>
      <c r="BQ32">
        <v>209</v>
      </c>
      <c r="BR32">
        <v>6</v>
      </c>
      <c r="BS32">
        <v>25</v>
      </c>
      <c r="BT32">
        <v>195</v>
      </c>
      <c r="BU32">
        <v>2</v>
      </c>
      <c r="BV32">
        <v>7</v>
      </c>
      <c r="BW32">
        <v>50</v>
      </c>
      <c r="BX32">
        <v>291</v>
      </c>
      <c r="BY32">
        <v>2747</v>
      </c>
      <c r="BZ32">
        <v>53</v>
      </c>
      <c r="CA32">
        <v>407</v>
      </c>
      <c r="CB32">
        <v>3175</v>
      </c>
      <c r="CC32">
        <v>13</v>
      </c>
      <c r="CD32">
        <v>124</v>
      </c>
      <c r="CE32">
        <v>87</v>
      </c>
      <c r="CF32">
        <v>174</v>
      </c>
      <c r="CG32">
        <v>1257</v>
      </c>
      <c r="CH32">
        <v>89</v>
      </c>
      <c r="CI32">
        <v>176</v>
      </c>
      <c r="CJ32">
        <v>1529</v>
      </c>
      <c r="CK32">
        <v>5</v>
      </c>
      <c r="CL32">
        <v>26</v>
      </c>
      <c r="CM32">
        <v>1365</v>
      </c>
      <c r="CN32">
        <v>3632</v>
      </c>
      <c r="CO32">
        <v>11340</v>
      </c>
      <c r="CP32">
        <v>1110</v>
      </c>
      <c r="CQ32">
        <v>3499</v>
      </c>
      <c r="CR32">
        <v>11448</v>
      </c>
      <c r="CS32">
        <v>1539</v>
      </c>
      <c r="CT32">
        <v>4046</v>
      </c>
      <c r="CU32">
        <v>279</v>
      </c>
      <c r="CV32">
        <v>2760</v>
      </c>
      <c r="CW32">
        <v>7859</v>
      </c>
      <c r="CX32">
        <v>342</v>
      </c>
      <c r="CY32">
        <v>3242</v>
      </c>
      <c r="CZ32">
        <v>9877</v>
      </c>
      <c r="DA32">
        <v>430</v>
      </c>
      <c r="DB32">
        <v>5239</v>
      </c>
      <c r="DC32">
        <v>67</v>
      </c>
      <c r="DD32">
        <v>593</v>
      </c>
      <c r="DE32">
        <v>1808</v>
      </c>
      <c r="DF32">
        <v>71</v>
      </c>
      <c r="DG32">
        <v>605</v>
      </c>
      <c r="DH32">
        <v>2116</v>
      </c>
      <c r="DI32">
        <v>94</v>
      </c>
      <c r="DJ32">
        <v>720</v>
      </c>
      <c r="DK32">
        <v>187</v>
      </c>
      <c r="DL32">
        <v>3309</v>
      </c>
      <c r="DM32">
        <v>8900</v>
      </c>
      <c r="DN32">
        <v>192</v>
      </c>
      <c r="DO32">
        <v>3387</v>
      </c>
      <c r="DP32">
        <v>11112</v>
      </c>
      <c r="DQ32">
        <v>233</v>
      </c>
      <c r="DR32">
        <v>4316</v>
      </c>
      <c r="DS32">
        <v>67</v>
      </c>
      <c r="DT32">
        <v>2815</v>
      </c>
      <c r="DU32">
        <v>5583</v>
      </c>
      <c r="DV32">
        <v>72</v>
      </c>
      <c r="DW32">
        <v>2969</v>
      </c>
      <c r="DX32">
        <v>5704</v>
      </c>
      <c r="DY32">
        <v>53</v>
      </c>
      <c r="DZ32">
        <v>2379</v>
      </c>
      <c r="EA32">
        <v>8</v>
      </c>
      <c r="EB32">
        <v>63</v>
      </c>
      <c r="EC32">
        <v>238</v>
      </c>
      <c r="ED32">
        <v>6</v>
      </c>
      <c r="EE32">
        <v>43</v>
      </c>
      <c r="EF32">
        <v>206</v>
      </c>
      <c r="EG32">
        <v>12</v>
      </c>
      <c r="EH32">
        <v>100</v>
      </c>
      <c r="EI32">
        <v>9</v>
      </c>
      <c r="EJ32">
        <v>245</v>
      </c>
      <c r="EK32">
        <v>795</v>
      </c>
      <c r="EL32">
        <v>2</v>
      </c>
      <c r="EM32">
        <v>80</v>
      </c>
      <c r="EN32">
        <v>229</v>
      </c>
      <c r="EO32">
        <v>39</v>
      </c>
      <c r="EP32">
        <v>1079</v>
      </c>
      <c r="EQ32">
        <v>23</v>
      </c>
      <c r="ER32">
        <v>164</v>
      </c>
      <c r="ES32">
        <v>377</v>
      </c>
      <c r="ET32">
        <v>32</v>
      </c>
      <c r="EU32">
        <v>212</v>
      </c>
      <c r="EV32">
        <v>551</v>
      </c>
      <c r="EW32">
        <v>54</v>
      </c>
      <c r="EX32">
        <v>230</v>
      </c>
      <c r="EY32">
        <v>327</v>
      </c>
      <c r="EZ32">
        <v>1061</v>
      </c>
      <c r="FA32">
        <v>4698</v>
      </c>
      <c r="FB32">
        <v>311</v>
      </c>
      <c r="FC32">
        <v>1034</v>
      </c>
      <c r="FD32">
        <v>4631</v>
      </c>
      <c r="FE32">
        <v>104</v>
      </c>
      <c r="FF32">
        <v>283</v>
      </c>
      <c r="FG32">
        <v>219</v>
      </c>
      <c r="FH32">
        <v>2244</v>
      </c>
      <c r="FI32">
        <v>10052</v>
      </c>
      <c r="FJ32">
        <v>247</v>
      </c>
      <c r="FK32">
        <v>2658</v>
      </c>
      <c r="FL32">
        <v>10785</v>
      </c>
      <c r="FM32">
        <v>471</v>
      </c>
      <c r="FN32">
        <v>5425</v>
      </c>
      <c r="FO32">
        <v>594</v>
      </c>
      <c r="FP32">
        <v>388</v>
      </c>
      <c r="FQ32">
        <v>910</v>
      </c>
      <c r="FR32">
        <v>614</v>
      </c>
      <c r="FS32">
        <v>450</v>
      </c>
      <c r="FT32">
        <v>1126</v>
      </c>
      <c r="FU32">
        <v>195</v>
      </c>
      <c r="FV32">
        <v>357</v>
      </c>
    </row>
    <row r="33" spans="1:178" x14ac:dyDescent="0.4">
      <c r="A33" s="1" t="s">
        <v>54</v>
      </c>
      <c r="B33" s="1" t="s">
        <v>55</v>
      </c>
      <c r="C33">
        <v>45</v>
      </c>
      <c r="D33">
        <v>954</v>
      </c>
      <c r="E33">
        <v>2140</v>
      </c>
      <c r="F33">
        <v>34</v>
      </c>
      <c r="G33">
        <v>672</v>
      </c>
      <c r="H33">
        <v>1615</v>
      </c>
      <c r="I33">
        <v>44</v>
      </c>
      <c r="J33">
        <v>1116</v>
      </c>
      <c r="K33">
        <v>757</v>
      </c>
      <c r="L33">
        <v>5028</v>
      </c>
      <c r="M33">
        <v>17848</v>
      </c>
      <c r="N33">
        <v>874</v>
      </c>
      <c r="O33">
        <v>5111</v>
      </c>
      <c r="P33">
        <v>18858</v>
      </c>
      <c r="Q33">
        <v>2078</v>
      </c>
      <c r="R33">
        <v>8732</v>
      </c>
      <c r="S33">
        <v>58</v>
      </c>
      <c r="T33">
        <v>273</v>
      </c>
      <c r="U33">
        <v>1392</v>
      </c>
      <c r="V33">
        <v>56</v>
      </c>
      <c r="W33">
        <v>273</v>
      </c>
      <c r="X33">
        <v>1390</v>
      </c>
      <c r="Y33">
        <v>12</v>
      </c>
      <c r="Z33">
        <v>17</v>
      </c>
      <c r="AA33">
        <v>66</v>
      </c>
      <c r="AB33">
        <v>307</v>
      </c>
      <c r="AC33">
        <v>1746</v>
      </c>
      <c r="AD33">
        <v>56</v>
      </c>
      <c r="AE33">
        <v>264</v>
      </c>
      <c r="AF33">
        <v>1489</v>
      </c>
      <c r="AG33">
        <v>61</v>
      </c>
      <c r="AH33">
        <v>270</v>
      </c>
      <c r="AI33">
        <v>39</v>
      </c>
      <c r="AJ33">
        <v>161</v>
      </c>
      <c r="AK33">
        <v>1070</v>
      </c>
      <c r="AL33">
        <v>34</v>
      </c>
      <c r="AM33">
        <v>143</v>
      </c>
      <c r="AN33">
        <v>1407</v>
      </c>
      <c r="AO33">
        <v>39</v>
      </c>
      <c r="AP33">
        <v>779</v>
      </c>
      <c r="AQ33">
        <v>62</v>
      </c>
      <c r="AR33">
        <v>423</v>
      </c>
      <c r="AS33">
        <v>2318</v>
      </c>
      <c r="AT33">
        <v>47</v>
      </c>
      <c r="AU33">
        <v>358</v>
      </c>
      <c r="AV33">
        <v>1888</v>
      </c>
      <c r="AW33">
        <v>65</v>
      </c>
      <c r="AX33">
        <v>334</v>
      </c>
      <c r="AY33">
        <v>66</v>
      </c>
      <c r="AZ33">
        <v>185</v>
      </c>
      <c r="BA33">
        <v>1042</v>
      </c>
      <c r="BB33">
        <v>64</v>
      </c>
      <c r="BC33">
        <v>159</v>
      </c>
      <c r="BD33">
        <v>925</v>
      </c>
      <c r="BE33">
        <v>97</v>
      </c>
      <c r="BF33">
        <v>257</v>
      </c>
      <c r="BG33">
        <v>23</v>
      </c>
      <c r="BH33">
        <v>197</v>
      </c>
      <c r="BI33">
        <v>1080</v>
      </c>
      <c r="BJ33">
        <v>16</v>
      </c>
      <c r="BK33">
        <v>133</v>
      </c>
      <c r="BL33">
        <v>722</v>
      </c>
      <c r="BM33">
        <v>9</v>
      </c>
      <c r="BN33">
        <v>83</v>
      </c>
      <c r="BO33">
        <v>4</v>
      </c>
      <c r="BP33">
        <v>13</v>
      </c>
      <c r="BQ33">
        <v>78</v>
      </c>
      <c r="BR33">
        <v>5</v>
      </c>
      <c r="BS33">
        <v>19</v>
      </c>
      <c r="BT33">
        <v>98</v>
      </c>
      <c r="BU33">
        <v>1</v>
      </c>
      <c r="BV33">
        <v>2</v>
      </c>
      <c r="BW33">
        <v>60</v>
      </c>
      <c r="BX33">
        <v>582</v>
      </c>
      <c r="BY33">
        <v>2613</v>
      </c>
      <c r="BZ33">
        <v>59</v>
      </c>
      <c r="CA33">
        <v>574</v>
      </c>
      <c r="CB33">
        <v>2583</v>
      </c>
      <c r="CC33">
        <v>14</v>
      </c>
      <c r="CD33">
        <v>132</v>
      </c>
      <c r="CE33">
        <v>93</v>
      </c>
      <c r="CF33">
        <v>495</v>
      </c>
      <c r="CG33">
        <v>2213</v>
      </c>
      <c r="CH33">
        <v>94</v>
      </c>
      <c r="CI33">
        <v>489</v>
      </c>
      <c r="CJ33">
        <v>2464</v>
      </c>
      <c r="CK33">
        <v>4</v>
      </c>
      <c r="CL33">
        <v>32</v>
      </c>
      <c r="CM33">
        <v>1476</v>
      </c>
      <c r="CN33">
        <v>4048</v>
      </c>
      <c r="CO33">
        <v>12414</v>
      </c>
      <c r="CP33">
        <v>1626</v>
      </c>
      <c r="CQ33">
        <v>4174</v>
      </c>
      <c r="CR33">
        <v>12773</v>
      </c>
      <c r="CS33">
        <v>1389</v>
      </c>
      <c r="CT33">
        <v>3926</v>
      </c>
      <c r="CU33">
        <v>286</v>
      </c>
      <c r="CV33">
        <v>2961</v>
      </c>
      <c r="CW33">
        <v>7484</v>
      </c>
      <c r="CX33">
        <v>310</v>
      </c>
      <c r="CY33">
        <v>3168</v>
      </c>
      <c r="CZ33">
        <v>8736</v>
      </c>
      <c r="DA33">
        <v>405</v>
      </c>
      <c r="DB33">
        <v>5005</v>
      </c>
      <c r="DC33">
        <v>70</v>
      </c>
      <c r="DD33">
        <v>612</v>
      </c>
      <c r="DE33">
        <v>1508</v>
      </c>
      <c r="DF33">
        <v>64</v>
      </c>
      <c r="DG33">
        <v>564</v>
      </c>
      <c r="DH33">
        <v>1728</v>
      </c>
      <c r="DI33">
        <v>101</v>
      </c>
      <c r="DJ33">
        <v>783</v>
      </c>
      <c r="DK33">
        <v>170</v>
      </c>
      <c r="DL33">
        <v>3335</v>
      </c>
      <c r="DM33">
        <v>7739</v>
      </c>
      <c r="DN33">
        <v>185</v>
      </c>
      <c r="DO33">
        <v>3439</v>
      </c>
      <c r="DP33">
        <v>9743</v>
      </c>
      <c r="DQ33">
        <v>218</v>
      </c>
      <c r="DR33">
        <v>4211</v>
      </c>
      <c r="DS33">
        <v>65</v>
      </c>
      <c r="DT33">
        <v>2714</v>
      </c>
      <c r="DU33">
        <v>6118</v>
      </c>
      <c r="DV33">
        <v>68</v>
      </c>
      <c r="DW33">
        <v>2810</v>
      </c>
      <c r="DX33">
        <v>6152</v>
      </c>
      <c r="DY33">
        <v>50</v>
      </c>
      <c r="DZ33">
        <v>2283</v>
      </c>
      <c r="EA33">
        <v>7</v>
      </c>
      <c r="EB33">
        <v>59</v>
      </c>
      <c r="EC33">
        <v>232</v>
      </c>
      <c r="ED33">
        <v>3</v>
      </c>
      <c r="EE33">
        <v>26</v>
      </c>
      <c r="EF33">
        <v>175</v>
      </c>
      <c r="EG33">
        <v>16</v>
      </c>
      <c r="EH33">
        <v>133</v>
      </c>
      <c r="EI33">
        <v>9</v>
      </c>
      <c r="EJ33">
        <v>302</v>
      </c>
      <c r="EK33">
        <v>819</v>
      </c>
      <c r="EL33">
        <v>6</v>
      </c>
      <c r="EM33">
        <v>176</v>
      </c>
      <c r="EN33">
        <v>445</v>
      </c>
      <c r="EO33">
        <v>42</v>
      </c>
      <c r="EP33">
        <v>1205</v>
      </c>
      <c r="EQ33">
        <v>27</v>
      </c>
      <c r="ER33">
        <v>116</v>
      </c>
      <c r="ES33">
        <v>319</v>
      </c>
      <c r="ET33">
        <v>16</v>
      </c>
      <c r="EU33">
        <v>95</v>
      </c>
      <c r="EV33">
        <v>261</v>
      </c>
      <c r="EW33">
        <v>66</v>
      </c>
      <c r="EX33">
        <v>254</v>
      </c>
      <c r="EY33">
        <v>270</v>
      </c>
      <c r="EZ33">
        <v>863</v>
      </c>
      <c r="FA33">
        <v>3929</v>
      </c>
      <c r="FB33">
        <v>262</v>
      </c>
      <c r="FC33">
        <v>836</v>
      </c>
      <c r="FD33">
        <v>3755</v>
      </c>
      <c r="FE33">
        <v>112</v>
      </c>
      <c r="FF33">
        <v>309</v>
      </c>
      <c r="FG33">
        <v>204</v>
      </c>
      <c r="FH33">
        <v>2162</v>
      </c>
      <c r="FI33">
        <v>9378</v>
      </c>
      <c r="FJ33">
        <v>182</v>
      </c>
      <c r="FK33">
        <v>1956</v>
      </c>
      <c r="FL33">
        <v>8720</v>
      </c>
      <c r="FM33">
        <v>493</v>
      </c>
      <c r="FN33">
        <v>5699</v>
      </c>
      <c r="FO33">
        <v>421</v>
      </c>
      <c r="FP33">
        <v>320</v>
      </c>
      <c r="FQ33">
        <v>755</v>
      </c>
      <c r="FR33">
        <v>389</v>
      </c>
      <c r="FS33">
        <v>278</v>
      </c>
      <c r="FT33">
        <v>919</v>
      </c>
      <c r="FU33">
        <v>214</v>
      </c>
      <c r="FV33">
        <v>397</v>
      </c>
    </row>
    <row r="34" spans="1:178" x14ac:dyDescent="0.4">
      <c r="A34" s="1" t="s">
        <v>56</v>
      </c>
      <c r="B34" s="1" t="s">
        <v>57</v>
      </c>
      <c r="C34">
        <v>34</v>
      </c>
      <c r="D34">
        <v>697</v>
      </c>
      <c r="E34">
        <v>1406</v>
      </c>
      <c r="F34">
        <v>37</v>
      </c>
      <c r="G34">
        <v>767</v>
      </c>
      <c r="H34">
        <v>1797</v>
      </c>
      <c r="I34">
        <v>41</v>
      </c>
      <c r="J34">
        <v>1046</v>
      </c>
      <c r="K34">
        <v>739</v>
      </c>
      <c r="L34">
        <v>4610</v>
      </c>
      <c r="M34">
        <v>16326</v>
      </c>
      <c r="N34">
        <v>883</v>
      </c>
      <c r="O34">
        <v>5010</v>
      </c>
      <c r="P34">
        <v>19294</v>
      </c>
      <c r="Q34">
        <v>2044</v>
      </c>
      <c r="R34">
        <v>8642</v>
      </c>
      <c r="S34">
        <v>59</v>
      </c>
      <c r="T34">
        <v>264</v>
      </c>
      <c r="U34">
        <v>1242</v>
      </c>
      <c r="V34">
        <v>62</v>
      </c>
      <c r="W34">
        <v>265</v>
      </c>
      <c r="X34">
        <v>1247</v>
      </c>
      <c r="Y34">
        <v>9</v>
      </c>
      <c r="Z34">
        <v>16</v>
      </c>
      <c r="AA34">
        <v>61</v>
      </c>
      <c r="AB34">
        <v>310</v>
      </c>
      <c r="AC34">
        <v>1502</v>
      </c>
      <c r="AD34">
        <v>50</v>
      </c>
      <c r="AE34">
        <v>255</v>
      </c>
      <c r="AF34">
        <v>1224</v>
      </c>
      <c r="AG34">
        <v>72</v>
      </c>
      <c r="AH34">
        <v>326</v>
      </c>
      <c r="AI34">
        <v>42</v>
      </c>
      <c r="AJ34">
        <v>190</v>
      </c>
      <c r="AK34">
        <v>1240</v>
      </c>
      <c r="AL34">
        <v>33</v>
      </c>
      <c r="AM34">
        <v>149</v>
      </c>
      <c r="AN34">
        <v>967</v>
      </c>
      <c r="AO34">
        <v>48</v>
      </c>
      <c r="AP34">
        <v>820</v>
      </c>
      <c r="AQ34">
        <v>84</v>
      </c>
      <c r="AR34">
        <v>673</v>
      </c>
      <c r="AS34">
        <v>3843</v>
      </c>
      <c r="AT34">
        <v>82</v>
      </c>
      <c r="AU34">
        <v>651</v>
      </c>
      <c r="AV34">
        <v>3879</v>
      </c>
      <c r="AW34">
        <v>67</v>
      </c>
      <c r="AX34">
        <v>355</v>
      </c>
      <c r="AY34">
        <v>52</v>
      </c>
      <c r="AZ34">
        <v>166</v>
      </c>
      <c r="BA34">
        <v>1061</v>
      </c>
      <c r="BB34">
        <v>74</v>
      </c>
      <c r="BC34">
        <v>248</v>
      </c>
      <c r="BD34">
        <v>1796</v>
      </c>
      <c r="BE34">
        <v>99</v>
      </c>
      <c r="BF34">
        <v>249</v>
      </c>
      <c r="BG34">
        <v>17</v>
      </c>
      <c r="BH34">
        <v>121</v>
      </c>
      <c r="BI34">
        <v>559</v>
      </c>
      <c r="BJ34">
        <v>24</v>
      </c>
      <c r="BK34">
        <v>185</v>
      </c>
      <c r="BL34">
        <v>964</v>
      </c>
      <c r="BM34">
        <v>2</v>
      </c>
      <c r="BN34">
        <v>19</v>
      </c>
      <c r="BO34">
        <v>6</v>
      </c>
      <c r="BP34">
        <v>10</v>
      </c>
      <c r="BQ34">
        <v>49</v>
      </c>
      <c r="BR34">
        <v>7</v>
      </c>
      <c r="BS34">
        <v>12</v>
      </c>
      <c r="BT34">
        <v>59</v>
      </c>
      <c r="BU34">
        <v>0</v>
      </c>
      <c r="BV34">
        <v>0</v>
      </c>
      <c r="BW34">
        <v>43</v>
      </c>
      <c r="BX34">
        <v>466</v>
      </c>
      <c r="BY34">
        <v>3022</v>
      </c>
      <c r="BZ34">
        <v>41</v>
      </c>
      <c r="CA34">
        <v>401</v>
      </c>
      <c r="CB34">
        <v>2836</v>
      </c>
      <c r="CC34">
        <v>16</v>
      </c>
      <c r="CD34">
        <v>197</v>
      </c>
      <c r="CE34">
        <v>85</v>
      </c>
      <c r="CF34">
        <v>255</v>
      </c>
      <c r="CG34">
        <v>1858</v>
      </c>
      <c r="CH34">
        <v>85</v>
      </c>
      <c r="CI34">
        <v>242</v>
      </c>
      <c r="CJ34">
        <v>1992</v>
      </c>
      <c r="CK34">
        <v>4</v>
      </c>
      <c r="CL34">
        <v>45</v>
      </c>
      <c r="CM34">
        <v>1444</v>
      </c>
      <c r="CN34">
        <v>3812</v>
      </c>
      <c r="CO34">
        <v>11292</v>
      </c>
      <c r="CP34">
        <v>1326</v>
      </c>
      <c r="CQ34">
        <v>3627</v>
      </c>
      <c r="CR34">
        <v>11817</v>
      </c>
      <c r="CS34">
        <v>1506</v>
      </c>
      <c r="CT34">
        <v>4105</v>
      </c>
      <c r="CU34">
        <v>293</v>
      </c>
      <c r="CV34">
        <v>2905</v>
      </c>
      <c r="CW34">
        <v>7754</v>
      </c>
      <c r="CX34">
        <v>310</v>
      </c>
      <c r="CY34">
        <v>3017</v>
      </c>
      <c r="CZ34">
        <v>9088</v>
      </c>
      <c r="DA34">
        <v>383</v>
      </c>
      <c r="DB34">
        <v>4791</v>
      </c>
      <c r="DC34">
        <v>78</v>
      </c>
      <c r="DD34">
        <v>660</v>
      </c>
      <c r="DE34">
        <v>1733</v>
      </c>
      <c r="DF34">
        <v>80</v>
      </c>
      <c r="DG34">
        <v>699</v>
      </c>
      <c r="DH34">
        <v>2173</v>
      </c>
      <c r="DI34">
        <v>100</v>
      </c>
      <c r="DJ34">
        <v>759</v>
      </c>
      <c r="DK34">
        <v>148</v>
      </c>
      <c r="DL34">
        <v>2625</v>
      </c>
      <c r="DM34">
        <v>6805</v>
      </c>
      <c r="DN34">
        <v>148</v>
      </c>
      <c r="DO34">
        <v>2946</v>
      </c>
      <c r="DP34">
        <v>8826</v>
      </c>
      <c r="DQ34">
        <v>219</v>
      </c>
      <c r="DR34">
        <v>3905</v>
      </c>
      <c r="DS34">
        <v>68</v>
      </c>
      <c r="DT34">
        <v>2813</v>
      </c>
      <c r="DU34">
        <v>6112</v>
      </c>
      <c r="DV34">
        <v>69</v>
      </c>
      <c r="DW34">
        <v>2842</v>
      </c>
      <c r="DX34">
        <v>6121</v>
      </c>
      <c r="DY34">
        <v>49</v>
      </c>
      <c r="DZ34">
        <v>2254</v>
      </c>
      <c r="EA34">
        <v>3</v>
      </c>
      <c r="EB34">
        <v>34</v>
      </c>
      <c r="EC34">
        <v>97</v>
      </c>
      <c r="ED34">
        <v>5</v>
      </c>
      <c r="EE34">
        <v>51</v>
      </c>
      <c r="EF34">
        <v>374</v>
      </c>
      <c r="EG34">
        <v>14</v>
      </c>
      <c r="EH34">
        <v>116</v>
      </c>
      <c r="EI34">
        <v>8</v>
      </c>
      <c r="EJ34">
        <v>227</v>
      </c>
      <c r="EK34">
        <v>678</v>
      </c>
      <c r="EL34">
        <v>7</v>
      </c>
      <c r="EM34">
        <v>227</v>
      </c>
      <c r="EN34">
        <v>599</v>
      </c>
      <c r="EO34">
        <v>43</v>
      </c>
      <c r="EP34">
        <v>1205</v>
      </c>
      <c r="EQ34">
        <v>26</v>
      </c>
      <c r="ER34">
        <v>137</v>
      </c>
      <c r="ES34">
        <v>348</v>
      </c>
      <c r="ET34">
        <v>26</v>
      </c>
      <c r="EU34">
        <v>122</v>
      </c>
      <c r="EV34">
        <v>260</v>
      </c>
      <c r="EW34">
        <v>67</v>
      </c>
      <c r="EX34">
        <v>272</v>
      </c>
      <c r="EY34">
        <v>252</v>
      </c>
      <c r="EZ34">
        <v>846</v>
      </c>
      <c r="FA34">
        <v>3744</v>
      </c>
      <c r="FB34">
        <v>263</v>
      </c>
      <c r="FC34">
        <v>875</v>
      </c>
      <c r="FD34">
        <v>4014</v>
      </c>
      <c r="FE34">
        <v>100</v>
      </c>
      <c r="FF34">
        <v>278</v>
      </c>
      <c r="FG34">
        <v>204</v>
      </c>
      <c r="FH34">
        <v>2137</v>
      </c>
      <c r="FI34">
        <v>9362</v>
      </c>
      <c r="FJ34">
        <v>197</v>
      </c>
      <c r="FK34">
        <v>2143</v>
      </c>
      <c r="FL34">
        <v>9378</v>
      </c>
      <c r="FM34">
        <v>500</v>
      </c>
      <c r="FN34">
        <v>5693</v>
      </c>
      <c r="FO34">
        <v>470</v>
      </c>
      <c r="FP34">
        <v>361</v>
      </c>
      <c r="FQ34">
        <v>987</v>
      </c>
      <c r="FR34">
        <v>408</v>
      </c>
      <c r="FS34">
        <v>339</v>
      </c>
      <c r="FT34">
        <v>1048</v>
      </c>
      <c r="FU34">
        <v>240</v>
      </c>
      <c r="FV34">
        <v>421</v>
      </c>
    </row>
    <row r="35" spans="1:178" x14ac:dyDescent="0.4">
      <c r="A35" s="1" t="s">
        <v>58</v>
      </c>
      <c r="B35" s="1" t="s">
        <v>59</v>
      </c>
      <c r="C35">
        <v>49</v>
      </c>
      <c r="D35">
        <v>1093</v>
      </c>
      <c r="E35">
        <v>2638</v>
      </c>
      <c r="F35">
        <v>48</v>
      </c>
      <c r="G35">
        <v>869</v>
      </c>
      <c r="H35">
        <v>2329</v>
      </c>
      <c r="I35">
        <v>42</v>
      </c>
      <c r="J35">
        <v>1270</v>
      </c>
      <c r="K35">
        <v>865</v>
      </c>
      <c r="L35">
        <v>5064</v>
      </c>
      <c r="M35">
        <v>18643</v>
      </c>
      <c r="N35">
        <v>1095</v>
      </c>
      <c r="O35">
        <v>6185</v>
      </c>
      <c r="P35">
        <v>24333</v>
      </c>
      <c r="Q35">
        <v>1890</v>
      </c>
      <c r="R35">
        <v>7717</v>
      </c>
      <c r="S35">
        <v>61</v>
      </c>
      <c r="T35">
        <v>267</v>
      </c>
      <c r="U35">
        <v>1495</v>
      </c>
      <c r="V35">
        <v>61</v>
      </c>
      <c r="W35">
        <v>270</v>
      </c>
      <c r="X35">
        <v>1499</v>
      </c>
      <c r="Y35">
        <v>9</v>
      </c>
      <c r="Z35">
        <v>13</v>
      </c>
      <c r="AA35">
        <v>77</v>
      </c>
      <c r="AB35">
        <v>400</v>
      </c>
      <c r="AC35">
        <v>2265</v>
      </c>
      <c r="AD35">
        <v>85</v>
      </c>
      <c r="AE35">
        <v>441</v>
      </c>
      <c r="AF35">
        <v>2355</v>
      </c>
      <c r="AG35">
        <v>64</v>
      </c>
      <c r="AH35">
        <v>284</v>
      </c>
      <c r="AI35">
        <v>50</v>
      </c>
      <c r="AJ35">
        <v>241</v>
      </c>
      <c r="AK35">
        <v>1660</v>
      </c>
      <c r="AL35">
        <v>56</v>
      </c>
      <c r="AM35">
        <v>289</v>
      </c>
      <c r="AN35">
        <v>1756</v>
      </c>
      <c r="AO35">
        <v>42</v>
      </c>
      <c r="AP35">
        <v>772</v>
      </c>
      <c r="AQ35">
        <v>89</v>
      </c>
      <c r="AR35">
        <v>638</v>
      </c>
      <c r="AS35">
        <v>4037</v>
      </c>
      <c r="AT35">
        <v>101</v>
      </c>
      <c r="AU35">
        <v>759</v>
      </c>
      <c r="AV35">
        <v>4495</v>
      </c>
      <c r="AW35">
        <v>55</v>
      </c>
      <c r="AX35">
        <v>234</v>
      </c>
      <c r="AY35">
        <v>74</v>
      </c>
      <c r="AZ35">
        <v>232</v>
      </c>
      <c r="BA35">
        <v>1231</v>
      </c>
      <c r="BB35">
        <v>113</v>
      </c>
      <c r="BC35">
        <v>377</v>
      </c>
      <c r="BD35">
        <v>1999</v>
      </c>
      <c r="BE35">
        <v>83</v>
      </c>
      <c r="BF35">
        <v>175</v>
      </c>
      <c r="BG35">
        <v>49</v>
      </c>
      <c r="BH35">
        <v>491</v>
      </c>
      <c r="BI35">
        <v>2682</v>
      </c>
      <c r="BJ35">
        <v>39</v>
      </c>
      <c r="BK35">
        <v>407</v>
      </c>
      <c r="BL35">
        <v>2306</v>
      </c>
      <c r="BM35">
        <v>12</v>
      </c>
      <c r="BN35">
        <v>103</v>
      </c>
      <c r="BO35">
        <v>7</v>
      </c>
      <c r="BP35">
        <v>23</v>
      </c>
      <c r="BQ35">
        <v>91</v>
      </c>
      <c r="BR35">
        <v>7</v>
      </c>
      <c r="BS35">
        <v>23</v>
      </c>
      <c r="BT35">
        <v>91</v>
      </c>
      <c r="BU35">
        <v>0</v>
      </c>
      <c r="BV35">
        <v>0</v>
      </c>
      <c r="BW35">
        <v>44</v>
      </c>
      <c r="BX35">
        <v>689</v>
      </c>
      <c r="BY35">
        <v>4158</v>
      </c>
      <c r="BZ35">
        <v>44</v>
      </c>
      <c r="CA35">
        <v>741</v>
      </c>
      <c r="CB35">
        <v>4306</v>
      </c>
      <c r="CC35">
        <v>16</v>
      </c>
      <c r="CD35">
        <v>145</v>
      </c>
      <c r="CE35">
        <v>88</v>
      </c>
      <c r="CF35">
        <v>291</v>
      </c>
      <c r="CG35">
        <v>2185</v>
      </c>
      <c r="CH35">
        <v>87</v>
      </c>
      <c r="CI35">
        <v>279</v>
      </c>
      <c r="CJ35">
        <v>2390</v>
      </c>
      <c r="CK35">
        <v>5</v>
      </c>
      <c r="CL35">
        <v>57</v>
      </c>
      <c r="CM35">
        <v>1510</v>
      </c>
      <c r="CN35">
        <v>4024</v>
      </c>
      <c r="CO35">
        <v>11924</v>
      </c>
      <c r="CP35">
        <v>1652</v>
      </c>
      <c r="CQ35">
        <v>4455</v>
      </c>
      <c r="CR35">
        <v>14418</v>
      </c>
      <c r="CS35">
        <v>1363</v>
      </c>
      <c r="CT35">
        <v>3668</v>
      </c>
      <c r="CU35">
        <v>329</v>
      </c>
      <c r="CV35">
        <v>2966</v>
      </c>
      <c r="CW35">
        <v>8223</v>
      </c>
      <c r="CX35">
        <v>338</v>
      </c>
      <c r="CY35">
        <v>3249</v>
      </c>
      <c r="CZ35">
        <v>10080</v>
      </c>
      <c r="DA35">
        <v>379</v>
      </c>
      <c r="DB35">
        <v>4609</v>
      </c>
      <c r="DC35">
        <v>73</v>
      </c>
      <c r="DD35">
        <v>582</v>
      </c>
      <c r="DE35">
        <v>1593</v>
      </c>
      <c r="DF35">
        <v>90</v>
      </c>
      <c r="DG35">
        <v>734</v>
      </c>
      <c r="DH35">
        <v>2370</v>
      </c>
      <c r="DI35">
        <v>84</v>
      </c>
      <c r="DJ35">
        <v>620</v>
      </c>
      <c r="DK35">
        <v>170</v>
      </c>
      <c r="DL35">
        <v>3113</v>
      </c>
      <c r="DM35">
        <v>8127</v>
      </c>
      <c r="DN35">
        <v>178</v>
      </c>
      <c r="DO35">
        <v>3226</v>
      </c>
      <c r="DP35">
        <v>9449</v>
      </c>
      <c r="DQ35">
        <v>210</v>
      </c>
      <c r="DR35">
        <v>3778</v>
      </c>
      <c r="DS35">
        <v>54</v>
      </c>
      <c r="DT35">
        <v>2218</v>
      </c>
      <c r="DU35">
        <v>5110</v>
      </c>
      <c r="DV35">
        <v>57</v>
      </c>
      <c r="DW35">
        <v>2519</v>
      </c>
      <c r="DX35">
        <v>5584</v>
      </c>
      <c r="DY35">
        <v>46</v>
      </c>
      <c r="DZ35">
        <v>1953</v>
      </c>
      <c r="EA35">
        <v>8</v>
      </c>
      <c r="EB35">
        <v>86</v>
      </c>
      <c r="EC35">
        <v>233</v>
      </c>
      <c r="ED35">
        <v>6</v>
      </c>
      <c r="EE35">
        <v>70</v>
      </c>
      <c r="EF35">
        <v>176</v>
      </c>
      <c r="EG35">
        <v>16</v>
      </c>
      <c r="EH35">
        <v>132</v>
      </c>
      <c r="EI35">
        <v>5</v>
      </c>
      <c r="EJ35">
        <v>205</v>
      </c>
      <c r="EK35">
        <v>444</v>
      </c>
      <c r="EL35">
        <v>19</v>
      </c>
      <c r="EM35">
        <v>567</v>
      </c>
      <c r="EN35">
        <v>1621</v>
      </c>
      <c r="EO35">
        <v>29</v>
      </c>
      <c r="EP35">
        <v>843</v>
      </c>
      <c r="EQ35">
        <v>28</v>
      </c>
      <c r="ER35">
        <v>154</v>
      </c>
      <c r="ES35">
        <v>378</v>
      </c>
      <c r="ET35">
        <v>38</v>
      </c>
      <c r="EU35">
        <v>224</v>
      </c>
      <c r="EV35">
        <v>590</v>
      </c>
      <c r="EW35">
        <v>58</v>
      </c>
      <c r="EX35">
        <v>205</v>
      </c>
      <c r="EY35">
        <v>321</v>
      </c>
      <c r="EZ35">
        <v>1064</v>
      </c>
      <c r="FA35">
        <v>4869</v>
      </c>
      <c r="FB35">
        <v>327</v>
      </c>
      <c r="FC35">
        <v>1076</v>
      </c>
      <c r="FD35">
        <v>5197</v>
      </c>
      <c r="FE35">
        <v>95</v>
      </c>
      <c r="FF35">
        <v>268</v>
      </c>
      <c r="FG35">
        <v>216</v>
      </c>
      <c r="FH35">
        <v>2252</v>
      </c>
      <c r="FI35">
        <v>10323</v>
      </c>
      <c r="FJ35">
        <v>248</v>
      </c>
      <c r="FK35">
        <v>2903</v>
      </c>
      <c r="FL35">
        <v>12130</v>
      </c>
      <c r="FM35">
        <v>468</v>
      </c>
      <c r="FN35">
        <v>5042</v>
      </c>
      <c r="FO35">
        <v>354</v>
      </c>
      <c r="FP35">
        <v>313</v>
      </c>
      <c r="FQ35">
        <v>843</v>
      </c>
      <c r="FR35">
        <v>428</v>
      </c>
      <c r="FS35">
        <v>288</v>
      </c>
      <c r="FT35">
        <v>894</v>
      </c>
      <c r="FU35">
        <v>243</v>
      </c>
      <c r="FV35">
        <v>450</v>
      </c>
    </row>
    <row r="36" spans="1:178" x14ac:dyDescent="0.4">
      <c r="A36" s="1" t="s">
        <v>60</v>
      </c>
      <c r="B36" s="1" t="s">
        <v>61</v>
      </c>
      <c r="C36">
        <v>43</v>
      </c>
      <c r="D36">
        <v>908</v>
      </c>
      <c r="E36">
        <v>2238</v>
      </c>
      <c r="F36">
        <v>37</v>
      </c>
      <c r="G36">
        <v>878</v>
      </c>
      <c r="H36">
        <v>2247</v>
      </c>
      <c r="I36">
        <v>48</v>
      </c>
      <c r="J36">
        <v>1299</v>
      </c>
      <c r="K36">
        <v>799</v>
      </c>
      <c r="L36">
        <v>4839</v>
      </c>
      <c r="M36">
        <v>17133</v>
      </c>
      <c r="N36">
        <v>826</v>
      </c>
      <c r="O36">
        <v>4856</v>
      </c>
      <c r="P36">
        <v>17710</v>
      </c>
      <c r="Q36">
        <v>2004</v>
      </c>
      <c r="R36">
        <v>8048</v>
      </c>
      <c r="S36">
        <v>63</v>
      </c>
      <c r="T36">
        <v>253</v>
      </c>
      <c r="U36">
        <v>1330</v>
      </c>
      <c r="V36">
        <v>59</v>
      </c>
      <c r="W36">
        <v>247</v>
      </c>
      <c r="X36">
        <v>1317</v>
      </c>
      <c r="Y36">
        <v>13</v>
      </c>
      <c r="Z36">
        <v>19</v>
      </c>
      <c r="AA36">
        <v>58</v>
      </c>
      <c r="AB36">
        <v>530</v>
      </c>
      <c r="AC36">
        <v>1609</v>
      </c>
      <c r="AD36">
        <v>45</v>
      </c>
      <c r="AE36">
        <v>469</v>
      </c>
      <c r="AF36">
        <v>1175</v>
      </c>
      <c r="AG36">
        <v>77</v>
      </c>
      <c r="AH36">
        <v>345</v>
      </c>
      <c r="AI36">
        <v>30</v>
      </c>
      <c r="AJ36">
        <v>136</v>
      </c>
      <c r="AK36">
        <v>1254</v>
      </c>
      <c r="AL36">
        <v>45</v>
      </c>
      <c r="AM36">
        <v>194</v>
      </c>
      <c r="AN36">
        <v>1124</v>
      </c>
      <c r="AO36">
        <v>27</v>
      </c>
      <c r="AP36">
        <v>713</v>
      </c>
      <c r="AQ36">
        <v>55</v>
      </c>
      <c r="AR36">
        <v>326</v>
      </c>
      <c r="AS36">
        <v>2313</v>
      </c>
      <c r="AT36">
        <v>57</v>
      </c>
      <c r="AU36">
        <v>335</v>
      </c>
      <c r="AV36">
        <v>2394</v>
      </c>
      <c r="AW36">
        <v>53</v>
      </c>
      <c r="AX36">
        <v>225</v>
      </c>
      <c r="AY36">
        <v>37</v>
      </c>
      <c r="AZ36">
        <v>122</v>
      </c>
      <c r="BA36">
        <v>741</v>
      </c>
      <c r="BB36">
        <v>62</v>
      </c>
      <c r="BC36">
        <v>190</v>
      </c>
      <c r="BD36">
        <v>1097</v>
      </c>
      <c r="BE36">
        <v>74</v>
      </c>
      <c r="BF36">
        <v>155</v>
      </c>
      <c r="BG36">
        <v>12</v>
      </c>
      <c r="BH36">
        <v>123</v>
      </c>
      <c r="BI36">
        <v>690</v>
      </c>
      <c r="BJ36">
        <v>20</v>
      </c>
      <c r="BK36">
        <v>196</v>
      </c>
      <c r="BL36">
        <v>987</v>
      </c>
      <c r="BM36">
        <v>4</v>
      </c>
      <c r="BN36">
        <v>30</v>
      </c>
      <c r="BO36">
        <v>7</v>
      </c>
      <c r="BP36">
        <v>15</v>
      </c>
      <c r="BQ36">
        <v>94</v>
      </c>
      <c r="BR36">
        <v>4</v>
      </c>
      <c r="BS36">
        <v>6</v>
      </c>
      <c r="BT36">
        <v>45</v>
      </c>
      <c r="BU36">
        <v>3</v>
      </c>
      <c r="BV36">
        <v>9</v>
      </c>
      <c r="BW36">
        <v>28</v>
      </c>
      <c r="BX36">
        <v>416</v>
      </c>
      <c r="BY36">
        <v>831</v>
      </c>
      <c r="BZ36">
        <v>30</v>
      </c>
      <c r="CA36">
        <v>430</v>
      </c>
      <c r="CB36">
        <v>866</v>
      </c>
      <c r="CC36">
        <v>14</v>
      </c>
      <c r="CD36">
        <v>131</v>
      </c>
      <c r="CE36">
        <v>44</v>
      </c>
      <c r="CF36">
        <v>169</v>
      </c>
      <c r="CG36">
        <v>771</v>
      </c>
      <c r="CH36">
        <v>44</v>
      </c>
      <c r="CI36">
        <v>164</v>
      </c>
      <c r="CJ36">
        <v>774</v>
      </c>
      <c r="CK36">
        <v>5</v>
      </c>
      <c r="CL36">
        <v>62</v>
      </c>
      <c r="CM36">
        <v>1431</v>
      </c>
      <c r="CN36">
        <v>3945</v>
      </c>
      <c r="CO36">
        <v>11986</v>
      </c>
      <c r="CP36">
        <v>1417</v>
      </c>
      <c r="CQ36">
        <v>3969</v>
      </c>
      <c r="CR36">
        <v>12984</v>
      </c>
      <c r="CS36">
        <v>1377</v>
      </c>
      <c r="CT36">
        <v>3645</v>
      </c>
      <c r="CU36">
        <v>279</v>
      </c>
      <c r="CV36">
        <v>2994</v>
      </c>
      <c r="CW36">
        <v>7663</v>
      </c>
      <c r="CX36">
        <v>262</v>
      </c>
      <c r="CY36">
        <v>2721</v>
      </c>
      <c r="CZ36">
        <v>8533</v>
      </c>
      <c r="DA36">
        <v>397</v>
      </c>
      <c r="DB36">
        <v>4905</v>
      </c>
      <c r="DC36">
        <v>64</v>
      </c>
      <c r="DD36">
        <v>537</v>
      </c>
      <c r="DE36">
        <v>1343</v>
      </c>
      <c r="DF36">
        <v>73</v>
      </c>
      <c r="DG36">
        <v>611</v>
      </c>
      <c r="DH36">
        <v>1943</v>
      </c>
      <c r="DI36">
        <v>76</v>
      </c>
      <c r="DJ36">
        <v>561</v>
      </c>
      <c r="DK36">
        <v>171</v>
      </c>
      <c r="DL36">
        <v>3535</v>
      </c>
      <c r="DM36">
        <v>8041</v>
      </c>
      <c r="DN36">
        <v>190</v>
      </c>
      <c r="DO36">
        <v>3653</v>
      </c>
      <c r="DP36">
        <v>9580</v>
      </c>
      <c r="DQ36">
        <v>191</v>
      </c>
      <c r="DR36">
        <v>3653</v>
      </c>
      <c r="DS36">
        <v>56</v>
      </c>
      <c r="DT36">
        <v>2225</v>
      </c>
      <c r="DU36">
        <v>4837</v>
      </c>
      <c r="DV36">
        <v>50</v>
      </c>
      <c r="DW36">
        <v>2014</v>
      </c>
      <c r="DX36">
        <v>4685</v>
      </c>
      <c r="DY36">
        <v>52</v>
      </c>
      <c r="DZ36">
        <v>2165</v>
      </c>
      <c r="EA36">
        <v>6</v>
      </c>
      <c r="EB36">
        <v>62</v>
      </c>
      <c r="EC36">
        <v>187</v>
      </c>
      <c r="ED36">
        <v>4</v>
      </c>
      <c r="EE36">
        <v>38</v>
      </c>
      <c r="EF36">
        <v>222</v>
      </c>
      <c r="EG36">
        <v>18</v>
      </c>
      <c r="EH36">
        <v>156</v>
      </c>
      <c r="EI36">
        <v>3</v>
      </c>
      <c r="EJ36">
        <v>68</v>
      </c>
      <c r="EK36">
        <v>207</v>
      </c>
      <c r="EL36">
        <v>4</v>
      </c>
      <c r="EM36">
        <v>117</v>
      </c>
      <c r="EN36">
        <v>376</v>
      </c>
      <c r="EO36">
        <v>28</v>
      </c>
      <c r="EP36">
        <v>794</v>
      </c>
      <c r="EQ36">
        <v>21</v>
      </c>
      <c r="ER36">
        <v>86</v>
      </c>
      <c r="ES36">
        <v>219</v>
      </c>
      <c r="ET36">
        <v>14</v>
      </c>
      <c r="EU36">
        <v>55</v>
      </c>
      <c r="EV36">
        <v>142</v>
      </c>
      <c r="EW36">
        <v>66</v>
      </c>
      <c r="EX36">
        <v>239</v>
      </c>
      <c r="EY36">
        <v>261</v>
      </c>
      <c r="EZ36">
        <v>810</v>
      </c>
      <c r="FA36">
        <v>3773</v>
      </c>
      <c r="FB36">
        <v>264</v>
      </c>
      <c r="FC36">
        <v>824</v>
      </c>
      <c r="FD36">
        <v>4106</v>
      </c>
      <c r="FE36">
        <v>93</v>
      </c>
      <c r="FF36">
        <v>260</v>
      </c>
      <c r="FG36">
        <v>212</v>
      </c>
      <c r="FH36">
        <v>2192</v>
      </c>
      <c r="FI36">
        <v>9982</v>
      </c>
      <c r="FJ36">
        <v>220</v>
      </c>
      <c r="FK36">
        <v>2374</v>
      </c>
      <c r="FL36">
        <v>10260</v>
      </c>
      <c r="FM36">
        <v>460</v>
      </c>
      <c r="FN36">
        <v>4860</v>
      </c>
      <c r="FO36">
        <v>394</v>
      </c>
      <c r="FP36">
        <v>426</v>
      </c>
      <c r="FQ36">
        <v>1247</v>
      </c>
      <c r="FR36">
        <v>431</v>
      </c>
      <c r="FS36">
        <v>353</v>
      </c>
      <c r="FT36">
        <v>1136</v>
      </c>
      <c r="FU36">
        <v>246</v>
      </c>
      <c r="FV36">
        <v>527</v>
      </c>
    </row>
    <row r="37" spans="1:178" x14ac:dyDescent="0.4">
      <c r="A37" s="1" t="s">
        <v>62</v>
      </c>
      <c r="B37" s="1" t="s">
        <v>63</v>
      </c>
      <c r="C37">
        <v>42</v>
      </c>
      <c r="D37">
        <v>949</v>
      </c>
      <c r="E37">
        <v>2354</v>
      </c>
      <c r="F37">
        <v>47</v>
      </c>
      <c r="G37">
        <v>1222</v>
      </c>
      <c r="H37">
        <v>2862</v>
      </c>
      <c r="I37">
        <v>43</v>
      </c>
      <c r="J37">
        <v>1027</v>
      </c>
      <c r="K37">
        <v>890</v>
      </c>
      <c r="L37">
        <v>5459</v>
      </c>
      <c r="M37">
        <v>19383</v>
      </c>
      <c r="N37">
        <v>820</v>
      </c>
      <c r="O37">
        <v>4914</v>
      </c>
      <c r="P37">
        <v>18867</v>
      </c>
      <c r="Q37">
        <v>2164</v>
      </c>
      <c r="R37">
        <v>8784</v>
      </c>
      <c r="S37">
        <v>58</v>
      </c>
      <c r="T37">
        <v>245</v>
      </c>
      <c r="U37">
        <v>1295</v>
      </c>
      <c r="V37">
        <v>54</v>
      </c>
      <c r="W37">
        <v>243</v>
      </c>
      <c r="X37">
        <v>1284</v>
      </c>
      <c r="Y37">
        <v>17</v>
      </c>
      <c r="Z37">
        <v>21</v>
      </c>
      <c r="AA37">
        <v>61</v>
      </c>
      <c r="AB37">
        <v>306</v>
      </c>
      <c r="AC37">
        <v>1605</v>
      </c>
      <c r="AD37">
        <v>55</v>
      </c>
      <c r="AE37">
        <v>305</v>
      </c>
      <c r="AF37">
        <v>1476</v>
      </c>
      <c r="AG37">
        <v>83</v>
      </c>
      <c r="AH37">
        <v>346</v>
      </c>
      <c r="AI37">
        <v>36</v>
      </c>
      <c r="AJ37">
        <v>142</v>
      </c>
      <c r="AK37">
        <v>996</v>
      </c>
      <c r="AL37">
        <v>39</v>
      </c>
      <c r="AM37">
        <v>155</v>
      </c>
      <c r="AN37">
        <v>1276</v>
      </c>
      <c r="AO37">
        <v>24</v>
      </c>
      <c r="AP37">
        <v>700</v>
      </c>
      <c r="AQ37">
        <v>49</v>
      </c>
      <c r="AR37">
        <v>281</v>
      </c>
      <c r="AS37">
        <v>1926</v>
      </c>
      <c r="AT37">
        <v>48</v>
      </c>
      <c r="AU37">
        <v>277</v>
      </c>
      <c r="AV37">
        <v>1804</v>
      </c>
      <c r="AW37">
        <v>54</v>
      </c>
      <c r="AX37">
        <v>229</v>
      </c>
      <c r="AY37">
        <v>50</v>
      </c>
      <c r="AZ37">
        <v>181</v>
      </c>
      <c r="BA37">
        <v>865</v>
      </c>
      <c r="BB37">
        <v>59</v>
      </c>
      <c r="BC37">
        <v>170</v>
      </c>
      <c r="BD37">
        <v>1136</v>
      </c>
      <c r="BE37">
        <v>77</v>
      </c>
      <c r="BF37">
        <v>175</v>
      </c>
      <c r="BG37">
        <v>35</v>
      </c>
      <c r="BH37">
        <v>335</v>
      </c>
      <c r="BI37">
        <v>1976</v>
      </c>
      <c r="BJ37">
        <v>27</v>
      </c>
      <c r="BK37">
        <v>270</v>
      </c>
      <c r="BL37">
        <v>1607</v>
      </c>
      <c r="BM37">
        <v>12</v>
      </c>
      <c r="BN37">
        <v>95</v>
      </c>
      <c r="BO37">
        <v>4</v>
      </c>
      <c r="BP37">
        <v>6</v>
      </c>
      <c r="BQ37">
        <v>32</v>
      </c>
      <c r="BR37">
        <v>7</v>
      </c>
      <c r="BS37">
        <v>14</v>
      </c>
      <c r="BT37">
        <v>81</v>
      </c>
      <c r="BU37">
        <v>0</v>
      </c>
      <c r="BV37">
        <v>0</v>
      </c>
      <c r="BW37">
        <v>20</v>
      </c>
      <c r="BX37">
        <v>282</v>
      </c>
      <c r="BY37">
        <v>1368</v>
      </c>
      <c r="BZ37">
        <v>20</v>
      </c>
      <c r="CA37">
        <v>282</v>
      </c>
      <c r="CB37">
        <v>1371</v>
      </c>
      <c r="CC37">
        <v>14</v>
      </c>
      <c r="CD37">
        <v>131</v>
      </c>
      <c r="CE37">
        <v>90</v>
      </c>
      <c r="CF37">
        <v>245</v>
      </c>
      <c r="CG37">
        <v>1632</v>
      </c>
      <c r="CH37">
        <v>90</v>
      </c>
      <c r="CI37">
        <v>260</v>
      </c>
      <c r="CJ37">
        <v>2002</v>
      </c>
      <c r="CK37">
        <v>5</v>
      </c>
      <c r="CL37">
        <v>47</v>
      </c>
      <c r="CM37">
        <v>1539</v>
      </c>
      <c r="CN37">
        <v>4053</v>
      </c>
      <c r="CO37">
        <v>12107</v>
      </c>
      <c r="CP37">
        <v>1343</v>
      </c>
      <c r="CQ37">
        <v>3579</v>
      </c>
      <c r="CR37">
        <v>11659</v>
      </c>
      <c r="CS37">
        <v>1572</v>
      </c>
      <c r="CT37">
        <v>4112</v>
      </c>
      <c r="CU37">
        <v>293</v>
      </c>
      <c r="CV37">
        <v>2645</v>
      </c>
      <c r="CW37">
        <v>7789</v>
      </c>
      <c r="CX37">
        <v>284</v>
      </c>
      <c r="CY37">
        <v>2539</v>
      </c>
      <c r="CZ37">
        <v>8353</v>
      </c>
      <c r="DA37">
        <v>400</v>
      </c>
      <c r="DB37">
        <v>4900</v>
      </c>
      <c r="DC37">
        <v>88</v>
      </c>
      <c r="DD37">
        <v>689</v>
      </c>
      <c r="DE37">
        <v>1939</v>
      </c>
      <c r="DF37">
        <v>64</v>
      </c>
      <c r="DG37">
        <v>521</v>
      </c>
      <c r="DH37">
        <v>1815</v>
      </c>
      <c r="DI37">
        <v>101</v>
      </c>
      <c r="DJ37">
        <v>744</v>
      </c>
      <c r="DK37">
        <v>139</v>
      </c>
      <c r="DL37">
        <v>2873</v>
      </c>
      <c r="DM37">
        <v>7021</v>
      </c>
      <c r="DN37">
        <v>139</v>
      </c>
      <c r="DO37">
        <v>2791</v>
      </c>
      <c r="DP37">
        <v>7692</v>
      </c>
      <c r="DQ37">
        <v>190</v>
      </c>
      <c r="DR37">
        <v>3687</v>
      </c>
      <c r="DS37">
        <v>73</v>
      </c>
      <c r="DT37">
        <v>2891</v>
      </c>
      <c r="DU37">
        <v>7151</v>
      </c>
      <c r="DV37">
        <v>66</v>
      </c>
      <c r="DW37">
        <v>2276</v>
      </c>
      <c r="DX37">
        <v>5584</v>
      </c>
      <c r="DY37">
        <v>59</v>
      </c>
      <c r="DZ37">
        <v>2780</v>
      </c>
      <c r="EA37">
        <v>3</v>
      </c>
      <c r="EB37">
        <v>29</v>
      </c>
      <c r="EC37">
        <v>97</v>
      </c>
      <c r="ED37">
        <v>4</v>
      </c>
      <c r="EE37">
        <v>46</v>
      </c>
      <c r="EF37">
        <v>264</v>
      </c>
      <c r="EG37">
        <v>17</v>
      </c>
      <c r="EH37">
        <v>139</v>
      </c>
      <c r="EI37">
        <v>10</v>
      </c>
      <c r="EJ37">
        <v>308</v>
      </c>
      <c r="EK37">
        <v>1097</v>
      </c>
      <c r="EL37">
        <v>4</v>
      </c>
      <c r="EM37">
        <v>160</v>
      </c>
      <c r="EN37">
        <v>369</v>
      </c>
      <c r="EO37">
        <v>34</v>
      </c>
      <c r="EP37">
        <v>942</v>
      </c>
      <c r="EQ37">
        <v>18</v>
      </c>
      <c r="ER37">
        <v>112</v>
      </c>
      <c r="ES37">
        <v>293</v>
      </c>
      <c r="ET37">
        <v>19</v>
      </c>
      <c r="EU37">
        <v>87</v>
      </c>
      <c r="EV37">
        <v>218</v>
      </c>
      <c r="EW37">
        <v>66</v>
      </c>
      <c r="EX37">
        <v>268</v>
      </c>
      <c r="EY37">
        <v>269</v>
      </c>
      <c r="EZ37">
        <v>848</v>
      </c>
      <c r="FA37">
        <v>3910</v>
      </c>
      <c r="FB37">
        <v>249</v>
      </c>
      <c r="FC37">
        <v>788</v>
      </c>
      <c r="FD37">
        <v>3821</v>
      </c>
      <c r="FE37">
        <v>111</v>
      </c>
      <c r="FF37">
        <v>312</v>
      </c>
      <c r="FG37">
        <v>232</v>
      </c>
      <c r="FH37">
        <v>2513</v>
      </c>
      <c r="FI37">
        <v>11617</v>
      </c>
      <c r="FJ37">
        <v>223</v>
      </c>
      <c r="FK37">
        <v>2315</v>
      </c>
      <c r="FL37">
        <v>11062</v>
      </c>
      <c r="FM37">
        <v>469</v>
      </c>
      <c r="FN37">
        <v>5057</v>
      </c>
      <c r="FO37">
        <v>473</v>
      </c>
      <c r="FP37">
        <v>389</v>
      </c>
      <c r="FQ37">
        <v>1166</v>
      </c>
      <c r="FR37">
        <v>561</v>
      </c>
      <c r="FS37">
        <v>483</v>
      </c>
      <c r="FT37">
        <v>1742</v>
      </c>
      <c r="FU37">
        <v>199</v>
      </c>
      <c r="FV37">
        <v>439</v>
      </c>
    </row>
    <row r="38" spans="1:178" x14ac:dyDescent="0.4">
      <c r="A38" s="1" t="s">
        <v>64</v>
      </c>
      <c r="B38" s="1" t="s">
        <v>65</v>
      </c>
      <c r="C38">
        <v>53</v>
      </c>
      <c r="D38">
        <v>1013</v>
      </c>
      <c r="E38">
        <v>2544</v>
      </c>
      <c r="F38">
        <v>60</v>
      </c>
      <c r="G38">
        <v>1271</v>
      </c>
      <c r="H38">
        <v>3301</v>
      </c>
      <c r="I38">
        <v>36</v>
      </c>
      <c r="J38">
        <v>769</v>
      </c>
      <c r="K38">
        <v>964</v>
      </c>
      <c r="L38">
        <v>6074</v>
      </c>
      <c r="M38">
        <v>19785</v>
      </c>
      <c r="N38">
        <v>1314</v>
      </c>
      <c r="O38">
        <v>7759</v>
      </c>
      <c r="P38">
        <v>27754</v>
      </c>
      <c r="Q38">
        <v>1943</v>
      </c>
      <c r="R38">
        <v>7399</v>
      </c>
      <c r="S38">
        <v>76</v>
      </c>
      <c r="T38">
        <v>301</v>
      </c>
      <c r="U38">
        <v>1467</v>
      </c>
      <c r="V38">
        <v>90</v>
      </c>
      <c r="W38">
        <v>316</v>
      </c>
      <c r="X38">
        <v>1511</v>
      </c>
      <c r="Y38">
        <v>3</v>
      </c>
      <c r="Z38">
        <v>6</v>
      </c>
      <c r="AA38">
        <v>117</v>
      </c>
      <c r="AB38">
        <v>648</v>
      </c>
      <c r="AC38">
        <v>4110</v>
      </c>
      <c r="AD38">
        <v>140</v>
      </c>
      <c r="AE38">
        <v>743</v>
      </c>
      <c r="AF38">
        <v>4613</v>
      </c>
      <c r="AG38">
        <v>60</v>
      </c>
      <c r="AH38">
        <v>251</v>
      </c>
      <c r="AI38">
        <v>68</v>
      </c>
      <c r="AJ38">
        <v>265</v>
      </c>
      <c r="AK38">
        <v>1993</v>
      </c>
      <c r="AL38">
        <v>88</v>
      </c>
      <c r="AM38">
        <v>569</v>
      </c>
      <c r="AN38">
        <v>2961</v>
      </c>
      <c r="AO38">
        <v>17</v>
      </c>
      <c r="AP38">
        <v>239</v>
      </c>
      <c r="AQ38">
        <v>146</v>
      </c>
      <c r="AR38">
        <v>813</v>
      </c>
      <c r="AS38">
        <v>5484</v>
      </c>
      <c r="AT38">
        <v>150</v>
      </c>
      <c r="AU38">
        <v>826</v>
      </c>
      <c r="AV38">
        <v>5764</v>
      </c>
      <c r="AW38">
        <v>50</v>
      </c>
      <c r="AX38">
        <v>216</v>
      </c>
      <c r="AY38">
        <v>52</v>
      </c>
      <c r="AZ38">
        <v>148</v>
      </c>
      <c r="BA38">
        <v>1017</v>
      </c>
      <c r="BB38">
        <v>108</v>
      </c>
      <c r="BC38">
        <v>299</v>
      </c>
      <c r="BD38">
        <v>1639</v>
      </c>
      <c r="BE38">
        <v>47</v>
      </c>
      <c r="BF38">
        <v>105</v>
      </c>
      <c r="BG38">
        <v>45</v>
      </c>
      <c r="BH38">
        <v>473</v>
      </c>
      <c r="BI38">
        <v>2889</v>
      </c>
      <c r="BJ38">
        <v>53</v>
      </c>
      <c r="BK38">
        <v>541</v>
      </c>
      <c r="BL38">
        <v>3237</v>
      </c>
      <c r="BM38">
        <v>4</v>
      </c>
      <c r="BN38">
        <v>27</v>
      </c>
      <c r="BO38">
        <v>6</v>
      </c>
      <c r="BP38">
        <v>20</v>
      </c>
      <c r="BQ38">
        <v>119</v>
      </c>
      <c r="BR38">
        <v>6</v>
      </c>
      <c r="BS38">
        <v>20</v>
      </c>
      <c r="BT38">
        <v>119</v>
      </c>
      <c r="BU38">
        <v>0</v>
      </c>
      <c r="BV38">
        <v>0</v>
      </c>
      <c r="BW38">
        <v>26</v>
      </c>
      <c r="BX38">
        <v>678</v>
      </c>
      <c r="BY38">
        <v>2686</v>
      </c>
      <c r="BZ38">
        <v>25</v>
      </c>
      <c r="CA38">
        <v>623</v>
      </c>
      <c r="CB38">
        <v>2507</v>
      </c>
      <c r="CC38">
        <v>15</v>
      </c>
      <c r="CD38">
        <v>186</v>
      </c>
      <c r="CE38">
        <v>73</v>
      </c>
      <c r="CF38">
        <v>200</v>
      </c>
      <c r="CG38">
        <v>1340</v>
      </c>
      <c r="CH38">
        <v>74</v>
      </c>
      <c r="CI38">
        <v>222</v>
      </c>
      <c r="CJ38">
        <v>1529</v>
      </c>
      <c r="CK38">
        <v>4</v>
      </c>
      <c r="CL38">
        <v>25</v>
      </c>
      <c r="CM38">
        <v>1708</v>
      </c>
      <c r="CN38">
        <v>4470</v>
      </c>
      <c r="CO38">
        <v>13503</v>
      </c>
      <c r="CP38">
        <v>1942</v>
      </c>
      <c r="CQ38">
        <v>5058</v>
      </c>
      <c r="CR38">
        <v>16273</v>
      </c>
      <c r="CS38">
        <v>1337</v>
      </c>
      <c r="CT38">
        <v>3517</v>
      </c>
      <c r="CU38">
        <v>371</v>
      </c>
      <c r="CV38">
        <v>3811</v>
      </c>
      <c r="CW38">
        <v>9836</v>
      </c>
      <c r="CX38">
        <v>359</v>
      </c>
      <c r="CY38">
        <v>3895</v>
      </c>
      <c r="CZ38">
        <v>11399</v>
      </c>
      <c r="DA38">
        <v>412</v>
      </c>
      <c r="DB38">
        <v>4816</v>
      </c>
      <c r="DC38">
        <v>92</v>
      </c>
      <c r="DD38">
        <v>762</v>
      </c>
      <c r="DE38">
        <v>2237</v>
      </c>
      <c r="DF38">
        <v>80</v>
      </c>
      <c r="DG38">
        <v>664</v>
      </c>
      <c r="DH38">
        <v>2319</v>
      </c>
      <c r="DI38">
        <v>114</v>
      </c>
      <c r="DJ38">
        <v>857</v>
      </c>
      <c r="DK38">
        <v>154</v>
      </c>
      <c r="DL38">
        <v>3031</v>
      </c>
      <c r="DM38">
        <v>6844</v>
      </c>
      <c r="DN38">
        <v>192</v>
      </c>
      <c r="DO38">
        <v>3749</v>
      </c>
      <c r="DP38">
        <v>11751</v>
      </c>
      <c r="DQ38">
        <v>152</v>
      </c>
      <c r="DR38">
        <v>2969</v>
      </c>
      <c r="DS38">
        <v>61</v>
      </c>
      <c r="DT38">
        <v>2238</v>
      </c>
      <c r="DU38">
        <v>5285</v>
      </c>
      <c r="DV38">
        <v>84</v>
      </c>
      <c r="DW38">
        <v>3523</v>
      </c>
      <c r="DX38">
        <v>7604</v>
      </c>
      <c r="DY38">
        <v>36</v>
      </c>
      <c r="DZ38">
        <v>1495</v>
      </c>
      <c r="EA38">
        <v>8</v>
      </c>
      <c r="EB38">
        <v>76</v>
      </c>
      <c r="EC38">
        <v>254</v>
      </c>
      <c r="ED38">
        <v>10</v>
      </c>
      <c r="EE38">
        <v>84</v>
      </c>
      <c r="EF38">
        <v>473</v>
      </c>
      <c r="EG38">
        <v>15</v>
      </c>
      <c r="EH38">
        <v>131</v>
      </c>
      <c r="EI38">
        <v>6</v>
      </c>
      <c r="EJ38">
        <v>268</v>
      </c>
      <c r="EK38">
        <v>724</v>
      </c>
      <c r="EL38">
        <v>13</v>
      </c>
      <c r="EM38">
        <v>303</v>
      </c>
      <c r="EN38">
        <v>1079</v>
      </c>
      <c r="EO38">
        <v>27</v>
      </c>
      <c r="EP38">
        <v>896</v>
      </c>
      <c r="EQ38">
        <v>23</v>
      </c>
      <c r="ER38">
        <v>133</v>
      </c>
      <c r="ES38">
        <v>358</v>
      </c>
      <c r="ET38">
        <v>38</v>
      </c>
      <c r="EU38">
        <v>209</v>
      </c>
      <c r="EV38">
        <v>579</v>
      </c>
      <c r="EW38">
        <v>52</v>
      </c>
      <c r="EX38">
        <v>195</v>
      </c>
      <c r="EY38">
        <v>299</v>
      </c>
      <c r="EZ38">
        <v>924</v>
      </c>
      <c r="FA38">
        <v>4251</v>
      </c>
      <c r="FB38">
        <v>311</v>
      </c>
      <c r="FC38">
        <v>960</v>
      </c>
      <c r="FD38">
        <v>4533</v>
      </c>
      <c r="FE38">
        <v>99</v>
      </c>
      <c r="FF38">
        <v>277</v>
      </c>
      <c r="FG38">
        <v>235</v>
      </c>
      <c r="FH38">
        <v>2466</v>
      </c>
      <c r="FI38">
        <v>11859</v>
      </c>
      <c r="FJ38">
        <v>270</v>
      </c>
      <c r="FK38">
        <v>2754</v>
      </c>
      <c r="FL38">
        <v>12426</v>
      </c>
      <c r="FM38">
        <v>434</v>
      </c>
      <c r="FN38">
        <v>4768</v>
      </c>
      <c r="FO38">
        <v>597</v>
      </c>
      <c r="FP38">
        <v>327</v>
      </c>
      <c r="FQ38">
        <v>1052</v>
      </c>
      <c r="FR38">
        <v>703</v>
      </c>
      <c r="FS38">
        <v>439</v>
      </c>
      <c r="FT38">
        <v>1392</v>
      </c>
      <c r="FU38">
        <v>155</v>
      </c>
      <c r="FV38">
        <v>333</v>
      </c>
    </row>
    <row r="39" spans="1:178" x14ac:dyDescent="0.4">
      <c r="A39" s="1"/>
      <c r="B39" s="1"/>
    </row>
    <row r="40" spans="1:178" x14ac:dyDescent="0.4">
      <c r="A40" s="1"/>
      <c r="B40" s="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6AEAC-012A-422D-A78C-6499D70EDF1D}">
  <dimension ref="A1:CY40"/>
  <sheetViews>
    <sheetView workbookViewId="0">
      <selection activeCell="C9" sqref="C9"/>
    </sheetView>
  </sheetViews>
  <sheetFormatPr defaultColWidth="15.625" defaultRowHeight="18.75" x14ac:dyDescent="0.4"/>
  <sheetData>
    <row r="1" spans="1:103" x14ac:dyDescent="0.4">
      <c r="A1" s="1" t="s">
        <v>66</v>
      </c>
      <c r="B1" s="1"/>
    </row>
    <row r="2" spans="1:103" x14ac:dyDescent="0.4">
      <c r="A2" s="4" t="str">
        <f>HYPERLINK("#'目次(Contents)'!A3","目次に戻る(Return to Contents)")</f>
        <v>目次に戻る(Return to Contents)</v>
      </c>
      <c r="B2" s="1"/>
    </row>
    <row r="3" spans="1:103" x14ac:dyDescent="0.4">
      <c r="A3" s="1"/>
      <c r="B3" s="2" t="s">
        <v>0</v>
      </c>
      <c r="C3" t="s">
        <v>583</v>
      </c>
      <c r="D3" t="s">
        <v>583</v>
      </c>
      <c r="E3" t="s">
        <v>583</v>
      </c>
      <c r="F3" t="s">
        <v>585</v>
      </c>
      <c r="G3" t="s">
        <v>587</v>
      </c>
      <c r="H3" t="s">
        <v>587</v>
      </c>
      <c r="I3" t="s">
        <v>587</v>
      </c>
      <c r="J3" t="s">
        <v>587</v>
      </c>
      <c r="K3" t="s">
        <v>587</v>
      </c>
      <c r="L3" t="s">
        <v>587</v>
      </c>
      <c r="M3" t="s">
        <v>587</v>
      </c>
      <c r="N3" t="s">
        <v>590</v>
      </c>
      <c r="O3" t="s">
        <v>590</v>
      </c>
      <c r="P3" t="s">
        <v>590</v>
      </c>
      <c r="Q3" t="s">
        <v>590</v>
      </c>
      <c r="R3" t="s">
        <v>590</v>
      </c>
      <c r="S3" t="s">
        <v>590</v>
      </c>
      <c r="T3" t="s">
        <v>590</v>
      </c>
      <c r="U3" t="s">
        <v>592</v>
      </c>
      <c r="V3" t="s">
        <v>592</v>
      </c>
      <c r="W3" t="s">
        <v>592</v>
      </c>
      <c r="X3" t="s">
        <v>592</v>
      </c>
      <c r="Y3" t="s">
        <v>592</v>
      </c>
      <c r="Z3" t="s">
        <v>592</v>
      </c>
      <c r="AA3" t="s">
        <v>592</v>
      </c>
      <c r="AB3" t="s">
        <v>592</v>
      </c>
      <c r="AC3" t="s">
        <v>594</v>
      </c>
      <c r="AD3" t="s">
        <v>594</v>
      </c>
      <c r="AE3" t="s">
        <v>594</v>
      </c>
      <c r="AF3" t="s">
        <v>594</v>
      </c>
      <c r="AG3" t="s">
        <v>594</v>
      </c>
      <c r="AH3" t="s">
        <v>594</v>
      </c>
      <c r="AI3" t="s">
        <v>594</v>
      </c>
      <c r="AJ3" t="s">
        <v>594</v>
      </c>
      <c r="AK3" t="s">
        <v>596</v>
      </c>
      <c r="AL3" t="s">
        <v>596</v>
      </c>
      <c r="AM3" t="s">
        <v>596</v>
      </c>
      <c r="AN3" t="s">
        <v>596</v>
      </c>
      <c r="AO3" t="s">
        <v>596</v>
      </c>
      <c r="AP3" t="s">
        <v>596</v>
      </c>
      <c r="AQ3" t="s">
        <v>596</v>
      </c>
      <c r="AR3" t="s">
        <v>596</v>
      </c>
      <c r="AS3" t="s">
        <v>598</v>
      </c>
      <c r="AT3" t="s">
        <v>598</v>
      </c>
      <c r="AU3" t="s">
        <v>598</v>
      </c>
      <c r="AV3" t="s">
        <v>598</v>
      </c>
      <c r="AW3" t="s">
        <v>598</v>
      </c>
      <c r="AX3" t="s">
        <v>598</v>
      </c>
      <c r="AY3" t="s">
        <v>598</v>
      </c>
      <c r="AZ3" t="s">
        <v>598</v>
      </c>
      <c r="BA3" t="s">
        <v>600</v>
      </c>
      <c r="BB3" t="s">
        <v>600</v>
      </c>
      <c r="BC3" t="s">
        <v>600</v>
      </c>
      <c r="BD3" t="s">
        <v>600</v>
      </c>
      <c r="BE3" t="s">
        <v>600</v>
      </c>
      <c r="BF3" t="s">
        <v>600</v>
      </c>
      <c r="BG3" t="s">
        <v>600</v>
      </c>
      <c r="BH3" t="s">
        <v>600</v>
      </c>
      <c r="BI3" t="s">
        <v>602</v>
      </c>
      <c r="BJ3" t="s">
        <v>602</v>
      </c>
      <c r="BK3" t="s">
        <v>602</v>
      </c>
      <c r="BL3" t="s">
        <v>602</v>
      </c>
      <c r="BM3" t="s">
        <v>602</v>
      </c>
      <c r="BN3" t="s">
        <v>602</v>
      </c>
      <c r="BO3" t="s">
        <v>602</v>
      </c>
      <c r="BP3" t="s">
        <v>602</v>
      </c>
      <c r="BQ3" t="s">
        <v>604</v>
      </c>
      <c r="BR3" t="s">
        <v>604</v>
      </c>
      <c r="BS3" t="s">
        <v>604</v>
      </c>
      <c r="BT3" t="s">
        <v>604</v>
      </c>
      <c r="BU3" t="s">
        <v>604</v>
      </c>
      <c r="BV3" t="s">
        <v>604</v>
      </c>
      <c r="BW3" t="s">
        <v>604</v>
      </c>
      <c r="BX3" t="s">
        <v>604</v>
      </c>
      <c r="BY3" t="s">
        <v>606</v>
      </c>
      <c r="BZ3" t="s">
        <v>606</v>
      </c>
      <c r="CA3" t="s">
        <v>606</v>
      </c>
      <c r="CB3" t="s">
        <v>606</v>
      </c>
      <c r="CC3" t="s">
        <v>606</v>
      </c>
      <c r="CD3" t="s">
        <v>606</v>
      </c>
      <c r="CE3" t="s">
        <v>608</v>
      </c>
      <c r="CF3" t="s">
        <v>608</v>
      </c>
      <c r="CG3" t="s">
        <v>608</v>
      </c>
      <c r="CH3" t="s">
        <v>608</v>
      </c>
      <c r="CI3" t="s">
        <v>608</v>
      </c>
      <c r="CJ3" t="s">
        <v>608</v>
      </c>
      <c r="CK3" t="s">
        <v>610</v>
      </c>
      <c r="CL3" t="s">
        <v>610</v>
      </c>
      <c r="CM3" t="s">
        <v>610</v>
      </c>
      <c r="CN3" t="s">
        <v>610</v>
      </c>
      <c r="CO3" t="s">
        <v>610</v>
      </c>
      <c r="CP3" t="s">
        <v>610</v>
      </c>
      <c r="CQ3" t="s">
        <v>612</v>
      </c>
      <c r="CR3" t="s">
        <v>612</v>
      </c>
      <c r="CS3" t="s">
        <v>612</v>
      </c>
      <c r="CT3" t="s">
        <v>614</v>
      </c>
      <c r="CU3" t="s">
        <v>614</v>
      </c>
      <c r="CV3" t="s">
        <v>614</v>
      </c>
      <c r="CW3" t="s">
        <v>616</v>
      </c>
      <c r="CX3" t="s">
        <v>616</v>
      </c>
      <c r="CY3" t="s">
        <v>616</v>
      </c>
    </row>
    <row r="4" spans="1:103" x14ac:dyDescent="0.4">
      <c r="A4" s="1"/>
      <c r="B4" s="2" t="s">
        <v>1</v>
      </c>
      <c r="C4" t="s">
        <v>584</v>
      </c>
      <c r="D4" t="s">
        <v>584</v>
      </c>
      <c r="E4" t="s">
        <v>584</v>
      </c>
      <c r="F4" t="s">
        <v>586</v>
      </c>
      <c r="G4" t="s">
        <v>589</v>
      </c>
      <c r="H4" t="s">
        <v>589</v>
      </c>
      <c r="I4" t="s">
        <v>589</v>
      </c>
      <c r="J4" t="s">
        <v>589</v>
      </c>
      <c r="K4" t="s">
        <v>589</v>
      </c>
      <c r="L4" t="s">
        <v>589</v>
      </c>
      <c r="M4" t="s">
        <v>589</v>
      </c>
      <c r="N4" t="s">
        <v>591</v>
      </c>
      <c r="O4" t="s">
        <v>591</v>
      </c>
      <c r="P4" t="s">
        <v>591</v>
      </c>
      <c r="Q4" t="s">
        <v>591</v>
      </c>
      <c r="R4" t="s">
        <v>591</v>
      </c>
      <c r="S4" t="s">
        <v>591</v>
      </c>
      <c r="T4" t="s">
        <v>591</v>
      </c>
      <c r="U4" t="s">
        <v>593</v>
      </c>
      <c r="V4" t="s">
        <v>593</v>
      </c>
      <c r="W4" t="s">
        <v>593</v>
      </c>
      <c r="X4" t="s">
        <v>593</v>
      </c>
      <c r="Y4" t="s">
        <v>593</v>
      </c>
      <c r="Z4" t="s">
        <v>593</v>
      </c>
      <c r="AA4" t="s">
        <v>593</v>
      </c>
      <c r="AB4" t="s">
        <v>593</v>
      </c>
      <c r="AC4" t="s">
        <v>595</v>
      </c>
      <c r="AD4" t="s">
        <v>595</v>
      </c>
      <c r="AE4" t="s">
        <v>595</v>
      </c>
      <c r="AF4" t="s">
        <v>595</v>
      </c>
      <c r="AG4" t="s">
        <v>595</v>
      </c>
      <c r="AH4" t="s">
        <v>595</v>
      </c>
      <c r="AI4" t="s">
        <v>595</v>
      </c>
      <c r="AJ4" t="s">
        <v>595</v>
      </c>
      <c r="AK4" t="s">
        <v>597</v>
      </c>
      <c r="AL4" t="s">
        <v>597</v>
      </c>
      <c r="AM4" t="s">
        <v>597</v>
      </c>
      <c r="AN4" t="s">
        <v>597</v>
      </c>
      <c r="AO4" t="s">
        <v>597</v>
      </c>
      <c r="AP4" t="s">
        <v>597</v>
      </c>
      <c r="AQ4" t="s">
        <v>597</v>
      </c>
      <c r="AR4" t="s">
        <v>597</v>
      </c>
      <c r="AS4" t="s">
        <v>599</v>
      </c>
      <c r="AT4" t="s">
        <v>599</v>
      </c>
      <c r="AU4" t="s">
        <v>599</v>
      </c>
      <c r="AV4" t="s">
        <v>599</v>
      </c>
      <c r="AW4" t="s">
        <v>599</v>
      </c>
      <c r="AX4" t="s">
        <v>599</v>
      </c>
      <c r="AY4" t="s">
        <v>599</v>
      </c>
      <c r="AZ4" t="s">
        <v>599</v>
      </c>
      <c r="BA4" t="s">
        <v>601</v>
      </c>
      <c r="BB4" t="s">
        <v>601</v>
      </c>
      <c r="BC4" t="s">
        <v>601</v>
      </c>
      <c r="BD4" t="s">
        <v>601</v>
      </c>
      <c r="BE4" t="s">
        <v>601</v>
      </c>
      <c r="BF4" t="s">
        <v>601</v>
      </c>
      <c r="BG4" t="s">
        <v>601</v>
      </c>
      <c r="BH4" t="s">
        <v>601</v>
      </c>
      <c r="BI4" t="s">
        <v>603</v>
      </c>
      <c r="BJ4" t="s">
        <v>603</v>
      </c>
      <c r="BK4" t="s">
        <v>603</v>
      </c>
      <c r="BL4" t="s">
        <v>603</v>
      </c>
      <c r="BM4" t="s">
        <v>603</v>
      </c>
      <c r="BN4" t="s">
        <v>603</v>
      </c>
      <c r="BO4" t="s">
        <v>603</v>
      </c>
      <c r="BP4" t="s">
        <v>603</v>
      </c>
      <c r="BQ4" t="s">
        <v>605</v>
      </c>
      <c r="BR4" t="s">
        <v>605</v>
      </c>
      <c r="BS4" t="s">
        <v>605</v>
      </c>
      <c r="BT4" t="s">
        <v>605</v>
      </c>
      <c r="BU4" t="s">
        <v>605</v>
      </c>
      <c r="BV4" t="s">
        <v>605</v>
      </c>
      <c r="BW4" t="s">
        <v>605</v>
      </c>
      <c r="BX4" t="s">
        <v>605</v>
      </c>
      <c r="BY4" t="s">
        <v>607</v>
      </c>
      <c r="BZ4" t="s">
        <v>607</v>
      </c>
      <c r="CA4" t="s">
        <v>607</v>
      </c>
      <c r="CB4" t="s">
        <v>607</v>
      </c>
      <c r="CC4" t="s">
        <v>607</v>
      </c>
      <c r="CD4" t="s">
        <v>607</v>
      </c>
      <c r="CE4" t="s">
        <v>609</v>
      </c>
      <c r="CF4" t="s">
        <v>609</v>
      </c>
      <c r="CG4" t="s">
        <v>609</v>
      </c>
      <c r="CH4" t="s">
        <v>609</v>
      </c>
      <c r="CI4" t="s">
        <v>609</v>
      </c>
      <c r="CJ4" t="s">
        <v>609</v>
      </c>
      <c r="CK4" t="s">
        <v>611</v>
      </c>
      <c r="CL4" t="s">
        <v>611</v>
      </c>
      <c r="CM4" t="s">
        <v>611</v>
      </c>
      <c r="CN4" t="s">
        <v>611</v>
      </c>
      <c r="CO4" t="s">
        <v>611</v>
      </c>
      <c r="CP4" t="s">
        <v>611</v>
      </c>
      <c r="CQ4" t="s">
        <v>613</v>
      </c>
      <c r="CR4" t="s">
        <v>613</v>
      </c>
      <c r="CS4" t="s">
        <v>613</v>
      </c>
      <c r="CT4" t="s">
        <v>615</v>
      </c>
      <c r="CU4" t="s">
        <v>615</v>
      </c>
      <c r="CV4" t="s">
        <v>615</v>
      </c>
      <c r="CW4" t="s">
        <v>617</v>
      </c>
      <c r="CX4" t="s">
        <v>617</v>
      </c>
      <c r="CY4" t="s">
        <v>617</v>
      </c>
    </row>
    <row r="5" spans="1:10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257</v>
      </c>
      <c r="G5" t="s">
        <v>69</v>
      </c>
      <c r="H5" t="s">
        <v>338</v>
      </c>
      <c r="I5" t="s">
        <v>257</v>
      </c>
      <c r="J5" t="s">
        <v>74</v>
      </c>
      <c r="K5" t="s">
        <v>398</v>
      </c>
      <c r="L5" t="s">
        <v>263</v>
      </c>
      <c r="M5" t="s">
        <v>76</v>
      </c>
      <c r="N5" t="s">
        <v>69</v>
      </c>
      <c r="O5" t="s">
        <v>338</v>
      </c>
      <c r="P5" t="s">
        <v>257</v>
      </c>
      <c r="Q5" t="s">
        <v>74</v>
      </c>
      <c r="R5" t="s">
        <v>398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398</v>
      </c>
      <c r="Z5" t="s">
        <v>263</v>
      </c>
      <c r="AA5" t="s">
        <v>76</v>
      </c>
      <c r="AB5" t="s">
        <v>400</v>
      </c>
      <c r="AC5" t="s">
        <v>69</v>
      </c>
      <c r="AD5" t="s">
        <v>338</v>
      </c>
      <c r="AE5" t="s">
        <v>257</v>
      </c>
      <c r="AF5" t="s">
        <v>74</v>
      </c>
      <c r="AG5" t="s">
        <v>398</v>
      </c>
      <c r="AH5" t="s">
        <v>263</v>
      </c>
      <c r="AI5" t="s">
        <v>76</v>
      </c>
      <c r="AJ5" t="s">
        <v>400</v>
      </c>
      <c r="AK5" t="s">
        <v>69</v>
      </c>
      <c r="AL5" t="s">
        <v>338</v>
      </c>
      <c r="AM5" t="s">
        <v>257</v>
      </c>
      <c r="AN5" t="s">
        <v>74</v>
      </c>
      <c r="AO5" t="s">
        <v>398</v>
      </c>
      <c r="AP5" t="s">
        <v>263</v>
      </c>
      <c r="AQ5" t="s">
        <v>76</v>
      </c>
      <c r="AR5" t="s">
        <v>400</v>
      </c>
      <c r="AS5" t="s">
        <v>69</v>
      </c>
      <c r="AT5" t="s">
        <v>338</v>
      </c>
      <c r="AU5" t="s">
        <v>257</v>
      </c>
      <c r="AV5" t="s">
        <v>74</v>
      </c>
      <c r="AW5" t="s">
        <v>398</v>
      </c>
      <c r="AX5" t="s">
        <v>263</v>
      </c>
      <c r="AY5" t="s">
        <v>76</v>
      </c>
      <c r="AZ5" t="s">
        <v>400</v>
      </c>
      <c r="BA5" t="s">
        <v>69</v>
      </c>
      <c r="BB5" t="s">
        <v>338</v>
      </c>
      <c r="BC5" t="s">
        <v>257</v>
      </c>
      <c r="BD5" t="s">
        <v>74</v>
      </c>
      <c r="BE5" t="s">
        <v>398</v>
      </c>
      <c r="BF5" t="s">
        <v>263</v>
      </c>
      <c r="BG5" t="s">
        <v>76</v>
      </c>
      <c r="BH5" t="s">
        <v>400</v>
      </c>
      <c r="BI5" t="s">
        <v>69</v>
      </c>
      <c r="BJ5" t="s">
        <v>338</v>
      </c>
      <c r="BK5" t="s">
        <v>257</v>
      </c>
      <c r="BL5" t="s">
        <v>74</v>
      </c>
      <c r="BM5" t="s">
        <v>398</v>
      </c>
      <c r="BN5" t="s">
        <v>263</v>
      </c>
      <c r="BO5" t="s">
        <v>76</v>
      </c>
      <c r="BP5" t="s">
        <v>400</v>
      </c>
      <c r="BQ5" t="s">
        <v>69</v>
      </c>
      <c r="BR5" t="s">
        <v>338</v>
      </c>
      <c r="BS5" t="s">
        <v>257</v>
      </c>
      <c r="BT5" t="s">
        <v>74</v>
      </c>
      <c r="BU5" t="s">
        <v>398</v>
      </c>
      <c r="BV5" t="s">
        <v>263</v>
      </c>
      <c r="BW5" t="s">
        <v>76</v>
      </c>
      <c r="BX5" t="s">
        <v>400</v>
      </c>
      <c r="BY5" t="s">
        <v>69</v>
      </c>
      <c r="BZ5" t="s">
        <v>338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338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338</v>
      </c>
      <c r="CM5" t="s">
        <v>257</v>
      </c>
      <c r="CN5" t="s">
        <v>74</v>
      </c>
      <c r="CO5" t="s">
        <v>263</v>
      </c>
      <c r="CP5" t="s">
        <v>76</v>
      </c>
      <c r="CQ5" t="s">
        <v>69</v>
      </c>
      <c r="CR5" t="s">
        <v>338</v>
      </c>
      <c r="CS5" t="s">
        <v>257</v>
      </c>
      <c r="CT5" t="s">
        <v>69</v>
      </c>
      <c r="CU5" t="s">
        <v>338</v>
      </c>
      <c r="CV5" t="s">
        <v>257</v>
      </c>
      <c r="CW5" t="s">
        <v>69</v>
      </c>
      <c r="CX5" t="s">
        <v>338</v>
      </c>
      <c r="CY5" t="s">
        <v>257</v>
      </c>
    </row>
    <row r="6" spans="1:10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259</v>
      </c>
      <c r="G6" t="s">
        <v>72</v>
      </c>
      <c r="H6" t="s">
        <v>340</v>
      </c>
      <c r="I6" t="s">
        <v>259</v>
      </c>
      <c r="J6" t="s">
        <v>75</v>
      </c>
      <c r="K6" t="s">
        <v>399</v>
      </c>
      <c r="L6" t="s">
        <v>264</v>
      </c>
      <c r="M6" t="s">
        <v>77</v>
      </c>
      <c r="N6" t="s">
        <v>72</v>
      </c>
      <c r="O6" t="s">
        <v>340</v>
      </c>
      <c r="P6" t="s">
        <v>259</v>
      </c>
      <c r="Q6" t="s">
        <v>75</v>
      </c>
      <c r="R6" t="s">
        <v>399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399</v>
      </c>
      <c r="Z6" t="s">
        <v>264</v>
      </c>
      <c r="AA6" t="s">
        <v>77</v>
      </c>
      <c r="AB6" t="s">
        <v>401</v>
      </c>
      <c r="AC6" t="s">
        <v>72</v>
      </c>
      <c r="AD6" t="s">
        <v>340</v>
      </c>
      <c r="AE6" t="s">
        <v>259</v>
      </c>
      <c r="AF6" t="s">
        <v>75</v>
      </c>
      <c r="AG6" t="s">
        <v>399</v>
      </c>
      <c r="AH6" t="s">
        <v>264</v>
      </c>
      <c r="AI6" t="s">
        <v>77</v>
      </c>
      <c r="AJ6" t="s">
        <v>401</v>
      </c>
      <c r="AK6" t="s">
        <v>72</v>
      </c>
      <c r="AL6" t="s">
        <v>340</v>
      </c>
      <c r="AM6" t="s">
        <v>259</v>
      </c>
      <c r="AN6" t="s">
        <v>75</v>
      </c>
      <c r="AO6" t="s">
        <v>399</v>
      </c>
      <c r="AP6" t="s">
        <v>264</v>
      </c>
      <c r="AQ6" t="s">
        <v>77</v>
      </c>
      <c r="AR6" t="s">
        <v>401</v>
      </c>
      <c r="AS6" t="s">
        <v>72</v>
      </c>
      <c r="AT6" t="s">
        <v>340</v>
      </c>
      <c r="AU6" t="s">
        <v>259</v>
      </c>
      <c r="AV6" t="s">
        <v>75</v>
      </c>
      <c r="AW6" t="s">
        <v>399</v>
      </c>
      <c r="AX6" t="s">
        <v>264</v>
      </c>
      <c r="AY6" t="s">
        <v>77</v>
      </c>
      <c r="AZ6" t="s">
        <v>401</v>
      </c>
      <c r="BA6" t="s">
        <v>72</v>
      </c>
      <c r="BB6" t="s">
        <v>340</v>
      </c>
      <c r="BC6" t="s">
        <v>259</v>
      </c>
      <c r="BD6" t="s">
        <v>75</v>
      </c>
      <c r="BE6" t="s">
        <v>399</v>
      </c>
      <c r="BF6" t="s">
        <v>264</v>
      </c>
      <c r="BG6" t="s">
        <v>77</v>
      </c>
      <c r="BH6" t="s">
        <v>401</v>
      </c>
      <c r="BI6" t="s">
        <v>72</v>
      </c>
      <c r="BJ6" t="s">
        <v>340</v>
      </c>
      <c r="BK6" t="s">
        <v>259</v>
      </c>
      <c r="BL6" t="s">
        <v>75</v>
      </c>
      <c r="BM6" t="s">
        <v>399</v>
      </c>
      <c r="BN6" t="s">
        <v>264</v>
      </c>
      <c r="BO6" t="s">
        <v>77</v>
      </c>
      <c r="BP6" t="s">
        <v>401</v>
      </c>
      <c r="BQ6" t="s">
        <v>72</v>
      </c>
      <c r="BR6" t="s">
        <v>340</v>
      </c>
      <c r="BS6" t="s">
        <v>259</v>
      </c>
      <c r="BT6" t="s">
        <v>75</v>
      </c>
      <c r="BU6" t="s">
        <v>399</v>
      </c>
      <c r="BV6" t="s">
        <v>264</v>
      </c>
      <c r="BW6" t="s">
        <v>77</v>
      </c>
      <c r="BX6" t="s">
        <v>401</v>
      </c>
      <c r="BY6" t="s">
        <v>72</v>
      </c>
      <c r="BZ6" t="s">
        <v>340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340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340</v>
      </c>
      <c r="CM6" t="s">
        <v>259</v>
      </c>
      <c r="CN6" t="s">
        <v>75</v>
      </c>
      <c r="CO6" t="s">
        <v>264</v>
      </c>
      <c r="CP6" t="s">
        <v>77</v>
      </c>
      <c r="CQ6" t="s">
        <v>72</v>
      </c>
      <c r="CR6" t="s">
        <v>340</v>
      </c>
      <c r="CS6" t="s">
        <v>259</v>
      </c>
      <c r="CT6" t="s">
        <v>72</v>
      </c>
      <c r="CU6" t="s">
        <v>340</v>
      </c>
      <c r="CV6" t="s">
        <v>259</v>
      </c>
      <c r="CW6" t="s">
        <v>72</v>
      </c>
      <c r="CX6" t="s">
        <v>340</v>
      </c>
      <c r="CY6" t="s">
        <v>259</v>
      </c>
    </row>
    <row r="7" spans="1:103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258</v>
      </c>
      <c r="G7" t="s">
        <v>588</v>
      </c>
      <c r="H7" t="s">
        <v>70</v>
      </c>
      <c r="I7" t="s">
        <v>258</v>
      </c>
      <c r="J7" t="s">
        <v>588</v>
      </c>
      <c r="K7" t="s">
        <v>70</v>
      </c>
      <c r="L7" t="s">
        <v>258</v>
      </c>
      <c r="M7" t="s">
        <v>588</v>
      </c>
      <c r="N7" t="s">
        <v>588</v>
      </c>
      <c r="O7" t="s">
        <v>70</v>
      </c>
      <c r="P7" t="s">
        <v>258</v>
      </c>
      <c r="Q7" t="s">
        <v>588</v>
      </c>
      <c r="R7" t="s">
        <v>70</v>
      </c>
      <c r="S7" t="s">
        <v>258</v>
      </c>
      <c r="T7" t="s">
        <v>588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251</v>
      </c>
      <c r="AD7" t="s">
        <v>70</v>
      </c>
      <c r="AE7" t="s">
        <v>258</v>
      </c>
      <c r="AF7" t="s">
        <v>251</v>
      </c>
      <c r="AG7" t="s">
        <v>70</v>
      </c>
      <c r="AH7" t="s">
        <v>258</v>
      </c>
      <c r="AI7" t="s">
        <v>251</v>
      </c>
      <c r="AJ7" t="s">
        <v>70</v>
      </c>
      <c r="AK7" t="s">
        <v>251</v>
      </c>
      <c r="AL7" t="s">
        <v>70</v>
      </c>
      <c r="AM7" t="s">
        <v>258</v>
      </c>
      <c r="AN7" t="s">
        <v>251</v>
      </c>
      <c r="AO7" t="s">
        <v>70</v>
      </c>
      <c r="AP7" t="s">
        <v>258</v>
      </c>
      <c r="AQ7" t="s">
        <v>251</v>
      </c>
      <c r="AR7" t="s">
        <v>70</v>
      </c>
      <c r="AS7" t="s">
        <v>251</v>
      </c>
      <c r="AT7" t="s">
        <v>70</v>
      </c>
      <c r="AU7" t="s">
        <v>258</v>
      </c>
      <c r="AV7" t="s">
        <v>251</v>
      </c>
      <c r="AW7" t="s">
        <v>70</v>
      </c>
      <c r="AX7" t="s">
        <v>258</v>
      </c>
      <c r="AY7" t="s">
        <v>251</v>
      </c>
      <c r="AZ7" t="s">
        <v>70</v>
      </c>
      <c r="BA7" t="s">
        <v>251</v>
      </c>
      <c r="BB7" t="s">
        <v>70</v>
      </c>
      <c r="BC7" t="s">
        <v>258</v>
      </c>
      <c r="BD7" t="s">
        <v>251</v>
      </c>
      <c r="BE7" t="s">
        <v>70</v>
      </c>
      <c r="BF7" t="s">
        <v>258</v>
      </c>
      <c r="BG7" t="s">
        <v>251</v>
      </c>
      <c r="BH7" t="s">
        <v>70</v>
      </c>
      <c r="BI7" t="s">
        <v>251</v>
      </c>
      <c r="BJ7" t="s">
        <v>70</v>
      </c>
      <c r="BK7" t="s">
        <v>258</v>
      </c>
      <c r="BL7" t="s">
        <v>251</v>
      </c>
      <c r="BM7" t="s">
        <v>70</v>
      </c>
      <c r="BN7" t="s">
        <v>258</v>
      </c>
      <c r="BO7" t="s">
        <v>251</v>
      </c>
      <c r="BP7" t="s">
        <v>70</v>
      </c>
      <c r="BQ7" t="s">
        <v>251</v>
      </c>
      <c r="BR7" t="s">
        <v>70</v>
      </c>
      <c r="BS7" t="s">
        <v>258</v>
      </c>
      <c r="BT7" t="s">
        <v>251</v>
      </c>
      <c r="BU7" t="s">
        <v>70</v>
      </c>
      <c r="BV7" t="s">
        <v>258</v>
      </c>
      <c r="BW7" t="s">
        <v>251</v>
      </c>
      <c r="BX7" t="s">
        <v>70</v>
      </c>
      <c r="BY7" t="s">
        <v>251</v>
      </c>
      <c r="BZ7" t="s">
        <v>70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70</v>
      </c>
      <c r="CG7" t="s">
        <v>258</v>
      </c>
      <c r="CH7" t="s">
        <v>251</v>
      </c>
      <c r="CI7" t="s">
        <v>258</v>
      </c>
      <c r="CJ7" t="s">
        <v>251</v>
      </c>
      <c r="CK7" t="s">
        <v>251</v>
      </c>
      <c r="CL7" t="s">
        <v>70</v>
      </c>
      <c r="CM7" t="s">
        <v>258</v>
      </c>
      <c r="CN7" t="s">
        <v>251</v>
      </c>
      <c r="CO7" t="s">
        <v>258</v>
      </c>
      <c r="CP7" t="s">
        <v>251</v>
      </c>
      <c r="CQ7" t="s">
        <v>251</v>
      </c>
      <c r="CR7" t="s">
        <v>70</v>
      </c>
      <c r="CS7" t="s">
        <v>258</v>
      </c>
      <c r="CT7" t="s">
        <v>251</v>
      </c>
      <c r="CU7" t="s">
        <v>70</v>
      </c>
      <c r="CV7" t="s">
        <v>258</v>
      </c>
      <c r="CW7" t="s">
        <v>251</v>
      </c>
      <c r="CX7" t="s">
        <v>70</v>
      </c>
      <c r="CY7" t="s">
        <v>258</v>
      </c>
    </row>
    <row r="8" spans="1:103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260</v>
      </c>
      <c r="G8" t="s">
        <v>253</v>
      </c>
      <c r="H8" t="s">
        <v>70</v>
      </c>
      <c r="I8" t="s">
        <v>260</v>
      </c>
      <c r="J8" t="s">
        <v>253</v>
      </c>
      <c r="K8" t="s">
        <v>70</v>
      </c>
      <c r="L8" t="s">
        <v>260</v>
      </c>
      <c r="M8" t="s">
        <v>253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253</v>
      </c>
      <c r="AD8" t="s">
        <v>70</v>
      </c>
      <c r="AE8" t="s">
        <v>260</v>
      </c>
      <c r="AF8" t="s">
        <v>253</v>
      </c>
      <c r="AG8" t="s">
        <v>70</v>
      </c>
      <c r="AH8" t="s">
        <v>260</v>
      </c>
      <c r="AI8" t="s">
        <v>253</v>
      </c>
      <c r="AJ8" t="s">
        <v>70</v>
      </c>
      <c r="AK8" t="s">
        <v>253</v>
      </c>
      <c r="AL8" t="s">
        <v>70</v>
      </c>
      <c r="AM8" t="s">
        <v>260</v>
      </c>
      <c r="AN8" t="s">
        <v>253</v>
      </c>
      <c r="AO8" t="s">
        <v>70</v>
      </c>
      <c r="AP8" t="s">
        <v>260</v>
      </c>
      <c r="AQ8" t="s">
        <v>253</v>
      </c>
      <c r="AR8" t="s">
        <v>70</v>
      </c>
      <c r="AS8" t="s">
        <v>253</v>
      </c>
      <c r="AT8" t="s">
        <v>70</v>
      </c>
      <c r="AU8" t="s">
        <v>260</v>
      </c>
      <c r="AV8" t="s">
        <v>253</v>
      </c>
      <c r="AW8" t="s">
        <v>70</v>
      </c>
      <c r="AX8" t="s">
        <v>260</v>
      </c>
      <c r="AY8" t="s">
        <v>253</v>
      </c>
      <c r="AZ8" t="s">
        <v>70</v>
      </c>
      <c r="BA8" t="s">
        <v>253</v>
      </c>
      <c r="BB8" t="s">
        <v>70</v>
      </c>
      <c r="BC8" t="s">
        <v>260</v>
      </c>
      <c r="BD8" t="s">
        <v>253</v>
      </c>
      <c r="BE8" t="s">
        <v>70</v>
      </c>
      <c r="BF8" t="s">
        <v>260</v>
      </c>
      <c r="BG8" t="s">
        <v>253</v>
      </c>
      <c r="BH8" t="s">
        <v>70</v>
      </c>
      <c r="BI8" t="s">
        <v>253</v>
      </c>
      <c r="BJ8" t="s">
        <v>70</v>
      </c>
      <c r="BK8" t="s">
        <v>260</v>
      </c>
      <c r="BL8" t="s">
        <v>253</v>
      </c>
      <c r="BM8" t="s">
        <v>70</v>
      </c>
      <c r="BN8" t="s">
        <v>260</v>
      </c>
      <c r="BO8" t="s">
        <v>253</v>
      </c>
      <c r="BP8" t="s">
        <v>70</v>
      </c>
      <c r="BQ8" t="s">
        <v>253</v>
      </c>
      <c r="BR8" t="s">
        <v>70</v>
      </c>
      <c r="BS8" t="s">
        <v>260</v>
      </c>
      <c r="BT8" t="s">
        <v>253</v>
      </c>
      <c r="BU8" t="s">
        <v>70</v>
      </c>
      <c r="BV8" t="s">
        <v>260</v>
      </c>
      <c r="BW8" t="s">
        <v>253</v>
      </c>
      <c r="BX8" t="s">
        <v>70</v>
      </c>
      <c r="BY8" t="s">
        <v>253</v>
      </c>
      <c r="BZ8" t="s">
        <v>70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70</v>
      </c>
      <c r="CG8" t="s">
        <v>260</v>
      </c>
      <c r="CH8" t="s">
        <v>253</v>
      </c>
      <c r="CI8" t="s">
        <v>260</v>
      </c>
      <c r="CJ8" t="s">
        <v>253</v>
      </c>
      <c r="CK8" t="s">
        <v>253</v>
      </c>
      <c r="CL8" t="s">
        <v>70</v>
      </c>
      <c r="CM8" t="s">
        <v>260</v>
      </c>
      <c r="CN8" t="s">
        <v>253</v>
      </c>
      <c r="CO8" t="s">
        <v>260</v>
      </c>
      <c r="CP8" t="s">
        <v>253</v>
      </c>
      <c r="CQ8" t="s">
        <v>253</v>
      </c>
      <c r="CR8" t="s">
        <v>70</v>
      </c>
      <c r="CS8" t="s">
        <v>260</v>
      </c>
      <c r="CT8" t="s">
        <v>253</v>
      </c>
      <c r="CU8" t="s">
        <v>70</v>
      </c>
      <c r="CV8" t="s">
        <v>260</v>
      </c>
      <c r="CW8" t="s">
        <v>253</v>
      </c>
      <c r="CX8" t="s">
        <v>70</v>
      </c>
      <c r="CY8" t="s">
        <v>260</v>
      </c>
    </row>
    <row r="9" spans="1:103" x14ac:dyDescent="0.4">
      <c r="A9" s="1" t="s">
        <v>6</v>
      </c>
      <c r="B9" s="3" t="s">
        <v>7</v>
      </c>
      <c r="C9">
        <v>395</v>
      </c>
      <c r="D9">
        <v>2620</v>
      </c>
      <c r="E9">
        <v>2346</v>
      </c>
      <c r="F9">
        <v>2201</v>
      </c>
      <c r="G9">
        <v>20973</v>
      </c>
      <c r="H9">
        <v>57884</v>
      </c>
      <c r="I9">
        <v>33041</v>
      </c>
      <c r="J9">
        <v>20850</v>
      </c>
      <c r="K9">
        <v>57096</v>
      </c>
      <c r="L9">
        <v>32795</v>
      </c>
      <c r="M9">
        <v>587</v>
      </c>
      <c r="N9">
        <v>3400</v>
      </c>
      <c r="O9">
        <v>18553</v>
      </c>
      <c r="P9">
        <v>9920</v>
      </c>
      <c r="Q9">
        <v>3416</v>
      </c>
      <c r="R9">
        <v>18675</v>
      </c>
      <c r="S9">
        <v>9933</v>
      </c>
      <c r="T9">
        <v>5</v>
      </c>
      <c r="U9">
        <v>835</v>
      </c>
      <c r="V9">
        <v>7157</v>
      </c>
      <c r="W9">
        <v>10370</v>
      </c>
      <c r="X9">
        <v>835</v>
      </c>
      <c r="Y9">
        <v>7156</v>
      </c>
      <c r="Z9">
        <v>10376</v>
      </c>
      <c r="AA9">
        <v>0</v>
      </c>
      <c r="AB9">
        <v>0</v>
      </c>
      <c r="AC9">
        <v>1093</v>
      </c>
      <c r="AD9">
        <v>13820</v>
      </c>
      <c r="AE9">
        <v>16406</v>
      </c>
      <c r="AF9">
        <v>1137</v>
      </c>
      <c r="AG9">
        <v>14000</v>
      </c>
      <c r="AH9">
        <v>16449</v>
      </c>
      <c r="AI9">
        <v>265</v>
      </c>
      <c r="AJ9">
        <v>2702</v>
      </c>
      <c r="AK9">
        <v>784</v>
      </c>
      <c r="AL9">
        <v>7214</v>
      </c>
      <c r="AM9">
        <v>8051</v>
      </c>
      <c r="AN9">
        <v>837</v>
      </c>
      <c r="AO9">
        <v>7593</v>
      </c>
      <c r="AP9">
        <v>8389</v>
      </c>
      <c r="AQ9">
        <v>212</v>
      </c>
      <c r="AR9">
        <v>2128</v>
      </c>
      <c r="AS9">
        <v>1531</v>
      </c>
      <c r="AT9">
        <v>13697</v>
      </c>
      <c r="AU9">
        <v>25722</v>
      </c>
      <c r="AV9">
        <v>1534</v>
      </c>
      <c r="AW9">
        <v>13769</v>
      </c>
      <c r="AX9">
        <v>25833</v>
      </c>
      <c r="AY9">
        <v>129</v>
      </c>
      <c r="AZ9">
        <v>1859</v>
      </c>
      <c r="BA9">
        <v>547</v>
      </c>
      <c r="BB9">
        <v>24093</v>
      </c>
      <c r="BC9">
        <v>25370</v>
      </c>
      <c r="BD9">
        <v>535</v>
      </c>
      <c r="BE9">
        <v>23894</v>
      </c>
      <c r="BF9">
        <v>25337</v>
      </c>
      <c r="BG9">
        <v>86</v>
      </c>
      <c r="BH9">
        <v>1992</v>
      </c>
      <c r="BI9">
        <v>42</v>
      </c>
      <c r="BJ9">
        <v>17981</v>
      </c>
      <c r="BK9">
        <v>14884</v>
      </c>
      <c r="BL9">
        <v>43</v>
      </c>
      <c r="BM9">
        <v>18569</v>
      </c>
      <c r="BN9">
        <v>15193</v>
      </c>
      <c r="BO9">
        <v>0</v>
      </c>
      <c r="BP9">
        <v>0</v>
      </c>
      <c r="BQ9">
        <v>596</v>
      </c>
      <c r="BR9">
        <v>14001</v>
      </c>
      <c r="BS9">
        <v>11523</v>
      </c>
      <c r="BT9">
        <v>584</v>
      </c>
      <c r="BU9">
        <v>13826</v>
      </c>
      <c r="BV9">
        <v>11539</v>
      </c>
      <c r="BW9">
        <v>198</v>
      </c>
      <c r="BX9">
        <v>3648</v>
      </c>
      <c r="BY9">
        <v>131</v>
      </c>
      <c r="BZ9">
        <v>1017</v>
      </c>
      <c r="CA9">
        <v>1147</v>
      </c>
      <c r="CB9">
        <v>131</v>
      </c>
      <c r="CC9">
        <v>1180</v>
      </c>
      <c r="CD9">
        <v>1</v>
      </c>
      <c r="CE9">
        <v>153</v>
      </c>
      <c r="CF9">
        <v>2591</v>
      </c>
      <c r="CG9">
        <v>6560</v>
      </c>
      <c r="CH9">
        <v>154</v>
      </c>
      <c r="CI9">
        <v>7070</v>
      </c>
      <c r="CJ9">
        <v>12</v>
      </c>
      <c r="CK9">
        <v>348</v>
      </c>
      <c r="CL9">
        <v>1892</v>
      </c>
      <c r="CM9">
        <v>4701</v>
      </c>
      <c r="CN9">
        <v>362</v>
      </c>
      <c r="CO9">
        <v>4906</v>
      </c>
      <c r="CP9">
        <v>28</v>
      </c>
      <c r="CQ9">
        <v>656</v>
      </c>
      <c r="CR9">
        <v>14384</v>
      </c>
      <c r="CS9">
        <v>16033</v>
      </c>
      <c r="CT9">
        <v>164</v>
      </c>
      <c r="CU9">
        <v>5033</v>
      </c>
      <c r="CV9">
        <v>15597</v>
      </c>
      <c r="CW9">
        <v>606</v>
      </c>
      <c r="CX9">
        <v>8430</v>
      </c>
      <c r="CY9">
        <v>4891</v>
      </c>
    </row>
    <row r="10" spans="1:103" x14ac:dyDescent="0.4">
      <c r="A10" s="1" t="s">
        <v>8</v>
      </c>
      <c r="B10" s="3" t="s">
        <v>9</v>
      </c>
      <c r="C10">
        <v>338</v>
      </c>
      <c r="D10">
        <v>2384</v>
      </c>
      <c r="E10">
        <v>3254</v>
      </c>
      <c r="F10">
        <v>1283</v>
      </c>
      <c r="G10">
        <v>21896</v>
      </c>
      <c r="H10">
        <v>59024</v>
      </c>
      <c r="I10">
        <v>37006</v>
      </c>
      <c r="J10">
        <v>22116</v>
      </c>
      <c r="K10">
        <v>58890</v>
      </c>
      <c r="L10">
        <v>37150</v>
      </c>
      <c r="M10">
        <v>367</v>
      </c>
      <c r="N10">
        <v>3607</v>
      </c>
      <c r="O10">
        <v>22281</v>
      </c>
      <c r="P10">
        <v>12874</v>
      </c>
      <c r="Q10">
        <v>3607</v>
      </c>
      <c r="R10">
        <v>22282</v>
      </c>
      <c r="S10">
        <v>12874</v>
      </c>
      <c r="T10">
        <v>5</v>
      </c>
      <c r="U10">
        <v>917</v>
      </c>
      <c r="V10">
        <v>9051</v>
      </c>
      <c r="W10">
        <v>11182</v>
      </c>
      <c r="X10">
        <v>917</v>
      </c>
      <c r="Y10">
        <v>9051</v>
      </c>
      <c r="Z10">
        <v>11182</v>
      </c>
      <c r="AA10">
        <v>0</v>
      </c>
      <c r="AB10">
        <v>0</v>
      </c>
      <c r="AC10">
        <v>1056</v>
      </c>
      <c r="AD10">
        <v>14030</v>
      </c>
      <c r="AE10">
        <v>17005</v>
      </c>
      <c r="AF10">
        <v>1079</v>
      </c>
      <c r="AG10">
        <v>14433</v>
      </c>
      <c r="AH10">
        <v>17551</v>
      </c>
      <c r="AI10">
        <v>242</v>
      </c>
      <c r="AJ10">
        <v>2299</v>
      </c>
      <c r="AK10">
        <v>795</v>
      </c>
      <c r="AL10">
        <v>6694</v>
      </c>
      <c r="AM10">
        <v>8219</v>
      </c>
      <c r="AN10">
        <v>798</v>
      </c>
      <c r="AO10">
        <v>6809</v>
      </c>
      <c r="AP10">
        <v>8214</v>
      </c>
      <c r="AQ10">
        <v>209</v>
      </c>
      <c r="AR10">
        <v>2013</v>
      </c>
      <c r="AS10">
        <v>1544</v>
      </c>
      <c r="AT10">
        <v>14019</v>
      </c>
      <c r="AU10">
        <v>29470</v>
      </c>
      <c r="AV10">
        <v>1544</v>
      </c>
      <c r="AW10">
        <v>13970</v>
      </c>
      <c r="AX10">
        <v>29755</v>
      </c>
      <c r="AY10">
        <v>129</v>
      </c>
      <c r="AZ10">
        <v>1908</v>
      </c>
      <c r="BA10">
        <v>675</v>
      </c>
      <c r="BB10">
        <v>26837</v>
      </c>
      <c r="BC10">
        <v>28053</v>
      </c>
      <c r="BD10">
        <v>661</v>
      </c>
      <c r="BE10">
        <v>26614</v>
      </c>
      <c r="BF10">
        <v>27915</v>
      </c>
      <c r="BG10">
        <v>100</v>
      </c>
      <c r="BH10">
        <v>2215</v>
      </c>
      <c r="BI10">
        <v>45</v>
      </c>
      <c r="BJ10">
        <v>17577</v>
      </c>
      <c r="BK10">
        <v>13648</v>
      </c>
      <c r="BL10">
        <v>45</v>
      </c>
      <c r="BM10">
        <v>17577</v>
      </c>
      <c r="BN10">
        <v>13648</v>
      </c>
      <c r="BO10">
        <v>0</v>
      </c>
      <c r="BP10">
        <v>0</v>
      </c>
      <c r="BQ10">
        <v>700</v>
      </c>
      <c r="BR10">
        <v>19670</v>
      </c>
      <c r="BS10">
        <v>15196</v>
      </c>
      <c r="BT10">
        <v>686</v>
      </c>
      <c r="BU10">
        <v>19458</v>
      </c>
      <c r="BV10">
        <v>15097</v>
      </c>
      <c r="BW10">
        <v>212</v>
      </c>
      <c r="BX10">
        <v>3860</v>
      </c>
      <c r="BY10">
        <v>121</v>
      </c>
      <c r="BZ10">
        <v>1176</v>
      </c>
      <c r="CA10">
        <v>1340</v>
      </c>
      <c r="CB10">
        <v>121</v>
      </c>
      <c r="CC10">
        <v>1393</v>
      </c>
      <c r="CD10">
        <v>1</v>
      </c>
      <c r="CE10">
        <v>157</v>
      </c>
      <c r="CF10">
        <v>3200</v>
      </c>
      <c r="CG10">
        <v>7486</v>
      </c>
      <c r="CH10">
        <v>148</v>
      </c>
      <c r="CI10">
        <v>8344</v>
      </c>
      <c r="CJ10">
        <v>21</v>
      </c>
      <c r="CK10">
        <v>396</v>
      </c>
      <c r="CL10">
        <v>2864</v>
      </c>
      <c r="CM10">
        <v>6197</v>
      </c>
      <c r="CN10">
        <v>400</v>
      </c>
      <c r="CO10">
        <v>6254</v>
      </c>
      <c r="CP10">
        <v>8</v>
      </c>
      <c r="CQ10">
        <v>657</v>
      </c>
      <c r="CR10">
        <v>14629</v>
      </c>
      <c r="CS10">
        <v>17388</v>
      </c>
      <c r="CT10">
        <v>146</v>
      </c>
      <c r="CU10">
        <v>5058</v>
      </c>
      <c r="CV10">
        <v>16758</v>
      </c>
      <c r="CW10">
        <v>686</v>
      </c>
      <c r="CX10">
        <v>12124</v>
      </c>
      <c r="CY10">
        <v>5880</v>
      </c>
    </row>
    <row r="11" spans="1:103" x14ac:dyDescent="0.4">
      <c r="A11" s="1" t="s">
        <v>10</v>
      </c>
      <c r="B11" s="3" t="s">
        <v>11</v>
      </c>
      <c r="C11">
        <v>328</v>
      </c>
      <c r="D11">
        <v>6389</v>
      </c>
      <c r="E11">
        <v>7085</v>
      </c>
      <c r="F11">
        <v>1684</v>
      </c>
      <c r="G11">
        <v>20756</v>
      </c>
      <c r="H11">
        <v>55572</v>
      </c>
      <c r="I11">
        <v>38948</v>
      </c>
      <c r="J11">
        <v>21120</v>
      </c>
      <c r="K11">
        <v>55553</v>
      </c>
      <c r="L11">
        <v>39223</v>
      </c>
      <c r="M11">
        <v>175</v>
      </c>
      <c r="N11">
        <v>3585</v>
      </c>
      <c r="O11">
        <v>22742</v>
      </c>
      <c r="P11">
        <v>15336</v>
      </c>
      <c r="Q11">
        <v>3557</v>
      </c>
      <c r="R11">
        <v>22612</v>
      </c>
      <c r="S11">
        <v>15252</v>
      </c>
      <c r="T11">
        <v>33</v>
      </c>
      <c r="U11">
        <v>947</v>
      </c>
      <c r="V11">
        <v>8678</v>
      </c>
      <c r="W11">
        <v>12916</v>
      </c>
      <c r="X11">
        <v>947</v>
      </c>
      <c r="Y11">
        <v>8678</v>
      </c>
      <c r="Z11">
        <v>12916</v>
      </c>
      <c r="AA11">
        <v>0</v>
      </c>
      <c r="AB11">
        <v>0</v>
      </c>
      <c r="AC11">
        <v>1261</v>
      </c>
      <c r="AD11">
        <v>13896</v>
      </c>
      <c r="AE11">
        <v>17924</v>
      </c>
      <c r="AF11">
        <v>1163</v>
      </c>
      <c r="AG11">
        <v>12947</v>
      </c>
      <c r="AH11">
        <v>16406</v>
      </c>
      <c r="AI11">
        <v>340</v>
      </c>
      <c r="AJ11">
        <v>3247</v>
      </c>
      <c r="AK11">
        <v>1028</v>
      </c>
      <c r="AL11">
        <v>8965</v>
      </c>
      <c r="AM11">
        <v>11069</v>
      </c>
      <c r="AN11">
        <v>936</v>
      </c>
      <c r="AO11">
        <v>8316</v>
      </c>
      <c r="AP11">
        <v>9853</v>
      </c>
      <c r="AQ11">
        <v>301</v>
      </c>
      <c r="AR11">
        <v>2660</v>
      </c>
      <c r="AS11">
        <v>1507</v>
      </c>
      <c r="AT11">
        <v>13797</v>
      </c>
      <c r="AU11">
        <v>31735</v>
      </c>
      <c r="AV11">
        <v>1493</v>
      </c>
      <c r="AW11">
        <v>13591</v>
      </c>
      <c r="AX11">
        <v>31455</v>
      </c>
      <c r="AY11">
        <v>143</v>
      </c>
      <c r="AZ11">
        <v>2114</v>
      </c>
      <c r="BA11">
        <v>779</v>
      </c>
      <c r="BB11">
        <v>35553</v>
      </c>
      <c r="BC11">
        <v>42999</v>
      </c>
      <c r="BD11">
        <v>753</v>
      </c>
      <c r="BE11">
        <v>35117</v>
      </c>
      <c r="BF11">
        <v>42492</v>
      </c>
      <c r="BG11">
        <v>126</v>
      </c>
      <c r="BH11">
        <v>2651</v>
      </c>
      <c r="BI11">
        <v>66</v>
      </c>
      <c r="BJ11">
        <v>30355</v>
      </c>
      <c r="BK11">
        <v>28079</v>
      </c>
      <c r="BL11">
        <v>66</v>
      </c>
      <c r="BM11">
        <v>30355</v>
      </c>
      <c r="BN11">
        <v>28079</v>
      </c>
      <c r="BO11">
        <v>0</v>
      </c>
      <c r="BP11">
        <v>0</v>
      </c>
      <c r="BQ11">
        <v>644</v>
      </c>
      <c r="BR11">
        <v>20802</v>
      </c>
      <c r="BS11">
        <v>19742</v>
      </c>
      <c r="BT11">
        <v>602</v>
      </c>
      <c r="BU11">
        <v>20083</v>
      </c>
      <c r="BV11">
        <v>19079</v>
      </c>
      <c r="BW11">
        <v>254</v>
      </c>
      <c r="BX11">
        <v>4578</v>
      </c>
      <c r="BY11">
        <v>116</v>
      </c>
      <c r="BZ11">
        <v>1295</v>
      </c>
      <c r="CA11">
        <v>1648</v>
      </c>
      <c r="CB11">
        <v>116</v>
      </c>
      <c r="CC11">
        <v>1644</v>
      </c>
      <c r="CD11">
        <v>1</v>
      </c>
      <c r="CE11">
        <v>166</v>
      </c>
      <c r="CF11">
        <v>2368</v>
      </c>
      <c r="CG11">
        <v>6575</v>
      </c>
      <c r="CH11">
        <v>139</v>
      </c>
      <c r="CI11">
        <v>6800</v>
      </c>
      <c r="CJ11">
        <v>48</v>
      </c>
      <c r="CK11">
        <v>499</v>
      </c>
      <c r="CL11">
        <v>3273</v>
      </c>
      <c r="CM11">
        <v>6737</v>
      </c>
      <c r="CN11">
        <v>499</v>
      </c>
      <c r="CO11">
        <v>6737</v>
      </c>
      <c r="CP11">
        <v>8</v>
      </c>
      <c r="CQ11">
        <v>634</v>
      </c>
      <c r="CR11">
        <v>16528</v>
      </c>
      <c r="CS11">
        <v>19467</v>
      </c>
      <c r="CT11">
        <v>112</v>
      </c>
      <c r="CU11">
        <v>4950</v>
      </c>
      <c r="CV11">
        <v>13575</v>
      </c>
      <c r="CW11">
        <v>648</v>
      </c>
      <c r="CX11">
        <v>10643</v>
      </c>
      <c r="CY11">
        <v>5705</v>
      </c>
    </row>
    <row r="12" spans="1:103" x14ac:dyDescent="0.4">
      <c r="A12" s="1" t="s">
        <v>12</v>
      </c>
      <c r="B12" s="3" t="s">
        <v>13</v>
      </c>
      <c r="C12">
        <v>295</v>
      </c>
      <c r="D12">
        <v>5041</v>
      </c>
      <c r="E12">
        <v>7158</v>
      </c>
      <c r="F12">
        <v>681</v>
      </c>
      <c r="G12">
        <v>21449</v>
      </c>
      <c r="H12">
        <v>52311</v>
      </c>
      <c r="I12">
        <v>38428</v>
      </c>
      <c r="J12">
        <v>21353</v>
      </c>
      <c r="K12">
        <v>50755</v>
      </c>
      <c r="L12">
        <v>37615</v>
      </c>
      <c r="M12">
        <v>201</v>
      </c>
      <c r="N12">
        <v>3232</v>
      </c>
      <c r="O12">
        <v>20162</v>
      </c>
      <c r="P12">
        <v>16231</v>
      </c>
      <c r="Q12">
        <v>3235</v>
      </c>
      <c r="R12">
        <v>20194</v>
      </c>
      <c r="S12">
        <v>16132</v>
      </c>
      <c r="T12">
        <v>30</v>
      </c>
      <c r="U12">
        <v>996</v>
      </c>
      <c r="V12">
        <v>8015</v>
      </c>
      <c r="W12">
        <v>14328</v>
      </c>
      <c r="X12">
        <v>996</v>
      </c>
      <c r="Y12">
        <v>8015</v>
      </c>
      <c r="Z12">
        <v>14320</v>
      </c>
      <c r="AA12">
        <v>0</v>
      </c>
      <c r="AB12">
        <v>0</v>
      </c>
      <c r="AC12">
        <v>1059</v>
      </c>
      <c r="AD12">
        <v>15389</v>
      </c>
      <c r="AE12">
        <v>20058</v>
      </c>
      <c r="AF12">
        <v>1075</v>
      </c>
      <c r="AG12">
        <v>15195</v>
      </c>
      <c r="AH12">
        <v>20026</v>
      </c>
      <c r="AI12">
        <v>324</v>
      </c>
      <c r="AJ12">
        <v>3451</v>
      </c>
      <c r="AK12">
        <v>828</v>
      </c>
      <c r="AL12">
        <v>9307</v>
      </c>
      <c r="AM12">
        <v>10882</v>
      </c>
      <c r="AN12">
        <v>838</v>
      </c>
      <c r="AO12">
        <v>8990</v>
      </c>
      <c r="AP12">
        <v>11098</v>
      </c>
      <c r="AQ12">
        <v>291</v>
      </c>
      <c r="AR12">
        <v>2977</v>
      </c>
      <c r="AS12">
        <v>1246</v>
      </c>
      <c r="AT12">
        <v>11913</v>
      </c>
      <c r="AU12">
        <v>26950</v>
      </c>
      <c r="AV12">
        <v>1237</v>
      </c>
      <c r="AW12">
        <v>11769</v>
      </c>
      <c r="AX12">
        <v>26784</v>
      </c>
      <c r="AY12">
        <v>152</v>
      </c>
      <c r="AZ12">
        <v>2256</v>
      </c>
      <c r="BA12">
        <v>640</v>
      </c>
      <c r="BB12">
        <v>30431</v>
      </c>
      <c r="BC12">
        <v>36406</v>
      </c>
      <c r="BD12">
        <v>666</v>
      </c>
      <c r="BE12">
        <v>30745</v>
      </c>
      <c r="BF12">
        <v>36524</v>
      </c>
      <c r="BG12">
        <v>100</v>
      </c>
      <c r="BH12">
        <v>2338</v>
      </c>
      <c r="BI12">
        <v>57</v>
      </c>
      <c r="BJ12">
        <v>26775</v>
      </c>
      <c r="BK12">
        <v>31163</v>
      </c>
      <c r="BL12">
        <v>57</v>
      </c>
      <c r="BM12">
        <v>26775</v>
      </c>
      <c r="BN12">
        <v>31163</v>
      </c>
      <c r="BO12">
        <v>0</v>
      </c>
      <c r="BP12">
        <v>0</v>
      </c>
      <c r="BQ12">
        <v>587</v>
      </c>
      <c r="BR12">
        <v>17587</v>
      </c>
      <c r="BS12">
        <v>17002</v>
      </c>
      <c r="BT12">
        <v>603</v>
      </c>
      <c r="BU12">
        <v>17829</v>
      </c>
      <c r="BV12">
        <v>17034</v>
      </c>
      <c r="BW12">
        <v>238</v>
      </c>
      <c r="BX12">
        <v>4337</v>
      </c>
      <c r="BY12">
        <v>108</v>
      </c>
      <c r="BZ12">
        <v>912</v>
      </c>
      <c r="CA12">
        <v>1447</v>
      </c>
      <c r="CB12">
        <v>108</v>
      </c>
      <c r="CC12">
        <v>1437</v>
      </c>
      <c r="CD12">
        <v>1</v>
      </c>
      <c r="CE12">
        <v>91</v>
      </c>
      <c r="CF12">
        <v>1885</v>
      </c>
      <c r="CG12">
        <v>5997</v>
      </c>
      <c r="CH12">
        <v>87</v>
      </c>
      <c r="CI12">
        <v>6292</v>
      </c>
      <c r="CJ12">
        <v>52</v>
      </c>
      <c r="CK12">
        <v>404</v>
      </c>
      <c r="CL12">
        <v>2471</v>
      </c>
      <c r="CM12">
        <v>6127</v>
      </c>
      <c r="CN12">
        <v>404</v>
      </c>
      <c r="CO12">
        <v>6127</v>
      </c>
      <c r="CP12">
        <v>8</v>
      </c>
      <c r="CQ12">
        <v>572</v>
      </c>
      <c r="CR12">
        <v>17469</v>
      </c>
      <c r="CS12">
        <v>22282</v>
      </c>
      <c r="CT12">
        <v>119</v>
      </c>
      <c r="CU12">
        <v>4367</v>
      </c>
      <c r="CV12">
        <v>13645</v>
      </c>
      <c r="CW12">
        <v>624</v>
      </c>
      <c r="CX12">
        <v>13095</v>
      </c>
      <c r="CY12">
        <v>6599</v>
      </c>
    </row>
    <row r="13" spans="1:103" x14ac:dyDescent="0.4">
      <c r="A13" s="1" t="s">
        <v>14</v>
      </c>
      <c r="B13" s="3" t="s">
        <v>15</v>
      </c>
      <c r="C13">
        <v>247</v>
      </c>
      <c r="D13">
        <v>2902</v>
      </c>
      <c r="E13">
        <v>3561</v>
      </c>
      <c r="F13">
        <v>1284</v>
      </c>
      <c r="G13">
        <v>20110</v>
      </c>
      <c r="H13">
        <v>50554</v>
      </c>
      <c r="I13">
        <v>38732</v>
      </c>
      <c r="J13">
        <v>20193</v>
      </c>
      <c r="K13">
        <v>50218</v>
      </c>
      <c r="L13">
        <v>38929</v>
      </c>
      <c r="M13">
        <v>170</v>
      </c>
      <c r="N13">
        <v>3226</v>
      </c>
      <c r="O13">
        <v>20252</v>
      </c>
      <c r="P13">
        <v>16263</v>
      </c>
      <c r="Q13">
        <v>3187</v>
      </c>
      <c r="R13">
        <v>20105</v>
      </c>
      <c r="S13">
        <v>16261</v>
      </c>
      <c r="T13">
        <v>69</v>
      </c>
      <c r="U13">
        <v>1120</v>
      </c>
      <c r="V13">
        <v>9056</v>
      </c>
      <c r="W13">
        <v>15331</v>
      </c>
      <c r="X13">
        <v>1120</v>
      </c>
      <c r="Y13">
        <v>9056</v>
      </c>
      <c r="Z13">
        <v>15331</v>
      </c>
      <c r="AA13">
        <v>0</v>
      </c>
      <c r="AB13">
        <v>0</v>
      </c>
      <c r="AC13">
        <v>1064</v>
      </c>
      <c r="AD13">
        <v>14125</v>
      </c>
      <c r="AE13">
        <v>19615</v>
      </c>
      <c r="AF13">
        <v>1002</v>
      </c>
      <c r="AG13">
        <v>13852</v>
      </c>
      <c r="AH13">
        <v>19229</v>
      </c>
      <c r="AI13">
        <v>386</v>
      </c>
      <c r="AJ13">
        <v>3720</v>
      </c>
      <c r="AK13">
        <v>876</v>
      </c>
      <c r="AL13">
        <v>9864</v>
      </c>
      <c r="AM13">
        <v>12505</v>
      </c>
      <c r="AN13">
        <v>810</v>
      </c>
      <c r="AO13">
        <v>9366</v>
      </c>
      <c r="AP13">
        <v>11560</v>
      </c>
      <c r="AQ13">
        <v>357</v>
      </c>
      <c r="AR13">
        <v>3477</v>
      </c>
      <c r="AS13">
        <v>1029</v>
      </c>
      <c r="AT13">
        <v>10261</v>
      </c>
      <c r="AU13">
        <v>22981</v>
      </c>
      <c r="AV13">
        <v>1042</v>
      </c>
      <c r="AW13">
        <v>10462</v>
      </c>
      <c r="AX13">
        <v>23192</v>
      </c>
      <c r="AY13">
        <v>139</v>
      </c>
      <c r="AZ13">
        <v>2058</v>
      </c>
      <c r="BA13">
        <v>531</v>
      </c>
      <c r="BB13">
        <v>27286</v>
      </c>
      <c r="BC13">
        <v>30590</v>
      </c>
      <c r="BD13">
        <v>530</v>
      </c>
      <c r="BE13">
        <v>27231</v>
      </c>
      <c r="BF13">
        <v>30565</v>
      </c>
      <c r="BG13">
        <v>101</v>
      </c>
      <c r="BH13">
        <v>2393</v>
      </c>
      <c r="BI13">
        <v>48</v>
      </c>
      <c r="BJ13">
        <v>22981</v>
      </c>
      <c r="BK13">
        <v>26922</v>
      </c>
      <c r="BL13">
        <v>48</v>
      </c>
      <c r="BM13">
        <v>22981</v>
      </c>
      <c r="BN13">
        <v>26922</v>
      </c>
      <c r="BO13">
        <v>0</v>
      </c>
      <c r="BP13">
        <v>0</v>
      </c>
      <c r="BQ13">
        <v>524</v>
      </c>
      <c r="BR13">
        <v>13714</v>
      </c>
      <c r="BS13">
        <v>15039</v>
      </c>
      <c r="BT13">
        <v>541</v>
      </c>
      <c r="BU13">
        <v>14027</v>
      </c>
      <c r="BV13">
        <v>15321</v>
      </c>
      <c r="BW13">
        <v>221</v>
      </c>
      <c r="BX13">
        <v>4024</v>
      </c>
      <c r="BY13">
        <v>85</v>
      </c>
      <c r="BZ13">
        <v>1214</v>
      </c>
      <c r="CA13">
        <v>1633</v>
      </c>
      <c r="CB13">
        <v>85</v>
      </c>
      <c r="CC13">
        <v>1743</v>
      </c>
      <c r="CD13">
        <v>1</v>
      </c>
      <c r="CE13">
        <v>113</v>
      </c>
      <c r="CF13">
        <v>1722</v>
      </c>
      <c r="CG13">
        <v>5488</v>
      </c>
      <c r="CH13">
        <v>113</v>
      </c>
      <c r="CI13">
        <v>5937</v>
      </c>
      <c r="CJ13">
        <v>52</v>
      </c>
      <c r="CK13">
        <v>385</v>
      </c>
      <c r="CL13">
        <v>2651</v>
      </c>
      <c r="CM13">
        <v>6906</v>
      </c>
      <c r="CN13">
        <v>391</v>
      </c>
      <c r="CO13">
        <v>6916</v>
      </c>
      <c r="CP13">
        <v>2</v>
      </c>
      <c r="CQ13">
        <v>540</v>
      </c>
      <c r="CR13">
        <v>16465</v>
      </c>
      <c r="CS13">
        <v>21686</v>
      </c>
      <c r="CT13">
        <v>94</v>
      </c>
      <c r="CU13">
        <v>5224</v>
      </c>
      <c r="CV13">
        <v>14962</v>
      </c>
      <c r="CW13">
        <v>674</v>
      </c>
      <c r="CX13">
        <v>10693</v>
      </c>
      <c r="CY13">
        <v>5989</v>
      </c>
    </row>
    <row r="14" spans="1:103" x14ac:dyDescent="0.4">
      <c r="A14" s="1" t="s">
        <v>16</v>
      </c>
      <c r="B14" s="1" t="s">
        <v>17</v>
      </c>
      <c r="C14">
        <v>29</v>
      </c>
      <c r="D14">
        <v>118</v>
      </c>
      <c r="E14">
        <v>147</v>
      </c>
      <c r="F14">
        <v>102</v>
      </c>
      <c r="G14">
        <v>1858</v>
      </c>
      <c r="H14">
        <v>4401</v>
      </c>
      <c r="I14">
        <v>3395</v>
      </c>
      <c r="J14">
        <v>1866</v>
      </c>
      <c r="K14">
        <v>4256</v>
      </c>
      <c r="L14">
        <v>3314</v>
      </c>
      <c r="M14">
        <v>130</v>
      </c>
      <c r="N14">
        <v>340</v>
      </c>
      <c r="O14">
        <v>2749</v>
      </c>
      <c r="P14">
        <v>2077</v>
      </c>
      <c r="Q14">
        <v>342</v>
      </c>
      <c r="R14">
        <v>2807</v>
      </c>
      <c r="S14">
        <v>2210</v>
      </c>
      <c r="T14">
        <v>18</v>
      </c>
      <c r="U14">
        <v>94</v>
      </c>
      <c r="V14">
        <v>1006</v>
      </c>
      <c r="W14">
        <v>1904</v>
      </c>
      <c r="X14">
        <v>94</v>
      </c>
      <c r="Y14">
        <v>1006</v>
      </c>
      <c r="Z14">
        <v>1904</v>
      </c>
      <c r="AA14">
        <v>0</v>
      </c>
      <c r="AB14">
        <v>0</v>
      </c>
      <c r="AC14">
        <v>106</v>
      </c>
      <c r="AD14">
        <v>1938</v>
      </c>
      <c r="AE14">
        <v>2923</v>
      </c>
      <c r="AF14">
        <v>172</v>
      </c>
      <c r="AG14">
        <v>2564</v>
      </c>
      <c r="AH14">
        <v>3720</v>
      </c>
      <c r="AI14">
        <v>314</v>
      </c>
      <c r="AJ14">
        <v>2897</v>
      </c>
      <c r="AK14">
        <v>78</v>
      </c>
      <c r="AL14">
        <v>761</v>
      </c>
      <c r="AM14">
        <v>928</v>
      </c>
      <c r="AN14">
        <v>140</v>
      </c>
      <c r="AO14">
        <v>1418</v>
      </c>
      <c r="AP14">
        <v>1780</v>
      </c>
      <c r="AQ14">
        <v>277</v>
      </c>
      <c r="AR14">
        <v>2413</v>
      </c>
      <c r="AS14">
        <v>110</v>
      </c>
      <c r="AT14">
        <v>957</v>
      </c>
      <c r="AU14">
        <v>2044</v>
      </c>
      <c r="AV14">
        <v>126</v>
      </c>
      <c r="AW14">
        <v>1147</v>
      </c>
      <c r="AX14">
        <v>2258</v>
      </c>
      <c r="AY14">
        <v>145</v>
      </c>
      <c r="AZ14">
        <v>2153</v>
      </c>
      <c r="BA14">
        <v>59</v>
      </c>
      <c r="BB14">
        <v>2699</v>
      </c>
      <c r="BC14">
        <v>3419</v>
      </c>
      <c r="BD14">
        <v>75</v>
      </c>
      <c r="BE14">
        <v>3015</v>
      </c>
      <c r="BF14">
        <v>3575</v>
      </c>
      <c r="BG14">
        <v>94</v>
      </c>
      <c r="BH14">
        <v>2063</v>
      </c>
      <c r="BI14">
        <v>5</v>
      </c>
      <c r="BJ14">
        <v>1618</v>
      </c>
      <c r="BK14">
        <v>1624</v>
      </c>
      <c r="BL14">
        <v>5</v>
      </c>
      <c r="BM14">
        <v>1618</v>
      </c>
      <c r="BN14">
        <v>1624</v>
      </c>
      <c r="BO14">
        <v>0</v>
      </c>
      <c r="BP14">
        <v>0</v>
      </c>
      <c r="BQ14">
        <v>42</v>
      </c>
      <c r="BR14">
        <v>1072</v>
      </c>
      <c r="BS14">
        <v>962</v>
      </c>
      <c r="BT14">
        <v>66</v>
      </c>
      <c r="BU14">
        <v>1522</v>
      </c>
      <c r="BV14">
        <v>1320</v>
      </c>
      <c r="BW14">
        <v>226</v>
      </c>
      <c r="BX14">
        <v>3928</v>
      </c>
      <c r="BY14">
        <v>7</v>
      </c>
      <c r="BZ14">
        <v>41</v>
      </c>
      <c r="CA14">
        <v>57</v>
      </c>
      <c r="CB14">
        <v>7</v>
      </c>
      <c r="CC14">
        <v>57</v>
      </c>
      <c r="CD14">
        <v>1</v>
      </c>
      <c r="CE14">
        <v>18</v>
      </c>
      <c r="CF14">
        <v>626</v>
      </c>
      <c r="CG14">
        <v>1753</v>
      </c>
      <c r="CH14">
        <v>9</v>
      </c>
      <c r="CI14">
        <v>1856</v>
      </c>
      <c r="CJ14">
        <v>55</v>
      </c>
      <c r="CK14">
        <v>30</v>
      </c>
      <c r="CL14">
        <v>479</v>
      </c>
      <c r="CM14">
        <v>1061</v>
      </c>
      <c r="CN14">
        <v>30</v>
      </c>
      <c r="CO14">
        <v>1061</v>
      </c>
      <c r="CP14">
        <v>8</v>
      </c>
      <c r="CQ14">
        <v>52</v>
      </c>
      <c r="CR14">
        <v>2207</v>
      </c>
      <c r="CS14">
        <v>2849</v>
      </c>
      <c r="CT14">
        <v>12</v>
      </c>
      <c r="CU14">
        <v>665</v>
      </c>
      <c r="CV14">
        <v>2034</v>
      </c>
      <c r="CW14">
        <v>70</v>
      </c>
      <c r="CX14">
        <v>1502</v>
      </c>
      <c r="CY14">
        <v>1075</v>
      </c>
    </row>
    <row r="15" spans="1:103" x14ac:dyDescent="0.4">
      <c r="A15" s="1" t="s">
        <v>18</v>
      </c>
      <c r="B15" s="1" t="s">
        <v>19</v>
      </c>
      <c r="C15">
        <v>19</v>
      </c>
      <c r="D15">
        <v>359</v>
      </c>
      <c r="E15">
        <v>417</v>
      </c>
      <c r="F15">
        <v>89</v>
      </c>
      <c r="G15">
        <v>1835</v>
      </c>
      <c r="H15">
        <v>4306</v>
      </c>
      <c r="I15">
        <v>3093</v>
      </c>
      <c r="J15">
        <v>1786</v>
      </c>
      <c r="K15">
        <v>4075</v>
      </c>
      <c r="L15">
        <v>2963</v>
      </c>
      <c r="M15">
        <v>125</v>
      </c>
      <c r="N15">
        <v>274</v>
      </c>
      <c r="O15">
        <v>1345</v>
      </c>
      <c r="P15">
        <v>1067</v>
      </c>
      <c r="Q15">
        <v>233</v>
      </c>
      <c r="R15">
        <v>1192</v>
      </c>
      <c r="S15">
        <v>919</v>
      </c>
      <c r="T15">
        <v>59</v>
      </c>
      <c r="U15">
        <v>59</v>
      </c>
      <c r="V15">
        <v>458</v>
      </c>
      <c r="W15">
        <v>776</v>
      </c>
      <c r="X15">
        <v>59</v>
      </c>
      <c r="Y15">
        <v>458</v>
      </c>
      <c r="Z15">
        <v>775</v>
      </c>
      <c r="AA15">
        <v>0</v>
      </c>
      <c r="AB15">
        <v>0</v>
      </c>
      <c r="AC15">
        <v>47</v>
      </c>
      <c r="AD15">
        <v>888</v>
      </c>
      <c r="AE15">
        <v>889</v>
      </c>
      <c r="AF15">
        <v>42</v>
      </c>
      <c r="AG15">
        <v>798</v>
      </c>
      <c r="AH15">
        <v>955</v>
      </c>
      <c r="AI15">
        <v>319</v>
      </c>
      <c r="AJ15">
        <v>2986</v>
      </c>
      <c r="AK15">
        <v>34</v>
      </c>
      <c r="AL15">
        <v>561</v>
      </c>
      <c r="AM15">
        <v>561</v>
      </c>
      <c r="AN15">
        <v>27</v>
      </c>
      <c r="AO15">
        <v>338</v>
      </c>
      <c r="AP15">
        <v>348</v>
      </c>
      <c r="AQ15">
        <v>284</v>
      </c>
      <c r="AR15">
        <v>2636</v>
      </c>
      <c r="AS15">
        <v>111</v>
      </c>
      <c r="AT15">
        <v>1138</v>
      </c>
      <c r="AU15">
        <v>2839</v>
      </c>
      <c r="AV15">
        <v>103</v>
      </c>
      <c r="AW15">
        <v>1058</v>
      </c>
      <c r="AX15">
        <v>2752</v>
      </c>
      <c r="AY15">
        <v>153</v>
      </c>
      <c r="AZ15">
        <v>2233</v>
      </c>
      <c r="BA15">
        <v>56</v>
      </c>
      <c r="BB15">
        <v>2051</v>
      </c>
      <c r="BC15">
        <v>2307</v>
      </c>
      <c r="BD15">
        <v>40</v>
      </c>
      <c r="BE15">
        <v>1790</v>
      </c>
      <c r="BF15">
        <v>2202</v>
      </c>
      <c r="BG15">
        <v>110</v>
      </c>
      <c r="BH15">
        <v>2324</v>
      </c>
      <c r="BI15">
        <v>6</v>
      </c>
      <c r="BJ15">
        <v>3209</v>
      </c>
      <c r="BK15">
        <v>4184</v>
      </c>
      <c r="BL15">
        <v>6</v>
      </c>
      <c r="BM15">
        <v>3209</v>
      </c>
      <c r="BN15">
        <v>4184</v>
      </c>
      <c r="BO15">
        <v>0</v>
      </c>
      <c r="BP15">
        <v>0</v>
      </c>
      <c r="BQ15">
        <v>54</v>
      </c>
      <c r="BR15">
        <v>931</v>
      </c>
      <c r="BS15">
        <v>759</v>
      </c>
      <c r="BT15">
        <v>38</v>
      </c>
      <c r="BU15">
        <v>613</v>
      </c>
      <c r="BV15">
        <v>553</v>
      </c>
      <c r="BW15">
        <v>242</v>
      </c>
      <c r="BX15">
        <v>4246</v>
      </c>
      <c r="BY15">
        <v>8</v>
      </c>
      <c r="BZ15">
        <v>58</v>
      </c>
      <c r="CA15">
        <v>64</v>
      </c>
      <c r="CB15">
        <v>8</v>
      </c>
      <c r="CC15">
        <v>64</v>
      </c>
      <c r="CD15">
        <v>1</v>
      </c>
      <c r="CE15">
        <v>12</v>
      </c>
      <c r="CF15">
        <v>136</v>
      </c>
      <c r="CG15">
        <v>427</v>
      </c>
      <c r="CH15">
        <v>6</v>
      </c>
      <c r="CI15">
        <v>318</v>
      </c>
      <c r="CJ15">
        <v>61</v>
      </c>
      <c r="CK15">
        <v>14</v>
      </c>
      <c r="CL15">
        <v>261</v>
      </c>
      <c r="CM15">
        <v>402</v>
      </c>
      <c r="CN15">
        <v>14</v>
      </c>
      <c r="CO15">
        <v>402</v>
      </c>
      <c r="CP15">
        <v>8</v>
      </c>
      <c r="CQ15">
        <v>51</v>
      </c>
      <c r="CR15">
        <v>1159</v>
      </c>
      <c r="CS15">
        <v>1400</v>
      </c>
      <c r="CT15">
        <v>7</v>
      </c>
      <c r="CU15">
        <v>300</v>
      </c>
      <c r="CV15">
        <v>849</v>
      </c>
      <c r="CW15">
        <v>39</v>
      </c>
      <c r="CX15">
        <v>790</v>
      </c>
      <c r="CY15">
        <v>327</v>
      </c>
    </row>
    <row r="16" spans="1:103" x14ac:dyDescent="0.4">
      <c r="A16" s="1" t="s">
        <v>20</v>
      </c>
      <c r="B16" s="1" t="s">
        <v>21</v>
      </c>
      <c r="C16">
        <v>16</v>
      </c>
      <c r="D16">
        <v>168</v>
      </c>
      <c r="E16">
        <v>162</v>
      </c>
      <c r="F16">
        <v>48</v>
      </c>
      <c r="G16">
        <v>1788</v>
      </c>
      <c r="H16">
        <v>4180</v>
      </c>
      <c r="I16">
        <v>3086</v>
      </c>
      <c r="J16">
        <v>1699</v>
      </c>
      <c r="K16">
        <v>3655</v>
      </c>
      <c r="L16">
        <v>2736</v>
      </c>
      <c r="M16">
        <v>155</v>
      </c>
      <c r="N16">
        <v>226</v>
      </c>
      <c r="O16">
        <v>1228</v>
      </c>
      <c r="P16">
        <v>925</v>
      </c>
      <c r="Q16">
        <v>245</v>
      </c>
      <c r="R16">
        <v>1264</v>
      </c>
      <c r="S16">
        <v>1056</v>
      </c>
      <c r="T16">
        <v>40</v>
      </c>
      <c r="U16">
        <v>67</v>
      </c>
      <c r="V16">
        <v>542</v>
      </c>
      <c r="W16">
        <v>990</v>
      </c>
      <c r="X16">
        <v>67</v>
      </c>
      <c r="Y16">
        <v>542</v>
      </c>
      <c r="Z16">
        <v>990</v>
      </c>
      <c r="AA16">
        <v>0</v>
      </c>
      <c r="AB16">
        <v>0</v>
      </c>
      <c r="AC16">
        <v>70</v>
      </c>
      <c r="AD16">
        <v>883</v>
      </c>
      <c r="AE16">
        <v>909</v>
      </c>
      <c r="AF16">
        <v>51</v>
      </c>
      <c r="AG16">
        <v>604</v>
      </c>
      <c r="AH16">
        <v>604</v>
      </c>
      <c r="AI16">
        <v>338</v>
      </c>
      <c r="AJ16">
        <v>3265</v>
      </c>
      <c r="AK16">
        <v>59</v>
      </c>
      <c r="AL16">
        <v>727</v>
      </c>
      <c r="AM16">
        <v>693</v>
      </c>
      <c r="AN16">
        <v>41</v>
      </c>
      <c r="AO16">
        <v>502</v>
      </c>
      <c r="AP16">
        <v>467</v>
      </c>
      <c r="AQ16">
        <v>302</v>
      </c>
      <c r="AR16">
        <v>2861</v>
      </c>
      <c r="AS16">
        <v>98</v>
      </c>
      <c r="AT16">
        <v>696</v>
      </c>
      <c r="AU16">
        <v>1845</v>
      </c>
      <c r="AV16">
        <v>95</v>
      </c>
      <c r="AW16">
        <v>678</v>
      </c>
      <c r="AX16">
        <v>1828</v>
      </c>
      <c r="AY16">
        <v>156</v>
      </c>
      <c r="AZ16">
        <v>2251</v>
      </c>
      <c r="BA16">
        <v>49</v>
      </c>
      <c r="BB16">
        <v>2536</v>
      </c>
      <c r="BC16">
        <v>3053</v>
      </c>
      <c r="BD16">
        <v>59</v>
      </c>
      <c r="BE16">
        <v>2705</v>
      </c>
      <c r="BF16">
        <v>3147</v>
      </c>
      <c r="BG16">
        <v>100</v>
      </c>
      <c r="BH16">
        <v>2155</v>
      </c>
      <c r="BI16">
        <v>4</v>
      </c>
      <c r="BJ16">
        <v>1854</v>
      </c>
      <c r="BK16">
        <v>2026</v>
      </c>
      <c r="BL16">
        <v>4</v>
      </c>
      <c r="BM16">
        <v>1854</v>
      </c>
      <c r="BN16">
        <v>2026</v>
      </c>
      <c r="BO16">
        <v>0</v>
      </c>
      <c r="BP16">
        <v>0</v>
      </c>
      <c r="BQ16">
        <v>41</v>
      </c>
      <c r="BR16">
        <v>2160</v>
      </c>
      <c r="BS16">
        <v>2216</v>
      </c>
      <c r="BT16">
        <v>47</v>
      </c>
      <c r="BU16">
        <v>2230</v>
      </c>
      <c r="BV16">
        <v>2233</v>
      </c>
      <c r="BW16">
        <v>236</v>
      </c>
      <c r="BX16">
        <v>4177</v>
      </c>
      <c r="BY16">
        <v>10</v>
      </c>
      <c r="BZ16">
        <v>59</v>
      </c>
      <c r="CA16">
        <v>82</v>
      </c>
      <c r="CB16">
        <v>10</v>
      </c>
      <c r="CC16">
        <v>82</v>
      </c>
      <c r="CD16">
        <v>1</v>
      </c>
      <c r="CE16">
        <v>3</v>
      </c>
      <c r="CF16">
        <v>50</v>
      </c>
      <c r="CG16">
        <v>209</v>
      </c>
      <c r="CH16">
        <v>4</v>
      </c>
      <c r="CI16">
        <v>119</v>
      </c>
      <c r="CJ16">
        <v>60</v>
      </c>
      <c r="CK16">
        <v>22</v>
      </c>
      <c r="CL16">
        <v>78</v>
      </c>
      <c r="CM16">
        <v>227</v>
      </c>
      <c r="CN16">
        <v>22</v>
      </c>
      <c r="CO16">
        <v>227</v>
      </c>
      <c r="CP16">
        <v>8</v>
      </c>
      <c r="CQ16">
        <v>43</v>
      </c>
      <c r="CR16">
        <v>1348</v>
      </c>
      <c r="CS16">
        <v>1715</v>
      </c>
      <c r="CT16">
        <v>11</v>
      </c>
      <c r="CU16">
        <v>399</v>
      </c>
      <c r="CV16">
        <v>939</v>
      </c>
      <c r="CW16">
        <v>49</v>
      </c>
      <c r="CX16">
        <v>989</v>
      </c>
      <c r="CY16">
        <v>493</v>
      </c>
    </row>
    <row r="17" spans="1:103" x14ac:dyDescent="0.4">
      <c r="A17" s="1" t="s">
        <v>22</v>
      </c>
      <c r="B17" s="1" t="s">
        <v>23</v>
      </c>
      <c r="C17">
        <v>20</v>
      </c>
      <c r="D17">
        <v>412</v>
      </c>
      <c r="E17">
        <v>522</v>
      </c>
      <c r="F17">
        <v>36</v>
      </c>
      <c r="G17">
        <v>1881</v>
      </c>
      <c r="H17">
        <v>4742</v>
      </c>
      <c r="I17">
        <v>3487</v>
      </c>
      <c r="J17">
        <v>1782</v>
      </c>
      <c r="K17">
        <v>4318</v>
      </c>
      <c r="L17">
        <v>3175</v>
      </c>
      <c r="M17">
        <v>171</v>
      </c>
      <c r="N17">
        <v>302</v>
      </c>
      <c r="O17">
        <v>2141</v>
      </c>
      <c r="P17">
        <v>1917</v>
      </c>
      <c r="Q17">
        <v>304</v>
      </c>
      <c r="R17">
        <v>2146</v>
      </c>
      <c r="S17">
        <v>1889</v>
      </c>
      <c r="T17">
        <v>38</v>
      </c>
      <c r="U17">
        <v>79</v>
      </c>
      <c r="V17">
        <v>624</v>
      </c>
      <c r="W17">
        <v>1074</v>
      </c>
      <c r="X17">
        <v>79</v>
      </c>
      <c r="Y17">
        <v>624</v>
      </c>
      <c r="Z17">
        <v>1074</v>
      </c>
      <c r="AA17">
        <v>0</v>
      </c>
      <c r="AB17">
        <v>0</v>
      </c>
      <c r="AC17">
        <v>85</v>
      </c>
      <c r="AD17">
        <v>1079</v>
      </c>
      <c r="AE17">
        <v>1459</v>
      </c>
      <c r="AF17">
        <v>89</v>
      </c>
      <c r="AG17">
        <v>972</v>
      </c>
      <c r="AH17">
        <v>1351</v>
      </c>
      <c r="AI17">
        <v>334</v>
      </c>
      <c r="AJ17">
        <v>3374</v>
      </c>
      <c r="AK17">
        <v>73</v>
      </c>
      <c r="AL17">
        <v>758</v>
      </c>
      <c r="AM17">
        <v>998</v>
      </c>
      <c r="AN17">
        <v>77</v>
      </c>
      <c r="AO17">
        <v>654</v>
      </c>
      <c r="AP17">
        <v>912</v>
      </c>
      <c r="AQ17">
        <v>298</v>
      </c>
      <c r="AR17">
        <v>2964</v>
      </c>
      <c r="AS17">
        <v>87</v>
      </c>
      <c r="AT17">
        <v>790</v>
      </c>
      <c r="AU17">
        <v>1803</v>
      </c>
      <c r="AV17">
        <v>88</v>
      </c>
      <c r="AW17">
        <v>697</v>
      </c>
      <c r="AX17">
        <v>1677</v>
      </c>
      <c r="AY17">
        <v>155</v>
      </c>
      <c r="AZ17">
        <v>2344</v>
      </c>
      <c r="BA17">
        <v>46</v>
      </c>
      <c r="BB17">
        <v>2192</v>
      </c>
      <c r="BC17">
        <v>2770</v>
      </c>
      <c r="BD17">
        <v>41</v>
      </c>
      <c r="BE17">
        <v>2047</v>
      </c>
      <c r="BF17">
        <v>2672</v>
      </c>
      <c r="BG17">
        <v>105</v>
      </c>
      <c r="BH17">
        <v>2301</v>
      </c>
      <c r="BI17">
        <v>8</v>
      </c>
      <c r="BJ17">
        <v>3335</v>
      </c>
      <c r="BK17">
        <v>3202</v>
      </c>
      <c r="BL17">
        <v>6</v>
      </c>
      <c r="BM17">
        <v>2661</v>
      </c>
      <c r="BN17">
        <v>2502</v>
      </c>
      <c r="BO17">
        <v>2</v>
      </c>
      <c r="BP17">
        <v>674</v>
      </c>
      <c r="BQ17">
        <v>46</v>
      </c>
      <c r="BR17">
        <v>1491</v>
      </c>
      <c r="BS17">
        <v>1436</v>
      </c>
      <c r="BT17">
        <v>37</v>
      </c>
      <c r="BU17">
        <v>1302</v>
      </c>
      <c r="BV17">
        <v>1250</v>
      </c>
      <c r="BW17">
        <v>245</v>
      </c>
      <c r="BX17">
        <v>4366</v>
      </c>
      <c r="BY17">
        <v>12</v>
      </c>
      <c r="BZ17">
        <v>245</v>
      </c>
      <c r="CA17">
        <v>294</v>
      </c>
      <c r="CB17">
        <v>12</v>
      </c>
      <c r="CC17">
        <v>290</v>
      </c>
      <c r="CD17">
        <v>1</v>
      </c>
      <c r="CE17">
        <v>2</v>
      </c>
      <c r="CF17">
        <v>60</v>
      </c>
      <c r="CG17">
        <v>214</v>
      </c>
      <c r="CH17">
        <v>2</v>
      </c>
      <c r="CI17">
        <v>39</v>
      </c>
      <c r="CJ17">
        <v>60</v>
      </c>
      <c r="CK17">
        <v>50</v>
      </c>
      <c r="CL17">
        <v>154</v>
      </c>
      <c r="CM17">
        <v>558</v>
      </c>
      <c r="CN17">
        <v>50</v>
      </c>
      <c r="CO17">
        <v>558</v>
      </c>
      <c r="CP17">
        <v>8</v>
      </c>
      <c r="CQ17">
        <v>48</v>
      </c>
      <c r="CR17">
        <v>1497</v>
      </c>
      <c r="CS17">
        <v>2070</v>
      </c>
      <c r="CT17">
        <v>8</v>
      </c>
      <c r="CU17">
        <v>289</v>
      </c>
      <c r="CV17">
        <v>748</v>
      </c>
      <c r="CW17">
        <v>52</v>
      </c>
      <c r="CX17">
        <v>869</v>
      </c>
      <c r="CY17">
        <v>510</v>
      </c>
    </row>
    <row r="18" spans="1:103" x14ac:dyDescent="0.4">
      <c r="A18" s="1" t="s">
        <v>24</v>
      </c>
      <c r="B18" s="1" t="s">
        <v>25</v>
      </c>
      <c r="C18">
        <v>21</v>
      </c>
      <c r="D18">
        <v>1495</v>
      </c>
      <c r="E18">
        <v>1793</v>
      </c>
      <c r="F18">
        <v>39</v>
      </c>
      <c r="G18">
        <v>1625</v>
      </c>
      <c r="H18">
        <v>3984</v>
      </c>
      <c r="I18">
        <v>3105</v>
      </c>
      <c r="J18">
        <v>1535</v>
      </c>
      <c r="K18">
        <v>3672</v>
      </c>
      <c r="L18">
        <v>2839</v>
      </c>
      <c r="M18">
        <v>167</v>
      </c>
      <c r="N18">
        <v>291</v>
      </c>
      <c r="O18">
        <v>1390</v>
      </c>
      <c r="P18">
        <v>1037</v>
      </c>
      <c r="Q18">
        <v>295</v>
      </c>
      <c r="R18">
        <v>1415</v>
      </c>
      <c r="S18">
        <v>1036</v>
      </c>
      <c r="T18">
        <v>34</v>
      </c>
      <c r="U18">
        <v>78</v>
      </c>
      <c r="V18">
        <v>560</v>
      </c>
      <c r="W18">
        <v>928</v>
      </c>
      <c r="X18">
        <v>78</v>
      </c>
      <c r="Y18">
        <v>560</v>
      </c>
      <c r="Z18">
        <v>928</v>
      </c>
      <c r="AA18">
        <v>0</v>
      </c>
      <c r="AB18">
        <v>0</v>
      </c>
      <c r="AC18">
        <v>90</v>
      </c>
      <c r="AD18">
        <v>883</v>
      </c>
      <c r="AE18">
        <v>1303</v>
      </c>
      <c r="AF18">
        <v>95</v>
      </c>
      <c r="AG18">
        <v>1080</v>
      </c>
      <c r="AH18">
        <v>1491</v>
      </c>
      <c r="AI18">
        <v>329</v>
      </c>
      <c r="AJ18">
        <v>3179</v>
      </c>
      <c r="AK18">
        <v>55</v>
      </c>
      <c r="AL18">
        <v>549</v>
      </c>
      <c r="AM18">
        <v>682</v>
      </c>
      <c r="AN18">
        <v>60</v>
      </c>
      <c r="AO18">
        <v>654</v>
      </c>
      <c r="AP18">
        <v>817</v>
      </c>
      <c r="AQ18">
        <v>293</v>
      </c>
      <c r="AR18">
        <v>2860</v>
      </c>
      <c r="AS18">
        <v>100</v>
      </c>
      <c r="AT18">
        <v>872</v>
      </c>
      <c r="AU18">
        <v>2019</v>
      </c>
      <c r="AV18">
        <v>94</v>
      </c>
      <c r="AW18">
        <v>799</v>
      </c>
      <c r="AX18">
        <v>1938</v>
      </c>
      <c r="AY18">
        <v>161</v>
      </c>
      <c r="AZ18">
        <v>2417</v>
      </c>
      <c r="BA18">
        <v>59</v>
      </c>
      <c r="BB18">
        <v>2776</v>
      </c>
      <c r="BC18">
        <v>3451</v>
      </c>
      <c r="BD18">
        <v>52</v>
      </c>
      <c r="BE18">
        <v>2608</v>
      </c>
      <c r="BF18">
        <v>3336</v>
      </c>
      <c r="BG18">
        <v>112</v>
      </c>
      <c r="BH18">
        <v>2469</v>
      </c>
      <c r="BI18">
        <v>3</v>
      </c>
      <c r="BJ18">
        <v>1985</v>
      </c>
      <c r="BK18">
        <v>3120</v>
      </c>
      <c r="BL18">
        <v>4</v>
      </c>
      <c r="BM18">
        <v>1761</v>
      </c>
      <c r="BN18">
        <v>1901</v>
      </c>
      <c r="BO18">
        <v>1</v>
      </c>
      <c r="BP18">
        <v>898</v>
      </c>
      <c r="BQ18">
        <v>56</v>
      </c>
      <c r="BR18">
        <v>2285</v>
      </c>
      <c r="BS18">
        <v>2586</v>
      </c>
      <c r="BT18">
        <v>45</v>
      </c>
      <c r="BU18">
        <v>2021</v>
      </c>
      <c r="BV18">
        <v>2392</v>
      </c>
      <c r="BW18">
        <v>256</v>
      </c>
      <c r="BX18">
        <v>4631</v>
      </c>
      <c r="BY18">
        <v>14</v>
      </c>
      <c r="BZ18">
        <v>121</v>
      </c>
      <c r="CA18">
        <v>275</v>
      </c>
      <c r="CB18">
        <v>14</v>
      </c>
      <c r="CC18">
        <v>260</v>
      </c>
      <c r="CD18">
        <v>1</v>
      </c>
      <c r="CE18">
        <v>9</v>
      </c>
      <c r="CF18">
        <v>128</v>
      </c>
      <c r="CG18">
        <v>430</v>
      </c>
      <c r="CH18">
        <v>7</v>
      </c>
      <c r="CI18">
        <v>333</v>
      </c>
      <c r="CJ18">
        <v>62</v>
      </c>
      <c r="CK18">
        <v>24</v>
      </c>
      <c r="CL18">
        <v>73</v>
      </c>
      <c r="CM18">
        <v>278</v>
      </c>
      <c r="CN18">
        <v>24</v>
      </c>
      <c r="CO18">
        <v>278</v>
      </c>
      <c r="CP18">
        <v>8</v>
      </c>
      <c r="CQ18">
        <v>36</v>
      </c>
      <c r="CR18">
        <v>950</v>
      </c>
      <c r="CS18">
        <v>1160</v>
      </c>
      <c r="CT18">
        <v>6</v>
      </c>
      <c r="CU18">
        <v>269</v>
      </c>
      <c r="CV18">
        <v>660</v>
      </c>
      <c r="CW18">
        <v>52</v>
      </c>
      <c r="CX18">
        <v>1346</v>
      </c>
      <c r="CY18">
        <v>710</v>
      </c>
    </row>
    <row r="19" spans="1:103" x14ac:dyDescent="0.4">
      <c r="A19" s="1" t="s">
        <v>26</v>
      </c>
      <c r="B19" s="1" t="s">
        <v>27</v>
      </c>
      <c r="C19">
        <v>22</v>
      </c>
      <c r="D19">
        <v>469</v>
      </c>
      <c r="E19">
        <v>1701</v>
      </c>
      <c r="F19">
        <v>56</v>
      </c>
      <c r="G19">
        <v>1620</v>
      </c>
      <c r="H19">
        <v>4174</v>
      </c>
      <c r="I19">
        <v>3000</v>
      </c>
      <c r="J19">
        <v>1639</v>
      </c>
      <c r="K19">
        <v>4164</v>
      </c>
      <c r="L19">
        <v>3016</v>
      </c>
      <c r="M19">
        <v>151</v>
      </c>
      <c r="N19">
        <v>180</v>
      </c>
      <c r="O19">
        <v>1264</v>
      </c>
      <c r="P19">
        <v>1084</v>
      </c>
      <c r="Q19">
        <v>193</v>
      </c>
      <c r="R19">
        <v>1278</v>
      </c>
      <c r="S19">
        <v>935</v>
      </c>
      <c r="T19">
        <v>21</v>
      </c>
      <c r="U19">
        <v>73</v>
      </c>
      <c r="V19">
        <v>446</v>
      </c>
      <c r="W19">
        <v>956</v>
      </c>
      <c r="X19">
        <v>73</v>
      </c>
      <c r="Y19">
        <v>446</v>
      </c>
      <c r="Z19">
        <v>956</v>
      </c>
      <c r="AA19">
        <v>0</v>
      </c>
      <c r="AB19">
        <v>0</v>
      </c>
      <c r="AC19">
        <v>53</v>
      </c>
      <c r="AD19">
        <v>1235</v>
      </c>
      <c r="AE19">
        <v>1232</v>
      </c>
      <c r="AF19">
        <v>42</v>
      </c>
      <c r="AG19">
        <v>1002</v>
      </c>
      <c r="AH19">
        <v>964</v>
      </c>
      <c r="AI19">
        <v>340</v>
      </c>
      <c r="AJ19">
        <v>3412</v>
      </c>
      <c r="AK19">
        <v>35</v>
      </c>
      <c r="AL19">
        <v>573</v>
      </c>
      <c r="AM19">
        <v>582</v>
      </c>
      <c r="AN19">
        <v>24</v>
      </c>
      <c r="AO19">
        <v>340</v>
      </c>
      <c r="AP19">
        <v>330</v>
      </c>
      <c r="AQ19">
        <v>304</v>
      </c>
      <c r="AR19">
        <v>3093</v>
      </c>
      <c r="AS19">
        <v>89</v>
      </c>
      <c r="AT19">
        <v>934</v>
      </c>
      <c r="AU19">
        <v>1905</v>
      </c>
      <c r="AV19">
        <v>86</v>
      </c>
      <c r="AW19">
        <v>956</v>
      </c>
      <c r="AX19">
        <v>1944</v>
      </c>
      <c r="AY19">
        <v>164</v>
      </c>
      <c r="AZ19">
        <v>2395</v>
      </c>
      <c r="BA19">
        <v>54</v>
      </c>
      <c r="BB19">
        <v>2590</v>
      </c>
      <c r="BC19">
        <v>3007</v>
      </c>
      <c r="BD19">
        <v>48</v>
      </c>
      <c r="BE19">
        <v>2418</v>
      </c>
      <c r="BF19">
        <v>2911</v>
      </c>
      <c r="BG19">
        <v>118</v>
      </c>
      <c r="BH19">
        <v>2641</v>
      </c>
      <c r="BI19">
        <v>1</v>
      </c>
      <c r="BJ19">
        <v>558</v>
      </c>
      <c r="BK19">
        <v>669</v>
      </c>
      <c r="BL19">
        <v>2</v>
      </c>
      <c r="BM19">
        <v>1456</v>
      </c>
      <c r="BN19">
        <v>2588</v>
      </c>
      <c r="BO19">
        <v>0</v>
      </c>
      <c r="BP19">
        <v>0</v>
      </c>
      <c r="BQ19">
        <v>49</v>
      </c>
      <c r="BR19">
        <v>847</v>
      </c>
      <c r="BS19">
        <v>743</v>
      </c>
      <c r="BT19">
        <v>45</v>
      </c>
      <c r="BU19">
        <v>758</v>
      </c>
      <c r="BV19">
        <v>728</v>
      </c>
      <c r="BW19">
        <v>260</v>
      </c>
      <c r="BX19">
        <v>4720</v>
      </c>
      <c r="BY19">
        <v>7</v>
      </c>
      <c r="BZ19">
        <v>36</v>
      </c>
      <c r="CA19">
        <v>111</v>
      </c>
      <c r="CB19">
        <v>7</v>
      </c>
      <c r="CC19">
        <v>116</v>
      </c>
      <c r="CD19">
        <v>1</v>
      </c>
      <c r="CE19">
        <v>6</v>
      </c>
      <c r="CF19">
        <v>113</v>
      </c>
      <c r="CG19">
        <v>366</v>
      </c>
      <c r="CH19">
        <v>5</v>
      </c>
      <c r="CI19">
        <v>235</v>
      </c>
      <c r="CJ19">
        <v>63</v>
      </c>
      <c r="CK19">
        <v>52</v>
      </c>
      <c r="CL19">
        <v>405</v>
      </c>
      <c r="CM19">
        <v>634</v>
      </c>
      <c r="CN19">
        <v>52</v>
      </c>
      <c r="CO19">
        <v>634</v>
      </c>
      <c r="CP19">
        <v>8</v>
      </c>
      <c r="CQ19">
        <v>43</v>
      </c>
      <c r="CR19">
        <v>1242</v>
      </c>
      <c r="CS19">
        <v>1614</v>
      </c>
      <c r="CT19">
        <v>9</v>
      </c>
      <c r="CU19">
        <v>236</v>
      </c>
      <c r="CV19">
        <v>972</v>
      </c>
      <c r="CW19">
        <v>63</v>
      </c>
      <c r="CX19">
        <v>1351</v>
      </c>
      <c r="CY19">
        <v>691</v>
      </c>
    </row>
    <row r="20" spans="1:103" x14ac:dyDescent="0.4">
      <c r="A20" s="1" t="s">
        <v>28</v>
      </c>
      <c r="B20" s="1" t="s">
        <v>29</v>
      </c>
      <c r="C20">
        <v>31</v>
      </c>
      <c r="D20">
        <v>290</v>
      </c>
      <c r="E20">
        <v>260</v>
      </c>
      <c r="F20">
        <v>68</v>
      </c>
      <c r="G20">
        <v>1806</v>
      </c>
      <c r="H20">
        <v>5468</v>
      </c>
      <c r="I20">
        <v>3792</v>
      </c>
      <c r="J20">
        <v>1778</v>
      </c>
      <c r="K20">
        <v>5465</v>
      </c>
      <c r="L20">
        <v>3855</v>
      </c>
      <c r="M20">
        <v>156</v>
      </c>
      <c r="N20">
        <v>268</v>
      </c>
      <c r="O20">
        <v>1587</v>
      </c>
      <c r="P20">
        <v>1149</v>
      </c>
      <c r="Q20">
        <v>287</v>
      </c>
      <c r="R20">
        <v>1690</v>
      </c>
      <c r="S20">
        <v>1342</v>
      </c>
      <c r="T20">
        <v>2</v>
      </c>
      <c r="U20">
        <v>105</v>
      </c>
      <c r="V20">
        <v>735</v>
      </c>
      <c r="W20">
        <v>1428</v>
      </c>
      <c r="X20">
        <v>105</v>
      </c>
      <c r="Y20">
        <v>735</v>
      </c>
      <c r="Z20">
        <v>1428</v>
      </c>
      <c r="AA20">
        <v>0</v>
      </c>
      <c r="AB20">
        <v>0</v>
      </c>
      <c r="AC20">
        <v>86</v>
      </c>
      <c r="AD20">
        <v>1322</v>
      </c>
      <c r="AE20">
        <v>1638</v>
      </c>
      <c r="AF20">
        <v>119</v>
      </c>
      <c r="AG20">
        <v>1849</v>
      </c>
      <c r="AH20">
        <v>2410</v>
      </c>
      <c r="AI20">
        <v>307</v>
      </c>
      <c r="AJ20">
        <v>2886</v>
      </c>
      <c r="AK20">
        <v>77</v>
      </c>
      <c r="AL20">
        <v>876</v>
      </c>
      <c r="AM20">
        <v>972</v>
      </c>
      <c r="AN20">
        <v>107</v>
      </c>
      <c r="AO20">
        <v>1358</v>
      </c>
      <c r="AP20">
        <v>1667</v>
      </c>
      <c r="AQ20">
        <v>274</v>
      </c>
      <c r="AR20">
        <v>2612</v>
      </c>
      <c r="AS20">
        <v>100</v>
      </c>
      <c r="AT20">
        <v>836</v>
      </c>
      <c r="AU20">
        <v>1837</v>
      </c>
      <c r="AV20">
        <v>118</v>
      </c>
      <c r="AW20">
        <v>1078</v>
      </c>
      <c r="AX20">
        <v>2095</v>
      </c>
      <c r="AY20">
        <v>146</v>
      </c>
      <c r="AZ20">
        <v>2153</v>
      </c>
      <c r="BA20">
        <v>50</v>
      </c>
      <c r="BB20">
        <v>2197</v>
      </c>
      <c r="BC20">
        <v>2424</v>
      </c>
      <c r="BD20">
        <v>60</v>
      </c>
      <c r="BE20">
        <v>2476</v>
      </c>
      <c r="BF20">
        <v>2575</v>
      </c>
      <c r="BG20">
        <v>108</v>
      </c>
      <c r="BH20">
        <v>2362</v>
      </c>
      <c r="BI20">
        <v>4</v>
      </c>
      <c r="BJ20">
        <v>1039</v>
      </c>
      <c r="BK20">
        <v>1135</v>
      </c>
      <c r="BL20">
        <v>4</v>
      </c>
      <c r="BM20">
        <v>1039</v>
      </c>
      <c r="BN20">
        <v>1135</v>
      </c>
      <c r="BO20">
        <v>0</v>
      </c>
      <c r="BP20">
        <v>0</v>
      </c>
      <c r="BQ20">
        <v>48</v>
      </c>
      <c r="BR20">
        <v>1533</v>
      </c>
      <c r="BS20">
        <v>1401</v>
      </c>
      <c r="BT20">
        <v>71</v>
      </c>
      <c r="BU20">
        <v>2018</v>
      </c>
      <c r="BV20">
        <v>1781</v>
      </c>
      <c r="BW20">
        <v>237</v>
      </c>
      <c r="BX20">
        <v>4234</v>
      </c>
      <c r="BY20">
        <v>7</v>
      </c>
      <c r="BZ20">
        <v>58</v>
      </c>
      <c r="CA20">
        <v>58</v>
      </c>
      <c r="CB20">
        <v>7</v>
      </c>
      <c r="CC20">
        <v>58</v>
      </c>
      <c r="CD20">
        <v>1</v>
      </c>
      <c r="CE20">
        <v>2</v>
      </c>
      <c r="CF20">
        <v>143</v>
      </c>
      <c r="CG20">
        <v>497</v>
      </c>
      <c r="CH20">
        <v>9</v>
      </c>
      <c r="CI20">
        <v>1003</v>
      </c>
      <c r="CJ20">
        <v>56</v>
      </c>
      <c r="CK20">
        <v>14</v>
      </c>
      <c r="CL20">
        <v>48</v>
      </c>
      <c r="CM20">
        <v>216</v>
      </c>
      <c r="CN20">
        <v>14</v>
      </c>
      <c r="CO20">
        <v>216</v>
      </c>
      <c r="CP20">
        <v>8</v>
      </c>
      <c r="CQ20">
        <v>55</v>
      </c>
      <c r="CR20">
        <v>1453</v>
      </c>
      <c r="CS20">
        <v>1821</v>
      </c>
      <c r="CT20">
        <v>12</v>
      </c>
      <c r="CU20">
        <v>501</v>
      </c>
      <c r="CV20">
        <v>2639</v>
      </c>
      <c r="CW20">
        <v>64</v>
      </c>
      <c r="CX20">
        <v>1183</v>
      </c>
      <c r="CY20">
        <v>572</v>
      </c>
    </row>
    <row r="21" spans="1:103" x14ac:dyDescent="0.4">
      <c r="A21" s="1" t="s">
        <v>30</v>
      </c>
      <c r="B21" s="1" t="s">
        <v>31</v>
      </c>
      <c r="C21">
        <v>20</v>
      </c>
      <c r="D21">
        <v>168</v>
      </c>
      <c r="E21">
        <v>242</v>
      </c>
      <c r="F21">
        <v>86</v>
      </c>
      <c r="G21">
        <v>1766</v>
      </c>
      <c r="H21">
        <v>4218</v>
      </c>
      <c r="I21">
        <v>3160</v>
      </c>
      <c r="J21">
        <v>1820</v>
      </c>
      <c r="K21">
        <v>4155</v>
      </c>
      <c r="L21">
        <v>3158</v>
      </c>
      <c r="M21">
        <v>148</v>
      </c>
      <c r="N21">
        <v>251</v>
      </c>
      <c r="O21">
        <v>1759</v>
      </c>
      <c r="P21">
        <v>1381</v>
      </c>
      <c r="Q21">
        <v>240</v>
      </c>
      <c r="R21">
        <v>1721</v>
      </c>
      <c r="S21">
        <v>1284</v>
      </c>
      <c r="T21">
        <v>13</v>
      </c>
      <c r="U21">
        <v>108</v>
      </c>
      <c r="V21">
        <v>710</v>
      </c>
      <c r="W21">
        <v>1164</v>
      </c>
      <c r="X21">
        <v>108</v>
      </c>
      <c r="Y21">
        <v>710</v>
      </c>
      <c r="Z21">
        <v>1164</v>
      </c>
      <c r="AA21">
        <v>0</v>
      </c>
      <c r="AB21">
        <v>0</v>
      </c>
      <c r="AC21">
        <v>109</v>
      </c>
      <c r="AD21">
        <v>1319</v>
      </c>
      <c r="AE21">
        <v>1935</v>
      </c>
      <c r="AF21">
        <v>86</v>
      </c>
      <c r="AG21">
        <v>919</v>
      </c>
      <c r="AH21">
        <v>1310</v>
      </c>
      <c r="AI21">
        <v>330</v>
      </c>
      <c r="AJ21">
        <v>3286</v>
      </c>
      <c r="AK21">
        <v>90</v>
      </c>
      <c r="AL21">
        <v>916</v>
      </c>
      <c r="AM21">
        <v>1234</v>
      </c>
      <c r="AN21">
        <v>70</v>
      </c>
      <c r="AO21">
        <v>656</v>
      </c>
      <c r="AP21">
        <v>911</v>
      </c>
      <c r="AQ21">
        <v>294</v>
      </c>
      <c r="AR21">
        <v>2872</v>
      </c>
      <c r="AS21">
        <v>123</v>
      </c>
      <c r="AT21">
        <v>1301</v>
      </c>
      <c r="AU21">
        <v>3072</v>
      </c>
      <c r="AV21">
        <v>114</v>
      </c>
      <c r="AW21">
        <v>1194</v>
      </c>
      <c r="AX21">
        <v>2957</v>
      </c>
      <c r="AY21">
        <v>155</v>
      </c>
      <c r="AZ21">
        <v>2260</v>
      </c>
      <c r="BA21">
        <v>58</v>
      </c>
      <c r="BB21">
        <v>3145</v>
      </c>
      <c r="BC21">
        <v>3529</v>
      </c>
      <c r="BD21">
        <v>57</v>
      </c>
      <c r="BE21">
        <v>3096</v>
      </c>
      <c r="BF21">
        <v>3491</v>
      </c>
      <c r="BG21">
        <v>109</v>
      </c>
      <c r="BH21">
        <v>2411</v>
      </c>
      <c r="BI21">
        <v>8</v>
      </c>
      <c r="BJ21">
        <v>3622</v>
      </c>
      <c r="BK21">
        <v>4268</v>
      </c>
      <c r="BL21">
        <v>8</v>
      </c>
      <c r="BM21">
        <v>3622</v>
      </c>
      <c r="BN21">
        <v>4268</v>
      </c>
      <c r="BO21">
        <v>0</v>
      </c>
      <c r="BP21">
        <v>0</v>
      </c>
      <c r="BQ21">
        <v>53</v>
      </c>
      <c r="BR21">
        <v>1211</v>
      </c>
      <c r="BS21">
        <v>1148</v>
      </c>
      <c r="BT21">
        <v>51</v>
      </c>
      <c r="BU21">
        <v>1108</v>
      </c>
      <c r="BV21">
        <v>1017</v>
      </c>
      <c r="BW21">
        <v>239</v>
      </c>
      <c r="BX21">
        <v>4337</v>
      </c>
      <c r="BY21">
        <v>8</v>
      </c>
      <c r="BZ21">
        <v>69</v>
      </c>
      <c r="CA21">
        <v>149</v>
      </c>
      <c r="CB21">
        <v>8</v>
      </c>
      <c r="CC21">
        <v>154</v>
      </c>
      <c r="CD21">
        <v>1</v>
      </c>
      <c r="CE21">
        <v>2</v>
      </c>
      <c r="CF21">
        <v>13</v>
      </c>
      <c r="CG21">
        <v>54</v>
      </c>
      <c r="CH21">
        <v>4</v>
      </c>
      <c r="CI21">
        <v>147</v>
      </c>
      <c r="CJ21">
        <v>54</v>
      </c>
      <c r="CK21">
        <v>69</v>
      </c>
      <c r="CL21">
        <v>118</v>
      </c>
      <c r="CM21">
        <v>839</v>
      </c>
      <c r="CN21">
        <v>69</v>
      </c>
      <c r="CO21">
        <v>839</v>
      </c>
      <c r="CP21">
        <v>8</v>
      </c>
      <c r="CQ21">
        <v>58</v>
      </c>
      <c r="CR21">
        <v>1814</v>
      </c>
      <c r="CS21">
        <v>2578</v>
      </c>
      <c r="CT21">
        <v>10</v>
      </c>
      <c r="CU21">
        <v>358</v>
      </c>
      <c r="CV21">
        <v>880</v>
      </c>
      <c r="CW21">
        <v>53</v>
      </c>
      <c r="CX21">
        <v>1211</v>
      </c>
      <c r="CY21">
        <v>559</v>
      </c>
    </row>
    <row r="22" spans="1:103" x14ac:dyDescent="0.4">
      <c r="A22" s="1" t="s">
        <v>32</v>
      </c>
      <c r="B22" s="1" t="s">
        <v>33</v>
      </c>
      <c r="C22">
        <v>25</v>
      </c>
      <c r="D22">
        <v>248</v>
      </c>
      <c r="E22">
        <v>395</v>
      </c>
      <c r="F22">
        <v>35</v>
      </c>
      <c r="G22">
        <v>1771</v>
      </c>
      <c r="H22">
        <v>3846</v>
      </c>
      <c r="I22">
        <v>3088</v>
      </c>
      <c r="J22">
        <v>1763</v>
      </c>
      <c r="K22">
        <v>3822</v>
      </c>
      <c r="L22">
        <v>3099</v>
      </c>
      <c r="M22">
        <v>145</v>
      </c>
      <c r="N22">
        <v>297</v>
      </c>
      <c r="O22">
        <v>1581</v>
      </c>
      <c r="P22">
        <v>1299</v>
      </c>
      <c r="Q22">
        <v>279</v>
      </c>
      <c r="R22">
        <v>1545</v>
      </c>
      <c r="S22">
        <v>1237</v>
      </c>
      <c r="T22">
        <v>31</v>
      </c>
      <c r="U22">
        <v>88</v>
      </c>
      <c r="V22">
        <v>654</v>
      </c>
      <c r="W22">
        <v>1024</v>
      </c>
      <c r="X22">
        <v>88</v>
      </c>
      <c r="Y22">
        <v>654</v>
      </c>
      <c r="Z22">
        <v>1024</v>
      </c>
      <c r="AA22">
        <v>0</v>
      </c>
      <c r="AB22">
        <v>0</v>
      </c>
      <c r="AC22">
        <v>90</v>
      </c>
      <c r="AD22">
        <v>1242</v>
      </c>
      <c r="AE22">
        <v>1887</v>
      </c>
      <c r="AF22">
        <v>82</v>
      </c>
      <c r="AG22">
        <v>946</v>
      </c>
      <c r="AH22">
        <v>1430</v>
      </c>
      <c r="AI22">
        <v>338</v>
      </c>
      <c r="AJ22">
        <v>3583</v>
      </c>
      <c r="AK22">
        <v>72</v>
      </c>
      <c r="AL22">
        <v>813</v>
      </c>
      <c r="AM22">
        <v>1013</v>
      </c>
      <c r="AN22">
        <v>65</v>
      </c>
      <c r="AO22">
        <v>682</v>
      </c>
      <c r="AP22">
        <v>901</v>
      </c>
      <c r="AQ22">
        <v>301</v>
      </c>
      <c r="AR22">
        <v>3002</v>
      </c>
      <c r="AS22">
        <v>97</v>
      </c>
      <c r="AT22">
        <v>1061</v>
      </c>
      <c r="AU22">
        <v>2113</v>
      </c>
      <c r="AV22">
        <v>99</v>
      </c>
      <c r="AW22">
        <v>1029</v>
      </c>
      <c r="AX22">
        <v>2061</v>
      </c>
      <c r="AY22">
        <v>153</v>
      </c>
      <c r="AZ22">
        <v>2292</v>
      </c>
      <c r="BA22">
        <v>58</v>
      </c>
      <c r="BB22">
        <v>3344</v>
      </c>
      <c r="BC22">
        <v>4164</v>
      </c>
      <c r="BD22">
        <v>63</v>
      </c>
      <c r="BE22">
        <v>3459</v>
      </c>
      <c r="BF22">
        <v>4186</v>
      </c>
      <c r="BG22">
        <v>104</v>
      </c>
      <c r="BH22">
        <v>2296</v>
      </c>
      <c r="BI22">
        <v>4</v>
      </c>
      <c r="BJ22">
        <v>1548</v>
      </c>
      <c r="BK22">
        <v>1289</v>
      </c>
      <c r="BL22">
        <v>4</v>
      </c>
      <c r="BM22">
        <v>1548</v>
      </c>
      <c r="BN22">
        <v>1289</v>
      </c>
      <c r="BO22">
        <v>0</v>
      </c>
      <c r="BP22">
        <v>0</v>
      </c>
      <c r="BQ22">
        <v>54</v>
      </c>
      <c r="BR22">
        <v>1777</v>
      </c>
      <c r="BS22">
        <v>1530</v>
      </c>
      <c r="BT22">
        <v>51</v>
      </c>
      <c r="BU22">
        <v>1758</v>
      </c>
      <c r="BV22">
        <v>1485</v>
      </c>
      <c r="BW22">
        <v>242</v>
      </c>
      <c r="BX22">
        <v>4357</v>
      </c>
      <c r="BY22">
        <v>7</v>
      </c>
      <c r="BZ22">
        <v>42</v>
      </c>
      <c r="CA22">
        <v>47</v>
      </c>
      <c r="CB22">
        <v>7</v>
      </c>
      <c r="CC22">
        <v>47</v>
      </c>
      <c r="CD22">
        <v>1</v>
      </c>
      <c r="CE22">
        <v>6</v>
      </c>
      <c r="CF22">
        <v>49</v>
      </c>
      <c r="CG22">
        <v>202</v>
      </c>
      <c r="CH22">
        <v>7</v>
      </c>
      <c r="CI22">
        <v>209</v>
      </c>
      <c r="CJ22">
        <v>53</v>
      </c>
      <c r="CK22">
        <v>16</v>
      </c>
      <c r="CL22">
        <v>150</v>
      </c>
      <c r="CM22">
        <v>355</v>
      </c>
      <c r="CN22">
        <v>16</v>
      </c>
      <c r="CO22">
        <v>355</v>
      </c>
      <c r="CP22">
        <v>8</v>
      </c>
      <c r="CQ22">
        <v>41</v>
      </c>
      <c r="CR22">
        <v>1062</v>
      </c>
      <c r="CS22">
        <v>1256</v>
      </c>
      <c r="CT22">
        <v>16</v>
      </c>
      <c r="CU22">
        <v>450</v>
      </c>
      <c r="CV22">
        <v>1269</v>
      </c>
      <c r="CW22">
        <v>46</v>
      </c>
      <c r="CX22">
        <v>794</v>
      </c>
      <c r="CY22">
        <v>355</v>
      </c>
    </row>
    <row r="23" spans="1:103" x14ac:dyDescent="0.4">
      <c r="A23" s="1" t="s">
        <v>34</v>
      </c>
      <c r="B23" s="1" t="s">
        <v>35</v>
      </c>
      <c r="C23">
        <v>33</v>
      </c>
      <c r="D23">
        <v>417</v>
      </c>
      <c r="E23">
        <v>362</v>
      </c>
      <c r="F23">
        <v>29</v>
      </c>
      <c r="G23">
        <v>1859</v>
      </c>
      <c r="H23">
        <v>4510</v>
      </c>
      <c r="I23">
        <v>3267</v>
      </c>
      <c r="J23">
        <v>1932</v>
      </c>
      <c r="K23">
        <v>4642</v>
      </c>
      <c r="L23">
        <v>3405</v>
      </c>
      <c r="M23">
        <v>201</v>
      </c>
      <c r="N23">
        <v>258</v>
      </c>
      <c r="O23">
        <v>1797</v>
      </c>
      <c r="P23">
        <v>1568</v>
      </c>
      <c r="Q23">
        <v>259</v>
      </c>
      <c r="R23">
        <v>1782</v>
      </c>
      <c r="S23">
        <v>1546</v>
      </c>
      <c r="T23">
        <v>30</v>
      </c>
      <c r="U23">
        <v>112</v>
      </c>
      <c r="V23">
        <v>1012</v>
      </c>
      <c r="W23">
        <v>2032</v>
      </c>
      <c r="X23">
        <v>112</v>
      </c>
      <c r="Y23">
        <v>1012</v>
      </c>
      <c r="Z23">
        <v>2025</v>
      </c>
      <c r="AA23">
        <v>0</v>
      </c>
      <c r="AB23">
        <v>0</v>
      </c>
      <c r="AC23">
        <v>96</v>
      </c>
      <c r="AD23">
        <v>1562</v>
      </c>
      <c r="AE23">
        <v>1925</v>
      </c>
      <c r="AF23">
        <v>110</v>
      </c>
      <c r="AG23">
        <v>1696</v>
      </c>
      <c r="AH23">
        <v>2247</v>
      </c>
      <c r="AI23">
        <v>324</v>
      </c>
      <c r="AJ23">
        <v>3451</v>
      </c>
      <c r="AK23">
        <v>72</v>
      </c>
      <c r="AL23">
        <v>907</v>
      </c>
      <c r="AM23">
        <v>999</v>
      </c>
      <c r="AN23">
        <v>82</v>
      </c>
      <c r="AO23">
        <v>933</v>
      </c>
      <c r="AP23">
        <v>1142</v>
      </c>
      <c r="AQ23">
        <v>291</v>
      </c>
      <c r="AR23">
        <v>2977</v>
      </c>
      <c r="AS23">
        <v>98</v>
      </c>
      <c r="AT23">
        <v>1169</v>
      </c>
      <c r="AU23">
        <v>2558</v>
      </c>
      <c r="AV23">
        <v>99</v>
      </c>
      <c r="AW23">
        <v>1205</v>
      </c>
      <c r="AX23">
        <v>2617</v>
      </c>
      <c r="AY23">
        <v>152</v>
      </c>
      <c r="AZ23">
        <v>2256</v>
      </c>
      <c r="BA23">
        <v>44</v>
      </c>
      <c r="BB23">
        <v>2082</v>
      </c>
      <c r="BC23">
        <v>2226</v>
      </c>
      <c r="BD23">
        <v>48</v>
      </c>
      <c r="BE23">
        <v>2040</v>
      </c>
      <c r="BF23">
        <v>2234</v>
      </c>
      <c r="BG23">
        <v>100</v>
      </c>
      <c r="BH23">
        <v>2338</v>
      </c>
      <c r="BI23">
        <v>5</v>
      </c>
      <c r="BJ23">
        <v>3540</v>
      </c>
      <c r="BK23">
        <v>5843</v>
      </c>
      <c r="BL23">
        <v>5</v>
      </c>
      <c r="BM23">
        <v>3540</v>
      </c>
      <c r="BN23">
        <v>5843</v>
      </c>
      <c r="BO23">
        <v>0</v>
      </c>
      <c r="BP23">
        <v>0</v>
      </c>
      <c r="BQ23">
        <v>52</v>
      </c>
      <c r="BR23">
        <v>2405</v>
      </c>
      <c r="BS23">
        <v>2279</v>
      </c>
      <c r="BT23">
        <v>56</v>
      </c>
      <c r="BU23">
        <v>2424</v>
      </c>
      <c r="BV23">
        <v>2333</v>
      </c>
      <c r="BW23">
        <v>238</v>
      </c>
      <c r="BX23">
        <v>4337</v>
      </c>
      <c r="BY23">
        <v>9</v>
      </c>
      <c r="BZ23">
        <v>54</v>
      </c>
      <c r="CA23">
        <v>88</v>
      </c>
      <c r="CB23">
        <v>9</v>
      </c>
      <c r="CC23">
        <v>88</v>
      </c>
      <c r="CD23">
        <v>1</v>
      </c>
      <c r="CE23">
        <v>10</v>
      </c>
      <c r="CF23">
        <v>261</v>
      </c>
      <c r="CG23">
        <v>871</v>
      </c>
      <c r="CH23">
        <v>11</v>
      </c>
      <c r="CI23">
        <v>1002</v>
      </c>
      <c r="CJ23">
        <v>52</v>
      </c>
      <c r="CK23">
        <v>38</v>
      </c>
      <c r="CL23">
        <v>297</v>
      </c>
      <c r="CM23">
        <v>795</v>
      </c>
      <c r="CN23">
        <v>38</v>
      </c>
      <c r="CO23">
        <v>795</v>
      </c>
      <c r="CP23">
        <v>8</v>
      </c>
      <c r="CQ23">
        <v>45</v>
      </c>
      <c r="CR23">
        <v>1601</v>
      </c>
      <c r="CS23">
        <v>1967</v>
      </c>
      <c r="CT23">
        <v>18</v>
      </c>
      <c r="CU23">
        <v>489</v>
      </c>
      <c r="CV23">
        <v>1268</v>
      </c>
      <c r="CW23">
        <v>61</v>
      </c>
      <c r="CX23">
        <v>1102</v>
      </c>
      <c r="CY23">
        <v>539</v>
      </c>
    </row>
    <row r="24" spans="1:103" x14ac:dyDescent="0.4">
      <c r="A24" s="1" t="s">
        <v>36</v>
      </c>
      <c r="B24" s="1" t="s">
        <v>37</v>
      </c>
      <c r="C24">
        <v>16</v>
      </c>
      <c r="D24">
        <v>57</v>
      </c>
      <c r="E24">
        <v>66</v>
      </c>
      <c r="F24">
        <v>111</v>
      </c>
      <c r="G24">
        <v>1783</v>
      </c>
      <c r="H24">
        <v>4172</v>
      </c>
      <c r="I24">
        <v>3041</v>
      </c>
      <c r="J24">
        <v>1816</v>
      </c>
      <c r="K24">
        <v>4275</v>
      </c>
      <c r="L24">
        <v>3131</v>
      </c>
      <c r="M24">
        <v>147</v>
      </c>
      <c r="N24">
        <v>207</v>
      </c>
      <c r="O24">
        <v>1647</v>
      </c>
      <c r="P24">
        <v>1294</v>
      </c>
      <c r="Q24">
        <v>207</v>
      </c>
      <c r="R24">
        <v>1642</v>
      </c>
      <c r="S24">
        <v>1354</v>
      </c>
      <c r="T24">
        <v>30</v>
      </c>
      <c r="U24">
        <v>93</v>
      </c>
      <c r="V24">
        <v>794</v>
      </c>
      <c r="W24">
        <v>1290</v>
      </c>
      <c r="X24">
        <v>93</v>
      </c>
      <c r="Y24">
        <v>794</v>
      </c>
      <c r="Z24">
        <v>1290</v>
      </c>
      <c r="AA24">
        <v>0</v>
      </c>
      <c r="AB24">
        <v>0</v>
      </c>
      <c r="AC24">
        <v>89</v>
      </c>
      <c r="AD24">
        <v>1156</v>
      </c>
      <c r="AE24">
        <v>1476</v>
      </c>
      <c r="AF24">
        <v>58</v>
      </c>
      <c r="AG24">
        <v>833</v>
      </c>
      <c r="AH24">
        <v>855</v>
      </c>
      <c r="AI24">
        <v>355</v>
      </c>
      <c r="AJ24">
        <v>3774</v>
      </c>
      <c r="AK24">
        <v>83</v>
      </c>
      <c r="AL24">
        <v>1024</v>
      </c>
      <c r="AM24">
        <v>1242</v>
      </c>
      <c r="AN24">
        <v>53</v>
      </c>
      <c r="AO24">
        <v>764</v>
      </c>
      <c r="AP24">
        <v>732</v>
      </c>
      <c r="AQ24">
        <v>321</v>
      </c>
      <c r="AR24">
        <v>3237</v>
      </c>
      <c r="AS24">
        <v>85</v>
      </c>
      <c r="AT24">
        <v>840</v>
      </c>
      <c r="AU24">
        <v>1850</v>
      </c>
      <c r="AV24">
        <v>86</v>
      </c>
      <c r="AW24">
        <v>902</v>
      </c>
      <c r="AX24">
        <v>1938</v>
      </c>
      <c r="AY24">
        <v>151</v>
      </c>
      <c r="AZ24">
        <v>2194</v>
      </c>
      <c r="BA24">
        <v>38</v>
      </c>
      <c r="BB24">
        <v>2122</v>
      </c>
      <c r="BC24">
        <v>2645</v>
      </c>
      <c r="BD24">
        <v>47</v>
      </c>
      <c r="BE24">
        <v>2387</v>
      </c>
      <c r="BF24">
        <v>2830</v>
      </c>
      <c r="BG24">
        <v>91</v>
      </c>
      <c r="BH24">
        <v>2073</v>
      </c>
      <c r="BI24">
        <v>5</v>
      </c>
      <c r="BJ24">
        <v>2526</v>
      </c>
      <c r="BK24">
        <v>3010</v>
      </c>
      <c r="BL24">
        <v>5</v>
      </c>
      <c r="BM24">
        <v>2526</v>
      </c>
      <c r="BN24">
        <v>3010</v>
      </c>
      <c r="BO24">
        <v>0</v>
      </c>
      <c r="BP24">
        <v>0</v>
      </c>
      <c r="BQ24">
        <v>44</v>
      </c>
      <c r="BR24">
        <v>2309</v>
      </c>
      <c r="BS24">
        <v>2586</v>
      </c>
      <c r="BT24">
        <v>53</v>
      </c>
      <c r="BU24">
        <v>2530</v>
      </c>
      <c r="BV24">
        <v>2775</v>
      </c>
      <c r="BW24">
        <v>229</v>
      </c>
      <c r="BX24">
        <v>4117</v>
      </c>
      <c r="BY24">
        <v>11</v>
      </c>
      <c r="BZ24">
        <v>534</v>
      </c>
      <c r="CA24">
        <v>761</v>
      </c>
      <c r="CB24">
        <v>11</v>
      </c>
      <c r="CC24">
        <v>767</v>
      </c>
      <c r="CD24">
        <v>1</v>
      </c>
      <c r="CE24">
        <v>14</v>
      </c>
      <c r="CF24">
        <v>217</v>
      </c>
      <c r="CG24">
        <v>593</v>
      </c>
      <c r="CH24">
        <v>12</v>
      </c>
      <c r="CI24">
        <v>568</v>
      </c>
      <c r="CJ24">
        <v>54</v>
      </c>
      <c r="CK24">
        <v>56</v>
      </c>
      <c r="CL24">
        <v>114</v>
      </c>
      <c r="CM24">
        <v>570</v>
      </c>
      <c r="CN24">
        <v>56</v>
      </c>
      <c r="CO24">
        <v>570</v>
      </c>
      <c r="CP24">
        <v>8</v>
      </c>
      <c r="CQ24">
        <v>44</v>
      </c>
      <c r="CR24">
        <v>1472</v>
      </c>
      <c r="CS24">
        <v>1865</v>
      </c>
      <c r="CT24">
        <v>3</v>
      </c>
      <c r="CU24">
        <v>21</v>
      </c>
      <c r="CV24">
        <v>63</v>
      </c>
      <c r="CW24">
        <v>55</v>
      </c>
      <c r="CX24">
        <v>758</v>
      </c>
      <c r="CY24">
        <v>376</v>
      </c>
    </row>
    <row r="25" spans="1:103" x14ac:dyDescent="0.4">
      <c r="A25" s="1" t="s">
        <v>38</v>
      </c>
      <c r="B25" s="1" t="s">
        <v>39</v>
      </c>
      <c r="C25">
        <v>21</v>
      </c>
      <c r="D25">
        <v>554</v>
      </c>
      <c r="E25">
        <v>619</v>
      </c>
      <c r="F25">
        <v>169</v>
      </c>
      <c r="G25">
        <v>1796</v>
      </c>
      <c r="H25">
        <v>4734</v>
      </c>
      <c r="I25">
        <v>3546</v>
      </c>
      <c r="J25">
        <v>1780</v>
      </c>
      <c r="K25">
        <v>4457</v>
      </c>
      <c r="L25">
        <v>3372</v>
      </c>
      <c r="M25">
        <v>133</v>
      </c>
      <c r="N25">
        <v>277</v>
      </c>
      <c r="O25">
        <v>1156</v>
      </c>
      <c r="P25">
        <v>1042</v>
      </c>
      <c r="Q25">
        <v>276</v>
      </c>
      <c r="R25">
        <v>1156</v>
      </c>
      <c r="S25">
        <v>1025</v>
      </c>
      <c r="T25">
        <v>31</v>
      </c>
      <c r="U25">
        <v>98</v>
      </c>
      <c r="V25">
        <v>998</v>
      </c>
      <c r="W25">
        <v>1705</v>
      </c>
      <c r="X25">
        <v>98</v>
      </c>
      <c r="Y25">
        <v>998</v>
      </c>
      <c r="Z25">
        <v>1705</v>
      </c>
      <c r="AA25">
        <v>0</v>
      </c>
      <c r="AB25">
        <v>0</v>
      </c>
      <c r="AC25">
        <v>103</v>
      </c>
      <c r="AD25">
        <v>1580</v>
      </c>
      <c r="AE25">
        <v>1997</v>
      </c>
      <c r="AF25">
        <v>102</v>
      </c>
      <c r="AG25">
        <v>1611</v>
      </c>
      <c r="AH25">
        <v>2319</v>
      </c>
      <c r="AI25">
        <v>356</v>
      </c>
      <c r="AJ25">
        <v>3743</v>
      </c>
      <c r="AK25">
        <v>79</v>
      </c>
      <c r="AL25">
        <v>899</v>
      </c>
      <c r="AM25">
        <v>1121</v>
      </c>
      <c r="AN25">
        <v>76</v>
      </c>
      <c r="AO25">
        <v>816</v>
      </c>
      <c r="AP25">
        <v>1033</v>
      </c>
      <c r="AQ25">
        <v>324</v>
      </c>
      <c r="AR25">
        <v>3320</v>
      </c>
      <c r="AS25">
        <v>89</v>
      </c>
      <c r="AT25">
        <v>769</v>
      </c>
      <c r="AU25">
        <v>1626</v>
      </c>
      <c r="AV25">
        <v>88</v>
      </c>
      <c r="AW25">
        <v>797</v>
      </c>
      <c r="AX25">
        <v>1658</v>
      </c>
      <c r="AY25">
        <v>152</v>
      </c>
      <c r="AZ25">
        <v>2165</v>
      </c>
      <c r="BA25">
        <v>50</v>
      </c>
      <c r="BB25">
        <v>3121</v>
      </c>
      <c r="BC25">
        <v>3164</v>
      </c>
      <c r="BD25">
        <v>48</v>
      </c>
      <c r="BE25">
        <v>3062</v>
      </c>
      <c r="BF25">
        <v>3198</v>
      </c>
      <c r="BG25">
        <v>93</v>
      </c>
      <c r="BH25">
        <v>2132</v>
      </c>
      <c r="BI25">
        <v>2</v>
      </c>
      <c r="BJ25">
        <v>684</v>
      </c>
      <c r="BK25">
        <v>843</v>
      </c>
      <c r="BL25">
        <v>2</v>
      </c>
      <c r="BM25">
        <v>684</v>
      </c>
      <c r="BN25">
        <v>843</v>
      </c>
      <c r="BO25">
        <v>0</v>
      </c>
      <c r="BP25">
        <v>0</v>
      </c>
      <c r="BQ25">
        <v>38</v>
      </c>
      <c r="BR25">
        <v>1069</v>
      </c>
      <c r="BS25">
        <v>1074</v>
      </c>
      <c r="BT25">
        <v>42</v>
      </c>
      <c r="BU25">
        <v>1118</v>
      </c>
      <c r="BV25">
        <v>1132</v>
      </c>
      <c r="BW25">
        <v>225</v>
      </c>
      <c r="BX25">
        <v>4067</v>
      </c>
      <c r="BY25">
        <v>11</v>
      </c>
      <c r="BZ25">
        <v>119</v>
      </c>
      <c r="CA25">
        <v>85</v>
      </c>
      <c r="CB25">
        <v>11</v>
      </c>
      <c r="CC25">
        <v>136</v>
      </c>
      <c r="CD25">
        <v>1</v>
      </c>
      <c r="CE25">
        <v>8</v>
      </c>
      <c r="CF25">
        <v>152</v>
      </c>
      <c r="CG25">
        <v>265</v>
      </c>
      <c r="CH25">
        <v>8</v>
      </c>
      <c r="CI25">
        <v>349</v>
      </c>
      <c r="CJ25">
        <v>54</v>
      </c>
      <c r="CK25">
        <v>31</v>
      </c>
      <c r="CL25">
        <v>197</v>
      </c>
      <c r="CM25">
        <v>356</v>
      </c>
      <c r="CN25">
        <v>31</v>
      </c>
      <c r="CO25">
        <v>356</v>
      </c>
      <c r="CP25">
        <v>8</v>
      </c>
      <c r="CQ25">
        <v>36</v>
      </c>
      <c r="CR25">
        <v>1074</v>
      </c>
      <c r="CS25">
        <v>1329</v>
      </c>
      <c r="CT25">
        <v>6</v>
      </c>
      <c r="CU25">
        <v>308</v>
      </c>
      <c r="CV25">
        <v>893</v>
      </c>
      <c r="CW25">
        <v>74</v>
      </c>
      <c r="CX25">
        <v>1335</v>
      </c>
      <c r="CY25">
        <v>1030</v>
      </c>
    </row>
    <row r="26" spans="1:103" x14ac:dyDescent="0.4">
      <c r="A26" s="1" t="s">
        <v>40</v>
      </c>
      <c r="B26" s="1" t="s">
        <v>41</v>
      </c>
      <c r="C26">
        <v>37</v>
      </c>
      <c r="D26">
        <v>291</v>
      </c>
      <c r="E26">
        <v>196</v>
      </c>
      <c r="F26">
        <v>119</v>
      </c>
      <c r="G26">
        <v>1812</v>
      </c>
      <c r="H26">
        <v>4751</v>
      </c>
      <c r="I26">
        <v>3574</v>
      </c>
      <c r="J26">
        <v>1873</v>
      </c>
      <c r="K26">
        <v>4890</v>
      </c>
      <c r="L26">
        <v>3773</v>
      </c>
      <c r="M26">
        <v>110</v>
      </c>
      <c r="N26">
        <v>336</v>
      </c>
      <c r="O26">
        <v>2257</v>
      </c>
      <c r="P26">
        <v>2031</v>
      </c>
      <c r="Q26">
        <v>357</v>
      </c>
      <c r="R26">
        <v>2349</v>
      </c>
      <c r="S26">
        <v>2048</v>
      </c>
      <c r="T26">
        <v>10</v>
      </c>
      <c r="U26">
        <v>84</v>
      </c>
      <c r="V26">
        <v>875</v>
      </c>
      <c r="W26">
        <v>1659</v>
      </c>
      <c r="X26">
        <v>84</v>
      </c>
      <c r="Y26">
        <v>875</v>
      </c>
      <c r="Z26">
        <v>1659</v>
      </c>
      <c r="AA26">
        <v>0</v>
      </c>
      <c r="AB26">
        <v>0</v>
      </c>
      <c r="AC26">
        <v>98</v>
      </c>
      <c r="AD26">
        <v>1857</v>
      </c>
      <c r="AE26">
        <v>2863</v>
      </c>
      <c r="AF26">
        <v>148</v>
      </c>
      <c r="AG26">
        <v>2371</v>
      </c>
      <c r="AH26">
        <v>3580</v>
      </c>
      <c r="AI26">
        <v>306</v>
      </c>
      <c r="AJ26">
        <v>3228</v>
      </c>
      <c r="AK26">
        <v>70</v>
      </c>
      <c r="AL26">
        <v>831</v>
      </c>
      <c r="AM26">
        <v>1048</v>
      </c>
      <c r="AN26">
        <v>119</v>
      </c>
      <c r="AO26">
        <v>1402</v>
      </c>
      <c r="AP26">
        <v>1818</v>
      </c>
      <c r="AQ26">
        <v>275</v>
      </c>
      <c r="AR26">
        <v>2749</v>
      </c>
      <c r="AS26">
        <v>99</v>
      </c>
      <c r="AT26">
        <v>847</v>
      </c>
      <c r="AU26">
        <v>2066</v>
      </c>
      <c r="AV26">
        <v>116</v>
      </c>
      <c r="AW26">
        <v>1019</v>
      </c>
      <c r="AX26">
        <v>2216</v>
      </c>
      <c r="AY26">
        <v>135</v>
      </c>
      <c r="AZ26">
        <v>1993</v>
      </c>
      <c r="BA26">
        <v>60</v>
      </c>
      <c r="BB26">
        <v>3143</v>
      </c>
      <c r="BC26">
        <v>3476</v>
      </c>
      <c r="BD26">
        <v>69</v>
      </c>
      <c r="BE26">
        <v>3357</v>
      </c>
      <c r="BF26">
        <v>3574</v>
      </c>
      <c r="BG26">
        <v>84</v>
      </c>
      <c r="BH26">
        <v>1918</v>
      </c>
      <c r="BI26">
        <v>3</v>
      </c>
      <c r="BJ26">
        <v>919</v>
      </c>
      <c r="BK26">
        <v>1162</v>
      </c>
      <c r="BL26">
        <v>3</v>
      </c>
      <c r="BM26">
        <v>919</v>
      </c>
      <c r="BN26">
        <v>1162</v>
      </c>
      <c r="BO26">
        <v>0</v>
      </c>
      <c r="BP26">
        <v>0</v>
      </c>
      <c r="BQ26">
        <v>36</v>
      </c>
      <c r="BR26">
        <v>820</v>
      </c>
      <c r="BS26">
        <v>761</v>
      </c>
      <c r="BT26">
        <v>54</v>
      </c>
      <c r="BU26">
        <v>1137</v>
      </c>
      <c r="BV26">
        <v>965</v>
      </c>
      <c r="BW26">
        <v>207</v>
      </c>
      <c r="BX26">
        <v>3751</v>
      </c>
      <c r="BY26">
        <v>8</v>
      </c>
      <c r="BZ26">
        <v>49</v>
      </c>
      <c r="CA26">
        <v>76</v>
      </c>
      <c r="CB26">
        <v>8</v>
      </c>
      <c r="CC26">
        <v>76</v>
      </c>
      <c r="CD26">
        <v>1</v>
      </c>
      <c r="CE26">
        <v>11</v>
      </c>
      <c r="CF26">
        <v>168</v>
      </c>
      <c r="CG26">
        <v>598</v>
      </c>
      <c r="CH26">
        <v>10</v>
      </c>
      <c r="CI26">
        <v>581</v>
      </c>
      <c r="CJ26">
        <v>55</v>
      </c>
      <c r="CK26">
        <v>42</v>
      </c>
      <c r="CL26">
        <v>439</v>
      </c>
      <c r="CM26">
        <v>839</v>
      </c>
      <c r="CN26">
        <v>42</v>
      </c>
      <c r="CO26">
        <v>839</v>
      </c>
      <c r="CP26">
        <v>8</v>
      </c>
      <c r="CQ26">
        <v>43</v>
      </c>
      <c r="CR26">
        <v>3578</v>
      </c>
      <c r="CS26">
        <v>5585</v>
      </c>
      <c r="CT26">
        <v>22</v>
      </c>
      <c r="CU26">
        <v>2177</v>
      </c>
      <c r="CV26">
        <v>6714</v>
      </c>
      <c r="CW26">
        <v>71</v>
      </c>
      <c r="CX26">
        <v>1019</v>
      </c>
      <c r="CY26">
        <v>567</v>
      </c>
    </row>
    <row r="27" spans="1:103" x14ac:dyDescent="0.4">
      <c r="A27" s="1" t="s">
        <v>42</v>
      </c>
      <c r="B27" s="1" t="s">
        <v>43</v>
      </c>
      <c r="C27">
        <v>22</v>
      </c>
      <c r="D27">
        <v>174</v>
      </c>
      <c r="E27">
        <v>350</v>
      </c>
      <c r="F27">
        <v>90</v>
      </c>
      <c r="G27">
        <v>1677</v>
      </c>
      <c r="H27">
        <v>4074</v>
      </c>
      <c r="I27">
        <v>3239</v>
      </c>
      <c r="J27">
        <v>1637</v>
      </c>
      <c r="K27">
        <v>3908</v>
      </c>
      <c r="L27">
        <v>3148</v>
      </c>
      <c r="M27">
        <v>116</v>
      </c>
      <c r="N27">
        <v>250</v>
      </c>
      <c r="O27">
        <v>1454</v>
      </c>
      <c r="P27">
        <v>1177</v>
      </c>
      <c r="Q27">
        <v>210</v>
      </c>
      <c r="R27">
        <v>1304</v>
      </c>
      <c r="S27">
        <v>1033</v>
      </c>
      <c r="T27">
        <v>50</v>
      </c>
      <c r="U27">
        <v>88</v>
      </c>
      <c r="V27">
        <v>607</v>
      </c>
      <c r="W27">
        <v>877</v>
      </c>
      <c r="X27">
        <v>88</v>
      </c>
      <c r="Y27">
        <v>607</v>
      </c>
      <c r="Z27">
        <v>877</v>
      </c>
      <c r="AA27">
        <v>0</v>
      </c>
      <c r="AB27">
        <v>0</v>
      </c>
      <c r="AC27">
        <v>95</v>
      </c>
      <c r="AD27">
        <v>1160</v>
      </c>
      <c r="AE27">
        <v>1536</v>
      </c>
      <c r="AF27">
        <v>50</v>
      </c>
      <c r="AG27">
        <v>717</v>
      </c>
      <c r="AH27">
        <v>1004</v>
      </c>
      <c r="AI27">
        <v>351</v>
      </c>
      <c r="AJ27">
        <v>3670</v>
      </c>
      <c r="AK27">
        <v>87</v>
      </c>
      <c r="AL27">
        <v>985</v>
      </c>
      <c r="AM27">
        <v>1232</v>
      </c>
      <c r="AN27">
        <v>43</v>
      </c>
      <c r="AO27">
        <v>537</v>
      </c>
      <c r="AP27">
        <v>712</v>
      </c>
      <c r="AQ27">
        <v>319</v>
      </c>
      <c r="AR27">
        <v>3197</v>
      </c>
      <c r="AS27">
        <v>93</v>
      </c>
      <c r="AT27">
        <v>1070</v>
      </c>
      <c r="AU27">
        <v>2201</v>
      </c>
      <c r="AV27">
        <v>90</v>
      </c>
      <c r="AW27">
        <v>994</v>
      </c>
      <c r="AX27">
        <v>2097</v>
      </c>
      <c r="AY27">
        <v>138</v>
      </c>
      <c r="AZ27">
        <v>2070</v>
      </c>
      <c r="BA27">
        <v>28</v>
      </c>
      <c r="BB27">
        <v>1147</v>
      </c>
      <c r="BC27">
        <v>1271</v>
      </c>
      <c r="BD27">
        <v>21</v>
      </c>
      <c r="BE27">
        <v>1004</v>
      </c>
      <c r="BF27">
        <v>1196</v>
      </c>
      <c r="BG27">
        <v>91</v>
      </c>
      <c r="BH27">
        <v>2061</v>
      </c>
      <c r="BI27">
        <v>4</v>
      </c>
      <c r="BJ27">
        <v>3710</v>
      </c>
      <c r="BK27">
        <v>4471</v>
      </c>
      <c r="BL27">
        <v>4</v>
      </c>
      <c r="BM27">
        <v>3710</v>
      </c>
      <c r="BN27">
        <v>4471</v>
      </c>
      <c r="BO27">
        <v>0</v>
      </c>
      <c r="BP27">
        <v>0</v>
      </c>
      <c r="BQ27">
        <v>51</v>
      </c>
      <c r="BR27">
        <v>1437</v>
      </c>
      <c r="BS27">
        <v>1970</v>
      </c>
      <c r="BT27">
        <v>41</v>
      </c>
      <c r="BU27">
        <v>1185</v>
      </c>
      <c r="BV27">
        <v>1764</v>
      </c>
      <c r="BW27">
        <v>217</v>
      </c>
      <c r="BX27">
        <v>4004</v>
      </c>
      <c r="BY27">
        <v>6</v>
      </c>
      <c r="BZ27">
        <v>27</v>
      </c>
      <c r="CA27">
        <v>47</v>
      </c>
      <c r="CB27">
        <v>6</v>
      </c>
      <c r="CC27">
        <v>47</v>
      </c>
      <c r="CD27">
        <v>1</v>
      </c>
      <c r="CE27">
        <v>21</v>
      </c>
      <c r="CF27">
        <v>202</v>
      </c>
      <c r="CG27">
        <v>632</v>
      </c>
      <c r="CH27">
        <v>12</v>
      </c>
      <c r="CI27">
        <v>706</v>
      </c>
      <c r="CJ27">
        <v>64</v>
      </c>
      <c r="CK27">
        <v>24</v>
      </c>
      <c r="CL27">
        <v>119</v>
      </c>
      <c r="CM27">
        <v>597</v>
      </c>
      <c r="CN27">
        <v>24</v>
      </c>
      <c r="CO27">
        <v>597</v>
      </c>
      <c r="CP27">
        <v>8</v>
      </c>
      <c r="CQ27">
        <v>38</v>
      </c>
      <c r="CR27">
        <v>1163</v>
      </c>
      <c r="CS27">
        <v>1347</v>
      </c>
      <c r="CT27">
        <v>3</v>
      </c>
      <c r="CU27">
        <v>60</v>
      </c>
      <c r="CV27">
        <v>30</v>
      </c>
      <c r="CW27">
        <v>50</v>
      </c>
      <c r="CX27">
        <v>932</v>
      </c>
      <c r="CY27">
        <v>374</v>
      </c>
    </row>
    <row r="28" spans="1:103" x14ac:dyDescent="0.4">
      <c r="A28" s="1" t="s">
        <v>44</v>
      </c>
      <c r="B28" s="1" t="s">
        <v>45</v>
      </c>
      <c r="C28">
        <v>19</v>
      </c>
      <c r="D28">
        <v>324</v>
      </c>
      <c r="E28">
        <v>345</v>
      </c>
      <c r="F28">
        <v>131</v>
      </c>
      <c r="G28">
        <v>1540</v>
      </c>
      <c r="H28">
        <v>3884</v>
      </c>
      <c r="I28">
        <v>3028</v>
      </c>
      <c r="J28">
        <v>1491</v>
      </c>
      <c r="K28">
        <v>3633</v>
      </c>
      <c r="L28">
        <v>2847</v>
      </c>
      <c r="M28">
        <v>146</v>
      </c>
      <c r="N28">
        <v>256</v>
      </c>
      <c r="O28">
        <v>1670</v>
      </c>
      <c r="P28">
        <v>1405</v>
      </c>
      <c r="Q28">
        <v>270</v>
      </c>
      <c r="R28">
        <v>1739</v>
      </c>
      <c r="S28">
        <v>1549</v>
      </c>
      <c r="T28">
        <v>36</v>
      </c>
      <c r="U28">
        <v>79</v>
      </c>
      <c r="V28">
        <v>573</v>
      </c>
      <c r="W28">
        <v>899</v>
      </c>
      <c r="X28">
        <v>79</v>
      </c>
      <c r="Y28">
        <v>573</v>
      </c>
      <c r="Z28">
        <v>899</v>
      </c>
      <c r="AA28">
        <v>0</v>
      </c>
      <c r="AB28">
        <v>0</v>
      </c>
      <c r="AC28">
        <v>88</v>
      </c>
      <c r="AD28">
        <v>1080</v>
      </c>
      <c r="AE28">
        <v>1483</v>
      </c>
      <c r="AF28">
        <v>73</v>
      </c>
      <c r="AG28">
        <v>822</v>
      </c>
      <c r="AH28">
        <v>1054</v>
      </c>
      <c r="AI28">
        <v>366</v>
      </c>
      <c r="AJ28">
        <v>3927</v>
      </c>
      <c r="AK28">
        <v>76</v>
      </c>
      <c r="AL28">
        <v>846</v>
      </c>
      <c r="AM28">
        <v>1101</v>
      </c>
      <c r="AN28">
        <v>59</v>
      </c>
      <c r="AO28">
        <v>548</v>
      </c>
      <c r="AP28">
        <v>691</v>
      </c>
      <c r="AQ28">
        <v>336</v>
      </c>
      <c r="AR28">
        <v>3494</v>
      </c>
      <c r="AS28">
        <v>76</v>
      </c>
      <c r="AT28">
        <v>997</v>
      </c>
      <c r="AU28">
        <v>1888</v>
      </c>
      <c r="AV28">
        <v>75</v>
      </c>
      <c r="AW28">
        <v>975</v>
      </c>
      <c r="AX28">
        <v>1871</v>
      </c>
      <c r="AY28">
        <v>139</v>
      </c>
      <c r="AZ28">
        <v>2092</v>
      </c>
      <c r="BA28">
        <v>50</v>
      </c>
      <c r="BB28">
        <v>2689</v>
      </c>
      <c r="BC28">
        <v>3108</v>
      </c>
      <c r="BD28">
        <v>42</v>
      </c>
      <c r="BE28">
        <v>2432</v>
      </c>
      <c r="BF28">
        <v>2929</v>
      </c>
      <c r="BG28">
        <v>99</v>
      </c>
      <c r="BH28">
        <v>2318</v>
      </c>
      <c r="BI28">
        <v>2</v>
      </c>
      <c r="BJ28">
        <v>1549</v>
      </c>
      <c r="BK28">
        <v>1975</v>
      </c>
      <c r="BL28">
        <v>1</v>
      </c>
      <c r="BM28">
        <v>533</v>
      </c>
      <c r="BN28">
        <v>834</v>
      </c>
      <c r="BO28">
        <v>1</v>
      </c>
      <c r="BP28">
        <v>1016</v>
      </c>
      <c r="BQ28">
        <v>49</v>
      </c>
      <c r="BR28">
        <v>1409</v>
      </c>
      <c r="BS28">
        <v>1664</v>
      </c>
      <c r="BT28">
        <v>44</v>
      </c>
      <c r="BU28">
        <v>1325</v>
      </c>
      <c r="BV28">
        <v>1598</v>
      </c>
      <c r="BW28">
        <v>222</v>
      </c>
      <c r="BX28">
        <v>4088</v>
      </c>
      <c r="BY28">
        <v>10</v>
      </c>
      <c r="BZ28">
        <v>203</v>
      </c>
      <c r="CA28">
        <v>263</v>
      </c>
      <c r="CB28">
        <v>10</v>
      </c>
      <c r="CC28">
        <v>276</v>
      </c>
      <c r="CD28">
        <v>1</v>
      </c>
      <c r="CE28">
        <v>5</v>
      </c>
      <c r="CF28">
        <v>112</v>
      </c>
      <c r="CG28">
        <v>491</v>
      </c>
      <c r="CH28">
        <v>8</v>
      </c>
      <c r="CI28">
        <v>638</v>
      </c>
      <c r="CJ28">
        <v>61</v>
      </c>
      <c r="CK28">
        <v>30</v>
      </c>
      <c r="CL28">
        <v>295</v>
      </c>
      <c r="CM28">
        <v>673</v>
      </c>
      <c r="CN28">
        <v>30</v>
      </c>
      <c r="CO28">
        <v>673</v>
      </c>
      <c r="CP28">
        <v>8</v>
      </c>
      <c r="CQ28">
        <v>23</v>
      </c>
      <c r="CR28">
        <v>931</v>
      </c>
      <c r="CS28">
        <v>1023</v>
      </c>
      <c r="CT28">
        <v>7</v>
      </c>
      <c r="CU28">
        <v>400</v>
      </c>
      <c r="CV28">
        <v>951</v>
      </c>
      <c r="CW28">
        <v>54</v>
      </c>
      <c r="CX28">
        <v>801</v>
      </c>
      <c r="CY28">
        <v>394</v>
      </c>
    </row>
    <row r="29" spans="1:103" x14ac:dyDescent="0.4">
      <c r="A29" s="1" t="s">
        <v>46</v>
      </c>
      <c r="B29" s="1" t="s">
        <v>47</v>
      </c>
      <c r="C29">
        <v>15</v>
      </c>
      <c r="D29">
        <v>315</v>
      </c>
      <c r="E29">
        <v>404</v>
      </c>
      <c r="F29">
        <v>118</v>
      </c>
      <c r="G29">
        <v>1801</v>
      </c>
      <c r="H29">
        <v>4820</v>
      </c>
      <c r="I29">
        <v>3651</v>
      </c>
      <c r="J29">
        <v>1846</v>
      </c>
      <c r="K29">
        <v>4879</v>
      </c>
      <c r="L29">
        <v>3733</v>
      </c>
      <c r="M29">
        <v>160</v>
      </c>
      <c r="N29">
        <v>270</v>
      </c>
      <c r="O29">
        <v>1808</v>
      </c>
      <c r="P29">
        <v>1405</v>
      </c>
      <c r="Q29">
        <v>250</v>
      </c>
      <c r="R29">
        <v>1745</v>
      </c>
      <c r="S29">
        <v>1405</v>
      </c>
      <c r="T29">
        <v>56</v>
      </c>
      <c r="U29">
        <v>89</v>
      </c>
      <c r="V29">
        <v>637</v>
      </c>
      <c r="W29">
        <v>1047</v>
      </c>
      <c r="X29">
        <v>89</v>
      </c>
      <c r="Y29">
        <v>637</v>
      </c>
      <c r="Z29">
        <v>1047</v>
      </c>
      <c r="AA29">
        <v>0</v>
      </c>
      <c r="AB29">
        <v>0</v>
      </c>
      <c r="AC29">
        <v>82</v>
      </c>
      <c r="AD29">
        <v>1025</v>
      </c>
      <c r="AE29">
        <v>1526</v>
      </c>
      <c r="AF29">
        <v>78</v>
      </c>
      <c r="AG29">
        <v>977</v>
      </c>
      <c r="AH29">
        <v>1354</v>
      </c>
      <c r="AI29">
        <v>370</v>
      </c>
      <c r="AJ29">
        <v>3975</v>
      </c>
      <c r="AK29">
        <v>70</v>
      </c>
      <c r="AL29">
        <v>712</v>
      </c>
      <c r="AM29">
        <v>927</v>
      </c>
      <c r="AN29">
        <v>65</v>
      </c>
      <c r="AO29">
        <v>751</v>
      </c>
      <c r="AP29">
        <v>928</v>
      </c>
      <c r="AQ29">
        <v>341</v>
      </c>
      <c r="AR29">
        <v>3456</v>
      </c>
      <c r="AS29">
        <v>93</v>
      </c>
      <c r="AT29">
        <v>914</v>
      </c>
      <c r="AU29">
        <v>2169</v>
      </c>
      <c r="AV29">
        <v>93</v>
      </c>
      <c r="AW29">
        <v>935</v>
      </c>
      <c r="AX29">
        <v>2206</v>
      </c>
      <c r="AY29">
        <v>139</v>
      </c>
      <c r="AZ29">
        <v>2072</v>
      </c>
      <c r="BA29">
        <v>42</v>
      </c>
      <c r="BB29">
        <v>1917</v>
      </c>
      <c r="BC29">
        <v>1894</v>
      </c>
      <c r="BD29">
        <v>37</v>
      </c>
      <c r="BE29">
        <v>1710</v>
      </c>
      <c r="BF29">
        <v>1781</v>
      </c>
      <c r="BG29">
        <v>104</v>
      </c>
      <c r="BH29">
        <v>2525</v>
      </c>
      <c r="BI29">
        <v>8</v>
      </c>
      <c r="BJ29">
        <v>3787</v>
      </c>
      <c r="BK29">
        <v>4557</v>
      </c>
      <c r="BL29">
        <v>8</v>
      </c>
      <c r="BM29">
        <v>3606</v>
      </c>
      <c r="BN29">
        <v>3584</v>
      </c>
      <c r="BO29">
        <v>1</v>
      </c>
      <c r="BP29">
        <v>1197</v>
      </c>
      <c r="BQ29">
        <v>48</v>
      </c>
      <c r="BR29">
        <v>1516</v>
      </c>
      <c r="BS29">
        <v>1565</v>
      </c>
      <c r="BT29">
        <v>41</v>
      </c>
      <c r="BU29">
        <v>1264</v>
      </c>
      <c r="BV29">
        <v>1463</v>
      </c>
      <c r="BW29">
        <v>229</v>
      </c>
      <c r="BX29">
        <v>4340</v>
      </c>
      <c r="BY29">
        <v>1</v>
      </c>
      <c r="BZ29">
        <v>6</v>
      </c>
      <c r="CA29">
        <v>8</v>
      </c>
      <c r="CB29">
        <v>1</v>
      </c>
      <c r="CC29">
        <v>8</v>
      </c>
      <c r="CD29">
        <v>1</v>
      </c>
      <c r="CE29">
        <v>11</v>
      </c>
      <c r="CF29">
        <v>187</v>
      </c>
      <c r="CG29">
        <v>515</v>
      </c>
      <c r="CH29">
        <v>8</v>
      </c>
      <c r="CI29">
        <v>458</v>
      </c>
      <c r="CJ29">
        <v>64</v>
      </c>
      <c r="CK29">
        <v>36</v>
      </c>
      <c r="CL29">
        <v>134</v>
      </c>
      <c r="CM29">
        <v>568</v>
      </c>
      <c r="CN29">
        <v>36</v>
      </c>
      <c r="CO29">
        <v>568</v>
      </c>
      <c r="CP29">
        <v>8</v>
      </c>
      <c r="CQ29">
        <v>53</v>
      </c>
      <c r="CR29">
        <v>1228</v>
      </c>
      <c r="CS29">
        <v>1495</v>
      </c>
      <c r="CT29">
        <v>7</v>
      </c>
      <c r="CU29">
        <v>391</v>
      </c>
      <c r="CV29">
        <v>858</v>
      </c>
      <c r="CW29">
        <v>56</v>
      </c>
      <c r="CX29">
        <v>669</v>
      </c>
      <c r="CY29">
        <v>382</v>
      </c>
    </row>
    <row r="30" spans="1:103" x14ac:dyDescent="0.4">
      <c r="A30" s="1" t="s">
        <v>48</v>
      </c>
      <c r="B30" s="1" t="s">
        <v>49</v>
      </c>
      <c r="C30">
        <v>18</v>
      </c>
      <c r="D30">
        <v>100</v>
      </c>
      <c r="E30">
        <v>74</v>
      </c>
      <c r="F30">
        <v>153</v>
      </c>
      <c r="G30">
        <v>1683</v>
      </c>
      <c r="H30">
        <v>4250</v>
      </c>
      <c r="I30">
        <v>3183</v>
      </c>
      <c r="J30">
        <v>1641</v>
      </c>
      <c r="K30">
        <v>4244</v>
      </c>
      <c r="L30">
        <v>3244</v>
      </c>
      <c r="M30">
        <v>158</v>
      </c>
      <c r="N30">
        <v>230</v>
      </c>
      <c r="O30">
        <v>1793</v>
      </c>
      <c r="P30">
        <v>1333</v>
      </c>
      <c r="Q30">
        <v>227</v>
      </c>
      <c r="R30">
        <v>1782</v>
      </c>
      <c r="S30">
        <v>1295</v>
      </c>
      <c r="T30">
        <v>59</v>
      </c>
      <c r="U30">
        <v>103</v>
      </c>
      <c r="V30">
        <v>628</v>
      </c>
      <c r="W30">
        <v>1334</v>
      </c>
      <c r="X30">
        <v>103</v>
      </c>
      <c r="Y30">
        <v>628</v>
      </c>
      <c r="Z30">
        <v>1334</v>
      </c>
      <c r="AA30">
        <v>0</v>
      </c>
      <c r="AB30">
        <v>0</v>
      </c>
      <c r="AC30">
        <v>93</v>
      </c>
      <c r="AD30">
        <v>893</v>
      </c>
      <c r="AE30">
        <v>1276</v>
      </c>
      <c r="AF30">
        <v>81</v>
      </c>
      <c r="AG30">
        <v>871</v>
      </c>
      <c r="AH30">
        <v>1251</v>
      </c>
      <c r="AI30">
        <v>382</v>
      </c>
      <c r="AJ30">
        <v>3997</v>
      </c>
      <c r="AK30">
        <v>67</v>
      </c>
      <c r="AL30">
        <v>676</v>
      </c>
      <c r="AM30">
        <v>886</v>
      </c>
      <c r="AN30">
        <v>60</v>
      </c>
      <c r="AO30">
        <v>656</v>
      </c>
      <c r="AP30">
        <v>828</v>
      </c>
      <c r="AQ30">
        <v>348</v>
      </c>
      <c r="AR30">
        <v>3476</v>
      </c>
      <c r="AS30">
        <v>85</v>
      </c>
      <c r="AT30">
        <v>777</v>
      </c>
      <c r="AU30">
        <v>1642</v>
      </c>
      <c r="AV30">
        <v>83</v>
      </c>
      <c r="AW30">
        <v>741</v>
      </c>
      <c r="AX30">
        <v>1607</v>
      </c>
      <c r="AY30">
        <v>141</v>
      </c>
      <c r="AZ30">
        <v>2108</v>
      </c>
      <c r="BA30">
        <v>60</v>
      </c>
      <c r="BB30">
        <v>3098</v>
      </c>
      <c r="BC30">
        <v>3458</v>
      </c>
      <c r="BD30">
        <v>42</v>
      </c>
      <c r="BE30">
        <v>2692</v>
      </c>
      <c r="BF30">
        <v>3180</v>
      </c>
      <c r="BG30">
        <v>122</v>
      </c>
      <c r="BH30">
        <v>2931</v>
      </c>
      <c r="BI30">
        <v>5</v>
      </c>
      <c r="BJ30">
        <v>1662</v>
      </c>
      <c r="BK30">
        <v>1720</v>
      </c>
      <c r="BL30">
        <v>6</v>
      </c>
      <c r="BM30">
        <v>2859</v>
      </c>
      <c r="BN30">
        <v>3834</v>
      </c>
      <c r="BO30">
        <v>0</v>
      </c>
      <c r="BP30">
        <v>0</v>
      </c>
      <c r="BQ30">
        <v>44</v>
      </c>
      <c r="BR30">
        <v>765</v>
      </c>
      <c r="BS30">
        <v>710</v>
      </c>
      <c r="BT30">
        <v>34</v>
      </c>
      <c r="BU30">
        <v>563</v>
      </c>
      <c r="BV30">
        <v>566</v>
      </c>
      <c r="BW30">
        <v>239</v>
      </c>
      <c r="BX30">
        <v>4542</v>
      </c>
      <c r="BY30">
        <v>4</v>
      </c>
      <c r="BZ30">
        <v>18</v>
      </c>
      <c r="CA30">
        <v>26</v>
      </c>
      <c r="CB30">
        <v>4</v>
      </c>
      <c r="CC30">
        <v>26</v>
      </c>
      <c r="CD30">
        <v>1</v>
      </c>
      <c r="CE30">
        <v>5</v>
      </c>
      <c r="CF30">
        <v>93</v>
      </c>
      <c r="CG30">
        <v>323</v>
      </c>
      <c r="CH30">
        <v>4</v>
      </c>
      <c r="CI30">
        <v>223</v>
      </c>
      <c r="CJ30">
        <v>65</v>
      </c>
      <c r="CK30">
        <v>22</v>
      </c>
      <c r="CL30">
        <v>115</v>
      </c>
      <c r="CM30">
        <v>562</v>
      </c>
      <c r="CN30">
        <v>25</v>
      </c>
      <c r="CO30">
        <v>567</v>
      </c>
      <c r="CP30">
        <v>5</v>
      </c>
      <c r="CQ30">
        <v>48</v>
      </c>
      <c r="CR30">
        <v>1777</v>
      </c>
      <c r="CS30">
        <v>2157</v>
      </c>
      <c r="CT30">
        <v>6</v>
      </c>
      <c r="CU30">
        <v>340</v>
      </c>
      <c r="CV30">
        <v>695</v>
      </c>
      <c r="CW30">
        <v>53</v>
      </c>
      <c r="CX30">
        <v>628</v>
      </c>
      <c r="CY30">
        <v>317</v>
      </c>
    </row>
    <row r="31" spans="1:103" x14ac:dyDescent="0.4">
      <c r="A31" s="1" t="s">
        <v>50</v>
      </c>
      <c r="B31" s="1" t="s">
        <v>51</v>
      </c>
      <c r="C31">
        <v>17</v>
      </c>
      <c r="D31">
        <v>237</v>
      </c>
      <c r="E31">
        <v>304</v>
      </c>
      <c r="F31">
        <v>64</v>
      </c>
      <c r="G31">
        <v>1394</v>
      </c>
      <c r="H31">
        <v>3404</v>
      </c>
      <c r="I31">
        <v>2729</v>
      </c>
      <c r="J31">
        <v>1458</v>
      </c>
      <c r="K31">
        <v>3552</v>
      </c>
      <c r="L31">
        <v>2850</v>
      </c>
      <c r="M31">
        <v>133</v>
      </c>
      <c r="N31">
        <v>223</v>
      </c>
      <c r="O31">
        <v>1220</v>
      </c>
      <c r="P31">
        <v>990</v>
      </c>
      <c r="Q31">
        <v>229</v>
      </c>
      <c r="R31">
        <v>1184</v>
      </c>
      <c r="S31">
        <v>944</v>
      </c>
      <c r="T31">
        <v>53</v>
      </c>
      <c r="U31">
        <v>80</v>
      </c>
      <c r="V31">
        <v>782</v>
      </c>
      <c r="W31">
        <v>1201</v>
      </c>
      <c r="X31">
        <v>80</v>
      </c>
      <c r="Y31">
        <v>782</v>
      </c>
      <c r="Z31">
        <v>1201</v>
      </c>
      <c r="AA31">
        <v>0</v>
      </c>
      <c r="AB31">
        <v>0</v>
      </c>
      <c r="AC31">
        <v>82</v>
      </c>
      <c r="AD31">
        <v>967</v>
      </c>
      <c r="AE31">
        <v>1509</v>
      </c>
      <c r="AF31">
        <v>61</v>
      </c>
      <c r="AG31">
        <v>768</v>
      </c>
      <c r="AH31">
        <v>1199</v>
      </c>
      <c r="AI31">
        <v>403</v>
      </c>
      <c r="AJ31">
        <v>4196</v>
      </c>
      <c r="AK31">
        <v>69</v>
      </c>
      <c r="AL31">
        <v>752</v>
      </c>
      <c r="AM31">
        <v>1004</v>
      </c>
      <c r="AN31">
        <v>47</v>
      </c>
      <c r="AO31">
        <v>558</v>
      </c>
      <c r="AP31">
        <v>705</v>
      </c>
      <c r="AQ31">
        <v>370</v>
      </c>
      <c r="AR31">
        <v>3671</v>
      </c>
      <c r="AS31">
        <v>66</v>
      </c>
      <c r="AT31">
        <v>629</v>
      </c>
      <c r="AU31">
        <v>1576</v>
      </c>
      <c r="AV31">
        <v>65</v>
      </c>
      <c r="AW31">
        <v>595</v>
      </c>
      <c r="AX31">
        <v>1515</v>
      </c>
      <c r="AY31">
        <v>142</v>
      </c>
      <c r="AZ31">
        <v>2142</v>
      </c>
      <c r="BA31">
        <v>44</v>
      </c>
      <c r="BB31">
        <v>2341</v>
      </c>
      <c r="BC31">
        <v>2962</v>
      </c>
      <c r="BD31">
        <v>57</v>
      </c>
      <c r="BE31">
        <v>2724</v>
      </c>
      <c r="BF31">
        <v>3200</v>
      </c>
      <c r="BG31">
        <v>109</v>
      </c>
      <c r="BH31">
        <v>2548</v>
      </c>
      <c r="BI31">
        <v>3</v>
      </c>
      <c r="BJ31">
        <v>758</v>
      </c>
      <c r="BK31">
        <v>887</v>
      </c>
      <c r="BL31">
        <v>3</v>
      </c>
      <c r="BM31">
        <v>758</v>
      </c>
      <c r="BN31">
        <v>887</v>
      </c>
      <c r="BO31">
        <v>0</v>
      </c>
      <c r="BP31">
        <v>0</v>
      </c>
      <c r="BQ31">
        <v>37</v>
      </c>
      <c r="BR31">
        <v>947</v>
      </c>
      <c r="BS31">
        <v>939</v>
      </c>
      <c r="BT31">
        <v>45</v>
      </c>
      <c r="BU31">
        <v>1265</v>
      </c>
      <c r="BV31">
        <v>1083</v>
      </c>
      <c r="BW31">
        <v>231</v>
      </c>
      <c r="BX31">
        <v>4224</v>
      </c>
      <c r="BY31">
        <v>6</v>
      </c>
      <c r="BZ31">
        <v>45</v>
      </c>
      <c r="CA31">
        <v>60</v>
      </c>
      <c r="CB31">
        <v>6</v>
      </c>
      <c r="CC31">
        <v>60</v>
      </c>
      <c r="CD31">
        <v>1</v>
      </c>
      <c r="CE31">
        <v>7</v>
      </c>
      <c r="CF31">
        <v>160</v>
      </c>
      <c r="CG31">
        <v>423</v>
      </c>
      <c r="CH31">
        <v>22</v>
      </c>
      <c r="CI31">
        <v>748</v>
      </c>
      <c r="CJ31">
        <v>50</v>
      </c>
      <c r="CK31">
        <v>43</v>
      </c>
      <c r="CL31">
        <v>340</v>
      </c>
      <c r="CM31">
        <v>560</v>
      </c>
      <c r="CN31">
        <v>46</v>
      </c>
      <c r="CO31">
        <v>565</v>
      </c>
      <c r="CP31">
        <v>2</v>
      </c>
      <c r="CQ31">
        <v>44</v>
      </c>
      <c r="CR31">
        <v>748</v>
      </c>
      <c r="CS31">
        <v>938</v>
      </c>
      <c r="CT31">
        <v>5</v>
      </c>
      <c r="CU31">
        <v>245</v>
      </c>
      <c r="CV31">
        <v>742</v>
      </c>
      <c r="CW31">
        <v>54</v>
      </c>
      <c r="CX31">
        <v>879</v>
      </c>
      <c r="CY31">
        <v>455</v>
      </c>
    </row>
    <row r="32" spans="1:103" x14ac:dyDescent="0.4">
      <c r="A32" s="1" t="s">
        <v>52</v>
      </c>
      <c r="B32" s="1" t="s">
        <v>53</v>
      </c>
      <c r="C32">
        <v>22</v>
      </c>
      <c r="D32">
        <v>98</v>
      </c>
      <c r="E32">
        <v>103</v>
      </c>
      <c r="F32">
        <v>25</v>
      </c>
      <c r="G32">
        <v>1483</v>
      </c>
      <c r="H32">
        <v>3884</v>
      </c>
      <c r="I32">
        <v>3097</v>
      </c>
      <c r="J32">
        <v>1443</v>
      </c>
      <c r="K32">
        <v>3732</v>
      </c>
      <c r="L32">
        <v>2990</v>
      </c>
      <c r="M32">
        <v>130</v>
      </c>
      <c r="N32">
        <v>260</v>
      </c>
      <c r="O32">
        <v>1899</v>
      </c>
      <c r="P32">
        <v>1479</v>
      </c>
      <c r="Q32">
        <v>275</v>
      </c>
      <c r="R32">
        <v>1984</v>
      </c>
      <c r="S32">
        <v>1564</v>
      </c>
      <c r="T32">
        <v>38</v>
      </c>
      <c r="U32">
        <v>111</v>
      </c>
      <c r="V32">
        <v>793</v>
      </c>
      <c r="W32">
        <v>1368</v>
      </c>
      <c r="X32">
        <v>111</v>
      </c>
      <c r="Y32">
        <v>793</v>
      </c>
      <c r="Z32">
        <v>1368</v>
      </c>
      <c r="AA32">
        <v>0</v>
      </c>
      <c r="AB32">
        <v>0</v>
      </c>
      <c r="AC32">
        <v>94</v>
      </c>
      <c r="AD32">
        <v>1379</v>
      </c>
      <c r="AE32">
        <v>1817</v>
      </c>
      <c r="AF32">
        <v>120</v>
      </c>
      <c r="AG32">
        <v>1743</v>
      </c>
      <c r="AH32">
        <v>2159</v>
      </c>
      <c r="AI32">
        <v>377</v>
      </c>
      <c r="AJ32">
        <v>3833</v>
      </c>
      <c r="AK32">
        <v>81</v>
      </c>
      <c r="AL32">
        <v>776</v>
      </c>
      <c r="AM32">
        <v>1099</v>
      </c>
      <c r="AN32">
        <v>105</v>
      </c>
      <c r="AO32">
        <v>1127</v>
      </c>
      <c r="AP32">
        <v>1495</v>
      </c>
      <c r="AQ32">
        <v>346</v>
      </c>
      <c r="AR32">
        <v>3320</v>
      </c>
      <c r="AS32">
        <v>91</v>
      </c>
      <c r="AT32">
        <v>909</v>
      </c>
      <c r="AU32">
        <v>2435</v>
      </c>
      <c r="AV32">
        <v>97</v>
      </c>
      <c r="AW32">
        <v>1020</v>
      </c>
      <c r="AX32">
        <v>2563</v>
      </c>
      <c r="AY32">
        <v>136</v>
      </c>
      <c r="AZ32">
        <v>2031</v>
      </c>
      <c r="BA32">
        <v>44</v>
      </c>
      <c r="BB32">
        <v>2433</v>
      </c>
      <c r="BC32">
        <v>2680</v>
      </c>
      <c r="BD32">
        <v>52</v>
      </c>
      <c r="BE32">
        <v>2550</v>
      </c>
      <c r="BF32">
        <v>2723</v>
      </c>
      <c r="BG32">
        <v>101</v>
      </c>
      <c r="BH32">
        <v>2431</v>
      </c>
      <c r="BI32">
        <v>8</v>
      </c>
      <c r="BJ32">
        <v>3978</v>
      </c>
      <c r="BK32">
        <v>4279</v>
      </c>
      <c r="BL32">
        <v>8</v>
      </c>
      <c r="BM32">
        <v>3978</v>
      </c>
      <c r="BN32">
        <v>4279</v>
      </c>
      <c r="BO32">
        <v>0</v>
      </c>
      <c r="BP32">
        <v>0</v>
      </c>
      <c r="BQ32">
        <v>40</v>
      </c>
      <c r="BR32">
        <v>1267</v>
      </c>
      <c r="BS32">
        <v>1576</v>
      </c>
      <c r="BT32">
        <v>54</v>
      </c>
      <c r="BU32">
        <v>1492</v>
      </c>
      <c r="BV32">
        <v>1793</v>
      </c>
      <c r="BW32">
        <v>217</v>
      </c>
      <c r="BX32">
        <v>3999</v>
      </c>
      <c r="BY32">
        <v>7</v>
      </c>
      <c r="BZ32">
        <v>68</v>
      </c>
      <c r="CA32">
        <v>110</v>
      </c>
      <c r="CB32">
        <v>7</v>
      </c>
      <c r="CC32">
        <v>133</v>
      </c>
      <c r="CD32">
        <v>1</v>
      </c>
      <c r="CE32">
        <v>4</v>
      </c>
      <c r="CF32">
        <v>42</v>
      </c>
      <c r="CG32">
        <v>262</v>
      </c>
      <c r="CH32">
        <v>5</v>
      </c>
      <c r="CI32">
        <v>232</v>
      </c>
      <c r="CJ32">
        <v>49</v>
      </c>
      <c r="CK32">
        <v>20</v>
      </c>
      <c r="CL32">
        <v>68</v>
      </c>
      <c r="CM32">
        <v>317</v>
      </c>
      <c r="CN32">
        <v>20</v>
      </c>
      <c r="CO32">
        <v>317</v>
      </c>
      <c r="CP32">
        <v>2</v>
      </c>
      <c r="CQ32">
        <v>55</v>
      </c>
      <c r="CR32">
        <v>1170</v>
      </c>
      <c r="CS32">
        <v>1455</v>
      </c>
      <c r="CT32">
        <v>9</v>
      </c>
      <c r="CU32">
        <v>361</v>
      </c>
      <c r="CV32">
        <v>1133</v>
      </c>
      <c r="CW32">
        <v>48</v>
      </c>
      <c r="CX32">
        <v>732</v>
      </c>
      <c r="CY32">
        <v>434</v>
      </c>
    </row>
    <row r="33" spans="1:103" x14ac:dyDescent="0.4">
      <c r="A33" s="1" t="s">
        <v>54</v>
      </c>
      <c r="B33" s="1" t="s">
        <v>55</v>
      </c>
      <c r="C33">
        <v>23</v>
      </c>
      <c r="D33">
        <v>218</v>
      </c>
      <c r="E33">
        <v>460</v>
      </c>
      <c r="F33">
        <v>169</v>
      </c>
      <c r="G33">
        <v>1839</v>
      </c>
      <c r="H33">
        <v>4425</v>
      </c>
      <c r="I33">
        <v>3293</v>
      </c>
      <c r="J33">
        <v>1825</v>
      </c>
      <c r="K33">
        <v>4247</v>
      </c>
      <c r="L33">
        <v>3177</v>
      </c>
      <c r="M33">
        <v>118</v>
      </c>
      <c r="N33">
        <v>258</v>
      </c>
      <c r="O33">
        <v>2037</v>
      </c>
      <c r="P33">
        <v>1543</v>
      </c>
      <c r="Q33">
        <v>238</v>
      </c>
      <c r="R33">
        <v>1948</v>
      </c>
      <c r="S33">
        <v>1517</v>
      </c>
      <c r="T33">
        <v>58</v>
      </c>
      <c r="U33">
        <v>92</v>
      </c>
      <c r="V33">
        <v>743</v>
      </c>
      <c r="W33">
        <v>1338</v>
      </c>
      <c r="X33">
        <v>92</v>
      </c>
      <c r="Y33">
        <v>743</v>
      </c>
      <c r="Z33">
        <v>1338</v>
      </c>
      <c r="AA33">
        <v>0</v>
      </c>
      <c r="AB33">
        <v>0</v>
      </c>
      <c r="AC33">
        <v>80</v>
      </c>
      <c r="AD33">
        <v>913</v>
      </c>
      <c r="AE33">
        <v>1399</v>
      </c>
      <c r="AF33">
        <v>54</v>
      </c>
      <c r="AG33">
        <v>650</v>
      </c>
      <c r="AH33">
        <v>937</v>
      </c>
      <c r="AI33">
        <v>403</v>
      </c>
      <c r="AJ33">
        <v>4095</v>
      </c>
      <c r="AK33">
        <v>64</v>
      </c>
      <c r="AL33">
        <v>757</v>
      </c>
      <c r="AM33">
        <v>1012</v>
      </c>
      <c r="AN33">
        <v>39</v>
      </c>
      <c r="AO33">
        <v>501</v>
      </c>
      <c r="AP33">
        <v>569</v>
      </c>
      <c r="AQ33">
        <v>371</v>
      </c>
      <c r="AR33">
        <v>3577</v>
      </c>
      <c r="AS33">
        <v>86</v>
      </c>
      <c r="AT33">
        <v>917</v>
      </c>
      <c r="AU33">
        <v>2067</v>
      </c>
      <c r="AV33">
        <v>78</v>
      </c>
      <c r="AW33">
        <v>789</v>
      </c>
      <c r="AX33">
        <v>1909</v>
      </c>
      <c r="AY33">
        <v>144</v>
      </c>
      <c r="AZ33">
        <v>2159</v>
      </c>
      <c r="BA33">
        <v>30</v>
      </c>
      <c r="BB33">
        <v>1280</v>
      </c>
      <c r="BC33">
        <v>1347</v>
      </c>
      <c r="BD33">
        <v>30</v>
      </c>
      <c r="BE33">
        <v>1342</v>
      </c>
      <c r="BF33">
        <v>1414</v>
      </c>
      <c r="BG33">
        <v>101</v>
      </c>
      <c r="BH33">
        <v>2369</v>
      </c>
      <c r="BI33">
        <v>3</v>
      </c>
      <c r="BJ33">
        <v>1394</v>
      </c>
      <c r="BK33">
        <v>1762</v>
      </c>
      <c r="BL33">
        <v>3</v>
      </c>
      <c r="BM33">
        <v>1394</v>
      </c>
      <c r="BN33">
        <v>1762</v>
      </c>
      <c r="BO33">
        <v>0</v>
      </c>
      <c r="BP33">
        <v>0</v>
      </c>
      <c r="BQ33">
        <v>49</v>
      </c>
      <c r="BR33">
        <v>813</v>
      </c>
      <c r="BS33">
        <v>811</v>
      </c>
      <c r="BT33">
        <v>34</v>
      </c>
      <c r="BU33">
        <v>522</v>
      </c>
      <c r="BV33">
        <v>552</v>
      </c>
      <c r="BW33">
        <v>232</v>
      </c>
      <c r="BX33">
        <v>4289</v>
      </c>
      <c r="BY33">
        <v>5</v>
      </c>
      <c r="BZ33">
        <v>27</v>
      </c>
      <c r="CA33">
        <v>22</v>
      </c>
      <c r="CB33">
        <v>5</v>
      </c>
      <c r="CC33">
        <v>22</v>
      </c>
      <c r="CD33">
        <v>1</v>
      </c>
      <c r="CE33">
        <v>6</v>
      </c>
      <c r="CF33">
        <v>99</v>
      </c>
      <c r="CG33">
        <v>363</v>
      </c>
      <c r="CH33">
        <v>11</v>
      </c>
      <c r="CI33">
        <v>330</v>
      </c>
      <c r="CJ33">
        <v>44</v>
      </c>
      <c r="CK33">
        <v>19</v>
      </c>
      <c r="CL33">
        <v>435</v>
      </c>
      <c r="CM33">
        <v>763</v>
      </c>
      <c r="CN33">
        <v>19</v>
      </c>
      <c r="CO33">
        <v>763</v>
      </c>
      <c r="CP33">
        <v>2</v>
      </c>
      <c r="CQ33">
        <v>49</v>
      </c>
      <c r="CR33">
        <v>842</v>
      </c>
      <c r="CS33">
        <v>927</v>
      </c>
      <c r="CT33">
        <v>7</v>
      </c>
      <c r="CU33">
        <v>184</v>
      </c>
      <c r="CV33">
        <v>833</v>
      </c>
      <c r="CW33">
        <v>54</v>
      </c>
      <c r="CX33">
        <v>757</v>
      </c>
      <c r="CY33">
        <v>630</v>
      </c>
    </row>
    <row r="34" spans="1:103" x14ac:dyDescent="0.4">
      <c r="A34" s="1" t="s">
        <v>56</v>
      </c>
      <c r="B34" s="1" t="s">
        <v>57</v>
      </c>
      <c r="C34">
        <v>19</v>
      </c>
      <c r="D34">
        <v>433</v>
      </c>
      <c r="E34">
        <v>461</v>
      </c>
      <c r="F34">
        <v>42</v>
      </c>
      <c r="G34">
        <v>1649</v>
      </c>
      <c r="H34">
        <v>4066</v>
      </c>
      <c r="I34">
        <v>3074</v>
      </c>
      <c r="J34">
        <v>1676</v>
      </c>
      <c r="K34">
        <v>4063</v>
      </c>
      <c r="L34">
        <v>3110</v>
      </c>
      <c r="M34">
        <v>111</v>
      </c>
      <c r="N34">
        <v>348</v>
      </c>
      <c r="O34">
        <v>1368</v>
      </c>
      <c r="P34">
        <v>1120</v>
      </c>
      <c r="Q34">
        <v>343</v>
      </c>
      <c r="R34">
        <v>1369</v>
      </c>
      <c r="S34">
        <v>1052</v>
      </c>
      <c r="T34">
        <v>63</v>
      </c>
      <c r="U34">
        <v>102</v>
      </c>
      <c r="V34">
        <v>840</v>
      </c>
      <c r="W34">
        <v>1417</v>
      </c>
      <c r="X34">
        <v>102</v>
      </c>
      <c r="Y34">
        <v>840</v>
      </c>
      <c r="Z34">
        <v>1417</v>
      </c>
      <c r="AA34">
        <v>0</v>
      </c>
      <c r="AB34">
        <v>0</v>
      </c>
      <c r="AC34">
        <v>77</v>
      </c>
      <c r="AD34">
        <v>1020</v>
      </c>
      <c r="AE34">
        <v>1342</v>
      </c>
      <c r="AF34">
        <v>68</v>
      </c>
      <c r="AG34">
        <v>1077</v>
      </c>
      <c r="AH34">
        <v>1775</v>
      </c>
      <c r="AI34">
        <v>412</v>
      </c>
      <c r="AJ34">
        <v>4039</v>
      </c>
      <c r="AK34">
        <v>70</v>
      </c>
      <c r="AL34">
        <v>860</v>
      </c>
      <c r="AM34">
        <v>1022</v>
      </c>
      <c r="AN34">
        <v>58</v>
      </c>
      <c r="AO34">
        <v>690</v>
      </c>
      <c r="AP34">
        <v>931</v>
      </c>
      <c r="AQ34">
        <v>383</v>
      </c>
      <c r="AR34">
        <v>3747</v>
      </c>
      <c r="AS34">
        <v>84</v>
      </c>
      <c r="AT34">
        <v>808</v>
      </c>
      <c r="AU34">
        <v>1867</v>
      </c>
      <c r="AV34">
        <v>83</v>
      </c>
      <c r="AW34">
        <v>824</v>
      </c>
      <c r="AX34">
        <v>1882</v>
      </c>
      <c r="AY34">
        <v>145</v>
      </c>
      <c r="AZ34">
        <v>2144</v>
      </c>
      <c r="BA34">
        <v>44</v>
      </c>
      <c r="BB34">
        <v>2338</v>
      </c>
      <c r="BC34">
        <v>2729</v>
      </c>
      <c r="BD34">
        <v>40</v>
      </c>
      <c r="BE34">
        <v>2312</v>
      </c>
      <c r="BF34">
        <v>2691</v>
      </c>
      <c r="BG34">
        <v>105</v>
      </c>
      <c r="BH34">
        <v>2395</v>
      </c>
      <c r="BI34">
        <v>3</v>
      </c>
      <c r="BJ34">
        <v>1565</v>
      </c>
      <c r="BK34">
        <v>1701</v>
      </c>
      <c r="BL34">
        <v>3</v>
      </c>
      <c r="BM34">
        <v>1565</v>
      </c>
      <c r="BN34">
        <v>1701</v>
      </c>
      <c r="BO34">
        <v>0</v>
      </c>
      <c r="BP34">
        <v>0</v>
      </c>
      <c r="BQ34">
        <v>46</v>
      </c>
      <c r="BR34">
        <v>718</v>
      </c>
      <c r="BS34">
        <v>730</v>
      </c>
      <c r="BT34">
        <v>46</v>
      </c>
      <c r="BU34">
        <v>784</v>
      </c>
      <c r="BV34">
        <v>761</v>
      </c>
      <c r="BW34">
        <v>232</v>
      </c>
      <c r="BX34">
        <v>4222</v>
      </c>
      <c r="BY34">
        <v>7</v>
      </c>
      <c r="BZ34">
        <v>47</v>
      </c>
      <c r="CA34">
        <v>54</v>
      </c>
      <c r="CB34">
        <v>7</v>
      </c>
      <c r="CC34">
        <v>54</v>
      </c>
      <c r="CD34">
        <v>1</v>
      </c>
      <c r="CE34">
        <v>8</v>
      </c>
      <c r="CF34">
        <v>136</v>
      </c>
      <c r="CG34">
        <v>475</v>
      </c>
      <c r="CH34">
        <v>4</v>
      </c>
      <c r="CI34">
        <v>372</v>
      </c>
      <c r="CJ34">
        <v>48</v>
      </c>
      <c r="CK34">
        <v>23</v>
      </c>
      <c r="CL34">
        <v>280</v>
      </c>
      <c r="CM34">
        <v>600</v>
      </c>
      <c r="CN34">
        <v>23</v>
      </c>
      <c r="CO34">
        <v>600</v>
      </c>
      <c r="CP34">
        <v>2</v>
      </c>
      <c r="CQ34">
        <v>63</v>
      </c>
      <c r="CR34">
        <v>1615</v>
      </c>
      <c r="CS34">
        <v>2562</v>
      </c>
      <c r="CT34">
        <v>8</v>
      </c>
      <c r="CU34">
        <v>267</v>
      </c>
      <c r="CV34">
        <v>830</v>
      </c>
      <c r="CW34">
        <v>53</v>
      </c>
      <c r="CX34">
        <v>849</v>
      </c>
      <c r="CY34">
        <v>510</v>
      </c>
    </row>
    <row r="35" spans="1:103" x14ac:dyDescent="0.4">
      <c r="A35" s="1" t="s">
        <v>58</v>
      </c>
      <c r="B35" s="1" t="s">
        <v>59</v>
      </c>
      <c r="C35">
        <v>18</v>
      </c>
      <c r="D35">
        <v>101</v>
      </c>
      <c r="E35">
        <v>179</v>
      </c>
      <c r="F35">
        <v>93</v>
      </c>
      <c r="G35">
        <v>1653</v>
      </c>
      <c r="H35">
        <v>4090</v>
      </c>
      <c r="I35">
        <v>3277</v>
      </c>
      <c r="J35">
        <v>1707</v>
      </c>
      <c r="K35">
        <v>4338</v>
      </c>
      <c r="L35">
        <v>3554</v>
      </c>
      <c r="M35">
        <v>170</v>
      </c>
      <c r="N35">
        <v>311</v>
      </c>
      <c r="O35">
        <v>1943</v>
      </c>
      <c r="P35">
        <v>1444</v>
      </c>
      <c r="Q35">
        <v>305</v>
      </c>
      <c r="R35">
        <v>1903</v>
      </c>
      <c r="S35">
        <v>1475</v>
      </c>
      <c r="T35">
        <v>69</v>
      </c>
      <c r="U35">
        <v>101</v>
      </c>
      <c r="V35">
        <v>786</v>
      </c>
      <c r="W35">
        <v>1196</v>
      </c>
      <c r="X35">
        <v>101</v>
      </c>
      <c r="Y35">
        <v>786</v>
      </c>
      <c r="Z35">
        <v>1196</v>
      </c>
      <c r="AA35">
        <v>0</v>
      </c>
      <c r="AB35">
        <v>0</v>
      </c>
      <c r="AC35">
        <v>83</v>
      </c>
      <c r="AD35">
        <v>1095</v>
      </c>
      <c r="AE35">
        <v>1391</v>
      </c>
      <c r="AF35">
        <v>109</v>
      </c>
      <c r="AG35">
        <v>1412</v>
      </c>
      <c r="AH35">
        <v>1742</v>
      </c>
      <c r="AI35">
        <v>386</v>
      </c>
      <c r="AJ35">
        <v>3720</v>
      </c>
      <c r="AK35">
        <v>60</v>
      </c>
      <c r="AL35">
        <v>746</v>
      </c>
      <c r="AM35">
        <v>811</v>
      </c>
      <c r="AN35">
        <v>86</v>
      </c>
      <c r="AO35">
        <v>1016</v>
      </c>
      <c r="AP35">
        <v>1118</v>
      </c>
      <c r="AQ35">
        <v>357</v>
      </c>
      <c r="AR35">
        <v>3477</v>
      </c>
      <c r="AS35">
        <v>82</v>
      </c>
      <c r="AT35">
        <v>784</v>
      </c>
      <c r="AU35">
        <v>1594</v>
      </c>
      <c r="AV35">
        <v>88</v>
      </c>
      <c r="AW35">
        <v>871</v>
      </c>
      <c r="AX35">
        <v>1730</v>
      </c>
      <c r="AY35">
        <v>139</v>
      </c>
      <c r="AZ35">
        <v>2058</v>
      </c>
      <c r="BA35">
        <v>41</v>
      </c>
      <c r="BB35">
        <v>1657</v>
      </c>
      <c r="BC35">
        <v>1856</v>
      </c>
      <c r="BD35">
        <v>45</v>
      </c>
      <c r="BE35">
        <v>1659</v>
      </c>
      <c r="BF35">
        <v>1849</v>
      </c>
      <c r="BG35">
        <v>101</v>
      </c>
      <c r="BH35">
        <v>2393</v>
      </c>
      <c r="BI35">
        <v>2</v>
      </c>
      <c r="BJ35">
        <v>449</v>
      </c>
      <c r="BK35">
        <v>555</v>
      </c>
      <c r="BL35">
        <v>2</v>
      </c>
      <c r="BM35">
        <v>449</v>
      </c>
      <c r="BN35">
        <v>555</v>
      </c>
      <c r="BO35">
        <v>0</v>
      </c>
      <c r="BP35">
        <v>0</v>
      </c>
      <c r="BQ35">
        <v>42</v>
      </c>
      <c r="BR35">
        <v>644</v>
      </c>
      <c r="BS35">
        <v>653</v>
      </c>
      <c r="BT35">
        <v>53</v>
      </c>
      <c r="BU35">
        <v>842</v>
      </c>
      <c r="BV35">
        <v>869</v>
      </c>
      <c r="BW35">
        <v>221</v>
      </c>
      <c r="BX35">
        <v>4024</v>
      </c>
      <c r="BY35">
        <v>9</v>
      </c>
      <c r="BZ35">
        <v>71</v>
      </c>
      <c r="CA35">
        <v>121</v>
      </c>
      <c r="CB35">
        <v>9</v>
      </c>
      <c r="CC35">
        <v>138</v>
      </c>
      <c r="CD35">
        <v>1</v>
      </c>
      <c r="CE35">
        <v>13</v>
      </c>
      <c r="CF35">
        <v>154</v>
      </c>
      <c r="CG35">
        <v>548</v>
      </c>
      <c r="CH35">
        <v>9</v>
      </c>
      <c r="CI35">
        <v>732</v>
      </c>
      <c r="CJ35">
        <v>52</v>
      </c>
      <c r="CK35">
        <v>39</v>
      </c>
      <c r="CL35">
        <v>115</v>
      </c>
      <c r="CM35">
        <v>501</v>
      </c>
      <c r="CN35">
        <v>39</v>
      </c>
      <c r="CO35">
        <v>501</v>
      </c>
      <c r="CP35">
        <v>2</v>
      </c>
      <c r="CQ35">
        <v>44</v>
      </c>
      <c r="CR35">
        <v>867</v>
      </c>
      <c r="CS35">
        <v>1003</v>
      </c>
      <c r="CT35">
        <v>11</v>
      </c>
      <c r="CU35">
        <v>470</v>
      </c>
      <c r="CV35">
        <v>1220</v>
      </c>
      <c r="CW35">
        <v>52</v>
      </c>
      <c r="CX35">
        <v>1334</v>
      </c>
      <c r="CY35">
        <v>520</v>
      </c>
    </row>
    <row r="36" spans="1:103" x14ac:dyDescent="0.4">
      <c r="A36" s="1" t="s">
        <v>60</v>
      </c>
      <c r="B36" s="1" t="s">
        <v>61</v>
      </c>
      <c r="C36">
        <v>26</v>
      </c>
      <c r="D36">
        <v>147</v>
      </c>
      <c r="E36">
        <v>192</v>
      </c>
      <c r="F36">
        <v>94</v>
      </c>
      <c r="G36">
        <v>1745</v>
      </c>
      <c r="H36">
        <v>4479</v>
      </c>
      <c r="I36">
        <v>3448</v>
      </c>
      <c r="J36">
        <v>1762</v>
      </c>
      <c r="K36">
        <v>4508</v>
      </c>
      <c r="L36">
        <v>3495</v>
      </c>
      <c r="M36">
        <v>97</v>
      </c>
      <c r="N36">
        <v>264</v>
      </c>
      <c r="O36">
        <v>1936</v>
      </c>
      <c r="P36">
        <v>1520</v>
      </c>
      <c r="Q36">
        <v>270</v>
      </c>
      <c r="R36">
        <v>1989</v>
      </c>
      <c r="S36">
        <v>1571</v>
      </c>
      <c r="T36">
        <v>63</v>
      </c>
      <c r="U36">
        <v>90</v>
      </c>
      <c r="V36">
        <v>770</v>
      </c>
      <c r="W36">
        <v>1077</v>
      </c>
      <c r="X36">
        <v>90</v>
      </c>
      <c r="Y36">
        <v>770</v>
      </c>
      <c r="Z36">
        <v>1077</v>
      </c>
      <c r="AA36">
        <v>0</v>
      </c>
      <c r="AB36">
        <v>0</v>
      </c>
      <c r="AC36">
        <v>75</v>
      </c>
      <c r="AD36">
        <v>1187</v>
      </c>
      <c r="AE36">
        <v>1642</v>
      </c>
      <c r="AF36">
        <v>64</v>
      </c>
      <c r="AG36">
        <v>869</v>
      </c>
      <c r="AH36">
        <v>1050</v>
      </c>
      <c r="AI36">
        <v>397</v>
      </c>
      <c r="AJ36">
        <v>4038</v>
      </c>
      <c r="AK36">
        <v>63</v>
      </c>
      <c r="AL36">
        <v>949</v>
      </c>
      <c r="AM36">
        <v>1230</v>
      </c>
      <c r="AN36">
        <v>55</v>
      </c>
      <c r="AO36">
        <v>743</v>
      </c>
      <c r="AP36">
        <v>861</v>
      </c>
      <c r="AQ36">
        <v>365</v>
      </c>
      <c r="AR36">
        <v>3683</v>
      </c>
      <c r="AS36">
        <v>90</v>
      </c>
      <c r="AT36">
        <v>913</v>
      </c>
      <c r="AU36">
        <v>1974</v>
      </c>
      <c r="AV36">
        <v>96</v>
      </c>
      <c r="AW36">
        <v>975</v>
      </c>
      <c r="AX36">
        <v>2018</v>
      </c>
      <c r="AY36">
        <v>133</v>
      </c>
      <c r="AZ36">
        <v>1996</v>
      </c>
      <c r="BA36">
        <v>61</v>
      </c>
      <c r="BB36">
        <v>2347</v>
      </c>
      <c r="BC36">
        <v>2675</v>
      </c>
      <c r="BD36">
        <v>53</v>
      </c>
      <c r="BE36">
        <v>2243</v>
      </c>
      <c r="BF36">
        <v>2666</v>
      </c>
      <c r="BG36">
        <v>109</v>
      </c>
      <c r="BH36">
        <v>2497</v>
      </c>
      <c r="BI36">
        <v>2</v>
      </c>
      <c r="BJ36">
        <v>427</v>
      </c>
      <c r="BK36">
        <v>492</v>
      </c>
      <c r="BL36">
        <v>2</v>
      </c>
      <c r="BM36">
        <v>427</v>
      </c>
      <c r="BN36">
        <v>492</v>
      </c>
      <c r="BO36">
        <v>0</v>
      </c>
      <c r="BP36">
        <v>0</v>
      </c>
      <c r="BQ36">
        <v>51</v>
      </c>
      <c r="BR36">
        <v>834</v>
      </c>
      <c r="BS36">
        <v>821</v>
      </c>
      <c r="BT36">
        <v>58</v>
      </c>
      <c r="BU36">
        <v>927</v>
      </c>
      <c r="BV36">
        <v>895</v>
      </c>
      <c r="BW36">
        <v>214</v>
      </c>
      <c r="BX36">
        <v>3930</v>
      </c>
      <c r="BY36">
        <v>7</v>
      </c>
      <c r="BZ36">
        <v>54</v>
      </c>
      <c r="CA36">
        <v>82</v>
      </c>
      <c r="CB36">
        <v>7</v>
      </c>
      <c r="CC36">
        <v>82</v>
      </c>
      <c r="CD36">
        <v>1</v>
      </c>
      <c r="CE36">
        <v>5</v>
      </c>
      <c r="CF36">
        <v>325</v>
      </c>
      <c r="CG36">
        <v>1081</v>
      </c>
      <c r="CH36">
        <v>5</v>
      </c>
      <c r="CI36">
        <v>1141</v>
      </c>
      <c r="CJ36">
        <v>52</v>
      </c>
      <c r="CK36">
        <v>17</v>
      </c>
      <c r="CL36">
        <v>227</v>
      </c>
      <c r="CM36">
        <v>391</v>
      </c>
      <c r="CN36">
        <v>17</v>
      </c>
      <c r="CO36">
        <v>391</v>
      </c>
      <c r="CP36">
        <v>2</v>
      </c>
      <c r="CQ36">
        <v>24</v>
      </c>
      <c r="CR36">
        <v>699</v>
      </c>
      <c r="CS36">
        <v>1051</v>
      </c>
      <c r="CT36">
        <v>3</v>
      </c>
      <c r="CU36">
        <v>179</v>
      </c>
      <c r="CV36">
        <v>576</v>
      </c>
      <c r="CW36">
        <v>35</v>
      </c>
      <c r="CX36">
        <v>738</v>
      </c>
      <c r="CY36">
        <v>382</v>
      </c>
    </row>
    <row r="37" spans="1:103" x14ac:dyDescent="0.4">
      <c r="A37" s="1" t="s">
        <v>62</v>
      </c>
      <c r="B37" s="1" t="s">
        <v>63</v>
      </c>
      <c r="C37">
        <v>31</v>
      </c>
      <c r="D37">
        <v>160</v>
      </c>
      <c r="E37">
        <v>135</v>
      </c>
      <c r="F37">
        <v>76</v>
      </c>
      <c r="G37">
        <v>1767</v>
      </c>
      <c r="H37">
        <v>4461</v>
      </c>
      <c r="I37">
        <v>3695</v>
      </c>
      <c r="J37">
        <v>1769</v>
      </c>
      <c r="K37">
        <v>4374</v>
      </c>
      <c r="L37">
        <v>3644</v>
      </c>
      <c r="M37">
        <v>95</v>
      </c>
      <c r="N37">
        <v>206</v>
      </c>
      <c r="O37">
        <v>1562</v>
      </c>
      <c r="P37">
        <v>1271</v>
      </c>
      <c r="Q37">
        <v>209</v>
      </c>
      <c r="R37">
        <v>1564</v>
      </c>
      <c r="S37">
        <v>1235</v>
      </c>
      <c r="T37">
        <v>60</v>
      </c>
      <c r="U37">
        <v>95</v>
      </c>
      <c r="V37">
        <v>966</v>
      </c>
      <c r="W37">
        <v>1592</v>
      </c>
      <c r="X37">
        <v>95</v>
      </c>
      <c r="Y37">
        <v>966</v>
      </c>
      <c r="Z37">
        <v>1592</v>
      </c>
      <c r="AA37">
        <v>0</v>
      </c>
      <c r="AB37">
        <v>0</v>
      </c>
      <c r="AC37">
        <v>65</v>
      </c>
      <c r="AD37">
        <v>1427</v>
      </c>
      <c r="AE37">
        <v>2117</v>
      </c>
      <c r="AF37">
        <v>63</v>
      </c>
      <c r="AG37">
        <v>1332</v>
      </c>
      <c r="AH37">
        <v>1992</v>
      </c>
      <c r="AI37">
        <v>399</v>
      </c>
      <c r="AJ37">
        <v>4133</v>
      </c>
      <c r="AK37">
        <v>53</v>
      </c>
      <c r="AL37">
        <v>830</v>
      </c>
      <c r="AM37">
        <v>927</v>
      </c>
      <c r="AN37">
        <v>53</v>
      </c>
      <c r="AO37">
        <v>654</v>
      </c>
      <c r="AP37">
        <v>732</v>
      </c>
      <c r="AQ37">
        <v>365</v>
      </c>
      <c r="AR37">
        <v>3860</v>
      </c>
      <c r="AS37">
        <v>87</v>
      </c>
      <c r="AT37">
        <v>981</v>
      </c>
      <c r="AU37">
        <v>2153</v>
      </c>
      <c r="AV37">
        <v>82</v>
      </c>
      <c r="AW37">
        <v>922</v>
      </c>
      <c r="AX37">
        <v>2079</v>
      </c>
      <c r="AY37">
        <v>138</v>
      </c>
      <c r="AZ37">
        <v>2056</v>
      </c>
      <c r="BA37">
        <v>54</v>
      </c>
      <c r="BB37">
        <v>2164</v>
      </c>
      <c r="BC37">
        <v>2447</v>
      </c>
      <c r="BD37">
        <v>57</v>
      </c>
      <c r="BE37">
        <v>2157</v>
      </c>
      <c r="BF37">
        <v>2413</v>
      </c>
      <c r="BG37">
        <v>106</v>
      </c>
      <c r="BH37">
        <v>2504</v>
      </c>
      <c r="BI37">
        <v>3</v>
      </c>
      <c r="BJ37">
        <v>2814</v>
      </c>
      <c r="BK37">
        <v>5403</v>
      </c>
      <c r="BL37">
        <v>2</v>
      </c>
      <c r="BM37">
        <v>1726</v>
      </c>
      <c r="BN37">
        <v>4168</v>
      </c>
      <c r="BO37">
        <v>1</v>
      </c>
      <c r="BP37">
        <v>1088</v>
      </c>
      <c r="BQ37">
        <v>53</v>
      </c>
      <c r="BR37">
        <v>1520</v>
      </c>
      <c r="BS37">
        <v>2008</v>
      </c>
      <c r="BT37">
        <v>47</v>
      </c>
      <c r="BU37">
        <v>1346</v>
      </c>
      <c r="BV37">
        <v>1856</v>
      </c>
      <c r="BW37">
        <v>220</v>
      </c>
      <c r="BX37">
        <v>4104</v>
      </c>
      <c r="BY37">
        <v>4</v>
      </c>
      <c r="BZ37">
        <v>44</v>
      </c>
      <c r="CA37">
        <v>62</v>
      </c>
      <c r="CB37">
        <v>4</v>
      </c>
      <c r="CC37">
        <v>62</v>
      </c>
      <c r="CD37">
        <v>1</v>
      </c>
      <c r="CE37">
        <v>9</v>
      </c>
      <c r="CF37">
        <v>125</v>
      </c>
      <c r="CG37">
        <v>392</v>
      </c>
      <c r="CH37">
        <v>12</v>
      </c>
      <c r="CI37">
        <v>586</v>
      </c>
      <c r="CJ37">
        <v>49</v>
      </c>
      <c r="CK37">
        <v>24</v>
      </c>
      <c r="CL37">
        <v>148</v>
      </c>
      <c r="CM37">
        <v>479</v>
      </c>
      <c r="CN37">
        <v>24</v>
      </c>
      <c r="CO37">
        <v>479</v>
      </c>
      <c r="CP37">
        <v>2</v>
      </c>
      <c r="CQ37">
        <v>39</v>
      </c>
      <c r="CR37">
        <v>747</v>
      </c>
      <c r="CS37">
        <v>1306</v>
      </c>
      <c r="CT37">
        <v>10</v>
      </c>
      <c r="CU37">
        <v>302</v>
      </c>
      <c r="CV37">
        <v>1222</v>
      </c>
      <c r="CW37">
        <v>45</v>
      </c>
      <c r="CX37">
        <v>796</v>
      </c>
      <c r="CY37">
        <v>462</v>
      </c>
    </row>
    <row r="38" spans="1:103" x14ac:dyDescent="0.4">
      <c r="A38" s="1" t="s">
        <v>64</v>
      </c>
      <c r="B38" s="1" t="s">
        <v>65</v>
      </c>
      <c r="C38">
        <v>37</v>
      </c>
      <c r="D38">
        <v>212</v>
      </c>
      <c r="E38">
        <v>237</v>
      </c>
      <c r="F38">
        <v>238</v>
      </c>
      <c r="G38">
        <v>1719</v>
      </c>
      <c r="H38">
        <v>4661</v>
      </c>
      <c r="I38">
        <v>3578</v>
      </c>
      <c r="J38">
        <v>1728</v>
      </c>
      <c r="K38">
        <v>4617</v>
      </c>
      <c r="L38">
        <v>3546</v>
      </c>
      <c r="M38">
        <v>86</v>
      </c>
      <c r="N38">
        <v>246</v>
      </c>
      <c r="O38">
        <v>2254</v>
      </c>
      <c r="P38">
        <v>2390</v>
      </c>
      <c r="Q38">
        <v>247</v>
      </c>
      <c r="R38">
        <v>2246</v>
      </c>
      <c r="S38">
        <v>2439</v>
      </c>
      <c r="T38">
        <v>59</v>
      </c>
      <c r="U38">
        <v>106</v>
      </c>
      <c r="V38">
        <v>790</v>
      </c>
      <c r="W38">
        <v>1165</v>
      </c>
      <c r="X38">
        <v>106</v>
      </c>
      <c r="Y38">
        <v>790</v>
      </c>
      <c r="Z38">
        <v>1165</v>
      </c>
      <c r="AA38">
        <v>0</v>
      </c>
      <c r="AB38">
        <v>0</v>
      </c>
      <c r="AC38">
        <v>70</v>
      </c>
      <c r="AD38">
        <v>1293</v>
      </c>
      <c r="AE38">
        <v>1906</v>
      </c>
      <c r="AF38">
        <v>127</v>
      </c>
      <c r="AG38">
        <v>1737</v>
      </c>
      <c r="AH38">
        <v>2799</v>
      </c>
      <c r="AI38">
        <v>342</v>
      </c>
      <c r="AJ38">
        <v>3689</v>
      </c>
      <c r="AK38">
        <v>53</v>
      </c>
      <c r="AL38">
        <v>685</v>
      </c>
      <c r="AM38">
        <v>748</v>
      </c>
      <c r="AN38">
        <v>107</v>
      </c>
      <c r="AO38">
        <v>1254</v>
      </c>
      <c r="AP38">
        <v>1695</v>
      </c>
      <c r="AQ38">
        <v>311</v>
      </c>
      <c r="AR38">
        <v>3291</v>
      </c>
      <c r="AS38">
        <v>110</v>
      </c>
      <c r="AT38">
        <v>1110</v>
      </c>
      <c r="AU38">
        <v>2819</v>
      </c>
      <c r="AV38">
        <v>117</v>
      </c>
      <c r="AW38">
        <v>1201</v>
      </c>
      <c r="AX38">
        <v>2912</v>
      </c>
      <c r="AY38">
        <v>131</v>
      </c>
      <c r="AZ38">
        <v>1965</v>
      </c>
      <c r="BA38">
        <v>67</v>
      </c>
      <c r="BB38">
        <v>3260</v>
      </c>
      <c r="BC38">
        <v>3874</v>
      </c>
      <c r="BD38">
        <v>76</v>
      </c>
      <c r="BE38">
        <v>3481</v>
      </c>
      <c r="BF38">
        <v>3962</v>
      </c>
      <c r="BG38">
        <v>97</v>
      </c>
      <c r="BH38">
        <v>2283</v>
      </c>
      <c r="BI38">
        <v>15</v>
      </c>
      <c r="BJ38">
        <v>5786</v>
      </c>
      <c r="BK38">
        <v>7780</v>
      </c>
      <c r="BL38">
        <v>16</v>
      </c>
      <c r="BM38">
        <v>6874</v>
      </c>
      <c r="BN38">
        <v>9015</v>
      </c>
      <c r="BO38">
        <v>0</v>
      </c>
      <c r="BP38">
        <v>0</v>
      </c>
      <c r="BQ38">
        <v>58</v>
      </c>
      <c r="BR38">
        <v>4487</v>
      </c>
      <c r="BS38">
        <v>5092</v>
      </c>
      <c r="BT38">
        <v>62</v>
      </c>
      <c r="BU38">
        <v>4588</v>
      </c>
      <c r="BV38">
        <v>5137</v>
      </c>
      <c r="BW38">
        <v>216</v>
      </c>
      <c r="BX38">
        <v>4003</v>
      </c>
      <c r="BY38">
        <v>14</v>
      </c>
      <c r="BZ38">
        <v>97</v>
      </c>
      <c r="CA38">
        <v>117</v>
      </c>
      <c r="CB38">
        <v>14</v>
      </c>
      <c r="CC38">
        <v>117</v>
      </c>
      <c r="CD38">
        <v>1</v>
      </c>
      <c r="CE38">
        <v>8</v>
      </c>
      <c r="CF38">
        <v>321</v>
      </c>
      <c r="CG38">
        <v>612</v>
      </c>
      <c r="CH38">
        <v>19</v>
      </c>
      <c r="CI38">
        <v>822</v>
      </c>
      <c r="CJ38">
        <v>38</v>
      </c>
      <c r="CK38">
        <v>27</v>
      </c>
      <c r="CL38">
        <v>219</v>
      </c>
      <c r="CM38">
        <v>652</v>
      </c>
      <c r="CN38">
        <v>27</v>
      </c>
      <c r="CO38">
        <v>652</v>
      </c>
      <c r="CP38">
        <v>2</v>
      </c>
      <c r="CQ38">
        <v>47</v>
      </c>
      <c r="CR38">
        <v>1401</v>
      </c>
      <c r="CS38">
        <v>2104</v>
      </c>
      <c r="CT38">
        <v>19</v>
      </c>
      <c r="CU38">
        <v>279</v>
      </c>
      <c r="CV38">
        <v>1679</v>
      </c>
      <c r="CW38">
        <v>57</v>
      </c>
      <c r="CX38">
        <v>1297</v>
      </c>
      <c r="CY38">
        <v>1020</v>
      </c>
    </row>
    <row r="39" spans="1:103" x14ac:dyDescent="0.4">
      <c r="A39" s="1"/>
      <c r="B39" s="1"/>
    </row>
    <row r="40" spans="1:103" x14ac:dyDescent="0.4">
      <c r="A40" s="1"/>
      <c r="B40" s="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C90F2-66B7-481B-AD8F-218D0D2AF76D}">
  <dimension ref="A1:BO40"/>
  <sheetViews>
    <sheetView workbookViewId="0">
      <selection activeCell="C9" sqref="C9"/>
    </sheetView>
  </sheetViews>
  <sheetFormatPr defaultColWidth="15.62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618</v>
      </c>
      <c r="D3" t="s">
        <v>618</v>
      </c>
      <c r="E3" t="s">
        <v>618</v>
      </c>
      <c r="F3" t="s">
        <v>618</v>
      </c>
      <c r="G3" t="s">
        <v>618</v>
      </c>
      <c r="H3" t="s">
        <v>620</v>
      </c>
      <c r="I3" t="s">
        <v>620</v>
      </c>
      <c r="J3" t="s">
        <v>620</v>
      </c>
      <c r="K3" t="s">
        <v>620</v>
      </c>
      <c r="L3" t="s">
        <v>620</v>
      </c>
      <c r="M3" t="s">
        <v>622</v>
      </c>
      <c r="N3" t="s">
        <v>622</v>
      </c>
      <c r="O3" t="s">
        <v>622</v>
      </c>
      <c r="P3" t="s">
        <v>622</v>
      </c>
      <c r="Q3" t="s">
        <v>622</v>
      </c>
      <c r="R3" t="s">
        <v>624</v>
      </c>
      <c r="S3" t="s">
        <v>624</v>
      </c>
      <c r="T3" t="s">
        <v>624</v>
      </c>
      <c r="U3" t="s">
        <v>624</v>
      </c>
      <c r="V3" t="s">
        <v>624</v>
      </c>
      <c r="W3" t="s">
        <v>626</v>
      </c>
      <c r="X3" t="s">
        <v>626</v>
      </c>
      <c r="Y3" t="s">
        <v>626</v>
      </c>
      <c r="Z3" t="s">
        <v>626</v>
      </c>
      <c r="AA3" t="s">
        <v>626</v>
      </c>
      <c r="AB3" t="s">
        <v>628</v>
      </c>
      <c r="AC3" t="s">
        <v>628</v>
      </c>
      <c r="AD3" t="s">
        <v>628</v>
      </c>
      <c r="AE3" t="s">
        <v>628</v>
      </c>
      <c r="AF3" t="s">
        <v>628</v>
      </c>
      <c r="AG3" t="s">
        <v>630</v>
      </c>
      <c r="AH3" t="s">
        <v>630</v>
      </c>
      <c r="AI3" t="s">
        <v>630</v>
      </c>
      <c r="AJ3" t="s">
        <v>630</v>
      </c>
      <c r="AK3" t="s">
        <v>630</v>
      </c>
      <c r="AL3" t="s">
        <v>632</v>
      </c>
      <c r="AM3" t="s">
        <v>632</v>
      </c>
      <c r="AN3" t="s">
        <v>632</v>
      </c>
      <c r="AO3" t="s">
        <v>632</v>
      </c>
      <c r="AP3" t="s">
        <v>632</v>
      </c>
      <c r="AQ3" t="s">
        <v>634</v>
      </c>
      <c r="AR3" t="s">
        <v>634</v>
      </c>
      <c r="AS3" t="s">
        <v>634</v>
      </c>
      <c r="AT3" t="s">
        <v>634</v>
      </c>
      <c r="AU3" t="s">
        <v>634</v>
      </c>
      <c r="AV3" t="s">
        <v>636</v>
      </c>
      <c r="AW3" t="s">
        <v>636</v>
      </c>
      <c r="AX3" t="s">
        <v>636</v>
      </c>
      <c r="AY3" t="s">
        <v>636</v>
      </c>
      <c r="AZ3" t="s">
        <v>636</v>
      </c>
      <c r="BA3" t="s">
        <v>638</v>
      </c>
      <c r="BB3" t="s">
        <v>638</v>
      </c>
      <c r="BC3" t="s">
        <v>638</v>
      </c>
      <c r="BD3" t="s">
        <v>638</v>
      </c>
      <c r="BE3" t="s">
        <v>638</v>
      </c>
      <c r="BF3" t="s">
        <v>640</v>
      </c>
      <c r="BG3" t="s">
        <v>640</v>
      </c>
      <c r="BH3" t="s">
        <v>640</v>
      </c>
      <c r="BI3" t="s">
        <v>640</v>
      </c>
      <c r="BJ3" t="s">
        <v>640</v>
      </c>
      <c r="BK3" t="s">
        <v>642</v>
      </c>
      <c r="BL3" t="s">
        <v>642</v>
      </c>
      <c r="BM3" t="s">
        <v>642</v>
      </c>
      <c r="BN3" t="s">
        <v>642</v>
      </c>
      <c r="BO3" t="s">
        <v>642</v>
      </c>
    </row>
    <row r="4" spans="1:67" x14ac:dyDescent="0.4">
      <c r="A4" s="1"/>
      <c r="B4" s="2" t="s">
        <v>1</v>
      </c>
      <c r="C4" t="s">
        <v>619</v>
      </c>
      <c r="D4" t="s">
        <v>619</v>
      </c>
      <c r="E4" t="s">
        <v>619</v>
      </c>
      <c r="F4" t="s">
        <v>619</v>
      </c>
      <c r="G4" t="s">
        <v>619</v>
      </c>
      <c r="H4" t="s">
        <v>621</v>
      </c>
      <c r="I4" t="s">
        <v>621</v>
      </c>
      <c r="J4" t="s">
        <v>621</v>
      </c>
      <c r="K4" t="s">
        <v>621</v>
      </c>
      <c r="L4" t="s">
        <v>621</v>
      </c>
      <c r="M4" t="s">
        <v>623</v>
      </c>
      <c r="N4" t="s">
        <v>623</v>
      </c>
      <c r="O4" t="s">
        <v>623</v>
      </c>
      <c r="P4" t="s">
        <v>623</v>
      </c>
      <c r="Q4" t="s">
        <v>623</v>
      </c>
      <c r="R4" t="s">
        <v>625</v>
      </c>
      <c r="S4" t="s">
        <v>625</v>
      </c>
      <c r="T4" t="s">
        <v>625</v>
      </c>
      <c r="U4" t="s">
        <v>625</v>
      </c>
      <c r="V4" t="s">
        <v>625</v>
      </c>
      <c r="W4" t="s">
        <v>627</v>
      </c>
      <c r="X4" t="s">
        <v>627</v>
      </c>
      <c r="Y4" t="s">
        <v>627</v>
      </c>
      <c r="Z4" t="s">
        <v>627</v>
      </c>
      <c r="AA4" t="s">
        <v>627</v>
      </c>
      <c r="AB4" t="s">
        <v>629</v>
      </c>
      <c r="AC4" t="s">
        <v>629</v>
      </c>
      <c r="AD4" t="s">
        <v>629</v>
      </c>
      <c r="AE4" t="s">
        <v>629</v>
      </c>
      <c r="AF4" t="s">
        <v>629</v>
      </c>
      <c r="AG4" t="s">
        <v>631</v>
      </c>
      <c r="AH4" t="s">
        <v>631</v>
      </c>
      <c r="AI4" t="s">
        <v>631</v>
      </c>
      <c r="AJ4" t="s">
        <v>631</v>
      </c>
      <c r="AK4" t="s">
        <v>631</v>
      </c>
      <c r="AL4" t="s">
        <v>633</v>
      </c>
      <c r="AM4" t="s">
        <v>633</v>
      </c>
      <c r="AN4" t="s">
        <v>633</v>
      </c>
      <c r="AO4" t="s">
        <v>633</v>
      </c>
      <c r="AP4" t="s">
        <v>633</v>
      </c>
      <c r="AQ4" t="s">
        <v>635</v>
      </c>
      <c r="AR4" t="s">
        <v>635</v>
      </c>
      <c r="AS4" t="s">
        <v>635</v>
      </c>
      <c r="AT4" t="s">
        <v>635</v>
      </c>
      <c r="AU4" t="s">
        <v>635</v>
      </c>
      <c r="AV4" t="s">
        <v>637</v>
      </c>
      <c r="AW4" t="s">
        <v>637</v>
      </c>
      <c r="AX4" t="s">
        <v>637</v>
      </c>
      <c r="AY4" t="s">
        <v>637</v>
      </c>
      <c r="AZ4" t="s">
        <v>637</v>
      </c>
      <c r="BA4" t="s">
        <v>639</v>
      </c>
      <c r="BB4" t="s">
        <v>639</v>
      </c>
      <c r="BC4" t="s">
        <v>639</v>
      </c>
      <c r="BD4" t="s">
        <v>639</v>
      </c>
      <c r="BE4" t="s">
        <v>639</v>
      </c>
      <c r="BF4" t="s">
        <v>641</v>
      </c>
      <c r="BG4" t="s">
        <v>641</v>
      </c>
      <c r="BH4" t="s">
        <v>641</v>
      </c>
      <c r="BI4" t="s">
        <v>641</v>
      </c>
      <c r="BJ4" t="s">
        <v>641</v>
      </c>
      <c r="BK4" t="s">
        <v>643</v>
      </c>
      <c r="BL4" t="s">
        <v>643</v>
      </c>
      <c r="BM4" t="s">
        <v>643</v>
      </c>
      <c r="BN4" t="s">
        <v>643</v>
      </c>
      <c r="BO4" t="s">
        <v>643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12080</v>
      </c>
      <c r="D9">
        <v>7955</v>
      </c>
      <c r="E9">
        <v>10759</v>
      </c>
      <c r="F9">
        <v>6258</v>
      </c>
      <c r="G9">
        <v>4581</v>
      </c>
      <c r="H9">
        <v>9675</v>
      </c>
      <c r="I9">
        <v>26305</v>
      </c>
      <c r="J9">
        <v>10137</v>
      </c>
      <c r="K9">
        <v>28542</v>
      </c>
      <c r="L9">
        <v>364</v>
      </c>
      <c r="M9">
        <v>2451</v>
      </c>
      <c r="N9">
        <v>7742</v>
      </c>
      <c r="O9">
        <v>2454</v>
      </c>
      <c r="P9">
        <v>8892</v>
      </c>
      <c r="Q9">
        <v>22</v>
      </c>
      <c r="R9">
        <v>13706</v>
      </c>
      <c r="S9">
        <v>13260</v>
      </c>
      <c r="T9">
        <v>13757</v>
      </c>
      <c r="U9">
        <v>14503</v>
      </c>
      <c r="V9">
        <v>187</v>
      </c>
      <c r="W9">
        <v>6237</v>
      </c>
      <c r="X9">
        <v>12408</v>
      </c>
      <c r="Y9">
        <v>6323</v>
      </c>
      <c r="Z9">
        <v>18293</v>
      </c>
      <c r="AA9">
        <v>712</v>
      </c>
      <c r="AB9">
        <v>3057</v>
      </c>
      <c r="AC9">
        <v>63424</v>
      </c>
      <c r="AD9">
        <v>2930</v>
      </c>
      <c r="AE9">
        <v>61425</v>
      </c>
      <c r="AF9">
        <v>441</v>
      </c>
      <c r="AG9">
        <v>190</v>
      </c>
      <c r="AH9">
        <v>10440</v>
      </c>
      <c r="AI9">
        <v>189</v>
      </c>
      <c r="AJ9">
        <v>10752</v>
      </c>
      <c r="AK9">
        <v>11</v>
      </c>
      <c r="AL9">
        <v>3645</v>
      </c>
      <c r="AM9">
        <v>12091</v>
      </c>
      <c r="AN9">
        <v>3590</v>
      </c>
      <c r="AO9">
        <v>12016</v>
      </c>
      <c r="AP9">
        <v>411</v>
      </c>
      <c r="AQ9">
        <v>3191</v>
      </c>
      <c r="AR9">
        <v>40448</v>
      </c>
      <c r="AS9">
        <v>3185</v>
      </c>
      <c r="AT9">
        <v>40091</v>
      </c>
      <c r="AU9">
        <v>8</v>
      </c>
      <c r="AV9">
        <v>15980</v>
      </c>
      <c r="AW9">
        <v>52768</v>
      </c>
      <c r="AX9">
        <v>15975</v>
      </c>
      <c r="AY9">
        <v>53338</v>
      </c>
      <c r="AZ9">
        <v>888</v>
      </c>
      <c r="BA9">
        <v>9709</v>
      </c>
      <c r="BB9">
        <v>2542</v>
      </c>
      <c r="BC9">
        <v>10274</v>
      </c>
      <c r="BD9">
        <v>4402</v>
      </c>
      <c r="BE9">
        <v>1173</v>
      </c>
      <c r="BF9">
        <v>79</v>
      </c>
      <c r="BG9">
        <v>2508</v>
      </c>
      <c r="BH9">
        <v>85</v>
      </c>
      <c r="BI9">
        <v>2840</v>
      </c>
      <c r="BJ9">
        <v>11</v>
      </c>
      <c r="BK9">
        <v>2542</v>
      </c>
      <c r="BL9">
        <v>10084</v>
      </c>
      <c r="BM9">
        <v>2518</v>
      </c>
      <c r="BN9">
        <v>10746</v>
      </c>
      <c r="BO9">
        <v>137</v>
      </c>
    </row>
    <row r="10" spans="1:67" x14ac:dyDescent="0.4">
      <c r="A10" s="1" t="s">
        <v>8</v>
      </c>
      <c r="B10" s="3" t="s">
        <v>9</v>
      </c>
      <c r="C10">
        <v>12012</v>
      </c>
      <c r="D10">
        <v>8433</v>
      </c>
      <c r="E10">
        <v>11248</v>
      </c>
      <c r="F10">
        <v>11045</v>
      </c>
      <c r="G10">
        <v>5483</v>
      </c>
      <c r="H10">
        <v>9697</v>
      </c>
      <c r="I10">
        <v>28193</v>
      </c>
      <c r="J10">
        <v>9755</v>
      </c>
      <c r="K10">
        <v>33431</v>
      </c>
      <c r="L10">
        <v>414</v>
      </c>
      <c r="M10">
        <v>2087</v>
      </c>
      <c r="N10">
        <v>5894</v>
      </c>
      <c r="O10">
        <v>2087</v>
      </c>
      <c r="P10">
        <v>6302</v>
      </c>
      <c r="Q10">
        <v>22</v>
      </c>
      <c r="R10">
        <v>12999</v>
      </c>
      <c r="S10">
        <v>13948</v>
      </c>
      <c r="T10">
        <v>12942</v>
      </c>
      <c r="U10">
        <v>11936</v>
      </c>
      <c r="V10">
        <v>244</v>
      </c>
      <c r="W10">
        <v>6065</v>
      </c>
      <c r="X10">
        <v>12848</v>
      </c>
      <c r="Y10">
        <v>5766</v>
      </c>
      <c r="Z10">
        <v>17419</v>
      </c>
      <c r="AA10">
        <v>926</v>
      </c>
      <c r="AB10">
        <v>2933</v>
      </c>
      <c r="AC10">
        <v>57894</v>
      </c>
      <c r="AD10">
        <v>2739</v>
      </c>
      <c r="AE10">
        <v>55237</v>
      </c>
      <c r="AF10">
        <v>587</v>
      </c>
      <c r="AG10">
        <v>185</v>
      </c>
      <c r="AH10">
        <v>10141</v>
      </c>
      <c r="AI10">
        <v>182</v>
      </c>
      <c r="AJ10">
        <v>10542</v>
      </c>
      <c r="AK10">
        <v>14</v>
      </c>
      <c r="AL10">
        <v>3861</v>
      </c>
      <c r="AM10">
        <v>12600</v>
      </c>
      <c r="AN10">
        <v>3859</v>
      </c>
      <c r="AO10">
        <v>12589</v>
      </c>
      <c r="AP10">
        <v>333</v>
      </c>
      <c r="AQ10">
        <v>2082</v>
      </c>
      <c r="AR10">
        <v>32083</v>
      </c>
      <c r="AS10">
        <v>2085</v>
      </c>
      <c r="AT10">
        <v>32372</v>
      </c>
      <c r="AU10">
        <v>5</v>
      </c>
      <c r="AV10">
        <v>14730</v>
      </c>
      <c r="AW10">
        <v>42857</v>
      </c>
      <c r="AX10">
        <v>14015</v>
      </c>
      <c r="AY10">
        <v>43284</v>
      </c>
      <c r="AZ10">
        <v>1603</v>
      </c>
      <c r="BA10">
        <v>12612</v>
      </c>
      <c r="BB10">
        <v>2960</v>
      </c>
      <c r="BC10">
        <v>10491</v>
      </c>
      <c r="BD10">
        <v>4136</v>
      </c>
      <c r="BE10">
        <v>3294</v>
      </c>
      <c r="BF10">
        <v>73</v>
      </c>
      <c r="BG10">
        <v>2645</v>
      </c>
      <c r="BH10">
        <v>64</v>
      </c>
      <c r="BI10">
        <v>2235</v>
      </c>
      <c r="BJ10">
        <v>20</v>
      </c>
      <c r="BK10">
        <v>7685</v>
      </c>
      <c r="BL10">
        <v>32458</v>
      </c>
      <c r="BM10">
        <v>7638</v>
      </c>
      <c r="BN10">
        <v>32186</v>
      </c>
      <c r="BO10">
        <v>184</v>
      </c>
    </row>
    <row r="11" spans="1:67" x14ac:dyDescent="0.4">
      <c r="A11" s="1" t="s">
        <v>10</v>
      </c>
      <c r="B11" s="3" t="s">
        <v>11</v>
      </c>
      <c r="C11">
        <v>11834</v>
      </c>
      <c r="D11">
        <v>9831</v>
      </c>
      <c r="E11">
        <v>10338</v>
      </c>
      <c r="F11">
        <v>5265</v>
      </c>
      <c r="G11">
        <v>6911</v>
      </c>
      <c r="H11">
        <v>8932</v>
      </c>
      <c r="I11">
        <v>33249</v>
      </c>
      <c r="J11">
        <v>8961</v>
      </c>
      <c r="K11">
        <v>37424</v>
      </c>
      <c r="L11">
        <v>461</v>
      </c>
      <c r="M11">
        <v>2586</v>
      </c>
      <c r="N11">
        <v>8818</v>
      </c>
      <c r="O11">
        <v>2593</v>
      </c>
      <c r="P11">
        <v>9860</v>
      </c>
      <c r="Q11">
        <v>15</v>
      </c>
      <c r="R11">
        <v>12554</v>
      </c>
      <c r="S11">
        <v>13997</v>
      </c>
      <c r="T11">
        <v>12590</v>
      </c>
      <c r="U11">
        <v>12941</v>
      </c>
      <c r="V11">
        <v>208</v>
      </c>
      <c r="W11">
        <v>6286</v>
      </c>
      <c r="X11">
        <v>15337</v>
      </c>
      <c r="Y11">
        <v>6255</v>
      </c>
      <c r="Z11">
        <v>19470</v>
      </c>
      <c r="AA11">
        <v>894</v>
      </c>
      <c r="AB11">
        <v>2770</v>
      </c>
      <c r="AC11">
        <v>51777</v>
      </c>
      <c r="AD11">
        <v>2748</v>
      </c>
      <c r="AE11">
        <v>52542</v>
      </c>
      <c r="AF11">
        <v>600</v>
      </c>
      <c r="AG11">
        <v>220</v>
      </c>
      <c r="AH11">
        <v>14284</v>
      </c>
      <c r="AI11">
        <v>224</v>
      </c>
      <c r="AJ11">
        <v>14614</v>
      </c>
      <c r="AK11">
        <v>11</v>
      </c>
      <c r="AL11">
        <v>4012</v>
      </c>
      <c r="AM11">
        <v>14215</v>
      </c>
      <c r="AN11">
        <v>4003</v>
      </c>
      <c r="AO11">
        <v>14161</v>
      </c>
      <c r="AP11">
        <v>598</v>
      </c>
      <c r="AQ11">
        <v>2227</v>
      </c>
      <c r="AR11">
        <v>32046</v>
      </c>
      <c r="AS11">
        <v>2229</v>
      </c>
      <c r="AT11">
        <v>32004</v>
      </c>
      <c r="AU11">
        <v>3</v>
      </c>
      <c r="AV11">
        <v>11889</v>
      </c>
      <c r="AW11">
        <v>41713</v>
      </c>
      <c r="AX11">
        <v>12326</v>
      </c>
      <c r="AY11">
        <v>42420</v>
      </c>
      <c r="AZ11">
        <v>1162</v>
      </c>
      <c r="BA11">
        <v>10701</v>
      </c>
      <c r="BB11">
        <v>2823</v>
      </c>
      <c r="BC11">
        <v>9612</v>
      </c>
      <c r="BD11">
        <v>4589</v>
      </c>
      <c r="BE11">
        <v>4383</v>
      </c>
      <c r="BF11">
        <v>108</v>
      </c>
      <c r="BG11">
        <v>4411</v>
      </c>
      <c r="BH11">
        <v>139</v>
      </c>
      <c r="BI11">
        <v>5171</v>
      </c>
      <c r="BJ11">
        <v>19</v>
      </c>
      <c r="BK11">
        <v>8259</v>
      </c>
      <c r="BL11">
        <v>39239</v>
      </c>
      <c r="BM11">
        <v>8255</v>
      </c>
      <c r="BN11">
        <v>37329</v>
      </c>
      <c r="BO11">
        <v>197</v>
      </c>
    </row>
    <row r="12" spans="1:67" x14ac:dyDescent="0.4">
      <c r="A12" s="1" t="s">
        <v>12</v>
      </c>
      <c r="B12" s="3" t="s">
        <v>13</v>
      </c>
      <c r="C12">
        <v>7961</v>
      </c>
      <c r="D12">
        <v>4530</v>
      </c>
      <c r="E12">
        <v>10952</v>
      </c>
      <c r="F12">
        <v>7183</v>
      </c>
      <c r="G12">
        <v>3960</v>
      </c>
      <c r="H12">
        <v>8156</v>
      </c>
      <c r="I12">
        <v>36365</v>
      </c>
      <c r="J12">
        <v>8217</v>
      </c>
      <c r="K12">
        <v>39723</v>
      </c>
      <c r="L12">
        <v>452</v>
      </c>
      <c r="M12">
        <v>2579</v>
      </c>
      <c r="N12">
        <v>8143</v>
      </c>
      <c r="O12">
        <v>2565</v>
      </c>
      <c r="P12">
        <v>8398</v>
      </c>
      <c r="Q12">
        <v>29</v>
      </c>
      <c r="R12">
        <v>13403</v>
      </c>
      <c r="S12">
        <v>15452</v>
      </c>
      <c r="T12">
        <v>13326</v>
      </c>
      <c r="U12">
        <v>14002</v>
      </c>
      <c r="V12">
        <v>285</v>
      </c>
      <c r="W12">
        <v>6385</v>
      </c>
      <c r="X12">
        <v>15416</v>
      </c>
      <c r="Y12">
        <v>6190</v>
      </c>
      <c r="Z12">
        <v>19724</v>
      </c>
      <c r="AA12">
        <v>1043</v>
      </c>
      <c r="AB12">
        <v>2686</v>
      </c>
      <c r="AC12">
        <v>54511</v>
      </c>
      <c r="AD12">
        <v>2773</v>
      </c>
      <c r="AE12">
        <v>56360</v>
      </c>
      <c r="AF12">
        <v>621</v>
      </c>
      <c r="AG12">
        <v>124</v>
      </c>
      <c r="AH12">
        <v>12161</v>
      </c>
      <c r="AI12">
        <v>122</v>
      </c>
      <c r="AJ12">
        <v>12241</v>
      </c>
      <c r="AK12">
        <v>15</v>
      </c>
      <c r="AL12">
        <v>4151</v>
      </c>
      <c r="AM12">
        <v>13603</v>
      </c>
      <c r="AN12">
        <v>4161</v>
      </c>
      <c r="AO12">
        <v>13601</v>
      </c>
      <c r="AP12">
        <v>399</v>
      </c>
      <c r="AQ12">
        <v>2093</v>
      </c>
      <c r="AR12">
        <v>25789</v>
      </c>
      <c r="AS12">
        <v>2094</v>
      </c>
      <c r="AT12">
        <v>25889</v>
      </c>
      <c r="AU12">
        <v>2</v>
      </c>
      <c r="AV12">
        <v>11003</v>
      </c>
      <c r="AW12">
        <v>51157</v>
      </c>
      <c r="AX12">
        <v>10901</v>
      </c>
      <c r="AY12">
        <v>52062</v>
      </c>
      <c r="AZ12">
        <v>1264</v>
      </c>
      <c r="BA12">
        <v>7516</v>
      </c>
      <c r="BB12">
        <v>2524</v>
      </c>
      <c r="BC12">
        <v>9737</v>
      </c>
      <c r="BD12">
        <v>4553</v>
      </c>
      <c r="BE12">
        <v>2162</v>
      </c>
      <c r="BF12">
        <v>101</v>
      </c>
      <c r="BG12">
        <v>2915</v>
      </c>
      <c r="BH12">
        <v>220</v>
      </c>
      <c r="BI12">
        <v>7186</v>
      </c>
      <c r="BJ12">
        <v>20</v>
      </c>
      <c r="BK12">
        <v>8325</v>
      </c>
      <c r="BL12">
        <v>43306</v>
      </c>
      <c r="BM12">
        <v>8392</v>
      </c>
      <c r="BN12">
        <v>41505</v>
      </c>
      <c r="BO12">
        <v>165</v>
      </c>
    </row>
    <row r="13" spans="1:67" x14ac:dyDescent="0.4">
      <c r="A13" s="1" t="s">
        <v>14</v>
      </c>
      <c r="B13" s="3" t="s">
        <v>15</v>
      </c>
      <c r="C13">
        <v>11265</v>
      </c>
      <c r="D13">
        <v>9613</v>
      </c>
      <c r="E13">
        <v>10827</v>
      </c>
      <c r="F13">
        <v>6060</v>
      </c>
      <c r="G13">
        <v>3444</v>
      </c>
      <c r="H13">
        <v>8102</v>
      </c>
      <c r="I13">
        <v>30588</v>
      </c>
      <c r="J13">
        <v>8266</v>
      </c>
      <c r="K13">
        <v>35588</v>
      </c>
      <c r="L13">
        <v>407</v>
      </c>
      <c r="M13">
        <v>2711</v>
      </c>
      <c r="N13">
        <v>8012</v>
      </c>
      <c r="O13">
        <v>2724</v>
      </c>
      <c r="P13">
        <v>8320</v>
      </c>
      <c r="Q13">
        <v>16</v>
      </c>
      <c r="R13">
        <v>14071</v>
      </c>
      <c r="S13">
        <v>26324</v>
      </c>
      <c r="T13">
        <v>14103</v>
      </c>
      <c r="U13">
        <v>16777</v>
      </c>
      <c r="V13">
        <v>253</v>
      </c>
      <c r="W13">
        <v>5923</v>
      </c>
      <c r="X13">
        <v>13556</v>
      </c>
      <c r="Y13">
        <v>6151</v>
      </c>
      <c r="Z13">
        <v>20554</v>
      </c>
      <c r="AA13">
        <v>892</v>
      </c>
      <c r="AB13">
        <v>2702</v>
      </c>
      <c r="AC13">
        <v>54908</v>
      </c>
      <c r="AD13">
        <v>2707</v>
      </c>
      <c r="AE13">
        <v>55211</v>
      </c>
      <c r="AF13">
        <v>724</v>
      </c>
      <c r="AG13">
        <v>121</v>
      </c>
      <c r="AH13">
        <v>11706</v>
      </c>
      <c r="AI13">
        <v>120</v>
      </c>
      <c r="AJ13">
        <v>11559</v>
      </c>
      <c r="AK13">
        <v>16</v>
      </c>
      <c r="AL13">
        <v>3919</v>
      </c>
      <c r="AM13">
        <v>13514</v>
      </c>
      <c r="AN13">
        <v>3925</v>
      </c>
      <c r="AO13">
        <v>13533</v>
      </c>
      <c r="AP13">
        <v>411</v>
      </c>
      <c r="AQ13">
        <v>1938</v>
      </c>
      <c r="AR13">
        <v>24718</v>
      </c>
      <c r="AS13">
        <v>1931</v>
      </c>
      <c r="AT13">
        <v>24416</v>
      </c>
      <c r="AU13">
        <v>9</v>
      </c>
      <c r="AV13">
        <v>9961</v>
      </c>
      <c r="AW13">
        <v>49553</v>
      </c>
      <c r="AX13">
        <v>9983</v>
      </c>
      <c r="AY13">
        <v>50206</v>
      </c>
      <c r="AZ13">
        <v>1217</v>
      </c>
      <c r="BA13">
        <v>7639</v>
      </c>
      <c r="BB13">
        <v>2835</v>
      </c>
      <c r="BC13">
        <v>7687</v>
      </c>
      <c r="BD13">
        <v>4684</v>
      </c>
      <c r="BE13">
        <v>2114</v>
      </c>
      <c r="BF13">
        <v>88</v>
      </c>
      <c r="BG13">
        <v>2384</v>
      </c>
      <c r="BH13">
        <v>206</v>
      </c>
      <c r="BI13">
        <v>6680</v>
      </c>
      <c r="BJ13">
        <v>22</v>
      </c>
      <c r="BK13">
        <v>8671</v>
      </c>
      <c r="BL13">
        <v>60975</v>
      </c>
      <c r="BM13">
        <v>8719</v>
      </c>
      <c r="BN13">
        <v>59366</v>
      </c>
      <c r="BO13">
        <v>153</v>
      </c>
    </row>
    <row r="14" spans="1:67" x14ac:dyDescent="0.4">
      <c r="A14" s="1" t="s">
        <v>16</v>
      </c>
      <c r="B14" s="1" t="s">
        <v>17</v>
      </c>
      <c r="C14">
        <v>535</v>
      </c>
      <c r="D14">
        <v>351</v>
      </c>
      <c r="E14">
        <v>733</v>
      </c>
      <c r="F14">
        <v>364</v>
      </c>
      <c r="G14">
        <v>6459</v>
      </c>
      <c r="H14">
        <v>690</v>
      </c>
      <c r="I14">
        <v>3839</v>
      </c>
      <c r="J14">
        <v>752</v>
      </c>
      <c r="K14">
        <v>4347</v>
      </c>
      <c r="L14">
        <v>481</v>
      </c>
      <c r="M14">
        <v>119</v>
      </c>
      <c r="N14">
        <v>480</v>
      </c>
      <c r="O14">
        <v>123</v>
      </c>
      <c r="P14">
        <v>515</v>
      </c>
      <c r="Q14">
        <v>16</v>
      </c>
      <c r="R14">
        <v>1074</v>
      </c>
      <c r="S14">
        <v>923</v>
      </c>
      <c r="T14">
        <v>1221</v>
      </c>
      <c r="U14">
        <v>4017</v>
      </c>
      <c r="V14">
        <v>72</v>
      </c>
      <c r="W14">
        <v>551</v>
      </c>
      <c r="X14">
        <v>1493</v>
      </c>
      <c r="Y14">
        <v>681</v>
      </c>
      <c r="Z14">
        <v>2716</v>
      </c>
      <c r="AA14">
        <v>847</v>
      </c>
      <c r="AB14">
        <v>244</v>
      </c>
      <c r="AC14">
        <v>7365</v>
      </c>
      <c r="AD14">
        <v>241</v>
      </c>
      <c r="AE14">
        <v>7939</v>
      </c>
      <c r="AF14">
        <v>614</v>
      </c>
      <c r="AG14">
        <v>21</v>
      </c>
      <c r="AH14">
        <v>2073</v>
      </c>
      <c r="AI14">
        <v>19</v>
      </c>
      <c r="AJ14">
        <v>2061</v>
      </c>
      <c r="AK14">
        <v>10</v>
      </c>
      <c r="AL14">
        <v>336</v>
      </c>
      <c r="AM14">
        <v>1664</v>
      </c>
      <c r="AN14">
        <v>334</v>
      </c>
      <c r="AO14">
        <v>1648</v>
      </c>
      <c r="AP14">
        <v>590</v>
      </c>
      <c r="AQ14">
        <v>219</v>
      </c>
      <c r="AR14">
        <v>2879</v>
      </c>
      <c r="AS14">
        <v>218</v>
      </c>
      <c r="AT14">
        <v>2837</v>
      </c>
      <c r="AU14">
        <v>3</v>
      </c>
      <c r="AV14">
        <v>955</v>
      </c>
      <c r="AW14">
        <v>8099</v>
      </c>
      <c r="AX14">
        <v>1064</v>
      </c>
      <c r="AY14">
        <v>8268</v>
      </c>
      <c r="AZ14">
        <v>987</v>
      </c>
      <c r="BA14">
        <v>574</v>
      </c>
      <c r="BB14">
        <v>317</v>
      </c>
      <c r="BC14">
        <v>1034</v>
      </c>
      <c r="BD14">
        <v>520</v>
      </c>
      <c r="BE14">
        <v>3337</v>
      </c>
      <c r="BF14">
        <v>16</v>
      </c>
      <c r="BG14">
        <v>379</v>
      </c>
      <c r="BH14">
        <v>26</v>
      </c>
      <c r="BI14">
        <v>739</v>
      </c>
      <c r="BJ14">
        <v>19</v>
      </c>
      <c r="BK14">
        <v>912</v>
      </c>
      <c r="BL14">
        <v>5116</v>
      </c>
      <c r="BM14">
        <v>895</v>
      </c>
      <c r="BN14">
        <v>4925</v>
      </c>
      <c r="BO14">
        <v>164</v>
      </c>
    </row>
    <row r="15" spans="1:67" x14ac:dyDescent="0.4">
      <c r="A15" s="1" t="s">
        <v>18</v>
      </c>
      <c r="B15" s="1" t="s">
        <v>19</v>
      </c>
      <c r="C15">
        <v>611</v>
      </c>
      <c r="D15">
        <v>383</v>
      </c>
      <c r="E15">
        <v>667</v>
      </c>
      <c r="F15">
        <v>190</v>
      </c>
      <c r="G15">
        <v>6440</v>
      </c>
      <c r="H15">
        <v>716</v>
      </c>
      <c r="I15">
        <v>3117</v>
      </c>
      <c r="J15">
        <v>714</v>
      </c>
      <c r="K15">
        <v>3405</v>
      </c>
      <c r="L15">
        <v>488</v>
      </c>
      <c r="M15">
        <v>48</v>
      </c>
      <c r="N15">
        <v>492</v>
      </c>
      <c r="O15">
        <v>48</v>
      </c>
      <c r="P15">
        <v>494</v>
      </c>
      <c r="Q15">
        <v>16</v>
      </c>
      <c r="R15">
        <v>1203</v>
      </c>
      <c r="S15">
        <v>2141</v>
      </c>
      <c r="T15">
        <v>1083</v>
      </c>
      <c r="U15">
        <v>1263</v>
      </c>
      <c r="V15">
        <v>192</v>
      </c>
      <c r="W15">
        <v>415</v>
      </c>
      <c r="X15">
        <v>855</v>
      </c>
      <c r="Y15">
        <v>445</v>
      </c>
      <c r="Z15">
        <v>1156</v>
      </c>
      <c r="AA15">
        <v>798</v>
      </c>
      <c r="AB15">
        <v>240</v>
      </c>
      <c r="AC15">
        <v>4416</v>
      </c>
      <c r="AD15">
        <v>232</v>
      </c>
      <c r="AE15">
        <v>4101</v>
      </c>
      <c r="AF15">
        <v>631</v>
      </c>
      <c r="AG15">
        <v>10</v>
      </c>
      <c r="AH15">
        <v>572</v>
      </c>
      <c r="AI15">
        <v>10</v>
      </c>
      <c r="AJ15">
        <v>606</v>
      </c>
      <c r="AK15">
        <v>11</v>
      </c>
      <c r="AL15">
        <v>372</v>
      </c>
      <c r="AM15">
        <v>876</v>
      </c>
      <c r="AN15">
        <v>371</v>
      </c>
      <c r="AO15">
        <v>878</v>
      </c>
      <c r="AP15">
        <v>402</v>
      </c>
      <c r="AQ15">
        <v>144</v>
      </c>
      <c r="AR15">
        <v>1731</v>
      </c>
      <c r="AS15">
        <v>143</v>
      </c>
      <c r="AT15">
        <v>1728</v>
      </c>
      <c r="AU15">
        <v>4</v>
      </c>
      <c r="AV15">
        <v>920</v>
      </c>
      <c r="AW15">
        <v>4014</v>
      </c>
      <c r="AX15">
        <v>821</v>
      </c>
      <c r="AY15">
        <v>4029</v>
      </c>
      <c r="AZ15">
        <v>1086</v>
      </c>
      <c r="BA15">
        <v>755</v>
      </c>
      <c r="BB15">
        <v>232</v>
      </c>
      <c r="BC15">
        <v>1138</v>
      </c>
      <c r="BD15">
        <v>356</v>
      </c>
      <c r="BE15">
        <v>2954</v>
      </c>
      <c r="BF15">
        <v>6</v>
      </c>
      <c r="BG15">
        <v>162</v>
      </c>
      <c r="BH15">
        <v>13</v>
      </c>
      <c r="BI15">
        <v>436</v>
      </c>
      <c r="BJ15">
        <v>22</v>
      </c>
      <c r="BK15">
        <v>729</v>
      </c>
      <c r="BL15">
        <v>2553</v>
      </c>
      <c r="BM15">
        <v>722</v>
      </c>
      <c r="BN15">
        <v>2306</v>
      </c>
      <c r="BO15">
        <v>174</v>
      </c>
    </row>
    <row r="16" spans="1:67" x14ac:dyDescent="0.4">
      <c r="A16" s="1" t="s">
        <v>20</v>
      </c>
      <c r="B16" s="1" t="s">
        <v>21</v>
      </c>
      <c r="C16">
        <v>733</v>
      </c>
      <c r="D16">
        <v>377</v>
      </c>
      <c r="E16">
        <v>521</v>
      </c>
      <c r="F16">
        <v>358</v>
      </c>
      <c r="G16">
        <v>6651</v>
      </c>
      <c r="H16">
        <v>651</v>
      </c>
      <c r="I16">
        <v>2508</v>
      </c>
      <c r="J16">
        <v>650</v>
      </c>
      <c r="K16">
        <v>2483</v>
      </c>
      <c r="L16">
        <v>485</v>
      </c>
      <c r="M16">
        <v>90</v>
      </c>
      <c r="N16">
        <v>259</v>
      </c>
      <c r="O16">
        <v>84</v>
      </c>
      <c r="P16">
        <v>261</v>
      </c>
      <c r="Q16">
        <v>22</v>
      </c>
      <c r="R16">
        <v>1301</v>
      </c>
      <c r="S16">
        <v>1235</v>
      </c>
      <c r="T16">
        <v>1258</v>
      </c>
      <c r="U16">
        <v>683</v>
      </c>
      <c r="V16">
        <v>235</v>
      </c>
      <c r="W16">
        <v>541</v>
      </c>
      <c r="X16">
        <v>1186</v>
      </c>
      <c r="Y16">
        <v>474</v>
      </c>
      <c r="Z16">
        <v>1168</v>
      </c>
      <c r="AA16">
        <v>855</v>
      </c>
      <c r="AB16">
        <v>234</v>
      </c>
      <c r="AC16">
        <v>4763</v>
      </c>
      <c r="AD16">
        <v>241</v>
      </c>
      <c r="AE16">
        <v>5596</v>
      </c>
      <c r="AF16">
        <v>633</v>
      </c>
      <c r="AG16">
        <v>6</v>
      </c>
      <c r="AH16">
        <v>765</v>
      </c>
      <c r="AI16">
        <v>6</v>
      </c>
      <c r="AJ16">
        <v>783</v>
      </c>
      <c r="AK16">
        <v>11</v>
      </c>
      <c r="AL16">
        <v>323</v>
      </c>
      <c r="AM16">
        <v>1061</v>
      </c>
      <c r="AN16">
        <v>321</v>
      </c>
      <c r="AO16">
        <v>1019</v>
      </c>
      <c r="AP16">
        <v>404</v>
      </c>
      <c r="AQ16">
        <v>129</v>
      </c>
      <c r="AR16">
        <v>1571</v>
      </c>
      <c r="AS16">
        <v>128</v>
      </c>
      <c r="AT16">
        <v>1539</v>
      </c>
      <c r="AU16">
        <v>5</v>
      </c>
      <c r="AV16">
        <v>859</v>
      </c>
      <c r="AW16">
        <v>4161</v>
      </c>
      <c r="AX16">
        <v>857</v>
      </c>
      <c r="AY16">
        <v>4277</v>
      </c>
      <c r="AZ16">
        <v>1088</v>
      </c>
      <c r="BA16">
        <v>826</v>
      </c>
      <c r="BB16">
        <v>218</v>
      </c>
      <c r="BC16">
        <v>977</v>
      </c>
      <c r="BD16">
        <v>327</v>
      </c>
      <c r="BE16">
        <v>2803</v>
      </c>
      <c r="BF16">
        <v>6</v>
      </c>
      <c r="BG16">
        <v>197</v>
      </c>
      <c r="BH16">
        <v>19</v>
      </c>
      <c r="BI16">
        <v>643</v>
      </c>
      <c r="BJ16">
        <v>19</v>
      </c>
      <c r="BK16">
        <v>723</v>
      </c>
      <c r="BL16">
        <v>2688</v>
      </c>
      <c r="BM16">
        <v>710</v>
      </c>
      <c r="BN16">
        <v>2497</v>
      </c>
      <c r="BO16">
        <v>190</v>
      </c>
    </row>
    <row r="17" spans="1:67" x14ac:dyDescent="0.4">
      <c r="A17" s="1" t="s">
        <v>22</v>
      </c>
      <c r="B17" s="1" t="s">
        <v>23</v>
      </c>
      <c r="C17">
        <v>484</v>
      </c>
      <c r="D17">
        <v>327</v>
      </c>
      <c r="E17">
        <v>593</v>
      </c>
      <c r="F17">
        <v>1728</v>
      </c>
      <c r="G17">
        <v>6541</v>
      </c>
      <c r="H17">
        <v>581</v>
      </c>
      <c r="I17">
        <v>2573</v>
      </c>
      <c r="J17">
        <v>579</v>
      </c>
      <c r="K17">
        <v>2756</v>
      </c>
      <c r="L17">
        <v>494</v>
      </c>
      <c r="M17">
        <v>65</v>
      </c>
      <c r="N17">
        <v>184</v>
      </c>
      <c r="O17">
        <v>68</v>
      </c>
      <c r="P17">
        <v>211</v>
      </c>
      <c r="Q17">
        <v>19</v>
      </c>
      <c r="R17">
        <v>1069</v>
      </c>
      <c r="S17">
        <v>1736</v>
      </c>
      <c r="T17">
        <v>1080</v>
      </c>
      <c r="U17">
        <v>791</v>
      </c>
      <c r="V17">
        <v>224</v>
      </c>
      <c r="W17">
        <v>556</v>
      </c>
      <c r="X17">
        <v>1852</v>
      </c>
      <c r="Y17">
        <v>545</v>
      </c>
      <c r="Z17">
        <v>1973</v>
      </c>
      <c r="AA17">
        <v>844</v>
      </c>
      <c r="AB17">
        <v>168</v>
      </c>
      <c r="AC17">
        <v>3370</v>
      </c>
      <c r="AD17">
        <v>210</v>
      </c>
      <c r="AE17">
        <v>4286</v>
      </c>
      <c r="AF17">
        <v>600</v>
      </c>
      <c r="AG17">
        <v>7</v>
      </c>
      <c r="AH17">
        <v>326</v>
      </c>
      <c r="AI17">
        <v>7</v>
      </c>
      <c r="AJ17">
        <v>295</v>
      </c>
      <c r="AK17">
        <v>11</v>
      </c>
      <c r="AL17">
        <v>407</v>
      </c>
      <c r="AM17">
        <v>1182</v>
      </c>
      <c r="AN17">
        <v>403</v>
      </c>
      <c r="AO17">
        <v>1173</v>
      </c>
      <c r="AP17">
        <v>408</v>
      </c>
      <c r="AQ17">
        <v>182</v>
      </c>
      <c r="AR17">
        <v>2204</v>
      </c>
      <c r="AS17">
        <v>183</v>
      </c>
      <c r="AT17">
        <v>2207</v>
      </c>
      <c r="AU17">
        <v>4</v>
      </c>
      <c r="AV17">
        <v>865</v>
      </c>
      <c r="AW17">
        <v>6077</v>
      </c>
      <c r="AX17">
        <v>815</v>
      </c>
      <c r="AY17">
        <v>6139</v>
      </c>
      <c r="AZ17">
        <v>1138</v>
      </c>
      <c r="BA17">
        <v>541</v>
      </c>
      <c r="BB17">
        <v>226</v>
      </c>
      <c r="BC17">
        <v>625</v>
      </c>
      <c r="BD17">
        <v>366</v>
      </c>
      <c r="BE17">
        <v>2719</v>
      </c>
      <c r="BF17">
        <v>3</v>
      </c>
      <c r="BG17">
        <v>76</v>
      </c>
      <c r="BH17">
        <v>13</v>
      </c>
      <c r="BI17">
        <v>436</v>
      </c>
      <c r="BJ17">
        <v>19</v>
      </c>
      <c r="BK17">
        <v>747</v>
      </c>
      <c r="BL17">
        <v>3251</v>
      </c>
      <c r="BM17">
        <v>743</v>
      </c>
      <c r="BN17">
        <v>3255</v>
      </c>
      <c r="BO17">
        <v>197</v>
      </c>
    </row>
    <row r="18" spans="1:67" x14ac:dyDescent="0.4">
      <c r="A18" s="1" t="s">
        <v>24</v>
      </c>
      <c r="B18" s="1" t="s">
        <v>25</v>
      </c>
      <c r="C18">
        <v>493</v>
      </c>
      <c r="D18">
        <v>307</v>
      </c>
      <c r="E18">
        <v>1037</v>
      </c>
      <c r="F18">
        <v>503</v>
      </c>
      <c r="G18">
        <v>6003</v>
      </c>
      <c r="H18">
        <v>658</v>
      </c>
      <c r="I18">
        <v>2339</v>
      </c>
      <c r="J18">
        <v>665</v>
      </c>
      <c r="K18">
        <v>2699</v>
      </c>
      <c r="L18">
        <v>483</v>
      </c>
      <c r="M18">
        <v>99</v>
      </c>
      <c r="N18">
        <v>504</v>
      </c>
      <c r="O18">
        <v>99</v>
      </c>
      <c r="P18">
        <v>512</v>
      </c>
      <c r="Q18">
        <v>19</v>
      </c>
      <c r="R18">
        <v>1203</v>
      </c>
      <c r="S18">
        <v>1293</v>
      </c>
      <c r="T18">
        <v>1185</v>
      </c>
      <c r="U18">
        <v>734</v>
      </c>
      <c r="V18">
        <v>242</v>
      </c>
      <c r="W18">
        <v>583</v>
      </c>
      <c r="X18">
        <v>1463</v>
      </c>
      <c r="Y18">
        <v>543</v>
      </c>
      <c r="Z18">
        <v>1515</v>
      </c>
      <c r="AA18">
        <v>873</v>
      </c>
      <c r="AB18">
        <v>228</v>
      </c>
      <c r="AC18">
        <v>4521</v>
      </c>
      <c r="AD18">
        <v>225</v>
      </c>
      <c r="AE18">
        <v>4457</v>
      </c>
      <c r="AF18">
        <v>612</v>
      </c>
      <c r="AG18">
        <v>8</v>
      </c>
      <c r="AH18">
        <v>550</v>
      </c>
      <c r="AI18">
        <v>7</v>
      </c>
      <c r="AJ18">
        <v>537</v>
      </c>
      <c r="AK18">
        <v>12</v>
      </c>
      <c r="AL18">
        <v>384</v>
      </c>
      <c r="AM18">
        <v>966</v>
      </c>
      <c r="AN18">
        <v>378</v>
      </c>
      <c r="AO18">
        <v>951</v>
      </c>
      <c r="AP18">
        <v>414</v>
      </c>
      <c r="AQ18">
        <v>78</v>
      </c>
      <c r="AR18">
        <v>987</v>
      </c>
      <c r="AS18">
        <v>77</v>
      </c>
      <c r="AT18">
        <v>982</v>
      </c>
      <c r="AU18">
        <v>5</v>
      </c>
      <c r="AV18">
        <v>934</v>
      </c>
      <c r="AW18">
        <v>4769</v>
      </c>
      <c r="AX18">
        <v>1018</v>
      </c>
      <c r="AY18">
        <v>4906</v>
      </c>
      <c r="AZ18">
        <v>1054</v>
      </c>
      <c r="BA18">
        <v>531</v>
      </c>
      <c r="BB18">
        <v>137</v>
      </c>
      <c r="BC18">
        <v>721</v>
      </c>
      <c r="BD18">
        <v>324</v>
      </c>
      <c r="BE18">
        <v>2529</v>
      </c>
      <c r="BF18">
        <v>7</v>
      </c>
      <c r="BG18">
        <v>171</v>
      </c>
      <c r="BH18">
        <v>15</v>
      </c>
      <c r="BI18">
        <v>491</v>
      </c>
      <c r="BJ18">
        <v>21</v>
      </c>
      <c r="BK18">
        <v>682</v>
      </c>
      <c r="BL18">
        <v>3271</v>
      </c>
      <c r="BM18">
        <v>693</v>
      </c>
      <c r="BN18">
        <v>3068</v>
      </c>
      <c r="BO18">
        <v>189</v>
      </c>
    </row>
    <row r="19" spans="1:67" x14ac:dyDescent="0.4">
      <c r="A19" s="1" t="s">
        <v>26</v>
      </c>
      <c r="B19" s="1" t="s">
        <v>27</v>
      </c>
      <c r="C19">
        <v>609</v>
      </c>
      <c r="D19">
        <v>273</v>
      </c>
      <c r="E19">
        <v>1112</v>
      </c>
      <c r="F19">
        <v>343</v>
      </c>
      <c r="G19">
        <v>5501</v>
      </c>
      <c r="H19">
        <v>652</v>
      </c>
      <c r="I19">
        <v>3189</v>
      </c>
      <c r="J19">
        <v>652</v>
      </c>
      <c r="K19">
        <v>3372</v>
      </c>
      <c r="L19">
        <v>486</v>
      </c>
      <c r="M19">
        <v>131</v>
      </c>
      <c r="N19">
        <v>339</v>
      </c>
      <c r="O19">
        <v>124</v>
      </c>
      <c r="P19">
        <v>350</v>
      </c>
      <c r="Q19">
        <v>26</v>
      </c>
      <c r="R19">
        <v>887</v>
      </c>
      <c r="S19">
        <v>996</v>
      </c>
      <c r="T19">
        <v>879</v>
      </c>
      <c r="U19">
        <v>641</v>
      </c>
      <c r="V19">
        <v>250</v>
      </c>
      <c r="W19">
        <v>445</v>
      </c>
      <c r="X19">
        <v>1048</v>
      </c>
      <c r="Y19">
        <v>414</v>
      </c>
      <c r="Z19">
        <v>1287</v>
      </c>
      <c r="AA19">
        <v>909</v>
      </c>
      <c r="AB19">
        <v>215</v>
      </c>
      <c r="AC19">
        <v>4058</v>
      </c>
      <c r="AD19">
        <v>227</v>
      </c>
      <c r="AE19">
        <v>4272</v>
      </c>
      <c r="AF19">
        <v>609</v>
      </c>
      <c r="AG19">
        <v>12</v>
      </c>
      <c r="AH19">
        <v>570</v>
      </c>
      <c r="AI19">
        <v>13</v>
      </c>
      <c r="AJ19">
        <v>614</v>
      </c>
      <c r="AK19">
        <v>11</v>
      </c>
      <c r="AL19">
        <v>352</v>
      </c>
      <c r="AM19">
        <v>1002</v>
      </c>
      <c r="AN19">
        <v>349</v>
      </c>
      <c r="AO19">
        <v>950</v>
      </c>
      <c r="AP19">
        <v>417</v>
      </c>
      <c r="AQ19">
        <v>117</v>
      </c>
      <c r="AR19">
        <v>1441</v>
      </c>
      <c r="AS19">
        <v>116</v>
      </c>
      <c r="AT19">
        <v>1428</v>
      </c>
      <c r="AU19">
        <v>6</v>
      </c>
      <c r="AV19">
        <v>922</v>
      </c>
      <c r="AW19">
        <v>3325</v>
      </c>
      <c r="AX19">
        <v>864</v>
      </c>
      <c r="AY19">
        <v>3336</v>
      </c>
      <c r="AZ19">
        <v>1112</v>
      </c>
      <c r="BA19">
        <v>713</v>
      </c>
      <c r="BB19">
        <v>181</v>
      </c>
      <c r="BC19">
        <v>553</v>
      </c>
      <c r="BD19">
        <v>310</v>
      </c>
      <c r="BE19">
        <v>2689</v>
      </c>
      <c r="BF19">
        <v>8</v>
      </c>
      <c r="BG19">
        <v>180</v>
      </c>
      <c r="BH19">
        <v>20</v>
      </c>
      <c r="BI19">
        <v>580</v>
      </c>
      <c r="BJ19">
        <v>19</v>
      </c>
      <c r="BK19">
        <v>634</v>
      </c>
      <c r="BL19">
        <v>4092</v>
      </c>
      <c r="BM19">
        <v>632</v>
      </c>
      <c r="BN19">
        <v>3998</v>
      </c>
      <c r="BO19">
        <v>194</v>
      </c>
    </row>
    <row r="20" spans="1:67" x14ac:dyDescent="0.4">
      <c r="A20" s="1" t="s">
        <v>28</v>
      </c>
      <c r="B20" s="1" t="s">
        <v>29</v>
      </c>
      <c r="C20">
        <v>562</v>
      </c>
      <c r="D20">
        <v>385</v>
      </c>
      <c r="E20">
        <v>1365</v>
      </c>
      <c r="F20">
        <v>554</v>
      </c>
      <c r="G20">
        <v>4697</v>
      </c>
      <c r="H20">
        <v>740</v>
      </c>
      <c r="I20">
        <v>4119</v>
      </c>
      <c r="J20">
        <v>729</v>
      </c>
      <c r="K20">
        <v>4438</v>
      </c>
      <c r="L20">
        <v>495</v>
      </c>
      <c r="M20">
        <v>272</v>
      </c>
      <c r="N20">
        <v>722</v>
      </c>
      <c r="O20">
        <v>275</v>
      </c>
      <c r="P20">
        <v>828</v>
      </c>
      <c r="Q20">
        <v>23</v>
      </c>
      <c r="R20">
        <v>1059</v>
      </c>
      <c r="S20">
        <v>921</v>
      </c>
      <c r="T20">
        <v>1149</v>
      </c>
      <c r="U20">
        <v>1150</v>
      </c>
      <c r="V20">
        <v>160</v>
      </c>
      <c r="W20">
        <v>575</v>
      </c>
      <c r="X20">
        <v>1353</v>
      </c>
      <c r="Y20">
        <v>542</v>
      </c>
      <c r="Z20">
        <v>2211</v>
      </c>
      <c r="AA20">
        <v>962</v>
      </c>
      <c r="AB20">
        <v>223</v>
      </c>
      <c r="AC20">
        <v>4716</v>
      </c>
      <c r="AD20">
        <v>211</v>
      </c>
      <c r="AE20">
        <v>5009</v>
      </c>
      <c r="AF20">
        <v>630</v>
      </c>
      <c r="AG20">
        <v>9</v>
      </c>
      <c r="AH20">
        <v>2908</v>
      </c>
      <c r="AI20">
        <v>9</v>
      </c>
      <c r="AJ20">
        <v>2831</v>
      </c>
      <c r="AK20">
        <v>12</v>
      </c>
      <c r="AL20">
        <v>374</v>
      </c>
      <c r="AM20">
        <v>966</v>
      </c>
      <c r="AN20">
        <v>379</v>
      </c>
      <c r="AO20">
        <v>975</v>
      </c>
      <c r="AP20">
        <v>412</v>
      </c>
      <c r="AQ20">
        <v>142</v>
      </c>
      <c r="AR20">
        <v>2359</v>
      </c>
      <c r="AS20">
        <v>145</v>
      </c>
      <c r="AT20">
        <v>2419</v>
      </c>
      <c r="AU20">
        <v>3</v>
      </c>
      <c r="AV20">
        <v>858</v>
      </c>
      <c r="AW20">
        <v>3714</v>
      </c>
      <c r="AX20">
        <v>817</v>
      </c>
      <c r="AY20">
        <v>3773</v>
      </c>
      <c r="AZ20">
        <v>1153</v>
      </c>
      <c r="BA20">
        <v>470</v>
      </c>
      <c r="BB20">
        <v>176</v>
      </c>
      <c r="BC20">
        <v>577</v>
      </c>
      <c r="BD20">
        <v>390</v>
      </c>
      <c r="BE20">
        <v>2582</v>
      </c>
      <c r="BF20">
        <v>6</v>
      </c>
      <c r="BG20">
        <v>184</v>
      </c>
      <c r="BH20">
        <v>15</v>
      </c>
      <c r="BI20">
        <v>512</v>
      </c>
      <c r="BJ20">
        <v>20</v>
      </c>
      <c r="BK20">
        <v>645</v>
      </c>
      <c r="BL20">
        <v>3068</v>
      </c>
      <c r="BM20">
        <v>638</v>
      </c>
      <c r="BN20">
        <v>2861</v>
      </c>
      <c r="BO20">
        <v>203</v>
      </c>
    </row>
    <row r="21" spans="1:67" x14ac:dyDescent="0.4">
      <c r="A21" s="1" t="s">
        <v>30</v>
      </c>
      <c r="B21" s="1" t="s">
        <v>31</v>
      </c>
      <c r="C21">
        <v>840</v>
      </c>
      <c r="D21">
        <v>352</v>
      </c>
      <c r="E21">
        <v>1172</v>
      </c>
      <c r="F21">
        <v>432</v>
      </c>
      <c r="G21">
        <v>4364</v>
      </c>
      <c r="H21">
        <v>648</v>
      </c>
      <c r="I21">
        <v>3013</v>
      </c>
      <c r="J21">
        <v>673</v>
      </c>
      <c r="K21">
        <v>3453</v>
      </c>
      <c r="L21">
        <v>472</v>
      </c>
      <c r="M21">
        <v>132</v>
      </c>
      <c r="N21">
        <v>476</v>
      </c>
      <c r="O21">
        <v>141</v>
      </c>
      <c r="P21">
        <v>538</v>
      </c>
      <c r="Q21">
        <v>14</v>
      </c>
      <c r="R21">
        <v>1223</v>
      </c>
      <c r="S21">
        <v>1865</v>
      </c>
      <c r="T21">
        <v>1122</v>
      </c>
      <c r="U21">
        <v>938</v>
      </c>
      <c r="V21">
        <v>261</v>
      </c>
      <c r="W21">
        <v>600</v>
      </c>
      <c r="X21">
        <v>1295</v>
      </c>
      <c r="Y21">
        <v>559</v>
      </c>
      <c r="Z21">
        <v>1669</v>
      </c>
      <c r="AA21">
        <v>989</v>
      </c>
      <c r="AB21">
        <v>245</v>
      </c>
      <c r="AC21">
        <v>4534</v>
      </c>
      <c r="AD21">
        <v>238</v>
      </c>
      <c r="AE21">
        <v>4117</v>
      </c>
      <c r="AF21">
        <v>646</v>
      </c>
      <c r="AG21">
        <v>8</v>
      </c>
      <c r="AH21">
        <v>548</v>
      </c>
      <c r="AI21">
        <v>8</v>
      </c>
      <c r="AJ21">
        <v>644</v>
      </c>
      <c r="AK21">
        <v>12</v>
      </c>
      <c r="AL21">
        <v>364</v>
      </c>
      <c r="AM21">
        <v>1149</v>
      </c>
      <c r="AN21">
        <v>352</v>
      </c>
      <c r="AO21">
        <v>1126</v>
      </c>
      <c r="AP21">
        <v>424</v>
      </c>
      <c r="AQ21">
        <v>446</v>
      </c>
      <c r="AR21">
        <v>4880</v>
      </c>
      <c r="AS21">
        <v>447</v>
      </c>
      <c r="AT21">
        <v>4885</v>
      </c>
      <c r="AU21">
        <v>2</v>
      </c>
      <c r="AV21">
        <v>897</v>
      </c>
      <c r="AW21">
        <v>2646</v>
      </c>
      <c r="AX21">
        <v>896</v>
      </c>
      <c r="AY21">
        <v>2758</v>
      </c>
      <c r="AZ21">
        <v>1154</v>
      </c>
      <c r="BA21">
        <v>585</v>
      </c>
      <c r="BB21">
        <v>150</v>
      </c>
      <c r="BC21">
        <v>689</v>
      </c>
      <c r="BD21">
        <v>320</v>
      </c>
      <c r="BE21">
        <v>2478</v>
      </c>
      <c r="BF21">
        <v>8</v>
      </c>
      <c r="BG21">
        <v>260</v>
      </c>
      <c r="BH21">
        <v>18</v>
      </c>
      <c r="BI21">
        <v>620</v>
      </c>
      <c r="BJ21">
        <v>20</v>
      </c>
      <c r="BK21">
        <v>750</v>
      </c>
      <c r="BL21">
        <v>3636</v>
      </c>
      <c r="BM21">
        <v>763</v>
      </c>
      <c r="BN21">
        <v>3523</v>
      </c>
      <c r="BO21">
        <v>193</v>
      </c>
    </row>
    <row r="22" spans="1:67" x14ac:dyDescent="0.4">
      <c r="A22" s="1" t="s">
        <v>32</v>
      </c>
      <c r="B22" s="1" t="s">
        <v>33</v>
      </c>
      <c r="C22">
        <v>879</v>
      </c>
      <c r="D22">
        <v>286</v>
      </c>
      <c r="E22">
        <v>1073</v>
      </c>
      <c r="F22">
        <v>497</v>
      </c>
      <c r="G22">
        <v>4169</v>
      </c>
      <c r="H22">
        <v>793</v>
      </c>
      <c r="I22">
        <v>3266</v>
      </c>
      <c r="J22">
        <v>818</v>
      </c>
      <c r="K22">
        <v>3547</v>
      </c>
      <c r="L22">
        <v>445</v>
      </c>
      <c r="M22">
        <v>153</v>
      </c>
      <c r="N22">
        <v>447</v>
      </c>
      <c r="O22">
        <v>144</v>
      </c>
      <c r="P22">
        <v>409</v>
      </c>
      <c r="Q22">
        <v>23</v>
      </c>
      <c r="R22">
        <v>1138</v>
      </c>
      <c r="S22">
        <v>999</v>
      </c>
      <c r="T22">
        <v>1147</v>
      </c>
      <c r="U22">
        <v>744</v>
      </c>
      <c r="V22">
        <v>252</v>
      </c>
      <c r="W22">
        <v>581</v>
      </c>
      <c r="X22">
        <v>1179</v>
      </c>
      <c r="Y22">
        <v>545</v>
      </c>
      <c r="Z22">
        <v>1426</v>
      </c>
      <c r="AA22">
        <v>1013</v>
      </c>
      <c r="AB22">
        <v>245</v>
      </c>
      <c r="AC22">
        <v>4432</v>
      </c>
      <c r="AD22">
        <v>240</v>
      </c>
      <c r="AE22">
        <v>3882</v>
      </c>
      <c r="AF22">
        <v>660</v>
      </c>
      <c r="AG22">
        <v>9</v>
      </c>
      <c r="AH22">
        <v>826</v>
      </c>
      <c r="AI22">
        <v>8</v>
      </c>
      <c r="AJ22">
        <v>808</v>
      </c>
      <c r="AK22">
        <v>13</v>
      </c>
      <c r="AL22">
        <v>369</v>
      </c>
      <c r="AM22">
        <v>1111</v>
      </c>
      <c r="AN22">
        <v>390</v>
      </c>
      <c r="AO22">
        <v>1168</v>
      </c>
      <c r="AP22">
        <v>403</v>
      </c>
      <c r="AQ22">
        <v>155</v>
      </c>
      <c r="AR22">
        <v>1885</v>
      </c>
      <c r="AS22">
        <v>155</v>
      </c>
      <c r="AT22">
        <v>1948</v>
      </c>
      <c r="AU22">
        <v>2</v>
      </c>
      <c r="AV22">
        <v>914</v>
      </c>
      <c r="AW22">
        <v>3362</v>
      </c>
      <c r="AX22">
        <v>908</v>
      </c>
      <c r="AY22">
        <v>3448</v>
      </c>
      <c r="AZ22">
        <v>1160</v>
      </c>
      <c r="BA22">
        <v>617</v>
      </c>
      <c r="BB22">
        <v>255</v>
      </c>
      <c r="BC22">
        <v>674</v>
      </c>
      <c r="BD22">
        <v>433</v>
      </c>
      <c r="BE22">
        <v>2421</v>
      </c>
      <c r="BF22">
        <v>8</v>
      </c>
      <c r="BG22">
        <v>300</v>
      </c>
      <c r="BH22">
        <v>18</v>
      </c>
      <c r="BI22">
        <v>643</v>
      </c>
      <c r="BJ22">
        <v>20</v>
      </c>
      <c r="BK22">
        <v>635</v>
      </c>
      <c r="BL22">
        <v>3918</v>
      </c>
      <c r="BM22">
        <v>659</v>
      </c>
      <c r="BN22">
        <v>3804</v>
      </c>
      <c r="BO22">
        <v>172</v>
      </c>
    </row>
    <row r="23" spans="1:67" x14ac:dyDescent="0.4">
      <c r="A23" s="1" t="s">
        <v>34</v>
      </c>
      <c r="B23" s="1" t="s">
        <v>35</v>
      </c>
      <c r="C23">
        <v>639</v>
      </c>
      <c r="D23">
        <v>397</v>
      </c>
      <c r="E23">
        <v>847</v>
      </c>
      <c r="F23">
        <v>347</v>
      </c>
      <c r="G23">
        <v>3960</v>
      </c>
      <c r="H23">
        <v>642</v>
      </c>
      <c r="I23">
        <v>3859</v>
      </c>
      <c r="J23">
        <v>652</v>
      </c>
      <c r="K23">
        <v>4092</v>
      </c>
      <c r="L23">
        <v>452</v>
      </c>
      <c r="M23">
        <v>1287</v>
      </c>
      <c r="N23">
        <v>3644</v>
      </c>
      <c r="O23">
        <v>1281</v>
      </c>
      <c r="P23">
        <v>3661</v>
      </c>
      <c r="Q23">
        <v>29</v>
      </c>
      <c r="R23">
        <v>1190</v>
      </c>
      <c r="S23">
        <v>1068</v>
      </c>
      <c r="T23">
        <v>1157</v>
      </c>
      <c r="U23">
        <v>1288</v>
      </c>
      <c r="V23">
        <v>285</v>
      </c>
      <c r="W23">
        <v>512</v>
      </c>
      <c r="X23">
        <v>1216</v>
      </c>
      <c r="Y23">
        <v>462</v>
      </c>
      <c r="Z23">
        <v>1389</v>
      </c>
      <c r="AA23">
        <v>1043</v>
      </c>
      <c r="AB23">
        <v>214</v>
      </c>
      <c r="AC23">
        <v>4595</v>
      </c>
      <c r="AD23">
        <v>262</v>
      </c>
      <c r="AE23">
        <v>5245</v>
      </c>
      <c r="AF23">
        <v>621</v>
      </c>
      <c r="AG23">
        <v>12</v>
      </c>
      <c r="AH23">
        <v>1074</v>
      </c>
      <c r="AI23">
        <v>10</v>
      </c>
      <c r="AJ23">
        <v>1034</v>
      </c>
      <c r="AK23">
        <v>15</v>
      </c>
      <c r="AL23">
        <v>385</v>
      </c>
      <c r="AM23">
        <v>1560</v>
      </c>
      <c r="AN23">
        <v>389</v>
      </c>
      <c r="AO23">
        <v>1591</v>
      </c>
      <c r="AP23">
        <v>399</v>
      </c>
      <c r="AQ23">
        <v>194</v>
      </c>
      <c r="AR23">
        <v>2309</v>
      </c>
      <c r="AS23">
        <v>194</v>
      </c>
      <c r="AT23">
        <v>2309</v>
      </c>
      <c r="AU23">
        <v>2</v>
      </c>
      <c r="AV23">
        <v>893</v>
      </c>
      <c r="AW23">
        <v>3761</v>
      </c>
      <c r="AX23">
        <v>789</v>
      </c>
      <c r="AY23">
        <v>3780</v>
      </c>
      <c r="AZ23">
        <v>1264</v>
      </c>
      <c r="BA23">
        <v>392</v>
      </c>
      <c r="BB23">
        <v>154</v>
      </c>
      <c r="BC23">
        <v>651</v>
      </c>
      <c r="BD23">
        <v>366</v>
      </c>
      <c r="BE23">
        <v>2162</v>
      </c>
      <c r="BF23">
        <v>10</v>
      </c>
      <c r="BG23">
        <v>460</v>
      </c>
      <c r="BH23">
        <v>20</v>
      </c>
      <c r="BI23">
        <v>820</v>
      </c>
      <c r="BJ23">
        <v>20</v>
      </c>
      <c r="BK23">
        <v>674</v>
      </c>
      <c r="BL23">
        <v>4311</v>
      </c>
      <c r="BM23">
        <v>684</v>
      </c>
      <c r="BN23">
        <v>4055</v>
      </c>
      <c r="BO23">
        <v>165</v>
      </c>
    </row>
    <row r="24" spans="1:67" x14ac:dyDescent="0.4">
      <c r="A24" s="1" t="s">
        <v>36</v>
      </c>
      <c r="B24" s="1" t="s">
        <v>37</v>
      </c>
      <c r="C24">
        <v>666</v>
      </c>
      <c r="D24">
        <v>521</v>
      </c>
      <c r="E24">
        <v>754</v>
      </c>
      <c r="F24">
        <v>492</v>
      </c>
      <c r="G24">
        <v>3871</v>
      </c>
      <c r="H24">
        <v>619</v>
      </c>
      <c r="I24">
        <v>2910</v>
      </c>
      <c r="J24">
        <v>609</v>
      </c>
      <c r="K24">
        <v>3189</v>
      </c>
      <c r="L24">
        <v>477</v>
      </c>
      <c r="M24">
        <v>105</v>
      </c>
      <c r="N24">
        <v>343</v>
      </c>
      <c r="O24">
        <v>100</v>
      </c>
      <c r="P24">
        <v>351</v>
      </c>
      <c r="Q24">
        <v>34</v>
      </c>
      <c r="R24">
        <v>1103</v>
      </c>
      <c r="S24">
        <v>2156</v>
      </c>
      <c r="T24">
        <v>1094</v>
      </c>
      <c r="U24">
        <v>1165</v>
      </c>
      <c r="V24">
        <v>294</v>
      </c>
      <c r="W24">
        <v>472</v>
      </c>
      <c r="X24">
        <v>1271</v>
      </c>
      <c r="Y24">
        <v>448</v>
      </c>
      <c r="Z24">
        <v>1807</v>
      </c>
      <c r="AA24">
        <v>1070</v>
      </c>
      <c r="AB24">
        <v>232</v>
      </c>
      <c r="AC24">
        <v>4360</v>
      </c>
      <c r="AD24">
        <v>227</v>
      </c>
      <c r="AE24">
        <v>4258</v>
      </c>
      <c r="AF24">
        <v>635</v>
      </c>
      <c r="AG24">
        <v>16</v>
      </c>
      <c r="AH24">
        <v>1677</v>
      </c>
      <c r="AI24">
        <v>16</v>
      </c>
      <c r="AJ24">
        <v>1622</v>
      </c>
      <c r="AK24">
        <v>15</v>
      </c>
      <c r="AL24">
        <v>277</v>
      </c>
      <c r="AM24">
        <v>904</v>
      </c>
      <c r="AN24">
        <v>276</v>
      </c>
      <c r="AO24">
        <v>909</v>
      </c>
      <c r="AP24">
        <v>400</v>
      </c>
      <c r="AQ24">
        <v>165</v>
      </c>
      <c r="AR24">
        <v>2092</v>
      </c>
      <c r="AS24">
        <v>164</v>
      </c>
      <c r="AT24">
        <v>2072</v>
      </c>
      <c r="AU24">
        <v>3</v>
      </c>
      <c r="AV24">
        <v>924</v>
      </c>
      <c r="AW24">
        <v>4405</v>
      </c>
      <c r="AX24">
        <v>893</v>
      </c>
      <c r="AY24">
        <v>4373</v>
      </c>
      <c r="AZ24">
        <v>1295</v>
      </c>
      <c r="BA24">
        <v>568</v>
      </c>
      <c r="BB24">
        <v>129</v>
      </c>
      <c r="BC24">
        <v>602</v>
      </c>
      <c r="BD24">
        <v>279</v>
      </c>
      <c r="BE24">
        <v>2128</v>
      </c>
      <c r="BF24">
        <v>3</v>
      </c>
      <c r="BG24">
        <v>76</v>
      </c>
      <c r="BH24">
        <v>14</v>
      </c>
      <c r="BI24">
        <v>485</v>
      </c>
      <c r="BJ24">
        <v>19</v>
      </c>
      <c r="BK24">
        <v>723</v>
      </c>
      <c r="BL24">
        <v>5327</v>
      </c>
      <c r="BM24">
        <v>710</v>
      </c>
      <c r="BN24">
        <v>5279</v>
      </c>
      <c r="BO24">
        <v>181</v>
      </c>
    </row>
    <row r="25" spans="1:67" x14ac:dyDescent="0.4">
      <c r="A25" s="1" t="s">
        <v>38</v>
      </c>
      <c r="B25" s="1" t="s">
        <v>39</v>
      </c>
      <c r="C25">
        <v>855</v>
      </c>
      <c r="D25">
        <v>516</v>
      </c>
      <c r="E25">
        <v>760</v>
      </c>
      <c r="F25">
        <v>681</v>
      </c>
      <c r="G25">
        <v>3965</v>
      </c>
      <c r="H25">
        <v>623</v>
      </c>
      <c r="I25">
        <v>2144</v>
      </c>
      <c r="J25">
        <v>623</v>
      </c>
      <c r="K25">
        <v>2374</v>
      </c>
      <c r="L25">
        <v>477</v>
      </c>
      <c r="M25">
        <v>94</v>
      </c>
      <c r="N25">
        <v>328</v>
      </c>
      <c r="O25">
        <v>104</v>
      </c>
      <c r="P25">
        <v>336</v>
      </c>
      <c r="Q25">
        <v>24</v>
      </c>
      <c r="R25">
        <v>1127</v>
      </c>
      <c r="S25">
        <v>1902</v>
      </c>
      <c r="T25">
        <v>1155</v>
      </c>
      <c r="U25">
        <v>1250</v>
      </c>
      <c r="V25">
        <v>266</v>
      </c>
      <c r="W25">
        <v>365</v>
      </c>
      <c r="X25">
        <v>918</v>
      </c>
      <c r="Y25">
        <v>488</v>
      </c>
      <c r="Z25">
        <v>1440</v>
      </c>
      <c r="AA25">
        <v>972</v>
      </c>
      <c r="AB25">
        <v>243</v>
      </c>
      <c r="AC25">
        <v>4764</v>
      </c>
      <c r="AD25">
        <v>251</v>
      </c>
      <c r="AE25">
        <v>5024</v>
      </c>
      <c r="AF25">
        <v>636</v>
      </c>
      <c r="AG25">
        <v>16</v>
      </c>
      <c r="AH25">
        <v>2025</v>
      </c>
      <c r="AI25">
        <v>17</v>
      </c>
      <c r="AJ25">
        <v>2038</v>
      </c>
      <c r="AK25">
        <v>14</v>
      </c>
      <c r="AL25">
        <v>321</v>
      </c>
      <c r="AM25">
        <v>1144</v>
      </c>
      <c r="AN25">
        <v>322</v>
      </c>
      <c r="AO25">
        <v>1157</v>
      </c>
      <c r="AP25">
        <v>399</v>
      </c>
      <c r="AQ25">
        <v>196</v>
      </c>
      <c r="AR25">
        <v>2333</v>
      </c>
      <c r="AS25">
        <v>197</v>
      </c>
      <c r="AT25">
        <v>2363</v>
      </c>
      <c r="AU25">
        <v>2</v>
      </c>
      <c r="AV25">
        <v>888</v>
      </c>
      <c r="AW25">
        <v>3504</v>
      </c>
      <c r="AX25">
        <v>852</v>
      </c>
      <c r="AY25">
        <v>3549</v>
      </c>
      <c r="AZ25">
        <v>1331</v>
      </c>
      <c r="BA25">
        <v>384</v>
      </c>
      <c r="BB25">
        <v>139</v>
      </c>
      <c r="BC25">
        <v>604</v>
      </c>
      <c r="BD25">
        <v>344</v>
      </c>
      <c r="BE25">
        <v>1908</v>
      </c>
      <c r="BF25">
        <v>7</v>
      </c>
      <c r="BG25">
        <v>196</v>
      </c>
      <c r="BH25">
        <v>16</v>
      </c>
      <c r="BI25">
        <v>535</v>
      </c>
      <c r="BJ25">
        <v>20</v>
      </c>
      <c r="BK25">
        <v>800</v>
      </c>
      <c r="BL25">
        <v>1824</v>
      </c>
      <c r="BM25">
        <v>805</v>
      </c>
      <c r="BN25">
        <v>1740</v>
      </c>
      <c r="BO25">
        <v>179</v>
      </c>
    </row>
    <row r="26" spans="1:67" x14ac:dyDescent="0.4">
      <c r="A26" s="1" t="s">
        <v>40</v>
      </c>
      <c r="B26" s="1" t="s">
        <v>41</v>
      </c>
      <c r="C26">
        <v>633</v>
      </c>
      <c r="D26">
        <v>508</v>
      </c>
      <c r="E26">
        <v>838</v>
      </c>
      <c r="F26">
        <v>207</v>
      </c>
      <c r="G26">
        <v>3461</v>
      </c>
      <c r="H26">
        <v>744</v>
      </c>
      <c r="I26">
        <v>3018</v>
      </c>
      <c r="J26">
        <v>803</v>
      </c>
      <c r="K26">
        <v>4591</v>
      </c>
      <c r="L26">
        <v>440</v>
      </c>
      <c r="M26">
        <v>148</v>
      </c>
      <c r="N26">
        <v>358</v>
      </c>
      <c r="O26">
        <v>143</v>
      </c>
      <c r="P26">
        <v>364</v>
      </c>
      <c r="Q26">
        <v>29</v>
      </c>
      <c r="R26">
        <v>1180</v>
      </c>
      <c r="S26">
        <v>5767</v>
      </c>
      <c r="T26">
        <v>1281</v>
      </c>
      <c r="U26">
        <v>1922</v>
      </c>
      <c r="V26">
        <v>165</v>
      </c>
      <c r="W26">
        <v>645</v>
      </c>
      <c r="X26">
        <v>1484</v>
      </c>
      <c r="Y26">
        <v>604</v>
      </c>
      <c r="Z26">
        <v>1969</v>
      </c>
      <c r="AA26">
        <v>1027</v>
      </c>
      <c r="AB26">
        <v>249</v>
      </c>
      <c r="AC26">
        <v>4457</v>
      </c>
      <c r="AD26">
        <v>232</v>
      </c>
      <c r="AE26">
        <v>4482</v>
      </c>
      <c r="AF26">
        <v>662</v>
      </c>
      <c r="AG26">
        <v>16</v>
      </c>
      <c r="AH26">
        <v>1960</v>
      </c>
      <c r="AI26">
        <v>14</v>
      </c>
      <c r="AJ26">
        <v>2080</v>
      </c>
      <c r="AK26">
        <v>16</v>
      </c>
      <c r="AL26">
        <v>406</v>
      </c>
      <c r="AM26">
        <v>1964</v>
      </c>
      <c r="AN26">
        <v>409</v>
      </c>
      <c r="AO26">
        <v>1959</v>
      </c>
      <c r="AP26">
        <v>396</v>
      </c>
      <c r="AQ26">
        <v>231</v>
      </c>
      <c r="AR26">
        <v>2986</v>
      </c>
      <c r="AS26">
        <v>231</v>
      </c>
      <c r="AT26">
        <v>2986</v>
      </c>
      <c r="AU26">
        <v>2</v>
      </c>
      <c r="AV26">
        <v>975</v>
      </c>
      <c r="AW26">
        <v>6958</v>
      </c>
      <c r="AX26">
        <v>1054</v>
      </c>
      <c r="AY26">
        <v>7078</v>
      </c>
      <c r="AZ26">
        <v>1252</v>
      </c>
      <c r="BA26">
        <v>562</v>
      </c>
      <c r="BB26">
        <v>553</v>
      </c>
      <c r="BC26">
        <v>727</v>
      </c>
      <c r="BD26">
        <v>722</v>
      </c>
      <c r="BE26">
        <v>1743</v>
      </c>
      <c r="BF26">
        <v>15</v>
      </c>
      <c r="BG26">
        <v>395</v>
      </c>
      <c r="BH26">
        <v>25</v>
      </c>
      <c r="BI26">
        <v>730</v>
      </c>
      <c r="BJ26">
        <v>20</v>
      </c>
      <c r="BK26">
        <v>935</v>
      </c>
      <c r="BL26">
        <v>4164</v>
      </c>
      <c r="BM26">
        <v>946</v>
      </c>
      <c r="BN26">
        <v>4058</v>
      </c>
      <c r="BO26">
        <v>171</v>
      </c>
    </row>
    <row r="27" spans="1:67" x14ac:dyDescent="0.4">
      <c r="A27" s="1" t="s">
        <v>42</v>
      </c>
      <c r="B27" s="1" t="s">
        <v>43</v>
      </c>
      <c r="C27">
        <v>752</v>
      </c>
      <c r="D27">
        <v>660</v>
      </c>
      <c r="E27">
        <v>779</v>
      </c>
      <c r="F27">
        <v>304</v>
      </c>
      <c r="G27">
        <v>3422</v>
      </c>
      <c r="H27">
        <v>673</v>
      </c>
      <c r="I27">
        <v>2041</v>
      </c>
      <c r="J27">
        <v>694</v>
      </c>
      <c r="K27">
        <v>2364</v>
      </c>
      <c r="L27">
        <v>431</v>
      </c>
      <c r="M27">
        <v>421</v>
      </c>
      <c r="N27">
        <v>1276</v>
      </c>
      <c r="O27">
        <v>427</v>
      </c>
      <c r="P27">
        <v>1304</v>
      </c>
      <c r="Q27">
        <v>23</v>
      </c>
      <c r="R27">
        <v>1306</v>
      </c>
      <c r="S27">
        <v>1046</v>
      </c>
      <c r="T27">
        <v>1200</v>
      </c>
      <c r="U27">
        <v>614</v>
      </c>
      <c r="V27">
        <v>271</v>
      </c>
      <c r="W27">
        <v>457</v>
      </c>
      <c r="X27">
        <v>917</v>
      </c>
      <c r="Y27">
        <v>468</v>
      </c>
      <c r="Z27">
        <v>1200</v>
      </c>
      <c r="AA27">
        <v>1001</v>
      </c>
      <c r="AB27">
        <v>200</v>
      </c>
      <c r="AC27">
        <v>3735</v>
      </c>
      <c r="AD27">
        <v>169</v>
      </c>
      <c r="AE27">
        <v>3443</v>
      </c>
      <c r="AF27">
        <v>702</v>
      </c>
      <c r="AG27">
        <v>5</v>
      </c>
      <c r="AH27">
        <v>434</v>
      </c>
      <c r="AI27">
        <v>5</v>
      </c>
      <c r="AJ27">
        <v>487</v>
      </c>
      <c r="AK27">
        <v>16</v>
      </c>
      <c r="AL27">
        <v>307</v>
      </c>
      <c r="AM27">
        <v>1185</v>
      </c>
      <c r="AN27">
        <v>312</v>
      </c>
      <c r="AO27">
        <v>1200</v>
      </c>
      <c r="AP27">
        <v>409</v>
      </c>
      <c r="AQ27">
        <v>117</v>
      </c>
      <c r="AR27">
        <v>1570</v>
      </c>
      <c r="AS27">
        <v>115</v>
      </c>
      <c r="AT27">
        <v>1372</v>
      </c>
      <c r="AU27">
        <v>4</v>
      </c>
      <c r="AV27">
        <v>737</v>
      </c>
      <c r="AW27">
        <v>2465</v>
      </c>
      <c r="AX27">
        <v>739</v>
      </c>
      <c r="AY27">
        <v>2508</v>
      </c>
      <c r="AZ27">
        <v>1250</v>
      </c>
      <c r="BA27">
        <v>518</v>
      </c>
      <c r="BB27">
        <v>144</v>
      </c>
      <c r="BC27">
        <v>699</v>
      </c>
      <c r="BD27">
        <v>337</v>
      </c>
      <c r="BE27">
        <v>1562</v>
      </c>
      <c r="BF27">
        <v>6</v>
      </c>
      <c r="BG27">
        <v>179</v>
      </c>
      <c r="BH27">
        <v>15</v>
      </c>
      <c r="BI27">
        <v>528</v>
      </c>
      <c r="BJ27">
        <v>21</v>
      </c>
      <c r="BK27">
        <v>676</v>
      </c>
      <c r="BL27">
        <v>3019</v>
      </c>
      <c r="BM27">
        <v>680</v>
      </c>
      <c r="BN27">
        <v>2851</v>
      </c>
      <c r="BO27">
        <v>170</v>
      </c>
    </row>
    <row r="28" spans="1:67" x14ac:dyDescent="0.4">
      <c r="A28" s="1" t="s">
        <v>44</v>
      </c>
      <c r="B28" s="1" t="s">
        <v>45</v>
      </c>
      <c r="C28">
        <v>760</v>
      </c>
      <c r="D28">
        <v>767</v>
      </c>
      <c r="E28">
        <v>520</v>
      </c>
      <c r="F28">
        <v>241</v>
      </c>
      <c r="G28">
        <v>3490</v>
      </c>
      <c r="H28">
        <v>599</v>
      </c>
      <c r="I28">
        <v>1937</v>
      </c>
      <c r="J28">
        <v>592</v>
      </c>
      <c r="K28">
        <v>2094</v>
      </c>
      <c r="L28">
        <v>441</v>
      </c>
      <c r="M28">
        <v>106</v>
      </c>
      <c r="N28">
        <v>245</v>
      </c>
      <c r="O28">
        <v>94</v>
      </c>
      <c r="P28">
        <v>221</v>
      </c>
      <c r="Q28">
        <v>35</v>
      </c>
      <c r="R28">
        <v>1317</v>
      </c>
      <c r="S28">
        <v>1442</v>
      </c>
      <c r="T28">
        <v>1340</v>
      </c>
      <c r="U28">
        <v>1444</v>
      </c>
      <c r="V28">
        <v>248</v>
      </c>
      <c r="W28">
        <v>495</v>
      </c>
      <c r="X28">
        <v>1028</v>
      </c>
      <c r="Y28">
        <v>509</v>
      </c>
      <c r="Z28">
        <v>1566</v>
      </c>
      <c r="AA28">
        <v>977</v>
      </c>
      <c r="AB28">
        <v>240</v>
      </c>
      <c r="AC28">
        <v>4945</v>
      </c>
      <c r="AD28">
        <v>241</v>
      </c>
      <c r="AE28">
        <v>4902</v>
      </c>
      <c r="AF28">
        <v>710</v>
      </c>
      <c r="AG28">
        <v>8</v>
      </c>
      <c r="AH28">
        <v>439</v>
      </c>
      <c r="AI28">
        <v>8</v>
      </c>
      <c r="AJ28">
        <v>471</v>
      </c>
      <c r="AK28">
        <v>16</v>
      </c>
      <c r="AL28">
        <v>338</v>
      </c>
      <c r="AM28">
        <v>1039</v>
      </c>
      <c r="AN28">
        <v>329</v>
      </c>
      <c r="AO28">
        <v>1023</v>
      </c>
      <c r="AP28">
        <v>418</v>
      </c>
      <c r="AQ28">
        <v>136</v>
      </c>
      <c r="AR28">
        <v>1801</v>
      </c>
      <c r="AS28">
        <v>135</v>
      </c>
      <c r="AT28">
        <v>1761</v>
      </c>
      <c r="AU28">
        <v>5</v>
      </c>
      <c r="AV28">
        <v>706</v>
      </c>
      <c r="AW28">
        <v>3585</v>
      </c>
      <c r="AX28">
        <v>758</v>
      </c>
      <c r="AY28">
        <v>3638</v>
      </c>
      <c r="AZ28">
        <v>1198</v>
      </c>
      <c r="BA28">
        <v>571</v>
      </c>
      <c r="BB28">
        <v>178</v>
      </c>
      <c r="BC28">
        <v>576</v>
      </c>
      <c r="BD28">
        <v>279</v>
      </c>
      <c r="BE28">
        <v>1557</v>
      </c>
      <c r="BF28">
        <v>5</v>
      </c>
      <c r="BG28">
        <v>162</v>
      </c>
      <c r="BH28">
        <v>17</v>
      </c>
      <c r="BI28">
        <v>579</v>
      </c>
      <c r="BJ28">
        <v>19</v>
      </c>
      <c r="BK28">
        <v>589</v>
      </c>
      <c r="BL28">
        <v>4179</v>
      </c>
      <c r="BM28">
        <v>589</v>
      </c>
      <c r="BN28">
        <v>4087</v>
      </c>
      <c r="BO28">
        <v>173</v>
      </c>
    </row>
    <row r="29" spans="1:67" x14ac:dyDescent="0.4">
      <c r="A29" s="1" t="s">
        <v>46</v>
      </c>
      <c r="B29" s="1" t="s">
        <v>47</v>
      </c>
      <c r="C29">
        <v>1063</v>
      </c>
      <c r="D29">
        <v>971</v>
      </c>
      <c r="E29">
        <v>642</v>
      </c>
      <c r="F29">
        <v>350</v>
      </c>
      <c r="G29">
        <v>3578</v>
      </c>
      <c r="H29">
        <v>677</v>
      </c>
      <c r="I29">
        <v>2528</v>
      </c>
      <c r="J29">
        <v>711</v>
      </c>
      <c r="K29">
        <v>2807</v>
      </c>
      <c r="L29">
        <v>417</v>
      </c>
      <c r="M29">
        <v>86</v>
      </c>
      <c r="N29">
        <v>376</v>
      </c>
      <c r="O29">
        <v>82</v>
      </c>
      <c r="P29">
        <v>417</v>
      </c>
      <c r="Q29">
        <v>39</v>
      </c>
      <c r="R29">
        <v>1302</v>
      </c>
      <c r="S29">
        <v>1518</v>
      </c>
      <c r="T29">
        <v>1265</v>
      </c>
      <c r="U29">
        <v>1583</v>
      </c>
      <c r="V29">
        <v>285</v>
      </c>
      <c r="W29">
        <v>484</v>
      </c>
      <c r="X29">
        <v>1004</v>
      </c>
      <c r="Y29">
        <v>510</v>
      </c>
      <c r="Z29">
        <v>1254</v>
      </c>
      <c r="AA29">
        <v>937</v>
      </c>
      <c r="AB29">
        <v>186</v>
      </c>
      <c r="AC29">
        <v>4482</v>
      </c>
      <c r="AD29">
        <v>243</v>
      </c>
      <c r="AE29">
        <v>5356</v>
      </c>
      <c r="AF29">
        <v>662</v>
      </c>
      <c r="AG29">
        <v>7</v>
      </c>
      <c r="AH29">
        <v>788</v>
      </c>
      <c r="AI29">
        <v>8</v>
      </c>
      <c r="AJ29">
        <v>815</v>
      </c>
      <c r="AK29">
        <v>15</v>
      </c>
      <c r="AL29">
        <v>327</v>
      </c>
      <c r="AM29">
        <v>819</v>
      </c>
      <c r="AN29">
        <v>314</v>
      </c>
      <c r="AO29">
        <v>765</v>
      </c>
      <c r="AP29">
        <v>431</v>
      </c>
      <c r="AQ29">
        <v>200</v>
      </c>
      <c r="AR29">
        <v>2712</v>
      </c>
      <c r="AS29">
        <v>201</v>
      </c>
      <c r="AT29">
        <v>2732</v>
      </c>
      <c r="AU29">
        <v>4</v>
      </c>
      <c r="AV29">
        <v>794</v>
      </c>
      <c r="AW29">
        <v>3514</v>
      </c>
      <c r="AX29">
        <v>804</v>
      </c>
      <c r="AY29">
        <v>3595</v>
      </c>
      <c r="AZ29">
        <v>1188</v>
      </c>
      <c r="BA29">
        <v>541</v>
      </c>
      <c r="BB29">
        <v>190</v>
      </c>
      <c r="BC29">
        <v>620</v>
      </c>
      <c r="BD29">
        <v>353</v>
      </c>
      <c r="BE29">
        <v>1478</v>
      </c>
      <c r="BF29">
        <v>8</v>
      </c>
      <c r="BG29">
        <v>192</v>
      </c>
      <c r="BH29">
        <v>18</v>
      </c>
      <c r="BI29">
        <v>552</v>
      </c>
      <c r="BJ29">
        <v>19</v>
      </c>
      <c r="BK29">
        <v>576</v>
      </c>
      <c r="BL29">
        <v>2423</v>
      </c>
      <c r="BM29">
        <v>580</v>
      </c>
      <c r="BN29">
        <v>2223</v>
      </c>
      <c r="BO29">
        <v>172</v>
      </c>
    </row>
    <row r="30" spans="1:67" x14ac:dyDescent="0.4">
      <c r="A30" s="1" t="s">
        <v>48</v>
      </c>
      <c r="B30" s="1" t="s">
        <v>49</v>
      </c>
      <c r="C30">
        <v>674</v>
      </c>
      <c r="D30">
        <v>778</v>
      </c>
      <c r="E30">
        <v>852</v>
      </c>
      <c r="F30">
        <v>371</v>
      </c>
      <c r="G30">
        <v>3368</v>
      </c>
      <c r="H30">
        <v>770</v>
      </c>
      <c r="I30">
        <v>2791</v>
      </c>
      <c r="J30">
        <v>791</v>
      </c>
      <c r="K30">
        <v>3496</v>
      </c>
      <c r="L30">
        <v>414</v>
      </c>
      <c r="M30">
        <v>108</v>
      </c>
      <c r="N30">
        <v>338</v>
      </c>
      <c r="O30">
        <v>107</v>
      </c>
      <c r="P30">
        <v>354</v>
      </c>
      <c r="Q30">
        <v>40</v>
      </c>
      <c r="R30">
        <v>1312</v>
      </c>
      <c r="S30">
        <v>4736</v>
      </c>
      <c r="T30">
        <v>1306</v>
      </c>
      <c r="U30">
        <v>1519</v>
      </c>
      <c r="V30">
        <v>291</v>
      </c>
      <c r="W30">
        <v>515</v>
      </c>
      <c r="X30">
        <v>1065</v>
      </c>
      <c r="Y30">
        <v>503</v>
      </c>
      <c r="Z30">
        <v>1722</v>
      </c>
      <c r="AA30">
        <v>976</v>
      </c>
      <c r="AB30">
        <v>210</v>
      </c>
      <c r="AC30">
        <v>4278</v>
      </c>
      <c r="AD30">
        <v>211</v>
      </c>
      <c r="AE30">
        <v>4425</v>
      </c>
      <c r="AF30">
        <v>670</v>
      </c>
      <c r="AG30">
        <v>13</v>
      </c>
      <c r="AH30">
        <v>1005</v>
      </c>
      <c r="AI30">
        <v>12</v>
      </c>
      <c r="AJ30">
        <v>987</v>
      </c>
      <c r="AK30">
        <v>16</v>
      </c>
      <c r="AL30">
        <v>378</v>
      </c>
      <c r="AM30">
        <v>1082</v>
      </c>
      <c r="AN30">
        <v>389</v>
      </c>
      <c r="AO30">
        <v>1135</v>
      </c>
      <c r="AP30">
        <v>420</v>
      </c>
      <c r="AQ30">
        <v>69</v>
      </c>
      <c r="AR30">
        <v>914</v>
      </c>
      <c r="AS30">
        <v>68</v>
      </c>
      <c r="AT30">
        <v>901</v>
      </c>
      <c r="AU30">
        <v>5</v>
      </c>
      <c r="AV30">
        <v>856</v>
      </c>
      <c r="AW30">
        <v>5111</v>
      </c>
      <c r="AX30">
        <v>878</v>
      </c>
      <c r="AY30">
        <v>5170</v>
      </c>
      <c r="AZ30">
        <v>1162</v>
      </c>
      <c r="BA30">
        <v>881</v>
      </c>
      <c r="BB30">
        <v>231</v>
      </c>
      <c r="BC30">
        <v>696</v>
      </c>
      <c r="BD30">
        <v>373</v>
      </c>
      <c r="BE30">
        <v>1663</v>
      </c>
      <c r="BF30">
        <v>4</v>
      </c>
      <c r="BG30">
        <v>128</v>
      </c>
      <c r="BH30">
        <v>13</v>
      </c>
      <c r="BI30">
        <v>436</v>
      </c>
      <c r="BJ30">
        <v>20</v>
      </c>
      <c r="BK30">
        <v>664</v>
      </c>
      <c r="BL30">
        <v>3341</v>
      </c>
      <c r="BM30">
        <v>666</v>
      </c>
      <c r="BN30">
        <v>3183</v>
      </c>
      <c r="BO30">
        <v>173</v>
      </c>
    </row>
    <row r="31" spans="1:67" x14ac:dyDescent="0.4">
      <c r="A31" s="1" t="s">
        <v>50</v>
      </c>
      <c r="B31" s="1" t="s">
        <v>51</v>
      </c>
      <c r="C31">
        <v>929</v>
      </c>
      <c r="D31">
        <v>850</v>
      </c>
      <c r="E31">
        <v>1079</v>
      </c>
      <c r="F31">
        <v>663</v>
      </c>
      <c r="G31">
        <v>3217</v>
      </c>
      <c r="H31">
        <v>693</v>
      </c>
      <c r="I31">
        <v>2795</v>
      </c>
      <c r="J31">
        <v>709</v>
      </c>
      <c r="K31">
        <v>3031</v>
      </c>
      <c r="L31">
        <v>404</v>
      </c>
      <c r="M31">
        <v>206</v>
      </c>
      <c r="N31">
        <v>734</v>
      </c>
      <c r="O31">
        <v>202</v>
      </c>
      <c r="P31">
        <v>752</v>
      </c>
      <c r="Q31">
        <v>44</v>
      </c>
      <c r="R31">
        <v>1032</v>
      </c>
      <c r="S31">
        <v>1213</v>
      </c>
      <c r="T31">
        <v>1068</v>
      </c>
      <c r="U31">
        <v>1210</v>
      </c>
      <c r="V31">
        <v>255</v>
      </c>
      <c r="W31">
        <v>507</v>
      </c>
      <c r="X31">
        <v>1008</v>
      </c>
      <c r="Y31">
        <v>478</v>
      </c>
      <c r="Z31">
        <v>1974</v>
      </c>
      <c r="AA31">
        <v>1033</v>
      </c>
      <c r="AB31">
        <v>214</v>
      </c>
      <c r="AC31">
        <v>4783</v>
      </c>
      <c r="AD31">
        <v>226</v>
      </c>
      <c r="AE31">
        <v>4947</v>
      </c>
      <c r="AF31">
        <v>667</v>
      </c>
      <c r="AG31">
        <v>7</v>
      </c>
      <c r="AH31">
        <v>352</v>
      </c>
      <c r="AI31">
        <v>8</v>
      </c>
      <c r="AJ31">
        <v>522</v>
      </c>
      <c r="AK31">
        <v>15</v>
      </c>
      <c r="AL31">
        <v>294</v>
      </c>
      <c r="AM31">
        <v>919</v>
      </c>
      <c r="AN31">
        <v>300</v>
      </c>
      <c r="AO31">
        <v>930</v>
      </c>
      <c r="AP31">
        <v>414</v>
      </c>
      <c r="AQ31">
        <v>98</v>
      </c>
      <c r="AR31">
        <v>1237</v>
      </c>
      <c r="AS31">
        <v>96</v>
      </c>
      <c r="AT31">
        <v>1198</v>
      </c>
      <c r="AU31">
        <v>7</v>
      </c>
      <c r="AV31">
        <v>750</v>
      </c>
      <c r="AW31">
        <v>1968</v>
      </c>
      <c r="AX31">
        <v>748</v>
      </c>
      <c r="AY31">
        <v>2017</v>
      </c>
      <c r="AZ31">
        <v>1160</v>
      </c>
      <c r="BA31">
        <v>986</v>
      </c>
      <c r="BB31">
        <v>219</v>
      </c>
      <c r="BC31">
        <v>518</v>
      </c>
      <c r="BD31">
        <v>295</v>
      </c>
      <c r="BE31">
        <v>2131</v>
      </c>
      <c r="BF31">
        <v>6</v>
      </c>
      <c r="BG31">
        <v>203</v>
      </c>
      <c r="BH31">
        <v>17</v>
      </c>
      <c r="BI31">
        <v>615</v>
      </c>
      <c r="BJ31">
        <v>19</v>
      </c>
      <c r="BK31">
        <v>599</v>
      </c>
      <c r="BL31">
        <v>2956</v>
      </c>
      <c r="BM31">
        <v>614</v>
      </c>
      <c r="BN31">
        <v>2895</v>
      </c>
      <c r="BO31">
        <v>161</v>
      </c>
    </row>
    <row r="32" spans="1:67" x14ac:dyDescent="0.4">
      <c r="A32" s="1" t="s">
        <v>52</v>
      </c>
      <c r="B32" s="1" t="s">
        <v>53</v>
      </c>
      <c r="C32">
        <v>1262</v>
      </c>
      <c r="D32">
        <v>1125</v>
      </c>
      <c r="E32">
        <v>1251</v>
      </c>
      <c r="F32">
        <v>1310</v>
      </c>
      <c r="G32">
        <v>3227</v>
      </c>
      <c r="H32">
        <v>674</v>
      </c>
      <c r="I32">
        <v>3019</v>
      </c>
      <c r="J32">
        <v>693</v>
      </c>
      <c r="K32">
        <v>3195</v>
      </c>
      <c r="L32">
        <v>395</v>
      </c>
      <c r="M32">
        <v>202</v>
      </c>
      <c r="N32">
        <v>563</v>
      </c>
      <c r="O32">
        <v>218</v>
      </c>
      <c r="P32">
        <v>628</v>
      </c>
      <c r="Q32">
        <v>28</v>
      </c>
      <c r="R32">
        <v>1082</v>
      </c>
      <c r="S32">
        <v>1669</v>
      </c>
      <c r="T32">
        <v>1125</v>
      </c>
      <c r="U32">
        <v>2115</v>
      </c>
      <c r="V32">
        <v>212</v>
      </c>
      <c r="W32">
        <v>508</v>
      </c>
      <c r="X32">
        <v>1524</v>
      </c>
      <c r="Y32">
        <v>552</v>
      </c>
      <c r="Z32">
        <v>2166</v>
      </c>
      <c r="AA32">
        <v>974</v>
      </c>
      <c r="AB32">
        <v>235</v>
      </c>
      <c r="AC32">
        <v>4190</v>
      </c>
      <c r="AD32">
        <v>225</v>
      </c>
      <c r="AE32">
        <v>4055</v>
      </c>
      <c r="AF32">
        <v>686</v>
      </c>
      <c r="AG32">
        <v>8</v>
      </c>
      <c r="AH32">
        <v>865</v>
      </c>
      <c r="AI32">
        <v>9</v>
      </c>
      <c r="AJ32">
        <v>422</v>
      </c>
      <c r="AK32">
        <v>14</v>
      </c>
      <c r="AL32">
        <v>256</v>
      </c>
      <c r="AM32">
        <v>750</v>
      </c>
      <c r="AN32">
        <v>260</v>
      </c>
      <c r="AO32">
        <v>761</v>
      </c>
      <c r="AP32">
        <v>410</v>
      </c>
      <c r="AQ32">
        <v>160</v>
      </c>
      <c r="AR32">
        <v>2203</v>
      </c>
      <c r="AS32">
        <v>161</v>
      </c>
      <c r="AT32">
        <v>2240</v>
      </c>
      <c r="AU32">
        <v>6</v>
      </c>
      <c r="AV32">
        <v>826</v>
      </c>
      <c r="AW32">
        <v>3889</v>
      </c>
      <c r="AX32">
        <v>811</v>
      </c>
      <c r="AY32">
        <v>3944</v>
      </c>
      <c r="AZ32">
        <v>1171</v>
      </c>
      <c r="BA32">
        <v>667</v>
      </c>
      <c r="BB32">
        <v>476</v>
      </c>
      <c r="BC32">
        <v>639</v>
      </c>
      <c r="BD32">
        <v>630</v>
      </c>
      <c r="BE32">
        <v>2159</v>
      </c>
      <c r="BF32">
        <v>8</v>
      </c>
      <c r="BG32">
        <v>205</v>
      </c>
      <c r="BH32">
        <v>18</v>
      </c>
      <c r="BI32">
        <v>565</v>
      </c>
      <c r="BJ32">
        <v>19</v>
      </c>
      <c r="BK32">
        <v>566</v>
      </c>
      <c r="BL32">
        <v>3067</v>
      </c>
      <c r="BM32">
        <v>570</v>
      </c>
      <c r="BN32">
        <v>2897</v>
      </c>
      <c r="BO32">
        <v>160</v>
      </c>
    </row>
    <row r="33" spans="1:67" x14ac:dyDescent="0.4">
      <c r="A33" s="1" t="s">
        <v>54</v>
      </c>
      <c r="B33" s="1" t="s">
        <v>55</v>
      </c>
      <c r="C33">
        <v>1290</v>
      </c>
      <c r="D33">
        <v>1400</v>
      </c>
      <c r="E33">
        <v>1198</v>
      </c>
      <c r="F33">
        <v>527</v>
      </c>
      <c r="G33">
        <v>3239</v>
      </c>
      <c r="H33">
        <v>729</v>
      </c>
      <c r="I33">
        <v>2293</v>
      </c>
      <c r="J33">
        <v>740</v>
      </c>
      <c r="K33">
        <v>2555</v>
      </c>
      <c r="L33">
        <v>391</v>
      </c>
      <c r="M33">
        <v>137</v>
      </c>
      <c r="N33">
        <v>365</v>
      </c>
      <c r="O33">
        <v>140</v>
      </c>
      <c r="P33">
        <v>445</v>
      </c>
      <c r="Q33">
        <v>25</v>
      </c>
      <c r="R33">
        <v>1262</v>
      </c>
      <c r="S33">
        <v>3012</v>
      </c>
      <c r="T33">
        <v>1187</v>
      </c>
      <c r="U33">
        <v>1651</v>
      </c>
      <c r="V33">
        <v>287</v>
      </c>
      <c r="W33">
        <v>436</v>
      </c>
      <c r="X33">
        <v>921</v>
      </c>
      <c r="Y33">
        <v>566</v>
      </c>
      <c r="Z33">
        <v>1678</v>
      </c>
      <c r="AA33">
        <v>871</v>
      </c>
      <c r="AB33">
        <v>232</v>
      </c>
      <c r="AC33">
        <v>4917</v>
      </c>
      <c r="AD33">
        <v>239</v>
      </c>
      <c r="AE33">
        <v>5153</v>
      </c>
      <c r="AF33">
        <v>688</v>
      </c>
      <c r="AG33">
        <v>8</v>
      </c>
      <c r="AH33">
        <v>923</v>
      </c>
      <c r="AI33">
        <v>7</v>
      </c>
      <c r="AJ33">
        <v>950</v>
      </c>
      <c r="AK33">
        <v>15</v>
      </c>
      <c r="AL33">
        <v>327</v>
      </c>
      <c r="AM33">
        <v>1339</v>
      </c>
      <c r="AN33">
        <v>323</v>
      </c>
      <c r="AO33">
        <v>1317</v>
      </c>
      <c r="AP33">
        <v>414</v>
      </c>
      <c r="AQ33">
        <v>175</v>
      </c>
      <c r="AR33">
        <v>2152</v>
      </c>
      <c r="AS33">
        <v>174</v>
      </c>
      <c r="AT33">
        <v>2113</v>
      </c>
      <c r="AU33">
        <v>7</v>
      </c>
      <c r="AV33">
        <v>861</v>
      </c>
      <c r="AW33">
        <v>5403</v>
      </c>
      <c r="AX33">
        <v>833</v>
      </c>
      <c r="AY33">
        <v>5431</v>
      </c>
      <c r="AZ33">
        <v>1195</v>
      </c>
      <c r="BA33">
        <v>912</v>
      </c>
      <c r="BB33">
        <v>231</v>
      </c>
      <c r="BC33">
        <v>697</v>
      </c>
      <c r="BD33">
        <v>351</v>
      </c>
      <c r="BE33">
        <v>2374</v>
      </c>
      <c r="BF33">
        <v>12</v>
      </c>
      <c r="BG33">
        <v>266</v>
      </c>
      <c r="BH33">
        <v>20</v>
      </c>
      <c r="BI33">
        <v>582</v>
      </c>
      <c r="BJ33">
        <v>21</v>
      </c>
      <c r="BK33">
        <v>600</v>
      </c>
      <c r="BL33">
        <v>1966</v>
      </c>
      <c r="BM33">
        <v>587</v>
      </c>
      <c r="BN33">
        <v>1784</v>
      </c>
      <c r="BO33">
        <v>176</v>
      </c>
    </row>
    <row r="34" spans="1:67" x14ac:dyDescent="0.4">
      <c r="A34" s="1" t="s">
        <v>56</v>
      </c>
      <c r="B34" s="1" t="s">
        <v>57</v>
      </c>
      <c r="C34">
        <v>1004</v>
      </c>
      <c r="D34">
        <v>529</v>
      </c>
      <c r="E34">
        <v>1114</v>
      </c>
      <c r="F34">
        <v>545</v>
      </c>
      <c r="G34">
        <v>3098</v>
      </c>
      <c r="H34">
        <v>637</v>
      </c>
      <c r="I34">
        <v>2649</v>
      </c>
      <c r="J34">
        <v>636</v>
      </c>
      <c r="K34">
        <v>2888</v>
      </c>
      <c r="L34">
        <v>401</v>
      </c>
      <c r="M34">
        <v>276</v>
      </c>
      <c r="N34">
        <v>677</v>
      </c>
      <c r="O34">
        <v>277</v>
      </c>
      <c r="P34">
        <v>701</v>
      </c>
      <c r="Q34">
        <v>24</v>
      </c>
      <c r="R34">
        <v>1003</v>
      </c>
      <c r="S34">
        <v>953</v>
      </c>
      <c r="T34">
        <v>1020</v>
      </c>
      <c r="U34">
        <v>883</v>
      </c>
      <c r="V34">
        <v>270</v>
      </c>
      <c r="W34">
        <v>500</v>
      </c>
      <c r="X34">
        <v>1117</v>
      </c>
      <c r="Y34">
        <v>539</v>
      </c>
      <c r="Z34">
        <v>2189</v>
      </c>
      <c r="AA34">
        <v>832</v>
      </c>
      <c r="AB34">
        <v>257</v>
      </c>
      <c r="AC34">
        <v>6001</v>
      </c>
      <c r="AD34">
        <v>215</v>
      </c>
      <c r="AE34">
        <v>4682</v>
      </c>
      <c r="AF34">
        <v>739</v>
      </c>
      <c r="AG34">
        <v>7</v>
      </c>
      <c r="AH34">
        <v>626</v>
      </c>
      <c r="AI34">
        <v>7</v>
      </c>
      <c r="AJ34">
        <v>554</v>
      </c>
      <c r="AK34">
        <v>15</v>
      </c>
      <c r="AL34">
        <v>334</v>
      </c>
      <c r="AM34">
        <v>1260</v>
      </c>
      <c r="AN34">
        <v>339</v>
      </c>
      <c r="AO34">
        <v>1261</v>
      </c>
      <c r="AP34">
        <v>409</v>
      </c>
      <c r="AQ34">
        <v>186</v>
      </c>
      <c r="AR34">
        <v>2276</v>
      </c>
      <c r="AS34">
        <v>186</v>
      </c>
      <c r="AT34">
        <v>2276</v>
      </c>
      <c r="AU34">
        <v>7</v>
      </c>
      <c r="AV34">
        <v>800</v>
      </c>
      <c r="AW34">
        <v>2815</v>
      </c>
      <c r="AX34">
        <v>798</v>
      </c>
      <c r="AY34">
        <v>2887</v>
      </c>
      <c r="AZ34">
        <v>1193</v>
      </c>
      <c r="BA34">
        <v>563</v>
      </c>
      <c r="BB34">
        <v>188</v>
      </c>
      <c r="BC34">
        <v>568</v>
      </c>
      <c r="BD34">
        <v>335</v>
      </c>
      <c r="BE34">
        <v>2369</v>
      </c>
      <c r="BF34">
        <v>6</v>
      </c>
      <c r="BG34">
        <v>173</v>
      </c>
      <c r="BH34">
        <v>18</v>
      </c>
      <c r="BI34">
        <v>577</v>
      </c>
      <c r="BJ34">
        <v>19</v>
      </c>
      <c r="BK34">
        <v>640</v>
      </c>
      <c r="BL34">
        <v>3673</v>
      </c>
      <c r="BM34">
        <v>646</v>
      </c>
      <c r="BN34">
        <v>3539</v>
      </c>
      <c r="BO34">
        <v>173</v>
      </c>
    </row>
    <row r="35" spans="1:67" x14ac:dyDescent="0.4">
      <c r="A35" s="1" t="s">
        <v>58</v>
      </c>
      <c r="B35" s="1" t="s">
        <v>59</v>
      </c>
      <c r="C35">
        <v>1377</v>
      </c>
      <c r="D35">
        <v>988</v>
      </c>
      <c r="E35">
        <v>1040</v>
      </c>
      <c r="F35">
        <v>369</v>
      </c>
      <c r="G35">
        <v>3444</v>
      </c>
      <c r="H35">
        <v>664</v>
      </c>
      <c r="I35">
        <v>2463</v>
      </c>
      <c r="J35">
        <v>665</v>
      </c>
      <c r="K35">
        <v>3004</v>
      </c>
      <c r="L35">
        <v>407</v>
      </c>
      <c r="M35">
        <v>822</v>
      </c>
      <c r="N35">
        <v>2409</v>
      </c>
      <c r="O35">
        <v>830</v>
      </c>
      <c r="P35">
        <v>2447</v>
      </c>
      <c r="Q35">
        <v>16</v>
      </c>
      <c r="R35">
        <v>1045</v>
      </c>
      <c r="S35">
        <v>910</v>
      </c>
      <c r="T35">
        <v>1062</v>
      </c>
      <c r="U35">
        <v>1421</v>
      </c>
      <c r="V35">
        <v>253</v>
      </c>
      <c r="W35">
        <v>539</v>
      </c>
      <c r="X35">
        <v>1299</v>
      </c>
      <c r="Y35">
        <v>486</v>
      </c>
      <c r="Z35">
        <v>1589</v>
      </c>
      <c r="AA35">
        <v>892</v>
      </c>
      <c r="AB35">
        <v>204</v>
      </c>
      <c r="AC35">
        <v>3996</v>
      </c>
      <c r="AD35">
        <v>228</v>
      </c>
      <c r="AE35">
        <v>4484</v>
      </c>
      <c r="AF35">
        <v>724</v>
      </c>
      <c r="AG35">
        <v>10</v>
      </c>
      <c r="AH35">
        <v>612</v>
      </c>
      <c r="AI35">
        <v>9</v>
      </c>
      <c r="AJ35">
        <v>611</v>
      </c>
      <c r="AK35">
        <v>16</v>
      </c>
      <c r="AL35">
        <v>354</v>
      </c>
      <c r="AM35">
        <v>1109</v>
      </c>
      <c r="AN35">
        <v>352</v>
      </c>
      <c r="AO35">
        <v>1116</v>
      </c>
      <c r="AP35">
        <v>411</v>
      </c>
      <c r="AQ35">
        <v>205</v>
      </c>
      <c r="AR35">
        <v>2442</v>
      </c>
      <c r="AS35">
        <v>203</v>
      </c>
      <c r="AT35">
        <v>2402</v>
      </c>
      <c r="AU35">
        <v>9</v>
      </c>
      <c r="AV35">
        <v>844</v>
      </c>
      <c r="AW35">
        <v>5936</v>
      </c>
      <c r="AX35">
        <v>815</v>
      </c>
      <c r="AY35">
        <v>6016</v>
      </c>
      <c r="AZ35">
        <v>1217</v>
      </c>
      <c r="BA35">
        <v>486</v>
      </c>
      <c r="BB35">
        <v>157</v>
      </c>
      <c r="BC35">
        <v>741</v>
      </c>
      <c r="BD35">
        <v>386</v>
      </c>
      <c r="BE35">
        <v>2114</v>
      </c>
      <c r="BF35">
        <v>8</v>
      </c>
      <c r="BG35">
        <v>209</v>
      </c>
      <c r="BH35">
        <v>15</v>
      </c>
      <c r="BI35">
        <v>496</v>
      </c>
      <c r="BJ35">
        <v>22</v>
      </c>
      <c r="BK35">
        <v>1303</v>
      </c>
      <c r="BL35">
        <v>25036</v>
      </c>
      <c r="BM35">
        <v>1326</v>
      </c>
      <c r="BN35">
        <v>24830</v>
      </c>
      <c r="BO35">
        <v>153</v>
      </c>
    </row>
    <row r="36" spans="1:67" x14ac:dyDescent="0.4">
      <c r="A36" s="1" t="s">
        <v>60</v>
      </c>
      <c r="B36" s="1" t="s">
        <v>61</v>
      </c>
      <c r="C36">
        <v>883</v>
      </c>
      <c r="D36">
        <v>718</v>
      </c>
      <c r="E36">
        <v>742</v>
      </c>
      <c r="F36">
        <v>540</v>
      </c>
      <c r="G36">
        <v>3584</v>
      </c>
      <c r="H36">
        <v>668</v>
      </c>
      <c r="I36">
        <v>2675</v>
      </c>
      <c r="J36">
        <v>703</v>
      </c>
      <c r="K36">
        <v>3166</v>
      </c>
      <c r="L36">
        <v>392</v>
      </c>
      <c r="M36">
        <v>94</v>
      </c>
      <c r="N36">
        <v>334</v>
      </c>
      <c r="O36">
        <v>81</v>
      </c>
      <c r="P36">
        <v>337</v>
      </c>
      <c r="Q36">
        <v>29</v>
      </c>
      <c r="R36">
        <v>1035</v>
      </c>
      <c r="S36">
        <v>2589</v>
      </c>
      <c r="T36">
        <v>1023</v>
      </c>
      <c r="U36">
        <v>1625</v>
      </c>
      <c r="V36">
        <v>265</v>
      </c>
      <c r="W36">
        <v>431</v>
      </c>
      <c r="X36">
        <v>893</v>
      </c>
      <c r="Y36">
        <v>497</v>
      </c>
      <c r="Z36">
        <v>1564</v>
      </c>
      <c r="AA36">
        <v>824</v>
      </c>
      <c r="AB36">
        <v>187</v>
      </c>
      <c r="AC36">
        <v>4294</v>
      </c>
      <c r="AD36">
        <v>199</v>
      </c>
      <c r="AE36">
        <v>4290</v>
      </c>
      <c r="AF36">
        <v>721</v>
      </c>
      <c r="AG36">
        <v>18</v>
      </c>
      <c r="AH36">
        <v>1620</v>
      </c>
      <c r="AI36">
        <v>12</v>
      </c>
      <c r="AJ36">
        <v>1452</v>
      </c>
      <c r="AK36">
        <v>22</v>
      </c>
      <c r="AL36">
        <v>193</v>
      </c>
      <c r="AM36">
        <v>935</v>
      </c>
      <c r="AN36">
        <v>189</v>
      </c>
      <c r="AO36">
        <v>902</v>
      </c>
      <c r="AP36">
        <v>415</v>
      </c>
      <c r="AQ36">
        <v>153</v>
      </c>
      <c r="AR36">
        <v>1990</v>
      </c>
      <c r="AS36">
        <v>153</v>
      </c>
      <c r="AT36">
        <v>1971</v>
      </c>
      <c r="AU36">
        <v>9</v>
      </c>
      <c r="AV36">
        <v>841</v>
      </c>
      <c r="AW36">
        <v>4958</v>
      </c>
      <c r="AX36">
        <v>905</v>
      </c>
      <c r="AY36">
        <v>5043</v>
      </c>
      <c r="AZ36">
        <v>1149</v>
      </c>
      <c r="BA36">
        <v>388</v>
      </c>
      <c r="BB36">
        <v>155</v>
      </c>
      <c r="BC36">
        <v>592</v>
      </c>
      <c r="BD36">
        <v>304</v>
      </c>
      <c r="BE36">
        <v>1910</v>
      </c>
      <c r="BF36">
        <v>7</v>
      </c>
      <c r="BG36">
        <v>179</v>
      </c>
      <c r="BH36">
        <v>20</v>
      </c>
      <c r="BI36">
        <v>612</v>
      </c>
      <c r="BJ36">
        <v>19</v>
      </c>
      <c r="BK36">
        <v>639</v>
      </c>
      <c r="BL36">
        <v>2295</v>
      </c>
      <c r="BM36">
        <v>649</v>
      </c>
      <c r="BN36">
        <v>2275</v>
      </c>
      <c r="BO36">
        <v>146</v>
      </c>
    </row>
    <row r="37" spans="1:67" x14ac:dyDescent="0.4">
      <c r="A37" s="1" t="s">
        <v>62</v>
      </c>
      <c r="B37" s="1" t="s">
        <v>63</v>
      </c>
      <c r="C37">
        <v>1309</v>
      </c>
      <c r="D37">
        <v>875</v>
      </c>
      <c r="E37">
        <v>1133</v>
      </c>
      <c r="F37">
        <v>1051</v>
      </c>
      <c r="G37">
        <v>3859</v>
      </c>
      <c r="H37">
        <v>985</v>
      </c>
      <c r="I37">
        <v>2993</v>
      </c>
      <c r="J37">
        <v>1035</v>
      </c>
      <c r="K37">
        <v>3975</v>
      </c>
      <c r="L37">
        <v>384</v>
      </c>
      <c r="M37">
        <v>357</v>
      </c>
      <c r="N37">
        <v>976</v>
      </c>
      <c r="O37">
        <v>371</v>
      </c>
      <c r="P37">
        <v>1065</v>
      </c>
      <c r="Q37">
        <v>15</v>
      </c>
      <c r="R37">
        <v>1092</v>
      </c>
      <c r="S37">
        <v>1134</v>
      </c>
      <c r="T37">
        <v>1111</v>
      </c>
      <c r="U37">
        <v>1937</v>
      </c>
      <c r="V37">
        <v>246</v>
      </c>
      <c r="W37">
        <v>471</v>
      </c>
      <c r="X37">
        <v>855</v>
      </c>
      <c r="Y37">
        <v>520</v>
      </c>
      <c r="Z37">
        <v>1350</v>
      </c>
      <c r="AA37">
        <v>766</v>
      </c>
      <c r="AB37">
        <v>269</v>
      </c>
      <c r="AC37">
        <v>4761</v>
      </c>
      <c r="AD37">
        <v>279</v>
      </c>
      <c r="AE37">
        <v>5470</v>
      </c>
      <c r="AF37">
        <v>720</v>
      </c>
      <c r="AG37">
        <v>14</v>
      </c>
      <c r="AH37">
        <v>1348</v>
      </c>
      <c r="AI37">
        <v>11</v>
      </c>
      <c r="AJ37">
        <v>958</v>
      </c>
      <c r="AK37">
        <v>25</v>
      </c>
      <c r="AL37">
        <v>374</v>
      </c>
      <c r="AM37">
        <v>1469</v>
      </c>
      <c r="AN37">
        <v>373</v>
      </c>
      <c r="AO37">
        <v>1435</v>
      </c>
      <c r="AP37">
        <v>416</v>
      </c>
      <c r="AQ37">
        <v>221</v>
      </c>
      <c r="AR37">
        <v>2608</v>
      </c>
      <c r="AS37">
        <v>221</v>
      </c>
      <c r="AT37">
        <v>2608</v>
      </c>
      <c r="AU37">
        <v>9</v>
      </c>
      <c r="AV37">
        <v>796</v>
      </c>
      <c r="AW37">
        <v>3891</v>
      </c>
      <c r="AX37">
        <v>800</v>
      </c>
      <c r="AY37">
        <v>3948</v>
      </c>
      <c r="AZ37">
        <v>1141</v>
      </c>
      <c r="BA37">
        <v>506</v>
      </c>
      <c r="BB37">
        <v>140</v>
      </c>
      <c r="BC37">
        <v>696</v>
      </c>
      <c r="BD37">
        <v>317</v>
      </c>
      <c r="BE37">
        <v>1720</v>
      </c>
      <c r="BF37">
        <v>7</v>
      </c>
      <c r="BG37">
        <v>232</v>
      </c>
      <c r="BH37">
        <v>17</v>
      </c>
      <c r="BI37">
        <v>592</v>
      </c>
      <c r="BJ37">
        <v>19</v>
      </c>
      <c r="BK37">
        <v>801</v>
      </c>
      <c r="BL37">
        <v>3801</v>
      </c>
      <c r="BM37">
        <v>822</v>
      </c>
      <c r="BN37">
        <v>3623</v>
      </c>
      <c r="BO37">
        <v>128</v>
      </c>
    </row>
    <row r="38" spans="1:67" x14ac:dyDescent="0.4">
      <c r="A38" s="1" t="s">
        <v>64</v>
      </c>
      <c r="B38" s="1" t="s">
        <v>65</v>
      </c>
      <c r="C38">
        <v>1017</v>
      </c>
      <c r="D38">
        <v>896</v>
      </c>
      <c r="E38">
        <v>888</v>
      </c>
      <c r="F38">
        <v>284</v>
      </c>
      <c r="G38">
        <v>3987</v>
      </c>
      <c r="H38">
        <v>905</v>
      </c>
      <c r="I38">
        <v>5914</v>
      </c>
      <c r="J38">
        <v>912</v>
      </c>
      <c r="K38">
        <v>6328</v>
      </c>
      <c r="L38">
        <v>383</v>
      </c>
      <c r="M38">
        <v>145</v>
      </c>
      <c r="N38">
        <v>632</v>
      </c>
      <c r="O38">
        <v>146</v>
      </c>
      <c r="P38">
        <v>709</v>
      </c>
      <c r="Q38">
        <v>14</v>
      </c>
      <c r="R38">
        <v>1149</v>
      </c>
      <c r="S38">
        <v>1349</v>
      </c>
      <c r="T38">
        <v>1214</v>
      </c>
      <c r="U38">
        <v>1781</v>
      </c>
      <c r="V38">
        <v>181</v>
      </c>
      <c r="W38">
        <v>523</v>
      </c>
      <c r="X38">
        <v>1264</v>
      </c>
      <c r="Y38">
        <v>643</v>
      </c>
      <c r="Z38">
        <v>2362</v>
      </c>
      <c r="AA38">
        <v>680</v>
      </c>
      <c r="AB38">
        <v>303</v>
      </c>
      <c r="AC38">
        <v>5681</v>
      </c>
      <c r="AD38">
        <v>321</v>
      </c>
      <c r="AE38">
        <v>6429</v>
      </c>
      <c r="AF38">
        <v>711</v>
      </c>
      <c r="AG38">
        <v>6</v>
      </c>
      <c r="AH38">
        <v>1146</v>
      </c>
      <c r="AI38">
        <v>11</v>
      </c>
      <c r="AJ38">
        <v>1370</v>
      </c>
      <c r="AK38">
        <v>20</v>
      </c>
      <c r="AL38">
        <v>393</v>
      </c>
      <c r="AM38">
        <v>1717</v>
      </c>
      <c r="AN38">
        <v>397</v>
      </c>
      <c r="AO38">
        <v>1747</v>
      </c>
      <c r="AP38">
        <v>412</v>
      </c>
      <c r="AQ38">
        <v>235</v>
      </c>
      <c r="AR38">
        <v>2929</v>
      </c>
      <c r="AS38">
        <v>237</v>
      </c>
      <c r="AT38">
        <v>3112</v>
      </c>
      <c r="AU38">
        <v>7</v>
      </c>
      <c r="AV38">
        <v>967</v>
      </c>
      <c r="AW38">
        <v>7893</v>
      </c>
      <c r="AX38">
        <v>963</v>
      </c>
      <c r="AY38">
        <v>8011</v>
      </c>
      <c r="AZ38">
        <v>1141</v>
      </c>
      <c r="BA38">
        <v>651</v>
      </c>
      <c r="BB38">
        <v>185</v>
      </c>
      <c r="BC38">
        <v>769</v>
      </c>
      <c r="BD38">
        <v>380</v>
      </c>
      <c r="BE38">
        <v>1602</v>
      </c>
      <c r="BF38">
        <v>11</v>
      </c>
      <c r="BG38">
        <v>264</v>
      </c>
      <c r="BH38">
        <v>21</v>
      </c>
      <c r="BI38">
        <v>624</v>
      </c>
      <c r="BJ38">
        <v>19</v>
      </c>
      <c r="BK38">
        <v>837</v>
      </c>
      <c r="BL38">
        <v>4518</v>
      </c>
      <c r="BM38">
        <v>863</v>
      </c>
      <c r="BN38">
        <v>4478</v>
      </c>
      <c r="BO38">
        <v>105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E567-5BBE-4730-A2E9-15C608A4E78A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644</v>
      </c>
      <c r="D3" t="s">
        <v>644</v>
      </c>
      <c r="E3" t="s">
        <v>644</v>
      </c>
      <c r="F3" t="s">
        <v>644</v>
      </c>
      <c r="G3" t="s">
        <v>644</v>
      </c>
      <c r="H3" t="s">
        <v>646</v>
      </c>
      <c r="I3" t="s">
        <v>646</v>
      </c>
      <c r="J3" t="s">
        <v>646</v>
      </c>
      <c r="K3" t="s">
        <v>646</v>
      </c>
      <c r="L3" t="s">
        <v>646</v>
      </c>
      <c r="M3" t="s">
        <v>648</v>
      </c>
      <c r="N3" t="s">
        <v>648</v>
      </c>
      <c r="O3" t="s">
        <v>648</v>
      </c>
      <c r="P3" t="s">
        <v>648</v>
      </c>
      <c r="Q3" t="s">
        <v>648</v>
      </c>
    </row>
    <row r="4" spans="1:17" x14ac:dyDescent="0.4">
      <c r="A4" s="1"/>
      <c r="B4" s="2" t="s">
        <v>1</v>
      </c>
      <c r="C4" t="s">
        <v>645</v>
      </c>
      <c r="D4" t="s">
        <v>645</v>
      </c>
      <c r="E4" t="s">
        <v>645</v>
      </c>
      <c r="F4" t="s">
        <v>645</v>
      </c>
      <c r="G4" t="s">
        <v>645</v>
      </c>
      <c r="H4" t="s">
        <v>647</v>
      </c>
      <c r="I4" t="s">
        <v>647</v>
      </c>
      <c r="J4" t="s">
        <v>647</v>
      </c>
      <c r="K4" t="s">
        <v>647</v>
      </c>
      <c r="L4" t="s">
        <v>647</v>
      </c>
      <c r="M4" t="s">
        <v>649</v>
      </c>
      <c r="N4" t="s">
        <v>649</v>
      </c>
      <c r="O4" t="s">
        <v>649</v>
      </c>
      <c r="P4" t="s">
        <v>649</v>
      </c>
      <c r="Q4" t="s">
        <v>649</v>
      </c>
    </row>
    <row r="5" spans="1:1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</row>
    <row r="7" spans="1:1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</row>
    <row r="9" spans="1:17" x14ac:dyDescent="0.4">
      <c r="A9" s="1" t="s">
        <v>6</v>
      </c>
      <c r="B9" s="3" t="s">
        <v>7</v>
      </c>
      <c r="C9">
        <v>35375</v>
      </c>
      <c r="D9">
        <v>11669</v>
      </c>
      <c r="E9">
        <v>95885</v>
      </c>
      <c r="F9">
        <v>22295</v>
      </c>
      <c r="G9">
        <v>9165</v>
      </c>
      <c r="H9">
        <v>53275</v>
      </c>
      <c r="I9">
        <v>24161</v>
      </c>
      <c r="J9">
        <v>225224</v>
      </c>
      <c r="K9">
        <v>78726</v>
      </c>
      <c r="L9">
        <v>30637</v>
      </c>
      <c r="M9">
        <v>133216</v>
      </c>
      <c r="N9">
        <v>32860</v>
      </c>
      <c r="O9">
        <v>137540</v>
      </c>
      <c r="P9">
        <v>27593</v>
      </c>
      <c r="Q9">
        <v>40023</v>
      </c>
    </row>
    <row r="10" spans="1:17" x14ac:dyDescent="0.4">
      <c r="A10" s="1" t="s">
        <v>8</v>
      </c>
      <c r="B10" s="3" t="s">
        <v>9</v>
      </c>
      <c r="C10">
        <v>42576</v>
      </c>
      <c r="D10">
        <v>14351</v>
      </c>
      <c r="E10">
        <v>112373</v>
      </c>
      <c r="F10">
        <v>28458</v>
      </c>
      <c r="G10">
        <v>12036</v>
      </c>
      <c r="H10">
        <v>75160</v>
      </c>
      <c r="I10">
        <v>36582</v>
      </c>
      <c r="J10">
        <v>259886</v>
      </c>
      <c r="K10">
        <v>92673</v>
      </c>
      <c r="L10">
        <v>38706</v>
      </c>
      <c r="M10">
        <v>122086</v>
      </c>
      <c r="N10">
        <v>31605</v>
      </c>
      <c r="O10">
        <v>125535</v>
      </c>
      <c r="P10">
        <v>26005</v>
      </c>
      <c r="Q10">
        <v>36174</v>
      </c>
    </row>
    <row r="11" spans="1:17" x14ac:dyDescent="0.4">
      <c r="A11" s="1" t="s">
        <v>10</v>
      </c>
      <c r="B11" s="3" t="s">
        <v>11</v>
      </c>
      <c r="C11">
        <v>39215</v>
      </c>
      <c r="D11">
        <v>12482</v>
      </c>
      <c r="E11">
        <v>115597</v>
      </c>
      <c r="F11">
        <v>22773</v>
      </c>
      <c r="G11">
        <v>13547</v>
      </c>
      <c r="H11">
        <v>65058</v>
      </c>
      <c r="I11">
        <v>32208</v>
      </c>
      <c r="J11">
        <v>227737</v>
      </c>
      <c r="K11">
        <v>87753</v>
      </c>
      <c r="L11">
        <v>31793</v>
      </c>
      <c r="M11">
        <v>178039</v>
      </c>
      <c r="N11">
        <v>43494</v>
      </c>
      <c r="O11">
        <v>186154</v>
      </c>
      <c r="P11">
        <v>37236</v>
      </c>
      <c r="Q11">
        <v>30965</v>
      </c>
    </row>
    <row r="12" spans="1:17" x14ac:dyDescent="0.4">
      <c r="A12" s="1" t="s">
        <v>12</v>
      </c>
      <c r="B12" s="3" t="s">
        <v>13</v>
      </c>
      <c r="C12">
        <v>36980</v>
      </c>
      <c r="D12">
        <v>12715</v>
      </c>
      <c r="E12">
        <v>121059</v>
      </c>
      <c r="F12">
        <v>24373</v>
      </c>
      <c r="G12">
        <v>11502</v>
      </c>
      <c r="H12">
        <v>76638</v>
      </c>
      <c r="I12">
        <v>39618</v>
      </c>
      <c r="J12">
        <v>249629</v>
      </c>
      <c r="K12">
        <v>95667</v>
      </c>
      <c r="L12">
        <v>36517</v>
      </c>
      <c r="M12">
        <v>337527</v>
      </c>
      <c r="N12">
        <v>52365</v>
      </c>
      <c r="O12">
        <v>315703</v>
      </c>
      <c r="P12">
        <v>42655</v>
      </c>
      <c r="Q12">
        <v>55560</v>
      </c>
    </row>
    <row r="13" spans="1:17" x14ac:dyDescent="0.4">
      <c r="A13" s="1" t="s">
        <v>14</v>
      </c>
      <c r="B13" s="3" t="s">
        <v>15</v>
      </c>
      <c r="C13">
        <v>30074</v>
      </c>
      <c r="D13">
        <v>15127</v>
      </c>
      <c r="E13">
        <v>50833</v>
      </c>
      <c r="F13">
        <v>22397</v>
      </c>
      <c r="G13">
        <v>9806</v>
      </c>
      <c r="H13">
        <v>86020</v>
      </c>
      <c r="I13">
        <v>45320</v>
      </c>
      <c r="J13">
        <v>250494</v>
      </c>
      <c r="K13">
        <v>95483</v>
      </c>
      <c r="L13">
        <v>35592</v>
      </c>
      <c r="M13">
        <v>261621</v>
      </c>
      <c r="N13">
        <v>43271</v>
      </c>
      <c r="O13">
        <v>263016</v>
      </c>
      <c r="P13">
        <v>38941</v>
      </c>
      <c r="Q13">
        <v>94970</v>
      </c>
    </row>
    <row r="14" spans="1:17" x14ac:dyDescent="0.4">
      <c r="A14" s="1" t="s">
        <v>16</v>
      </c>
      <c r="B14" s="1" t="s">
        <v>17</v>
      </c>
      <c r="C14">
        <v>3133</v>
      </c>
      <c r="D14">
        <v>971</v>
      </c>
      <c r="E14">
        <v>12705</v>
      </c>
      <c r="F14">
        <v>2830</v>
      </c>
      <c r="G14">
        <v>12276</v>
      </c>
      <c r="H14">
        <v>6302</v>
      </c>
      <c r="I14">
        <v>3224</v>
      </c>
      <c r="J14">
        <v>31923</v>
      </c>
      <c r="K14">
        <v>12890</v>
      </c>
      <c r="L14">
        <v>23420</v>
      </c>
      <c r="M14">
        <v>30094</v>
      </c>
      <c r="N14">
        <v>4998</v>
      </c>
      <c r="O14">
        <v>29704</v>
      </c>
      <c r="P14">
        <v>5324</v>
      </c>
      <c r="Q14">
        <v>41019</v>
      </c>
    </row>
    <row r="15" spans="1:17" x14ac:dyDescent="0.4">
      <c r="A15" s="1" t="s">
        <v>18</v>
      </c>
      <c r="B15" s="1" t="s">
        <v>19</v>
      </c>
      <c r="C15">
        <v>3905</v>
      </c>
      <c r="D15">
        <v>1346</v>
      </c>
      <c r="E15">
        <v>8894</v>
      </c>
      <c r="F15">
        <v>1965</v>
      </c>
      <c r="G15">
        <v>11367</v>
      </c>
      <c r="H15">
        <v>5377</v>
      </c>
      <c r="I15">
        <v>3119</v>
      </c>
      <c r="J15">
        <v>14414</v>
      </c>
      <c r="K15">
        <v>5657</v>
      </c>
      <c r="L15">
        <v>24331</v>
      </c>
      <c r="M15">
        <v>28644</v>
      </c>
      <c r="N15">
        <v>5554</v>
      </c>
      <c r="O15">
        <v>25913</v>
      </c>
      <c r="P15">
        <v>4203</v>
      </c>
      <c r="Q15">
        <v>43807</v>
      </c>
    </row>
    <row r="16" spans="1:17" x14ac:dyDescent="0.4">
      <c r="A16" s="1" t="s">
        <v>20</v>
      </c>
      <c r="B16" s="1" t="s">
        <v>21</v>
      </c>
      <c r="C16">
        <v>3446</v>
      </c>
      <c r="D16">
        <v>1239</v>
      </c>
      <c r="E16">
        <v>8419</v>
      </c>
      <c r="F16">
        <v>2041</v>
      </c>
      <c r="G16">
        <v>13668</v>
      </c>
      <c r="H16">
        <v>5628</v>
      </c>
      <c r="I16">
        <v>3022</v>
      </c>
      <c r="J16">
        <v>17543</v>
      </c>
      <c r="K16">
        <v>6693</v>
      </c>
      <c r="L16">
        <v>27379</v>
      </c>
      <c r="M16">
        <v>29536</v>
      </c>
      <c r="N16">
        <v>5267</v>
      </c>
      <c r="O16">
        <v>27487</v>
      </c>
      <c r="P16">
        <v>3930</v>
      </c>
      <c r="Q16">
        <v>46225</v>
      </c>
    </row>
    <row r="17" spans="1:17" x14ac:dyDescent="0.4">
      <c r="A17" s="1" t="s">
        <v>22</v>
      </c>
      <c r="B17" s="1" t="s">
        <v>23</v>
      </c>
      <c r="C17">
        <v>3664</v>
      </c>
      <c r="D17">
        <v>1274</v>
      </c>
      <c r="E17">
        <v>10140</v>
      </c>
      <c r="F17">
        <v>2649</v>
      </c>
      <c r="G17">
        <v>11722</v>
      </c>
      <c r="H17">
        <v>6064</v>
      </c>
      <c r="I17">
        <v>3221</v>
      </c>
      <c r="J17">
        <v>23962</v>
      </c>
      <c r="K17">
        <v>9911</v>
      </c>
      <c r="L17">
        <v>25214</v>
      </c>
      <c r="M17">
        <v>27457</v>
      </c>
      <c r="N17">
        <v>4829</v>
      </c>
      <c r="O17">
        <v>23147</v>
      </c>
      <c r="P17">
        <v>3814</v>
      </c>
      <c r="Q17">
        <v>50501</v>
      </c>
    </row>
    <row r="18" spans="1:17" x14ac:dyDescent="0.4">
      <c r="A18" s="1" t="s">
        <v>24</v>
      </c>
      <c r="B18" s="1" t="s">
        <v>25</v>
      </c>
      <c r="C18">
        <v>3125</v>
      </c>
      <c r="D18">
        <v>1002</v>
      </c>
      <c r="E18">
        <v>7796</v>
      </c>
      <c r="F18">
        <v>1954</v>
      </c>
      <c r="G18">
        <v>14188</v>
      </c>
      <c r="H18">
        <v>7020</v>
      </c>
      <c r="I18">
        <v>3532</v>
      </c>
      <c r="J18">
        <v>15854</v>
      </c>
      <c r="K18">
        <v>6597</v>
      </c>
      <c r="L18">
        <v>32626</v>
      </c>
      <c r="M18">
        <v>27767</v>
      </c>
      <c r="N18">
        <v>4504</v>
      </c>
      <c r="O18">
        <v>28799</v>
      </c>
      <c r="P18">
        <v>3464</v>
      </c>
      <c r="Q18">
        <v>49259</v>
      </c>
    </row>
    <row r="19" spans="1:17" x14ac:dyDescent="0.4">
      <c r="A19" s="1" t="s">
        <v>26</v>
      </c>
      <c r="B19" s="1" t="s">
        <v>27</v>
      </c>
      <c r="C19">
        <v>2312</v>
      </c>
      <c r="D19">
        <v>948</v>
      </c>
      <c r="E19">
        <v>11046</v>
      </c>
      <c r="F19">
        <v>1813</v>
      </c>
      <c r="G19">
        <v>10855</v>
      </c>
      <c r="H19">
        <v>4543</v>
      </c>
      <c r="I19">
        <v>2592</v>
      </c>
      <c r="J19">
        <v>19365</v>
      </c>
      <c r="K19">
        <v>6724</v>
      </c>
      <c r="L19">
        <v>34915</v>
      </c>
      <c r="M19">
        <v>23951</v>
      </c>
      <c r="N19">
        <v>3157</v>
      </c>
      <c r="O19">
        <v>25047</v>
      </c>
      <c r="P19">
        <v>2861</v>
      </c>
      <c r="Q19">
        <v>48237</v>
      </c>
    </row>
    <row r="20" spans="1:17" x14ac:dyDescent="0.4">
      <c r="A20" s="1" t="s">
        <v>28</v>
      </c>
      <c r="B20" s="1" t="s">
        <v>29</v>
      </c>
      <c r="C20">
        <v>2581</v>
      </c>
      <c r="D20">
        <v>861</v>
      </c>
      <c r="E20">
        <v>9846</v>
      </c>
      <c r="F20">
        <v>1836</v>
      </c>
      <c r="G20">
        <v>10977</v>
      </c>
      <c r="H20">
        <v>6934</v>
      </c>
      <c r="I20">
        <v>3407</v>
      </c>
      <c r="J20">
        <v>25425</v>
      </c>
      <c r="K20">
        <v>9649</v>
      </c>
      <c r="L20">
        <v>29828</v>
      </c>
      <c r="M20">
        <v>30913</v>
      </c>
      <c r="N20">
        <v>3575</v>
      </c>
      <c r="O20">
        <v>26640</v>
      </c>
      <c r="P20">
        <v>3073</v>
      </c>
      <c r="Q20">
        <v>52150</v>
      </c>
    </row>
    <row r="21" spans="1:17" x14ac:dyDescent="0.4">
      <c r="A21" s="1" t="s">
        <v>30</v>
      </c>
      <c r="B21" s="1" t="s">
        <v>31</v>
      </c>
      <c r="C21">
        <v>3588</v>
      </c>
      <c r="D21">
        <v>1218</v>
      </c>
      <c r="E21">
        <v>11506</v>
      </c>
      <c r="F21">
        <v>1770</v>
      </c>
      <c r="G21">
        <v>11056</v>
      </c>
      <c r="H21">
        <v>8052</v>
      </c>
      <c r="I21">
        <v>4301</v>
      </c>
      <c r="J21">
        <v>20270</v>
      </c>
      <c r="K21">
        <v>7401</v>
      </c>
      <c r="L21">
        <v>33546</v>
      </c>
      <c r="M21">
        <v>29889</v>
      </c>
      <c r="N21">
        <v>4187</v>
      </c>
      <c r="O21">
        <v>28921</v>
      </c>
      <c r="P21">
        <v>3146</v>
      </c>
      <c r="Q21">
        <v>55119</v>
      </c>
    </row>
    <row r="22" spans="1:17" x14ac:dyDescent="0.4">
      <c r="A22" s="1" t="s">
        <v>32</v>
      </c>
      <c r="B22" s="1" t="s">
        <v>33</v>
      </c>
      <c r="C22">
        <v>2851</v>
      </c>
      <c r="D22">
        <v>990</v>
      </c>
      <c r="E22">
        <v>10374</v>
      </c>
      <c r="F22">
        <v>1543</v>
      </c>
      <c r="G22">
        <v>14376</v>
      </c>
      <c r="H22">
        <v>7950</v>
      </c>
      <c r="I22">
        <v>3977</v>
      </c>
      <c r="J22">
        <v>19085</v>
      </c>
      <c r="K22">
        <v>7472</v>
      </c>
      <c r="L22">
        <v>37120</v>
      </c>
      <c r="M22">
        <v>27321</v>
      </c>
      <c r="N22">
        <v>3424</v>
      </c>
      <c r="O22">
        <v>26522</v>
      </c>
      <c r="P22">
        <v>2988</v>
      </c>
      <c r="Q22">
        <v>55847</v>
      </c>
    </row>
    <row r="23" spans="1:17" x14ac:dyDescent="0.4">
      <c r="A23" s="1" t="s">
        <v>34</v>
      </c>
      <c r="B23" s="1" t="s">
        <v>35</v>
      </c>
      <c r="C23">
        <v>3055</v>
      </c>
      <c r="D23">
        <v>1057</v>
      </c>
      <c r="E23">
        <v>12098</v>
      </c>
      <c r="F23">
        <v>2653</v>
      </c>
      <c r="G23">
        <v>11502</v>
      </c>
      <c r="H23">
        <v>8117</v>
      </c>
      <c r="I23">
        <v>3558</v>
      </c>
      <c r="J23">
        <v>24330</v>
      </c>
      <c r="K23">
        <v>9233</v>
      </c>
      <c r="L23">
        <v>36517</v>
      </c>
      <c r="M23">
        <v>21685</v>
      </c>
      <c r="N23">
        <v>2909</v>
      </c>
      <c r="O23">
        <v>21703</v>
      </c>
      <c r="P23">
        <v>2476</v>
      </c>
      <c r="Q23">
        <v>55560</v>
      </c>
    </row>
    <row r="24" spans="1:17" x14ac:dyDescent="0.4">
      <c r="A24" s="1" t="s">
        <v>36</v>
      </c>
      <c r="B24" s="1" t="s">
        <v>37</v>
      </c>
      <c r="C24">
        <v>3015</v>
      </c>
      <c r="D24">
        <v>1160</v>
      </c>
      <c r="E24">
        <v>3636</v>
      </c>
      <c r="F24">
        <v>1350</v>
      </c>
      <c r="G24">
        <v>8488</v>
      </c>
      <c r="H24">
        <v>6462</v>
      </c>
      <c r="I24">
        <v>3643</v>
      </c>
      <c r="J24">
        <v>17329</v>
      </c>
      <c r="K24">
        <v>6618</v>
      </c>
      <c r="L24">
        <v>41724</v>
      </c>
      <c r="M24">
        <v>20546</v>
      </c>
      <c r="N24">
        <v>3692</v>
      </c>
      <c r="O24">
        <v>18357</v>
      </c>
      <c r="P24">
        <v>2699</v>
      </c>
      <c r="Q24">
        <v>52914</v>
      </c>
    </row>
    <row r="25" spans="1:17" x14ac:dyDescent="0.4">
      <c r="A25" s="1" t="s">
        <v>38</v>
      </c>
      <c r="B25" s="1" t="s">
        <v>39</v>
      </c>
      <c r="C25">
        <v>3134</v>
      </c>
      <c r="D25">
        <v>1119</v>
      </c>
      <c r="E25">
        <v>4625</v>
      </c>
      <c r="F25">
        <v>1895</v>
      </c>
      <c r="G25">
        <v>10329</v>
      </c>
      <c r="H25">
        <v>6543</v>
      </c>
      <c r="I25">
        <v>3968</v>
      </c>
      <c r="J25">
        <v>21211</v>
      </c>
      <c r="K25">
        <v>8646</v>
      </c>
      <c r="L25">
        <v>44879</v>
      </c>
      <c r="M25">
        <v>18845</v>
      </c>
      <c r="N25">
        <v>3654</v>
      </c>
      <c r="O25">
        <v>23500</v>
      </c>
      <c r="P25">
        <v>3141</v>
      </c>
      <c r="Q25">
        <v>57095</v>
      </c>
    </row>
    <row r="26" spans="1:17" x14ac:dyDescent="0.4">
      <c r="A26" s="1" t="s">
        <v>40</v>
      </c>
      <c r="B26" s="1" t="s">
        <v>41</v>
      </c>
      <c r="C26">
        <v>3489</v>
      </c>
      <c r="D26">
        <v>1246</v>
      </c>
      <c r="E26">
        <v>6425</v>
      </c>
      <c r="F26">
        <v>2752</v>
      </c>
      <c r="G26">
        <v>8755</v>
      </c>
      <c r="H26">
        <v>7233</v>
      </c>
      <c r="I26">
        <v>4341</v>
      </c>
      <c r="J26">
        <v>30728</v>
      </c>
      <c r="K26">
        <v>12796</v>
      </c>
      <c r="L26">
        <v>34516</v>
      </c>
      <c r="M26">
        <v>21362</v>
      </c>
      <c r="N26">
        <v>3789</v>
      </c>
      <c r="O26">
        <v>29369</v>
      </c>
      <c r="P26">
        <v>4347</v>
      </c>
      <c r="Q26">
        <v>48940</v>
      </c>
    </row>
    <row r="27" spans="1:17" x14ac:dyDescent="0.4">
      <c r="A27" s="1" t="s">
        <v>42</v>
      </c>
      <c r="B27" s="1" t="s">
        <v>43</v>
      </c>
      <c r="C27">
        <v>3497</v>
      </c>
      <c r="D27">
        <v>1291</v>
      </c>
      <c r="E27">
        <v>4795</v>
      </c>
      <c r="F27">
        <v>1667</v>
      </c>
      <c r="G27">
        <v>9025</v>
      </c>
      <c r="H27">
        <v>7162</v>
      </c>
      <c r="I27">
        <v>4250</v>
      </c>
      <c r="J27">
        <v>16784</v>
      </c>
      <c r="K27">
        <v>5949</v>
      </c>
      <c r="L27">
        <v>37589</v>
      </c>
      <c r="M27">
        <v>19681</v>
      </c>
      <c r="N27">
        <v>3601</v>
      </c>
      <c r="O27">
        <v>17555</v>
      </c>
      <c r="P27">
        <v>3393</v>
      </c>
      <c r="Q27">
        <v>52962</v>
      </c>
    </row>
    <row r="28" spans="1:17" x14ac:dyDescent="0.4">
      <c r="A28" s="1" t="s">
        <v>44</v>
      </c>
      <c r="B28" s="1" t="s">
        <v>45</v>
      </c>
      <c r="C28">
        <v>3533</v>
      </c>
      <c r="D28">
        <v>1436</v>
      </c>
      <c r="E28">
        <v>4457</v>
      </c>
      <c r="F28">
        <v>1807</v>
      </c>
      <c r="G28">
        <v>10352</v>
      </c>
      <c r="H28">
        <v>5949</v>
      </c>
      <c r="I28">
        <v>3897</v>
      </c>
      <c r="J28">
        <v>17805</v>
      </c>
      <c r="K28">
        <v>7205</v>
      </c>
      <c r="L28">
        <v>38239</v>
      </c>
      <c r="M28">
        <v>17104</v>
      </c>
      <c r="N28">
        <v>3021</v>
      </c>
      <c r="O28">
        <v>18729</v>
      </c>
      <c r="P28">
        <v>3363</v>
      </c>
      <c r="Q28">
        <v>54796</v>
      </c>
    </row>
    <row r="29" spans="1:17" x14ac:dyDescent="0.4">
      <c r="A29" s="1" t="s">
        <v>46</v>
      </c>
      <c r="B29" s="1" t="s">
        <v>47</v>
      </c>
      <c r="C29">
        <v>3229</v>
      </c>
      <c r="D29">
        <v>1661</v>
      </c>
      <c r="E29">
        <v>4717</v>
      </c>
      <c r="F29">
        <v>1875</v>
      </c>
      <c r="G29">
        <v>9867</v>
      </c>
      <c r="H29">
        <v>5281</v>
      </c>
      <c r="I29">
        <v>3639</v>
      </c>
      <c r="J29">
        <v>21117</v>
      </c>
      <c r="K29">
        <v>9149</v>
      </c>
      <c r="L29">
        <v>34014</v>
      </c>
      <c r="M29">
        <v>20083</v>
      </c>
      <c r="N29">
        <v>3847</v>
      </c>
      <c r="O29">
        <v>19714</v>
      </c>
      <c r="P29">
        <v>3423</v>
      </c>
      <c r="Q29">
        <v>58105</v>
      </c>
    </row>
    <row r="30" spans="1:17" x14ac:dyDescent="0.4">
      <c r="A30" s="1" t="s">
        <v>48</v>
      </c>
      <c r="B30" s="1" t="s">
        <v>49</v>
      </c>
      <c r="C30">
        <v>1720</v>
      </c>
      <c r="D30">
        <v>1321</v>
      </c>
      <c r="E30">
        <v>5054</v>
      </c>
      <c r="F30">
        <v>2023</v>
      </c>
      <c r="G30">
        <v>8597</v>
      </c>
      <c r="H30">
        <v>7059</v>
      </c>
      <c r="I30">
        <v>3908</v>
      </c>
      <c r="J30">
        <v>18577</v>
      </c>
      <c r="K30">
        <v>8005</v>
      </c>
      <c r="L30">
        <v>33331</v>
      </c>
      <c r="M30">
        <v>25082</v>
      </c>
      <c r="N30">
        <v>4046</v>
      </c>
      <c r="O30">
        <v>20307</v>
      </c>
      <c r="P30">
        <v>3429</v>
      </c>
      <c r="Q30">
        <v>64391</v>
      </c>
    </row>
    <row r="31" spans="1:17" x14ac:dyDescent="0.4">
      <c r="A31" s="1" t="s">
        <v>50</v>
      </c>
      <c r="B31" s="1" t="s">
        <v>51</v>
      </c>
      <c r="C31">
        <v>1749</v>
      </c>
      <c r="D31">
        <v>1235</v>
      </c>
      <c r="E31">
        <v>3199</v>
      </c>
      <c r="F31">
        <v>1542</v>
      </c>
      <c r="G31">
        <v>9638</v>
      </c>
      <c r="H31">
        <v>7573</v>
      </c>
      <c r="I31">
        <v>3381</v>
      </c>
      <c r="J31">
        <v>18446</v>
      </c>
      <c r="K31">
        <v>7082</v>
      </c>
      <c r="L31">
        <v>41705</v>
      </c>
      <c r="M31">
        <v>15258</v>
      </c>
      <c r="N31">
        <v>2758</v>
      </c>
      <c r="O31">
        <v>11794</v>
      </c>
      <c r="P31">
        <v>3001</v>
      </c>
      <c r="Q31">
        <v>86286</v>
      </c>
    </row>
    <row r="32" spans="1:17" x14ac:dyDescent="0.4">
      <c r="A32" s="1" t="s">
        <v>52</v>
      </c>
      <c r="B32" s="1" t="s">
        <v>53</v>
      </c>
      <c r="C32">
        <v>1829</v>
      </c>
      <c r="D32">
        <v>1272</v>
      </c>
      <c r="E32">
        <v>3806</v>
      </c>
      <c r="F32">
        <v>2005</v>
      </c>
      <c r="G32">
        <v>8890</v>
      </c>
      <c r="H32">
        <v>8072</v>
      </c>
      <c r="I32">
        <v>3947</v>
      </c>
      <c r="J32">
        <v>26439</v>
      </c>
      <c r="K32">
        <v>9446</v>
      </c>
      <c r="L32">
        <v>32893</v>
      </c>
      <c r="M32">
        <v>27033</v>
      </c>
      <c r="N32">
        <v>3983</v>
      </c>
      <c r="O32">
        <v>21254</v>
      </c>
      <c r="P32">
        <v>3196</v>
      </c>
      <c r="Q32">
        <v>97281</v>
      </c>
    </row>
    <row r="33" spans="1:17" x14ac:dyDescent="0.4">
      <c r="A33" s="1" t="s">
        <v>54</v>
      </c>
      <c r="B33" s="1" t="s">
        <v>55</v>
      </c>
      <c r="C33">
        <v>1842</v>
      </c>
      <c r="D33">
        <v>1267</v>
      </c>
      <c r="E33">
        <v>3314</v>
      </c>
      <c r="F33">
        <v>1702</v>
      </c>
      <c r="G33">
        <v>8877</v>
      </c>
      <c r="H33">
        <v>8431</v>
      </c>
      <c r="I33">
        <v>3316</v>
      </c>
      <c r="J33">
        <v>19329</v>
      </c>
      <c r="K33">
        <v>5629</v>
      </c>
      <c r="L33">
        <v>36690</v>
      </c>
      <c r="M33">
        <v>29028</v>
      </c>
      <c r="N33">
        <v>4070</v>
      </c>
      <c r="O33">
        <v>22818</v>
      </c>
      <c r="P33">
        <v>2791</v>
      </c>
      <c r="Q33">
        <v>105417</v>
      </c>
    </row>
    <row r="34" spans="1:17" x14ac:dyDescent="0.4">
      <c r="A34" s="1" t="s">
        <v>56</v>
      </c>
      <c r="B34" s="1" t="s">
        <v>57</v>
      </c>
      <c r="C34">
        <v>1373</v>
      </c>
      <c r="D34">
        <v>990</v>
      </c>
      <c r="E34">
        <v>3030</v>
      </c>
      <c r="F34">
        <v>1637</v>
      </c>
      <c r="G34">
        <v>8970</v>
      </c>
      <c r="H34">
        <v>8082</v>
      </c>
      <c r="I34">
        <v>3387</v>
      </c>
      <c r="J34">
        <v>19475</v>
      </c>
      <c r="K34">
        <v>6061</v>
      </c>
      <c r="L34">
        <v>38064</v>
      </c>
      <c r="M34">
        <v>23822</v>
      </c>
      <c r="N34">
        <v>3583</v>
      </c>
      <c r="O34">
        <v>30621</v>
      </c>
      <c r="P34">
        <v>3548</v>
      </c>
      <c r="Q34">
        <v>98415</v>
      </c>
    </row>
    <row r="35" spans="1:17" x14ac:dyDescent="0.4">
      <c r="A35" s="1" t="s">
        <v>58</v>
      </c>
      <c r="B35" s="1" t="s">
        <v>59</v>
      </c>
      <c r="C35">
        <v>1664</v>
      </c>
      <c r="D35">
        <v>1129</v>
      </c>
      <c r="E35">
        <v>3775</v>
      </c>
      <c r="F35">
        <v>2142</v>
      </c>
      <c r="G35">
        <v>9806</v>
      </c>
      <c r="H35">
        <v>8173</v>
      </c>
      <c r="I35">
        <v>3643</v>
      </c>
      <c r="J35">
        <v>23254</v>
      </c>
      <c r="K35">
        <v>8897</v>
      </c>
      <c r="L35">
        <v>35592</v>
      </c>
      <c r="M35">
        <v>23777</v>
      </c>
      <c r="N35">
        <v>3227</v>
      </c>
      <c r="O35">
        <v>28998</v>
      </c>
      <c r="P35">
        <v>2610</v>
      </c>
      <c r="Q35">
        <v>94970</v>
      </c>
    </row>
    <row r="36" spans="1:17" x14ac:dyDescent="0.4">
      <c r="A36" s="1" t="s">
        <v>60</v>
      </c>
      <c r="B36" s="1" t="s">
        <v>61</v>
      </c>
      <c r="C36">
        <v>1687</v>
      </c>
      <c r="D36">
        <v>1094</v>
      </c>
      <c r="E36">
        <v>3199</v>
      </c>
      <c r="F36">
        <v>1480</v>
      </c>
      <c r="G36">
        <v>10734</v>
      </c>
      <c r="H36">
        <v>7049</v>
      </c>
      <c r="I36">
        <v>3074</v>
      </c>
      <c r="J36">
        <v>18046</v>
      </c>
      <c r="K36">
        <v>6383</v>
      </c>
      <c r="L36">
        <v>43480</v>
      </c>
      <c r="M36">
        <v>25520</v>
      </c>
      <c r="N36">
        <v>3863</v>
      </c>
      <c r="O36">
        <v>18940</v>
      </c>
      <c r="P36">
        <v>2242</v>
      </c>
      <c r="Q36">
        <v>101489</v>
      </c>
    </row>
    <row r="37" spans="1:17" x14ac:dyDescent="0.4">
      <c r="A37" s="1" t="s">
        <v>62</v>
      </c>
      <c r="B37" s="1" t="s">
        <v>63</v>
      </c>
      <c r="C37">
        <v>1821</v>
      </c>
      <c r="D37">
        <v>1318</v>
      </c>
      <c r="E37">
        <v>3533</v>
      </c>
      <c r="F37">
        <v>1795</v>
      </c>
      <c r="G37">
        <v>11247</v>
      </c>
      <c r="H37">
        <v>7686</v>
      </c>
      <c r="I37">
        <v>3169</v>
      </c>
      <c r="J37">
        <v>24244</v>
      </c>
      <c r="K37">
        <v>8490</v>
      </c>
      <c r="L37">
        <v>43507</v>
      </c>
      <c r="M37">
        <v>23720</v>
      </c>
      <c r="N37">
        <v>3466</v>
      </c>
      <c r="O37">
        <v>24469</v>
      </c>
      <c r="P37">
        <v>3049</v>
      </c>
      <c r="Q37">
        <v>100589</v>
      </c>
    </row>
    <row r="38" spans="1:17" x14ac:dyDescent="0.4">
      <c r="A38" s="1" t="s">
        <v>64</v>
      </c>
      <c r="B38" s="1" t="s">
        <v>65</v>
      </c>
      <c r="C38">
        <v>1858</v>
      </c>
      <c r="D38">
        <v>1415</v>
      </c>
      <c r="E38">
        <v>4472</v>
      </c>
      <c r="F38">
        <v>1977</v>
      </c>
      <c r="G38">
        <v>10307</v>
      </c>
      <c r="H38">
        <v>9639</v>
      </c>
      <c r="I38">
        <v>3958</v>
      </c>
      <c r="J38">
        <v>31210</v>
      </c>
      <c r="K38">
        <v>11714</v>
      </c>
      <c r="L38">
        <v>38179</v>
      </c>
      <c r="M38">
        <v>23767</v>
      </c>
      <c r="N38">
        <v>3910</v>
      </c>
      <c r="O38">
        <v>37459</v>
      </c>
      <c r="P38">
        <v>4115</v>
      </c>
      <c r="Q38">
        <v>87397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2AB2B-D214-41FD-98BF-00A0EC906F72}">
  <dimension ref="A1:AJ40"/>
  <sheetViews>
    <sheetView workbookViewId="0">
      <selection activeCell="C9" sqref="C9"/>
    </sheetView>
  </sheetViews>
  <sheetFormatPr defaultColWidth="15.625" defaultRowHeight="18.75" x14ac:dyDescent="0.4"/>
  <sheetData>
    <row r="1" spans="1:36" x14ac:dyDescent="0.4">
      <c r="A1" s="1" t="s">
        <v>66</v>
      </c>
      <c r="B1" s="1"/>
    </row>
    <row r="2" spans="1:36" x14ac:dyDescent="0.4">
      <c r="A2" s="4" t="str">
        <f>HYPERLINK("#'目次(Contents)'!A3","目次に戻る(Return to Contents)")</f>
        <v>目次に戻る(Return to Contents)</v>
      </c>
      <c r="B2" s="1"/>
    </row>
    <row r="3" spans="1:36" x14ac:dyDescent="0.4">
      <c r="A3" s="1"/>
      <c r="B3" s="2" t="s">
        <v>0</v>
      </c>
      <c r="C3" t="s">
        <v>650</v>
      </c>
      <c r="D3" t="s">
        <v>650</v>
      </c>
      <c r="E3" t="s">
        <v>650</v>
      </c>
      <c r="F3" t="s">
        <v>650</v>
      </c>
      <c r="G3" t="s">
        <v>650</v>
      </c>
      <c r="H3" t="s">
        <v>652</v>
      </c>
      <c r="I3" t="s">
        <v>652</v>
      </c>
      <c r="J3" t="s">
        <v>652</v>
      </c>
      <c r="K3" t="s">
        <v>652</v>
      </c>
      <c r="L3" t="s">
        <v>652</v>
      </c>
      <c r="M3" t="s">
        <v>654</v>
      </c>
      <c r="N3" t="s">
        <v>654</v>
      </c>
      <c r="O3" t="s">
        <v>654</v>
      </c>
      <c r="P3" t="s">
        <v>654</v>
      </c>
      <c r="Q3" t="s">
        <v>654</v>
      </c>
      <c r="R3" t="s">
        <v>656</v>
      </c>
      <c r="S3" t="s">
        <v>656</v>
      </c>
      <c r="T3" t="s">
        <v>656</v>
      </c>
      <c r="U3" t="s">
        <v>656</v>
      </c>
      <c r="V3" t="s">
        <v>656</v>
      </c>
      <c r="W3" t="s">
        <v>658</v>
      </c>
      <c r="X3" t="s">
        <v>658</v>
      </c>
      <c r="Y3" t="s">
        <v>660</v>
      </c>
      <c r="Z3" t="s">
        <v>660</v>
      </c>
      <c r="AA3" t="s">
        <v>662</v>
      </c>
      <c r="AB3" t="s">
        <v>662</v>
      </c>
      <c r="AC3" t="s">
        <v>664</v>
      </c>
      <c r="AD3" t="s">
        <v>664</v>
      </c>
      <c r="AE3" t="s">
        <v>666</v>
      </c>
      <c r="AF3" t="s">
        <v>666</v>
      </c>
      <c r="AG3" t="s">
        <v>668</v>
      </c>
      <c r="AH3" t="s">
        <v>668</v>
      </c>
      <c r="AI3" t="s">
        <v>670</v>
      </c>
      <c r="AJ3" t="s">
        <v>670</v>
      </c>
    </row>
    <row r="4" spans="1:36" x14ac:dyDescent="0.4">
      <c r="A4" s="1"/>
      <c r="B4" s="2" t="s">
        <v>1</v>
      </c>
      <c r="C4" t="s">
        <v>651</v>
      </c>
      <c r="D4" t="s">
        <v>651</v>
      </c>
      <c r="E4" t="s">
        <v>651</v>
      </c>
      <c r="F4" t="s">
        <v>651</v>
      </c>
      <c r="G4" t="s">
        <v>651</v>
      </c>
      <c r="H4" t="s">
        <v>653</v>
      </c>
      <c r="I4" t="s">
        <v>653</v>
      </c>
      <c r="J4" t="s">
        <v>653</v>
      </c>
      <c r="K4" t="s">
        <v>653</v>
      </c>
      <c r="L4" t="s">
        <v>653</v>
      </c>
      <c r="M4" t="s">
        <v>655</v>
      </c>
      <c r="N4" t="s">
        <v>655</v>
      </c>
      <c r="O4" t="s">
        <v>655</v>
      </c>
      <c r="P4" t="s">
        <v>655</v>
      </c>
      <c r="Q4" t="s">
        <v>655</v>
      </c>
      <c r="R4" t="s">
        <v>657</v>
      </c>
      <c r="S4" t="s">
        <v>657</v>
      </c>
      <c r="T4" t="s">
        <v>657</v>
      </c>
      <c r="U4" t="s">
        <v>657</v>
      </c>
      <c r="V4" t="s">
        <v>657</v>
      </c>
      <c r="W4" t="s">
        <v>659</v>
      </c>
      <c r="X4" t="s">
        <v>659</v>
      </c>
      <c r="Y4" t="s">
        <v>661</v>
      </c>
      <c r="Z4" t="s">
        <v>661</v>
      </c>
      <c r="AA4" t="s">
        <v>663</v>
      </c>
      <c r="AB4" t="s">
        <v>663</v>
      </c>
      <c r="AC4" t="s">
        <v>665</v>
      </c>
      <c r="AD4" t="s">
        <v>665</v>
      </c>
      <c r="AE4" t="s">
        <v>667</v>
      </c>
      <c r="AF4" t="s">
        <v>667</v>
      </c>
      <c r="AG4" t="s">
        <v>669</v>
      </c>
      <c r="AH4" t="s">
        <v>669</v>
      </c>
      <c r="AI4" t="s">
        <v>671</v>
      </c>
      <c r="AJ4" t="s">
        <v>671</v>
      </c>
    </row>
    <row r="5" spans="1:3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</row>
    <row r="6" spans="1:3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</row>
    <row r="7" spans="1:3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</row>
    <row r="8" spans="1:3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</row>
    <row r="9" spans="1:36" x14ac:dyDescent="0.4">
      <c r="A9" s="1" t="s">
        <v>6</v>
      </c>
      <c r="B9" s="3" t="s">
        <v>7</v>
      </c>
      <c r="C9">
        <v>57066</v>
      </c>
      <c r="D9">
        <v>2632</v>
      </c>
      <c r="E9">
        <v>56875</v>
      </c>
      <c r="F9">
        <v>2600</v>
      </c>
      <c r="G9">
        <v>315</v>
      </c>
      <c r="H9">
        <v>5153</v>
      </c>
      <c r="I9">
        <v>478</v>
      </c>
      <c r="J9">
        <v>5068</v>
      </c>
      <c r="K9">
        <v>472</v>
      </c>
      <c r="L9">
        <v>455</v>
      </c>
      <c r="M9">
        <v>9832</v>
      </c>
      <c r="N9">
        <v>1587</v>
      </c>
      <c r="O9">
        <v>54560</v>
      </c>
      <c r="P9">
        <v>4216</v>
      </c>
      <c r="Q9">
        <v>3653</v>
      </c>
      <c r="R9">
        <v>70590</v>
      </c>
      <c r="S9">
        <v>20419</v>
      </c>
      <c r="T9">
        <v>92508</v>
      </c>
      <c r="U9">
        <v>24379</v>
      </c>
      <c r="V9">
        <v>5253</v>
      </c>
      <c r="W9">
        <v>16704</v>
      </c>
      <c r="X9">
        <v>37576</v>
      </c>
      <c r="Y9">
        <v>1073</v>
      </c>
      <c r="Z9">
        <v>43881</v>
      </c>
      <c r="AA9">
        <v>4913</v>
      </c>
      <c r="AB9">
        <v>40422</v>
      </c>
      <c r="AC9">
        <v>9733</v>
      </c>
      <c r="AD9">
        <v>37663</v>
      </c>
      <c r="AE9">
        <v>7541</v>
      </c>
      <c r="AF9">
        <v>36269</v>
      </c>
      <c r="AG9" t="s">
        <v>73</v>
      </c>
      <c r="AH9" t="s">
        <v>73</v>
      </c>
      <c r="AI9" t="s">
        <v>73</v>
      </c>
      <c r="AJ9" t="s">
        <v>73</v>
      </c>
    </row>
    <row r="10" spans="1:36" x14ac:dyDescent="0.4">
      <c r="A10" s="1" t="s">
        <v>8</v>
      </c>
      <c r="B10" s="3" t="s">
        <v>9</v>
      </c>
      <c r="C10">
        <v>54651</v>
      </c>
      <c r="D10">
        <v>2597</v>
      </c>
      <c r="E10">
        <v>54607</v>
      </c>
      <c r="F10">
        <v>2586</v>
      </c>
      <c r="G10">
        <v>342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75382</v>
      </c>
      <c r="S10">
        <v>24305</v>
      </c>
      <c r="T10">
        <v>96462</v>
      </c>
      <c r="U10">
        <v>28982</v>
      </c>
      <c r="V10">
        <v>8837</v>
      </c>
      <c r="W10">
        <v>18852</v>
      </c>
      <c r="X10">
        <v>53385</v>
      </c>
      <c r="Y10">
        <v>1184</v>
      </c>
      <c r="Z10">
        <v>52403</v>
      </c>
      <c r="AA10">
        <v>6637</v>
      </c>
      <c r="AB10">
        <v>40826</v>
      </c>
      <c r="AC10" t="s">
        <v>73</v>
      </c>
      <c r="AD10" t="s">
        <v>73</v>
      </c>
      <c r="AE10">
        <v>9598</v>
      </c>
      <c r="AF10">
        <v>51760</v>
      </c>
      <c r="AG10">
        <v>246</v>
      </c>
      <c r="AH10">
        <v>3434</v>
      </c>
      <c r="AI10" t="s">
        <v>73</v>
      </c>
      <c r="AJ10" t="s">
        <v>73</v>
      </c>
    </row>
    <row r="11" spans="1:36" x14ac:dyDescent="0.4">
      <c r="A11" s="1" t="s">
        <v>10</v>
      </c>
      <c r="B11" s="3" t="s">
        <v>11</v>
      </c>
      <c r="C11">
        <v>43773</v>
      </c>
      <c r="D11">
        <v>2027</v>
      </c>
      <c r="E11">
        <v>44018</v>
      </c>
      <c r="F11">
        <v>2074</v>
      </c>
      <c r="G11">
        <v>97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44801</v>
      </c>
      <c r="S11">
        <v>18955</v>
      </c>
      <c r="T11">
        <v>45092</v>
      </c>
      <c r="U11">
        <v>20025</v>
      </c>
      <c r="V11">
        <v>6997</v>
      </c>
      <c r="W11">
        <v>15627</v>
      </c>
      <c r="X11">
        <v>64871</v>
      </c>
      <c r="Y11">
        <v>846</v>
      </c>
      <c r="Z11">
        <v>42063</v>
      </c>
      <c r="AA11">
        <v>7313</v>
      </c>
      <c r="AB11">
        <v>55597</v>
      </c>
      <c r="AC11" t="s">
        <v>73</v>
      </c>
      <c r="AD11" t="s">
        <v>73</v>
      </c>
      <c r="AE11">
        <v>9492</v>
      </c>
      <c r="AF11">
        <v>48448</v>
      </c>
      <c r="AG11">
        <v>314</v>
      </c>
      <c r="AH11">
        <v>4776</v>
      </c>
      <c r="AI11" t="s">
        <v>73</v>
      </c>
      <c r="AJ11" t="s">
        <v>73</v>
      </c>
    </row>
    <row r="12" spans="1:36" x14ac:dyDescent="0.4">
      <c r="A12" s="1" t="s">
        <v>12</v>
      </c>
      <c r="B12" s="3" t="s">
        <v>13</v>
      </c>
      <c r="C12">
        <v>36251</v>
      </c>
      <c r="D12">
        <v>1834</v>
      </c>
      <c r="E12">
        <v>36162</v>
      </c>
      <c r="F12">
        <v>1834</v>
      </c>
      <c r="G12">
        <v>186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47284</v>
      </c>
      <c r="S12">
        <v>18578</v>
      </c>
      <c r="T12">
        <v>47462</v>
      </c>
      <c r="U12">
        <v>19636</v>
      </c>
      <c r="V12">
        <v>6687</v>
      </c>
      <c r="W12">
        <v>6106</v>
      </c>
      <c r="X12">
        <v>23301</v>
      </c>
      <c r="Y12">
        <v>1054</v>
      </c>
      <c r="Z12">
        <v>60057</v>
      </c>
      <c r="AA12">
        <v>4117</v>
      </c>
      <c r="AB12">
        <v>35578</v>
      </c>
      <c r="AC12" t="s">
        <v>73</v>
      </c>
      <c r="AD12" t="s">
        <v>73</v>
      </c>
      <c r="AE12">
        <v>7506</v>
      </c>
      <c r="AF12">
        <v>42866</v>
      </c>
      <c r="AG12">
        <v>319</v>
      </c>
      <c r="AH12">
        <v>6062</v>
      </c>
      <c r="AI12" t="s">
        <v>73</v>
      </c>
      <c r="AJ12" t="s">
        <v>73</v>
      </c>
    </row>
    <row r="13" spans="1:36" x14ac:dyDescent="0.4">
      <c r="A13" s="1" t="s">
        <v>14</v>
      </c>
      <c r="B13" s="3" t="s">
        <v>15</v>
      </c>
      <c r="C13">
        <v>41140</v>
      </c>
      <c r="D13">
        <v>2095</v>
      </c>
      <c r="E13">
        <v>41099</v>
      </c>
      <c r="F13">
        <v>2081</v>
      </c>
      <c r="G13">
        <v>227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44672</v>
      </c>
      <c r="S13">
        <v>18019</v>
      </c>
      <c r="T13">
        <v>45961</v>
      </c>
      <c r="U13">
        <v>19025</v>
      </c>
      <c r="V13">
        <v>5398</v>
      </c>
      <c r="W13">
        <v>16101</v>
      </c>
      <c r="X13">
        <v>40845</v>
      </c>
      <c r="Y13">
        <v>1095</v>
      </c>
      <c r="Z13">
        <v>67379</v>
      </c>
      <c r="AA13">
        <v>4067</v>
      </c>
      <c r="AB13">
        <v>36330</v>
      </c>
      <c r="AC13" t="s">
        <v>73</v>
      </c>
      <c r="AD13" t="s">
        <v>73</v>
      </c>
      <c r="AE13">
        <v>7405</v>
      </c>
      <c r="AF13">
        <v>42410</v>
      </c>
      <c r="AG13">
        <v>309</v>
      </c>
      <c r="AH13">
        <v>5442</v>
      </c>
      <c r="AI13" t="s">
        <v>73</v>
      </c>
      <c r="AJ13" t="s">
        <v>73</v>
      </c>
    </row>
    <row r="14" spans="1:36" x14ac:dyDescent="0.4">
      <c r="A14" s="1" t="s">
        <v>16</v>
      </c>
      <c r="B14" s="1" t="s">
        <v>17</v>
      </c>
      <c r="C14">
        <v>3014</v>
      </c>
      <c r="D14">
        <v>151</v>
      </c>
      <c r="E14">
        <v>2979</v>
      </c>
      <c r="F14">
        <v>144</v>
      </c>
      <c r="G14">
        <v>75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3274</v>
      </c>
      <c r="S14">
        <v>1306</v>
      </c>
      <c r="T14">
        <v>3038</v>
      </c>
      <c r="U14">
        <v>1396</v>
      </c>
      <c r="V14">
        <v>7060</v>
      </c>
      <c r="W14">
        <v>3</v>
      </c>
      <c r="X14">
        <v>9</v>
      </c>
      <c r="Y14">
        <v>77</v>
      </c>
      <c r="Z14">
        <v>4088</v>
      </c>
      <c r="AA14">
        <v>521</v>
      </c>
      <c r="AB14">
        <v>3941</v>
      </c>
      <c r="AC14" t="s">
        <v>73</v>
      </c>
      <c r="AD14" t="s">
        <v>73</v>
      </c>
      <c r="AE14">
        <v>1022</v>
      </c>
      <c r="AF14">
        <v>5921</v>
      </c>
      <c r="AG14">
        <v>37</v>
      </c>
      <c r="AH14">
        <v>874</v>
      </c>
      <c r="AI14" t="s">
        <v>73</v>
      </c>
      <c r="AJ14" t="s">
        <v>73</v>
      </c>
    </row>
    <row r="15" spans="1:36" x14ac:dyDescent="0.4">
      <c r="A15" s="1" t="s">
        <v>18</v>
      </c>
      <c r="B15" s="1" t="s">
        <v>19</v>
      </c>
      <c r="C15">
        <v>2929</v>
      </c>
      <c r="D15">
        <v>152</v>
      </c>
      <c r="E15">
        <v>2862</v>
      </c>
      <c r="F15">
        <v>140</v>
      </c>
      <c r="G15">
        <v>142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3227</v>
      </c>
      <c r="S15">
        <v>1252</v>
      </c>
      <c r="T15">
        <v>3685</v>
      </c>
      <c r="U15">
        <v>1365</v>
      </c>
      <c r="V15">
        <v>6602</v>
      </c>
      <c r="W15">
        <v>227</v>
      </c>
      <c r="X15">
        <v>952</v>
      </c>
      <c r="Y15">
        <v>80</v>
      </c>
      <c r="Z15">
        <v>4418</v>
      </c>
      <c r="AA15">
        <v>143</v>
      </c>
      <c r="AB15">
        <v>1250</v>
      </c>
      <c r="AC15" t="s">
        <v>73</v>
      </c>
      <c r="AD15" t="s">
        <v>73</v>
      </c>
      <c r="AE15">
        <v>663</v>
      </c>
      <c r="AF15">
        <v>3572</v>
      </c>
      <c r="AG15">
        <v>16</v>
      </c>
      <c r="AH15">
        <v>429</v>
      </c>
      <c r="AI15" t="s">
        <v>73</v>
      </c>
      <c r="AJ15" t="s">
        <v>73</v>
      </c>
    </row>
    <row r="16" spans="1:36" x14ac:dyDescent="0.4">
      <c r="A16" s="1" t="s">
        <v>20</v>
      </c>
      <c r="B16" s="1" t="s">
        <v>21</v>
      </c>
      <c r="C16">
        <v>3131</v>
      </c>
      <c r="D16">
        <v>159</v>
      </c>
      <c r="E16">
        <v>3199</v>
      </c>
      <c r="F16">
        <v>171</v>
      </c>
      <c r="G16">
        <v>74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3571</v>
      </c>
      <c r="S16">
        <v>1184</v>
      </c>
      <c r="T16">
        <v>3885</v>
      </c>
      <c r="U16">
        <v>1393</v>
      </c>
      <c r="V16">
        <v>6288</v>
      </c>
      <c r="W16">
        <v>226</v>
      </c>
      <c r="X16">
        <v>1046</v>
      </c>
      <c r="Y16">
        <v>88</v>
      </c>
      <c r="Z16">
        <v>4903</v>
      </c>
      <c r="AA16">
        <v>220</v>
      </c>
      <c r="AB16">
        <v>1837</v>
      </c>
      <c r="AC16" t="s">
        <v>73</v>
      </c>
      <c r="AD16" t="s">
        <v>73</v>
      </c>
      <c r="AE16">
        <v>576</v>
      </c>
      <c r="AF16">
        <v>3128</v>
      </c>
      <c r="AG16">
        <v>23</v>
      </c>
      <c r="AH16">
        <v>410</v>
      </c>
      <c r="AI16" t="s">
        <v>73</v>
      </c>
      <c r="AJ16" t="s">
        <v>73</v>
      </c>
    </row>
    <row r="17" spans="1:36" x14ac:dyDescent="0.4">
      <c r="A17" s="1" t="s">
        <v>22</v>
      </c>
      <c r="B17" s="1" t="s">
        <v>23</v>
      </c>
      <c r="C17">
        <v>2980</v>
      </c>
      <c r="D17">
        <v>143</v>
      </c>
      <c r="E17">
        <v>2941</v>
      </c>
      <c r="F17">
        <v>140</v>
      </c>
      <c r="G17">
        <v>113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4177</v>
      </c>
      <c r="S17">
        <v>1862</v>
      </c>
      <c r="T17">
        <v>4233</v>
      </c>
      <c r="U17">
        <v>2038</v>
      </c>
      <c r="V17">
        <v>6232</v>
      </c>
      <c r="W17">
        <v>368</v>
      </c>
      <c r="X17">
        <v>1585</v>
      </c>
      <c r="Y17">
        <v>101</v>
      </c>
      <c r="Z17">
        <v>5559</v>
      </c>
      <c r="AA17">
        <v>231</v>
      </c>
      <c r="AB17">
        <v>1582</v>
      </c>
      <c r="AC17" t="s">
        <v>73</v>
      </c>
      <c r="AD17" t="s">
        <v>73</v>
      </c>
      <c r="AE17">
        <v>531</v>
      </c>
      <c r="AF17">
        <v>2691</v>
      </c>
      <c r="AG17">
        <v>17</v>
      </c>
      <c r="AH17">
        <v>305</v>
      </c>
      <c r="AI17" t="s">
        <v>73</v>
      </c>
      <c r="AJ17" t="s">
        <v>73</v>
      </c>
    </row>
    <row r="18" spans="1:36" x14ac:dyDescent="0.4">
      <c r="A18" s="1" t="s">
        <v>24</v>
      </c>
      <c r="B18" s="1" t="s">
        <v>25</v>
      </c>
      <c r="C18">
        <v>3073</v>
      </c>
      <c r="D18">
        <v>151</v>
      </c>
      <c r="E18">
        <v>3065</v>
      </c>
      <c r="F18">
        <v>151</v>
      </c>
      <c r="G18">
        <v>121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4141</v>
      </c>
      <c r="S18">
        <v>1793</v>
      </c>
      <c r="T18">
        <v>4543</v>
      </c>
      <c r="U18">
        <v>1930</v>
      </c>
      <c r="V18">
        <v>5830</v>
      </c>
      <c r="W18">
        <v>1376</v>
      </c>
      <c r="X18">
        <v>2757</v>
      </c>
      <c r="Y18">
        <v>111</v>
      </c>
      <c r="Z18">
        <v>6131</v>
      </c>
      <c r="AA18">
        <v>220</v>
      </c>
      <c r="AB18">
        <v>2171</v>
      </c>
      <c r="AC18" t="s">
        <v>73</v>
      </c>
      <c r="AD18" t="s">
        <v>73</v>
      </c>
      <c r="AE18">
        <v>563</v>
      </c>
      <c r="AF18">
        <v>3061</v>
      </c>
      <c r="AG18">
        <v>14</v>
      </c>
      <c r="AH18">
        <v>293</v>
      </c>
      <c r="AI18" t="s">
        <v>73</v>
      </c>
      <c r="AJ18" t="s">
        <v>73</v>
      </c>
    </row>
    <row r="19" spans="1:36" x14ac:dyDescent="0.4">
      <c r="A19" s="1" t="s">
        <v>26</v>
      </c>
      <c r="B19" s="1" t="s">
        <v>27</v>
      </c>
      <c r="C19">
        <v>3087</v>
      </c>
      <c r="D19">
        <v>148</v>
      </c>
      <c r="E19">
        <v>3067</v>
      </c>
      <c r="F19">
        <v>147</v>
      </c>
      <c r="G19">
        <v>141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4064</v>
      </c>
      <c r="S19">
        <v>1584</v>
      </c>
      <c r="T19">
        <v>3637</v>
      </c>
      <c r="U19">
        <v>1550</v>
      </c>
      <c r="V19">
        <v>6257</v>
      </c>
      <c r="W19">
        <v>643</v>
      </c>
      <c r="X19">
        <v>2363</v>
      </c>
      <c r="Y19">
        <v>82</v>
      </c>
      <c r="Z19">
        <v>4814</v>
      </c>
      <c r="AA19">
        <v>251</v>
      </c>
      <c r="AB19">
        <v>2058</v>
      </c>
      <c r="AC19" t="s">
        <v>73</v>
      </c>
      <c r="AD19" t="s">
        <v>73</v>
      </c>
      <c r="AE19">
        <v>438</v>
      </c>
      <c r="AF19">
        <v>2488</v>
      </c>
      <c r="AG19">
        <v>48</v>
      </c>
      <c r="AH19">
        <v>546</v>
      </c>
      <c r="AI19" t="s">
        <v>73</v>
      </c>
      <c r="AJ19" t="s">
        <v>73</v>
      </c>
    </row>
    <row r="20" spans="1:36" x14ac:dyDescent="0.4">
      <c r="A20" s="1" t="s">
        <v>28</v>
      </c>
      <c r="B20" s="1" t="s">
        <v>29</v>
      </c>
      <c r="C20">
        <v>3403</v>
      </c>
      <c r="D20">
        <v>184</v>
      </c>
      <c r="E20">
        <v>3374</v>
      </c>
      <c r="F20">
        <v>167</v>
      </c>
      <c r="G20">
        <v>170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4662</v>
      </c>
      <c r="S20">
        <v>1761</v>
      </c>
      <c r="T20">
        <v>4974</v>
      </c>
      <c r="U20">
        <v>1941</v>
      </c>
      <c r="V20">
        <v>5945</v>
      </c>
      <c r="W20">
        <v>746</v>
      </c>
      <c r="X20">
        <v>3036</v>
      </c>
      <c r="Y20">
        <v>100</v>
      </c>
      <c r="Z20">
        <v>5936</v>
      </c>
      <c r="AA20">
        <v>358</v>
      </c>
      <c r="AB20">
        <v>3482</v>
      </c>
      <c r="AC20" t="s">
        <v>73</v>
      </c>
      <c r="AD20" t="s">
        <v>73</v>
      </c>
      <c r="AE20">
        <v>512</v>
      </c>
      <c r="AF20">
        <v>3120</v>
      </c>
      <c r="AG20">
        <v>42</v>
      </c>
      <c r="AH20">
        <v>480</v>
      </c>
      <c r="AI20" t="s">
        <v>73</v>
      </c>
      <c r="AJ20" t="s">
        <v>73</v>
      </c>
    </row>
    <row r="21" spans="1:36" x14ac:dyDescent="0.4">
      <c r="A21" s="1" t="s">
        <v>30</v>
      </c>
      <c r="B21" s="1" t="s">
        <v>31</v>
      </c>
      <c r="C21">
        <v>3264</v>
      </c>
      <c r="D21">
        <v>171</v>
      </c>
      <c r="E21">
        <v>3356</v>
      </c>
      <c r="F21">
        <v>189</v>
      </c>
      <c r="G21">
        <v>78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4517</v>
      </c>
      <c r="S21">
        <v>1719</v>
      </c>
      <c r="T21">
        <v>4663</v>
      </c>
      <c r="U21">
        <v>1804</v>
      </c>
      <c r="V21">
        <v>5799</v>
      </c>
      <c r="W21">
        <v>800</v>
      </c>
      <c r="X21">
        <v>3582</v>
      </c>
      <c r="Y21">
        <v>109</v>
      </c>
      <c r="Z21">
        <v>6762</v>
      </c>
      <c r="AA21">
        <v>410</v>
      </c>
      <c r="AB21">
        <v>3828</v>
      </c>
      <c r="AC21" t="s">
        <v>73</v>
      </c>
      <c r="AD21" t="s">
        <v>73</v>
      </c>
      <c r="AE21">
        <v>572</v>
      </c>
      <c r="AF21">
        <v>3568</v>
      </c>
      <c r="AG21">
        <v>11</v>
      </c>
      <c r="AH21">
        <v>198</v>
      </c>
      <c r="AI21" t="s">
        <v>73</v>
      </c>
      <c r="AJ21" t="s">
        <v>73</v>
      </c>
    </row>
    <row r="22" spans="1:36" x14ac:dyDescent="0.4">
      <c r="A22" s="1" t="s">
        <v>32</v>
      </c>
      <c r="B22" s="1" t="s">
        <v>33</v>
      </c>
      <c r="C22">
        <v>3028</v>
      </c>
      <c r="D22">
        <v>159</v>
      </c>
      <c r="E22">
        <v>2956</v>
      </c>
      <c r="F22">
        <v>146</v>
      </c>
      <c r="G22">
        <v>150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4599</v>
      </c>
      <c r="S22">
        <v>1672</v>
      </c>
      <c r="T22">
        <v>4000</v>
      </c>
      <c r="U22">
        <v>1623</v>
      </c>
      <c r="V22">
        <v>6398</v>
      </c>
      <c r="W22">
        <v>229</v>
      </c>
      <c r="X22">
        <v>832</v>
      </c>
      <c r="Y22">
        <v>92</v>
      </c>
      <c r="Z22">
        <v>5685</v>
      </c>
      <c r="AA22">
        <v>355</v>
      </c>
      <c r="AB22">
        <v>3206</v>
      </c>
      <c r="AC22" t="s">
        <v>73</v>
      </c>
      <c r="AD22" t="s">
        <v>73</v>
      </c>
      <c r="AE22">
        <v>519</v>
      </c>
      <c r="AF22">
        <v>3259</v>
      </c>
      <c r="AG22">
        <v>37</v>
      </c>
      <c r="AH22">
        <v>867</v>
      </c>
      <c r="AI22" t="s">
        <v>73</v>
      </c>
      <c r="AJ22" t="s">
        <v>73</v>
      </c>
    </row>
    <row r="23" spans="1:36" x14ac:dyDescent="0.4">
      <c r="A23" s="1" t="s">
        <v>34</v>
      </c>
      <c r="B23" s="1" t="s">
        <v>35</v>
      </c>
      <c r="C23">
        <v>3175</v>
      </c>
      <c r="D23">
        <v>164</v>
      </c>
      <c r="E23">
        <v>3139</v>
      </c>
      <c r="F23">
        <v>172</v>
      </c>
      <c r="G23">
        <v>186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4879</v>
      </c>
      <c r="S23">
        <v>1948</v>
      </c>
      <c r="T23">
        <v>4590</v>
      </c>
      <c r="U23">
        <v>2065</v>
      </c>
      <c r="V23">
        <v>6687</v>
      </c>
      <c r="W23">
        <v>838</v>
      </c>
      <c r="X23">
        <v>2959</v>
      </c>
      <c r="Y23">
        <v>83</v>
      </c>
      <c r="Z23">
        <v>4869</v>
      </c>
      <c r="AA23">
        <v>308</v>
      </c>
      <c r="AB23">
        <v>2894</v>
      </c>
      <c r="AC23" t="s">
        <v>73</v>
      </c>
      <c r="AD23" t="s">
        <v>73</v>
      </c>
      <c r="AE23">
        <v>593</v>
      </c>
      <c r="AF23">
        <v>3613</v>
      </c>
      <c r="AG23">
        <v>22</v>
      </c>
      <c r="AH23">
        <v>435</v>
      </c>
      <c r="AI23" t="s">
        <v>73</v>
      </c>
      <c r="AJ23" t="s">
        <v>73</v>
      </c>
    </row>
    <row r="24" spans="1:36" x14ac:dyDescent="0.4">
      <c r="A24" s="1" t="s">
        <v>36</v>
      </c>
      <c r="B24" s="1" t="s">
        <v>37</v>
      </c>
      <c r="C24">
        <v>2774</v>
      </c>
      <c r="D24">
        <v>145</v>
      </c>
      <c r="E24">
        <v>2730</v>
      </c>
      <c r="F24">
        <v>138</v>
      </c>
      <c r="G24">
        <v>230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4155</v>
      </c>
      <c r="S24">
        <v>1495</v>
      </c>
      <c r="T24">
        <v>3644</v>
      </c>
      <c r="U24">
        <v>1355</v>
      </c>
      <c r="V24">
        <v>7198</v>
      </c>
      <c r="W24">
        <v>868</v>
      </c>
      <c r="X24">
        <v>3028</v>
      </c>
      <c r="Y24">
        <v>87</v>
      </c>
      <c r="Z24">
        <v>4801</v>
      </c>
      <c r="AA24">
        <v>305</v>
      </c>
      <c r="AB24">
        <v>2509</v>
      </c>
      <c r="AC24" t="s">
        <v>73</v>
      </c>
      <c r="AD24" t="s">
        <v>73</v>
      </c>
      <c r="AE24">
        <v>627</v>
      </c>
      <c r="AF24">
        <v>3642</v>
      </c>
      <c r="AG24">
        <v>23</v>
      </c>
      <c r="AH24">
        <v>656</v>
      </c>
      <c r="AI24" t="s">
        <v>73</v>
      </c>
      <c r="AJ24" t="s">
        <v>73</v>
      </c>
    </row>
    <row r="25" spans="1:36" x14ac:dyDescent="0.4">
      <c r="A25" s="1" t="s">
        <v>38</v>
      </c>
      <c r="B25" s="1" t="s">
        <v>39</v>
      </c>
      <c r="C25">
        <v>3374</v>
      </c>
      <c r="D25">
        <v>177</v>
      </c>
      <c r="E25">
        <v>3400</v>
      </c>
      <c r="F25">
        <v>171</v>
      </c>
      <c r="G25">
        <v>204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4220</v>
      </c>
      <c r="S25">
        <v>1548</v>
      </c>
      <c r="T25">
        <v>5014</v>
      </c>
      <c r="U25">
        <v>1883</v>
      </c>
      <c r="V25">
        <v>6404</v>
      </c>
      <c r="W25">
        <v>1996</v>
      </c>
      <c r="X25">
        <v>4545</v>
      </c>
      <c r="Y25">
        <v>83</v>
      </c>
      <c r="Z25">
        <v>4892</v>
      </c>
      <c r="AA25">
        <v>225</v>
      </c>
      <c r="AB25">
        <v>2491</v>
      </c>
      <c r="AC25" t="s">
        <v>73</v>
      </c>
      <c r="AD25" t="s">
        <v>73</v>
      </c>
      <c r="AE25">
        <v>586</v>
      </c>
      <c r="AF25">
        <v>3342</v>
      </c>
      <c r="AG25">
        <v>20</v>
      </c>
      <c r="AH25">
        <v>639</v>
      </c>
      <c r="AI25" t="s">
        <v>73</v>
      </c>
      <c r="AJ25" t="s">
        <v>73</v>
      </c>
    </row>
    <row r="26" spans="1:36" x14ac:dyDescent="0.4">
      <c r="A26" s="1" t="s">
        <v>40</v>
      </c>
      <c r="B26" s="1" t="s">
        <v>41</v>
      </c>
      <c r="C26">
        <v>3332</v>
      </c>
      <c r="D26">
        <v>172</v>
      </c>
      <c r="E26">
        <v>3456</v>
      </c>
      <c r="F26">
        <v>193</v>
      </c>
      <c r="G26">
        <v>80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4373</v>
      </c>
      <c r="S26">
        <v>1677</v>
      </c>
      <c r="T26">
        <v>4070</v>
      </c>
      <c r="U26">
        <v>1531</v>
      </c>
      <c r="V26">
        <v>6707</v>
      </c>
      <c r="W26">
        <v>3614</v>
      </c>
      <c r="X26">
        <v>7015</v>
      </c>
      <c r="Y26">
        <v>84</v>
      </c>
      <c r="Z26">
        <v>4700</v>
      </c>
      <c r="AA26">
        <v>218</v>
      </c>
      <c r="AB26">
        <v>2758</v>
      </c>
      <c r="AC26" t="s">
        <v>73</v>
      </c>
      <c r="AD26" t="s">
        <v>73</v>
      </c>
      <c r="AE26">
        <v>555</v>
      </c>
      <c r="AF26">
        <v>3459</v>
      </c>
      <c r="AG26">
        <v>65</v>
      </c>
      <c r="AH26">
        <v>783</v>
      </c>
      <c r="AI26" t="s">
        <v>73</v>
      </c>
      <c r="AJ26" t="s">
        <v>73</v>
      </c>
    </row>
    <row r="27" spans="1:36" x14ac:dyDescent="0.4">
      <c r="A27" s="1" t="s">
        <v>42</v>
      </c>
      <c r="B27" s="1" t="s">
        <v>43</v>
      </c>
      <c r="C27">
        <v>3864</v>
      </c>
      <c r="D27">
        <v>193</v>
      </c>
      <c r="E27">
        <v>3810</v>
      </c>
      <c r="F27">
        <v>189</v>
      </c>
      <c r="G27">
        <v>134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4453</v>
      </c>
      <c r="S27">
        <v>1683</v>
      </c>
      <c r="T27">
        <v>5276</v>
      </c>
      <c r="U27">
        <v>1982</v>
      </c>
      <c r="V27">
        <v>5884</v>
      </c>
      <c r="W27">
        <v>694</v>
      </c>
      <c r="X27">
        <v>1542</v>
      </c>
      <c r="Y27">
        <v>97</v>
      </c>
      <c r="Z27">
        <v>6046</v>
      </c>
      <c r="AA27">
        <v>315</v>
      </c>
      <c r="AB27">
        <v>2893</v>
      </c>
      <c r="AC27" t="s">
        <v>73</v>
      </c>
      <c r="AD27" t="s">
        <v>73</v>
      </c>
      <c r="AE27">
        <v>643</v>
      </c>
      <c r="AF27">
        <v>3710</v>
      </c>
      <c r="AG27">
        <v>7</v>
      </c>
      <c r="AH27">
        <v>161</v>
      </c>
      <c r="AI27" t="s">
        <v>73</v>
      </c>
      <c r="AJ27" t="s">
        <v>73</v>
      </c>
    </row>
    <row r="28" spans="1:36" x14ac:dyDescent="0.4">
      <c r="A28" s="1" t="s">
        <v>44</v>
      </c>
      <c r="B28" s="1" t="s">
        <v>45</v>
      </c>
      <c r="C28">
        <v>3477</v>
      </c>
      <c r="D28">
        <v>175</v>
      </c>
      <c r="E28">
        <v>3441</v>
      </c>
      <c r="F28">
        <v>178</v>
      </c>
      <c r="G28">
        <v>170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4303</v>
      </c>
      <c r="S28">
        <v>1557</v>
      </c>
      <c r="T28">
        <v>4113</v>
      </c>
      <c r="U28">
        <v>1491</v>
      </c>
      <c r="V28">
        <v>6074</v>
      </c>
      <c r="W28">
        <v>934</v>
      </c>
      <c r="X28">
        <v>2497</v>
      </c>
      <c r="Y28">
        <v>92</v>
      </c>
      <c r="Z28">
        <v>5698</v>
      </c>
      <c r="AA28">
        <v>293</v>
      </c>
      <c r="AB28">
        <v>3143</v>
      </c>
      <c r="AC28" t="s">
        <v>73</v>
      </c>
      <c r="AD28" t="s">
        <v>73</v>
      </c>
      <c r="AE28">
        <v>678</v>
      </c>
      <c r="AF28">
        <v>3842</v>
      </c>
      <c r="AG28">
        <v>19</v>
      </c>
      <c r="AH28">
        <v>395</v>
      </c>
      <c r="AI28" t="s">
        <v>73</v>
      </c>
      <c r="AJ28" t="s">
        <v>73</v>
      </c>
    </row>
    <row r="29" spans="1:36" x14ac:dyDescent="0.4">
      <c r="A29" s="1" t="s">
        <v>46</v>
      </c>
      <c r="B29" s="1" t="s">
        <v>47</v>
      </c>
      <c r="C29">
        <v>3376</v>
      </c>
      <c r="D29">
        <v>169</v>
      </c>
      <c r="E29">
        <v>3309</v>
      </c>
      <c r="F29">
        <v>164</v>
      </c>
      <c r="G29">
        <v>237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3317</v>
      </c>
      <c r="S29">
        <v>1257</v>
      </c>
      <c r="T29">
        <v>3741</v>
      </c>
      <c r="U29">
        <v>1480</v>
      </c>
      <c r="V29">
        <v>5650</v>
      </c>
      <c r="W29">
        <v>463</v>
      </c>
      <c r="X29">
        <v>1391</v>
      </c>
      <c r="Y29">
        <v>99</v>
      </c>
      <c r="Z29">
        <v>6080</v>
      </c>
      <c r="AA29">
        <v>392</v>
      </c>
      <c r="AB29">
        <v>3081</v>
      </c>
      <c r="AC29" t="s">
        <v>73</v>
      </c>
      <c r="AD29" t="s">
        <v>73</v>
      </c>
      <c r="AE29">
        <v>667</v>
      </c>
      <c r="AF29">
        <v>3738</v>
      </c>
      <c r="AG29">
        <v>12</v>
      </c>
      <c r="AH29">
        <v>243</v>
      </c>
      <c r="AI29" t="s">
        <v>73</v>
      </c>
      <c r="AJ29" t="s">
        <v>73</v>
      </c>
    </row>
    <row r="30" spans="1:36" x14ac:dyDescent="0.4">
      <c r="A30" s="1" t="s">
        <v>48</v>
      </c>
      <c r="B30" s="1" t="s">
        <v>49</v>
      </c>
      <c r="C30">
        <v>3664</v>
      </c>
      <c r="D30">
        <v>186</v>
      </c>
      <c r="E30">
        <v>3726</v>
      </c>
      <c r="F30">
        <v>193</v>
      </c>
      <c r="G30">
        <v>175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3519</v>
      </c>
      <c r="S30">
        <v>1488</v>
      </c>
      <c r="T30">
        <v>3206</v>
      </c>
      <c r="U30">
        <v>1426</v>
      </c>
      <c r="V30">
        <v>5963</v>
      </c>
      <c r="W30">
        <v>1433</v>
      </c>
      <c r="X30">
        <v>3943</v>
      </c>
      <c r="Y30">
        <v>99</v>
      </c>
      <c r="Z30">
        <v>6066</v>
      </c>
      <c r="AA30">
        <v>441</v>
      </c>
      <c r="AB30">
        <v>3401</v>
      </c>
      <c r="AC30" t="s">
        <v>73</v>
      </c>
      <c r="AD30" t="s">
        <v>73</v>
      </c>
      <c r="AE30">
        <v>621</v>
      </c>
      <c r="AF30">
        <v>3682</v>
      </c>
      <c r="AG30">
        <v>25</v>
      </c>
      <c r="AH30">
        <v>394</v>
      </c>
      <c r="AI30" t="s">
        <v>73</v>
      </c>
      <c r="AJ30" t="s">
        <v>73</v>
      </c>
    </row>
    <row r="31" spans="1:36" x14ac:dyDescent="0.4">
      <c r="A31" s="1" t="s">
        <v>50</v>
      </c>
      <c r="B31" s="1" t="s">
        <v>51</v>
      </c>
      <c r="C31">
        <v>3215</v>
      </c>
      <c r="D31">
        <v>160</v>
      </c>
      <c r="E31">
        <v>3261</v>
      </c>
      <c r="F31">
        <v>165</v>
      </c>
      <c r="G31">
        <v>129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3017</v>
      </c>
      <c r="S31">
        <v>1444</v>
      </c>
      <c r="T31">
        <v>3299</v>
      </c>
      <c r="U31">
        <v>1565</v>
      </c>
      <c r="V31">
        <v>5681</v>
      </c>
      <c r="W31">
        <v>892</v>
      </c>
      <c r="X31">
        <v>2448</v>
      </c>
      <c r="Y31">
        <v>84</v>
      </c>
      <c r="Z31">
        <v>5488</v>
      </c>
      <c r="AA31">
        <v>418</v>
      </c>
      <c r="AB31">
        <v>3118</v>
      </c>
      <c r="AC31" t="s">
        <v>73</v>
      </c>
      <c r="AD31" t="s">
        <v>73</v>
      </c>
      <c r="AE31">
        <v>558</v>
      </c>
      <c r="AF31">
        <v>2985</v>
      </c>
      <c r="AG31">
        <v>22</v>
      </c>
      <c r="AH31">
        <v>324</v>
      </c>
      <c r="AI31" t="s">
        <v>73</v>
      </c>
      <c r="AJ31" t="s">
        <v>73</v>
      </c>
    </row>
    <row r="32" spans="1:36" x14ac:dyDescent="0.4">
      <c r="A32" s="1" t="s">
        <v>52</v>
      </c>
      <c r="B32" s="1" t="s">
        <v>53</v>
      </c>
      <c r="C32">
        <v>3332</v>
      </c>
      <c r="D32">
        <v>173</v>
      </c>
      <c r="E32">
        <v>3425</v>
      </c>
      <c r="F32">
        <v>177</v>
      </c>
      <c r="G32">
        <v>36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3450</v>
      </c>
      <c r="S32">
        <v>1590</v>
      </c>
      <c r="T32">
        <v>3364</v>
      </c>
      <c r="U32">
        <v>1515</v>
      </c>
      <c r="V32">
        <v>5767</v>
      </c>
      <c r="W32">
        <v>921</v>
      </c>
      <c r="X32">
        <v>3511</v>
      </c>
      <c r="Y32">
        <v>87</v>
      </c>
      <c r="Z32">
        <v>5925</v>
      </c>
      <c r="AA32">
        <v>430</v>
      </c>
      <c r="AB32">
        <v>3481</v>
      </c>
      <c r="AC32" t="s">
        <v>73</v>
      </c>
      <c r="AD32" t="s">
        <v>73</v>
      </c>
      <c r="AE32">
        <v>610</v>
      </c>
      <c r="AF32">
        <v>3151</v>
      </c>
      <c r="AG32">
        <v>54</v>
      </c>
      <c r="AH32">
        <v>996</v>
      </c>
      <c r="AI32" t="s">
        <v>73</v>
      </c>
      <c r="AJ32" t="s">
        <v>73</v>
      </c>
    </row>
    <row r="33" spans="1:36" x14ac:dyDescent="0.4">
      <c r="A33" s="1" t="s">
        <v>54</v>
      </c>
      <c r="B33" s="1" t="s">
        <v>55</v>
      </c>
      <c r="C33">
        <v>3478</v>
      </c>
      <c r="D33">
        <v>165</v>
      </c>
      <c r="E33">
        <v>3452</v>
      </c>
      <c r="F33">
        <v>165</v>
      </c>
      <c r="G33">
        <v>62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3199</v>
      </c>
      <c r="S33">
        <v>1203</v>
      </c>
      <c r="T33">
        <v>3567</v>
      </c>
      <c r="U33">
        <v>1411</v>
      </c>
      <c r="V33">
        <v>5399</v>
      </c>
      <c r="W33">
        <v>1615</v>
      </c>
      <c r="X33">
        <v>3471</v>
      </c>
      <c r="Y33">
        <v>95</v>
      </c>
      <c r="Z33">
        <v>6026</v>
      </c>
      <c r="AA33">
        <v>403</v>
      </c>
      <c r="AB33">
        <v>3516</v>
      </c>
      <c r="AC33" t="s">
        <v>73</v>
      </c>
      <c r="AD33" t="s">
        <v>73</v>
      </c>
      <c r="AE33">
        <v>659</v>
      </c>
      <c r="AF33">
        <v>3644</v>
      </c>
      <c r="AG33">
        <v>12</v>
      </c>
      <c r="AH33">
        <v>174</v>
      </c>
      <c r="AI33" t="s">
        <v>73</v>
      </c>
      <c r="AJ33" t="s">
        <v>73</v>
      </c>
    </row>
    <row r="34" spans="1:36" x14ac:dyDescent="0.4">
      <c r="A34" s="1" t="s">
        <v>56</v>
      </c>
      <c r="B34" s="1" t="s">
        <v>57</v>
      </c>
      <c r="C34">
        <v>3160</v>
      </c>
      <c r="D34">
        <v>167</v>
      </c>
      <c r="E34">
        <v>3093</v>
      </c>
      <c r="F34">
        <v>153</v>
      </c>
      <c r="G34">
        <v>129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2926</v>
      </c>
      <c r="S34">
        <v>1374</v>
      </c>
      <c r="T34">
        <v>3198</v>
      </c>
      <c r="U34">
        <v>1565</v>
      </c>
      <c r="V34">
        <v>5127</v>
      </c>
      <c r="W34">
        <v>810</v>
      </c>
      <c r="X34">
        <v>2422</v>
      </c>
      <c r="Y34">
        <v>89</v>
      </c>
      <c r="Z34">
        <v>5366</v>
      </c>
      <c r="AA34">
        <v>321</v>
      </c>
      <c r="AB34">
        <v>3417</v>
      </c>
      <c r="AC34" t="s">
        <v>73</v>
      </c>
      <c r="AD34" t="s">
        <v>73</v>
      </c>
      <c r="AE34">
        <v>581</v>
      </c>
      <c r="AF34">
        <v>3387</v>
      </c>
      <c r="AG34">
        <v>34</v>
      </c>
      <c r="AH34">
        <v>538</v>
      </c>
      <c r="AI34" t="s">
        <v>73</v>
      </c>
      <c r="AJ34" t="s">
        <v>73</v>
      </c>
    </row>
    <row r="35" spans="1:36" x14ac:dyDescent="0.4">
      <c r="A35" s="1" t="s">
        <v>58</v>
      </c>
      <c r="B35" s="1" t="s">
        <v>59</v>
      </c>
      <c r="C35">
        <v>4094</v>
      </c>
      <c r="D35">
        <v>213</v>
      </c>
      <c r="E35">
        <v>3996</v>
      </c>
      <c r="F35">
        <v>195</v>
      </c>
      <c r="G35">
        <v>227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3740</v>
      </c>
      <c r="S35">
        <v>1703</v>
      </c>
      <c r="T35">
        <v>3469</v>
      </c>
      <c r="U35">
        <v>1821</v>
      </c>
      <c r="V35">
        <v>5398</v>
      </c>
      <c r="W35">
        <v>1861</v>
      </c>
      <c r="X35">
        <v>5032</v>
      </c>
      <c r="Y35">
        <v>99</v>
      </c>
      <c r="Z35">
        <v>6291</v>
      </c>
      <c r="AA35">
        <v>306</v>
      </c>
      <c r="AB35">
        <v>2522</v>
      </c>
      <c r="AC35" t="s">
        <v>73</v>
      </c>
      <c r="AD35" t="s">
        <v>73</v>
      </c>
      <c r="AE35">
        <v>620</v>
      </c>
      <c r="AF35">
        <v>3828</v>
      </c>
      <c r="AG35">
        <v>16</v>
      </c>
      <c r="AH35">
        <v>139</v>
      </c>
      <c r="AI35" t="s">
        <v>73</v>
      </c>
      <c r="AJ35" t="s">
        <v>73</v>
      </c>
    </row>
    <row r="36" spans="1:36" x14ac:dyDescent="0.4">
      <c r="A36" s="1" t="s">
        <v>60</v>
      </c>
      <c r="B36" s="1" t="s">
        <v>61</v>
      </c>
      <c r="C36">
        <v>3871</v>
      </c>
      <c r="D36">
        <v>202</v>
      </c>
      <c r="E36">
        <v>3837</v>
      </c>
      <c r="F36">
        <v>191</v>
      </c>
      <c r="G36">
        <v>261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3440</v>
      </c>
      <c r="S36">
        <v>1422</v>
      </c>
      <c r="T36">
        <v>3522</v>
      </c>
      <c r="U36">
        <v>1488</v>
      </c>
      <c r="V36">
        <v>5518</v>
      </c>
      <c r="W36">
        <v>1632</v>
      </c>
      <c r="X36">
        <v>3525</v>
      </c>
      <c r="Y36">
        <v>106</v>
      </c>
      <c r="Z36">
        <v>6285</v>
      </c>
      <c r="AA36">
        <v>267</v>
      </c>
      <c r="AB36">
        <v>2644</v>
      </c>
      <c r="AC36" t="s">
        <v>73</v>
      </c>
      <c r="AD36" t="s">
        <v>73</v>
      </c>
      <c r="AE36">
        <v>559</v>
      </c>
      <c r="AF36">
        <v>2994</v>
      </c>
      <c r="AG36">
        <v>38</v>
      </c>
      <c r="AH36">
        <v>499</v>
      </c>
      <c r="AI36" t="s">
        <v>73</v>
      </c>
      <c r="AJ36" t="s">
        <v>73</v>
      </c>
    </row>
    <row r="37" spans="1:36" x14ac:dyDescent="0.4">
      <c r="A37" s="1" t="s">
        <v>62</v>
      </c>
      <c r="B37" s="1" t="s">
        <v>63</v>
      </c>
      <c r="C37">
        <v>4254</v>
      </c>
      <c r="D37">
        <v>204</v>
      </c>
      <c r="E37">
        <v>4379</v>
      </c>
      <c r="F37">
        <v>245</v>
      </c>
      <c r="G37">
        <v>136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3470</v>
      </c>
      <c r="S37">
        <v>1653</v>
      </c>
      <c r="T37">
        <v>3360</v>
      </c>
      <c r="U37">
        <v>1614</v>
      </c>
      <c r="V37">
        <v>5641</v>
      </c>
      <c r="W37">
        <v>1597</v>
      </c>
      <c r="X37">
        <v>3360</v>
      </c>
      <c r="Y37">
        <v>111</v>
      </c>
      <c r="Z37">
        <v>6455</v>
      </c>
      <c r="AA37">
        <v>314</v>
      </c>
      <c r="AB37">
        <v>2878</v>
      </c>
      <c r="AC37" t="s">
        <v>73</v>
      </c>
      <c r="AD37" t="s">
        <v>73</v>
      </c>
      <c r="AE37">
        <v>458</v>
      </c>
      <c r="AF37">
        <v>3036</v>
      </c>
      <c r="AG37">
        <v>36</v>
      </c>
      <c r="AH37">
        <v>730</v>
      </c>
      <c r="AI37" t="s">
        <v>73</v>
      </c>
      <c r="AJ37" t="s">
        <v>73</v>
      </c>
    </row>
    <row r="38" spans="1:36" x14ac:dyDescent="0.4">
      <c r="A38" s="1" t="s">
        <v>64</v>
      </c>
      <c r="B38" s="1" t="s">
        <v>65</v>
      </c>
      <c r="C38">
        <v>2938</v>
      </c>
      <c r="D38">
        <v>155</v>
      </c>
      <c r="E38">
        <v>2944</v>
      </c>
      <c r="F38">
        <v>155</v>
      </c>
      <c r="G38">
        <v>130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3759</v>
      </c>
      <c r="S38">
        <v>1917</v>
      </c>
      <c r="T38">
        <v>3580</v>
      </c>
      <c r="U38">
        <v>1894</v>
      </c>
      <c r="V38">
        <v>5820</v>
      </c>
      <c r="W38">
        <v>1837</v>
      </c>
      <c r="X38">
        <v>5796</v>
      </c>
      <c r="Y38">
        <v>121</v>
      </c>
      <c r="Z38">
        <v>7258</v>
      </c>
      <c r="AA38">
        <v>383</v>
      </c>
      <c r="AB38">
        <v>3126</v>
      </c>
      <c r="AC38" t="s">
        <v>73</v>
      </c>
      <c r="AD38" t="s">
        <v>73</v>
      </c>
      <c r="AE38">
        <v>475</v>
      </c>
      <c r="AF38">
        <v>3087</v>
      </c>
      <c r="AG38">
        <v>27</v>
      </c>
      <c r="AH38">
        <v>675</v>
      </c>
      <c r="AI38" t="s">
        <v>73</v>
      </c>
      <c r="AJ38" t="s">
        <v>73</v>
      </c>
    </row>
    <row r="39" spans="1:36" x14ac:dyDescent="0.4">
      <c r="A39" s="1"/>
      <c r="B39" s="1"/>
    </row>
    <row r="40" spans="1:36" x14ac:dyDescent="0.4">
      <c r="A40" s="1"/>
      <c r="B40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7B87C-8451-4A57-94C6-46CA86A653FD}">
  <dimension ref="A1:FA40"/>
  <sheetViews>
    <sheetView workbookViewId="0">
      <selection activeCell="C9" sqref="C9"/>
    </sheetView>
  </sheetViews>
  <sheetFormatPr defaultColWidth="15.625" defaultRowHeight="18.75" x14ac:dyDescent="0.4"/>
  <sheetData>
    <row r="1" spans="1:157" x14ac:dyDescent="0.4">
      <c r="A1" s="1" t="s">
        <v>66</v>
      </c>
      <c r="B1" s="1"/>
    </row>
    <row r="2" spans="1:157" x14ac:dyDescent="0.4">
      <c r="A2" s="4" t="str">
        <f>HYPERLINK("#'目次(Contents)'!A3","目次に戻る(Return to Contents)")</f>
        <v>目次に戻る(Return to Contents)</v>
      </c>
      <c r="B2" s="1"/>
    </row>
    <row r="3" spans="1:157" x14ac:dyDescent="0.4">
      <c r="A3" s="1"/>
      <c r="B3" s="2" t="s">
        <v>0</v>
      </c>
      <c r="C3" t="s">
        <v>672</v>
      </c>
      <c r="D3" t="s">
        <v>672</v>
      </c>
      <c r="E3" t="s">
        <v>672</v>
      </c>
      <c r="F3" t="s">
        <v>672</v>
      </c>
      <c r="G3" t="s">
        <v>672</v>
      </c>
      <c r="H3" t="s">
        <v>674</v>
      </c>
      <c r="I3" t="s">
        <v>674</v>
      </c>
      <c r="J3" t="s">
        <v>674</v>
      </c>
      <c r="K3" t="s">
        <v>674</v>
      </c>
      <c r="L3" t="s">
        <v>674</v>
      </c>
      <c r="M3" t="s">
        <v>676</v>
      </c>
      <c r="N3" t="s">
        <v>676</v>
      </c>
      <c r="O3" t="s">
        <v>676</v>
      </c>
      <c r="P3" t="s">
        <v>676</v>
      </c>
      <c r="Q3" t="s">
        <v>676</v>
      </c>
      <c r="R3" t="s">
        <v>678</v>
      </c>
      <c r="S3" t="s">
        <v>678</v>
      </c>
      <c r="T3" t="s">
        <v>678</v>
      </c>
      <c r="U3" t="s">
        <v>678</v>
      </c>
      <c r="V3" t="s">
        <v>678</v>
      </c>
      <c r="W3" t="s">
        <v>680</v>
      </c>
      <c r="X3" t="s">
        <v>680</v>
      </c>
      <c r="Y3" t="s">
        <v>680</v>
      </c>
      <c r="Z3" t="s">
        <v>680</v>
      </c>
      <c r="AA3" t="s">
        <v>680</v>
      </c>
      <c r="AB3" t="s">
        <v>682</v>
      </c>
      <c r="AC3" t="s">
        <v>682</v>
      </c>
      <c r="AD3" t="s">
        <v>682</v>
      </c>
      <c r="AE3" t="s">
        <v>682</v>
      </c>
      <c r="AF3" t="s">
        <v>682</v>
      </c>
      <c r="AG3" t="s">
        <v>684</v>
      </c>
      <c r="AH3" t="s">
        <v>684</v>
      </c>
      <c r="AI3" t="s">
        <v>684</v>
      </c>
      <c r="AJ3" t="s">
        <v>684</v>
      </c>
      <c r="AK3" t="s">
        <v>684</v>
      </c>
      <c r="AL3" t="s">
        <v>686</v>
      </c>
      <c r="AM3" t="s">
        <v>686</v>
      </c>
      <c r="AN3" t="s">
        <v>686</v>
      </c>
      <c r="AO3" t="s">
        <v>686</v>
      </c>
      <c r="AP3" t="s">
        <v>686</v>
      </c>
      <c r="AQ3" t="s">
        <v>688</v>
      </c>
      <c r="AR3" t="s">
        <v>688</v>
      </c>
      <c r="AS3" t="s">
        <v>688</v>
      </c>
      <c r="AT3" t="s">
        <v>688</v>
      </c>
      <c r="AU3" t="s">
        <v>688</v>
      </c>
      <c r="AV3" t="s">
        <v>690</v>
      </c>
      <c r="AW3" t="s">
        <v>690</v>
      </c>
      <c r="AX3" t="s">
        <v>690</v>
      </c>
      <c r="AY3" t="s">
        <v>690</v>
      </c>
      <c r="AZ3" t="s">
        <v>690</v>
      </c>
      <c r="BA3" t="s">
        <v>692</v>
      </c>
      <c r="BB3" t="s">
        <v>692</v>
      </c>
      <c r="BC3" t="s">
        <v>692</v>
      </c>
      <c r="BD3" t="s">
        <v>692</v>
      </c>
      <c r="BE3" t="s">
        <v>692</v>
      </c>
      <c r="BF3" t="s">
        <v>694</v>
      </c>
      <c r="BG3" t="s">
        <v>694</v>
      </c>
      <c r="BH3" t="s">
        <v>694</v>
      </c>
      <c r="BI3" t="s">
        <v>694</v>
      </c>
      <c r="BJ3" t="s">
        <v>694</v>
      </c>
      <c r="BK3" t="s">
        <v>696</v>
      </c>
      <c r="BL3" t="s">
        <v>696</v>
      </c>
      <c r="BM3" t="s">
        <v>696</v>
      </c>
      <c r="BN3" t="s">
        <v>696</v>
      </c>
      <c r="BO3" t="s">
        <v>696</v>
      </c>
      <c r="BP3" t="s">
        <v>698</v>
      </c>
      <c r="BQ3" t="s">
        <v>698</v>
      </c>
      <c r="BR3" t="s">
        <v>698</v>
      </c>
      <c r="BS3" t="s">
        <v>698</v>
      </c>
      <c r="BT3" t="s">
        <v>698</v>
      </c>
      <c r="BU3" t="s">
        <v>700</v>
      </c>
      <c r="BV3" t="s">
        <v>700</v>
      </c>
      <c r="BW3" t="s">
        <v>700</v>
      </c>
      <c r="BX3" t="s">
        <v>700</v>
      </c>
      <c r="BY3" t="s">
        <v>700</v>
      </c>
      <c r="BZ3" t="s">
        <v>702</v>
      </c>
      <c r="CA3" t="s">
        <v>702</v>
      </c>
      <c r="CB3" t="s">
        <v>702</v>
      </c>
      <c r="CC3" t="s">
        <v>702</v>
      </c>
      <c r="CD3" t="s">
        <v>702</v>
      </c>
      <c r="CE3" t="s">
        <v>704</v>
      </c>
      <c r="CF3" t="s">
        <v>704</v>
      </c>
      <c r="CG3" t="s">
        <v>704</v>
      </c>
      <c r="CH3" t="s">
        <v>704</v>
      </c>
      <c r="CI3" t="s">
        <v>704</v>
      </c>
      <c r="CJ3" t="s">
        <v>706</v>
      </c>
      <c r="CK3" t="s">
        <v>706</v>
      </c>
      <c r="CL3" t="s">
        <v>706</v>
      </c>
      <c r="CM3" t="s">
        <v>706</v>
      </c>
      <c r="CN3" t="s">
        <v>706</v>
      </c>
      <c r="CO3" t="s">
        <v>708</v>
      </c>
      <c r="CP3" t="s">
        <v>708</v>
      </c>
      <c r="CQ3" t="s">
        <v>708</v>
      </c>
      <c r="CR3" t="s">
        <v>708</v>
      </c>
      <c r="CS3" t="s">
        <v>708</v>
      </c>
      <c r="CT3" t="s">
        <v>710</v>
      </c>
      <c r="CU3" t="s">
        <v>710</v>
      </c>
      <c r="CV3" t="s">
        <v>710</v>
      </c>
      <c r="CW3" t="s">
        <v>710</v>
      </c>
      <c r="CX3" t="s">
        <v>710</v>
      </c>
      <c r="CY3" t="s">
        <v>712</v>
      </c>
      <c r="CZ3" t="s">
        <v>712</v>
      </c>
      <c r="DA3" t="s">
        <v>712</v>
      </c>
      <c r="DB3" t="s">
        <v>712</v>
      </c>
      <c r="DC3" t="s">
        <v>712</v>
      </c>
      <c r="DD3" t="s">
        <v>714</v>
      </c>
      <c r="DE3" t="s">
        <v>714</v>
      </c>
      <c r="DF3" t="s">
        <v>714</v>
      </c>
      <c r="DG3" t="s">
        <v>714</v>
      </c>
      <c r="DH3" t="s">
        <v>714</v>
      </c>
      <c r="DI3" t="s">
        <v>716</v>
      </c>
      <c r="DJ3" t="s">
        <v>716</v>
      </c>
      <c r="DK3" t="s">
        <v>716</v>
      </c>
      <c r="DL3" t="s">
        <v>716</v>
      </c>
      <c r="DM3" t="s">
        <v>716</v>
      </c>
      <c r="DN3" t="s">
        <v>718</v>
      </c>
      <c r="DO3" t="s">
        <v>718</v>
      </c>
      <c r="DP3" t="s">
        <v>718</v>
      </c>
      <c r="DQ3" t="s">
        <v>718</v>
      </c>
      <c r="DR3" t="s">
        <v>718</v>
      </c>
      <c r="DS3" t="s">
        <v>720</v>
      </c>
      <c r="DT3" t="s">
        <v>720</v>
      </c>
      <c r="DU3" t="s">
        <v>720</v>
      </c>
      <c r="DV3" t="s">
        <v>720</v>
      </c>
      <c r="DW3" t="s">
        <v>720</v>
      </c>
      <c r="DX3" t="s">
        <v>722</v>
      </c>
      <c r="DY3" t="s">
        <v>722</v>
      </c>
      <c r="DZ3" t="s">
        <v>722</v>
      </c>
      <c r="EA3" t="s">
        <v>722</v>
      </c>
      <c r="EB3" t="s">
        <v>722</v>
      </c>
      <c r="EC3" t="s">
        <v>724</v>
      </c>
      <c r="ED3" t="s">
        <v>724</v>
      </c>
      <c r="EE3" t="s">
        <v>724</v>
      </c>
      <c r="EF3" t="s">
        <v>724</v>
      </c>
      <c r="EG3" t="s">
        <v>724</v>
      </c>
      <c r="EH3" t="s">
        <v>726</v>
      </c>
      <c r="EI3" t="s">
        <v>726</v>
      </c>
      <c r="EJ3" t="s">
        <v>726</v>
      </c>
      <c r="EK3" t="s">
        <v>726</v>
      </c>
      <c r="EL3" t="s">
        <v>726</v>
      </c>
      <c r="EM3" t="s">
        <v>728</v>
      </c>
      <c r="EN3" t="s">
        <v>728</v>
      </c>
      <c r="EO3" t="s">
        <v>728</v>
      </c>
      <c r="EP3" t="s">
        <v>728</v>
      </c>
      <c r="EQ3" t="s">
        <v>728</v>
      </c>
      <c r="ER3" t="s">
        <v>730</v>
      </c>
      <c r="ES3" t="s">
        <v>730</v>
      </c>
      <c r="ET3" t="s">
        <v>730</v>
      </c>
      <c r="EU3" t="s">
        <v>730</v>
      </c>
      <c r="EV3" t="s">
        <v>730</v>
      </c>
      <c r="EW3" t="s">
        <v>732</v>
      </c>
      <c r="EX3" t="s">
        <v>732</v>
      </c>
      <c r="EY3" t="s">
        <v>732</v>
      </c>
      <c r="EZ3" t="s">
        <v>732</v>
      </c>
      <c r="FA3" t="s">
        <v>732</v>
      </c>
    </row>
    <row r="4" spans="1:157" x14ac:dyDescent="0.4">
      <c r="A4" s="1"/>
      <c r="B4" s="2" t="s">
        <v>1</v>
      </c>
      <c r="C4" t="s">
        <v>673</v>
      </c>
      <c r="D4" t="s">
        <v>673</v>
      </c>
      <c r="E4" t="s">
        <v>673</v>
      </c>
      <c r="F4" t="s">
        <v>673</v>
      </c>
      <c r="G4" t="s">
        <v>673</v>
      </c>
      <c r="H4" t="s">
        <v>675</v>
      </c>
      <c r="I4" t="s">
        <v>675</v>
      </c>
      <c r="J4" t="s">
        <v>675</v>
      </c>
      <c r="K4" t="s">
        <v>675</v>
      </c>
      <c r="L4" t="s">
        <v>675</v>
      </c>
      <c r="M4" t="s">
        <v>677</v>
      </c>
      <c r="N4" t="s">
        <v>677</v>
      </c>
      <c r="O4" t="s">
        <v>677</v>
      </c>
      <c r="P4" t="s">
        <v>677</v>
      </c>
      <c r="Q4" t="s">
        <v>677</v>
      </c>
      <c r="R4" t="s">
        <v>679</v>
      </c>
      <c r="S4" t="s">
        <v>679</v>
      </c>
      <c r="T4" t="s">
        <v>679</v>
      </c>
      <c r="U4" t="s">
        <v>679</v>
      </c>
      <c r="V4" t="s">
        <v>679</v>
      </c>
      <c r="W4" t="s">
        <v>681</v>
      </c>
      <c r="X4" t="s">
        <v>681</v>
      </c>
      <c r="Y4" t="s">
        <v>681</v>
      </c>
      <c r="Z4" t="s">
        <v>681</v>
      </c>
      <c r="AA4" t="s">
        <v>681</v>
      </c>
      <c r="AB4" t="s">
        <v>683</v>
      </c>
      <c r="AC4" t="s">
        <v>683</v>
      </c>
      <c r="AD4" t="s">
        <v>683</v>
      </c>
      <c r="AE4" t="s">
        <v>683</v>
      </c>
      <c r="AF4" t="s">
        <v>683</v>
      </c>
      <c r="AG4" t="s">
        <v>685</v>
      </c>
      <c r="AH4" t="s">
        <v>685</v>
      </c>
      <c r="AI4" t="s">
        <v>685</v>
      </c>
      <c r="AJ4" t="s">
        <v>685</v>
      </c>
      <c r="AK4" t="s">
        <v>685</v>
      </c>
      <c r="AL4" t="s">
        <v>687</v>
      </c>
      <c r="AM4" t="s">
        <v>687</v>
      </c>
      <c r="AN4" t="s">
        <v>687</v>
      </c>
      <c r="AO4" t="s">
        <v>687</v>
      </c>
      <c r="AP4" t="s">
        <v>687</v>
      </c>
      <c r="AQ4" t="s">
        <v>689</v>
      </c>
      <c r="AR4" t="s">
        <v>689</v>
      </c>
      <c r="AS4" t="s">
        <v>689</v>
      </c>
      <c r="AT4" t="s">
        <v>689</v>
      </c>
      <c r="AU4" t="s">
        <v>689</v>
      </c>
      <c r="AV4" t="s">
        <v>691</v>
      </c>
      <c r="AW4" t="s">
        <v>691</v>
      </c>
      <c r="AX4" t="s">
        <v>691</v>
      </c>
      <c r="AY4" t="s">
        <v>691</v>
      </c>
      <c r="AZ4" t="s">
        <v>691</v>
      </c>
      <c r="BA4" t="s">
        <v>693</v>
      </c>
      <c r="BB4" t="s">
        <v>693</v>
      </c>
      <c r="BC4" t="s">
        <v>693</v>
      </c>
      <c r="BD4" t="s">
        <v>693</v>
      </c>
      <c r="BE4" t="s">
        <v>693</v>
      </c>
      <c r="BF4" t="s">
        <v>695</v>
      </c>
      <c r="BG4" t="s">
        <v>695</v>
      </c>
      <c r="BH4" t="s">
        <v>695</v>
      </c>
      <c r="BI4" t="s">
        <v>695</v>
      </c>
      <c r="BJ4" t="s">
        <v>695</v>
      </c>
      <c r="BK4" t="s">
        <v>697</v>
      </c>
      <c r="BL4" t="s">
        <v>697</v>
      </c>
      <c r="BM4" t="s">
        <v>697</v>
      </c>
      <c r="BN4" t="s">
        <v>697</v>
      </c>
      <c r="BO4" t="s">
        <v>697</v>
      </c>
      <c r="BP4" t="s">
        <v>699</v>
      </c>
      <c r="BQ4" t="s">
        <v>699</v>
      </c>
      <c r="BR4" t="s">
        <v>699</v>
      </c>
      <c r="BS4" t="s">
        <v>699</v>
      </c>
      <c r="BT4" t="s">
        <v>699</v>
      </c>
      <c r="BU4" t="s">
        <v>701</v>
      </c>
      <c r="BV4" t="s">
        <v>701</v>
      </c>
      <c r="BW4" t="s">
        <v>701</v>
      </c>
      <c r="BX4" t="s">
        <v>701</v>
      </c>
      <c r="BY4" t="s">
        <v>701</v>
      </c>
      <c r="BZ4" t="s">
        <v>703</v>
      </c>
      <c r="CA4" t="s">
        <v>703</v>
      </c>
      <c r="CB4" t="s">
        <v>703</v>
      </c>
      <c r="CC4" t="s">
        <v>703</v>
      </c>
      <c r="CD4" t="s">
        <v>703</v>
      </c>
      <c r="CE4" t="s">
        <v>705</v>
      </c>
      <c r="CF4" t="s">
        <v>705</v>
      </c>
      <c r="CG4" t="s">
        <v>705</v>
      </c>
      <c r="CH4" t="s">
        <v>705</v>
      </c>
      <c r="CI4" t="s">
        <v>705</v>
      </c>
      <c r="CJ4" t="s">
        <v>707</v>
      </c>
      <c r="CK4" t="s">
        <v>707</v>
      </c>
      <c r="CL4" t="s">
        <v>707</v>
      </c>
      <c r="CM4" t="s">
        <v>707</v>
      </c>
      <c r="CN4" t="s">
        <v>707</v>
      </c>
      <c r="CO4" t="s">
        <v>709</v>
      </c>
      <c r="CP4" t="s">
        <v>709</v>
      </c>
      <c r="CQ4" t="s">
        <v>709</v>
      </c>
      <c r="CR4" t="s">
        <v>709</v>
      </c>
      <c r="CS4" t="s">
        <v>709</v>
      </c>
      <c r="CT4" t="s">
        <v>711</v>
      </c>
      <c r="CU4" t="s">
        <v>711</v>
      </c>
      <c r="CV4" t="s">
        <v>711</v>
      </c>
      <c r="CW4" t="s">
        <v>711</v>
      </c>
      <c r="CX4" t="s">
        <v>711</v>
      </c>
      <c r="CY4" t="s">
        <v>713</v>
      </c>
      <c r="CZ4" t="s">
        <v>713</v>
      </c>
      <c r="DA4" t="s">
        <v>713</v>
      </c>
      <c r="DB4" t="s">
        <v>713</v>
      </c>
      <c r="DC4" t="s">
        <v>713</v>
      </c>
      <c r="DD4" t="s">
        <v>715</v>
      </c>
      <c r="DE4" t="s">
        <v>715</v>
      </c>
      <c r="DF4" t="s">
        <v>715</v>
      </c>
      <c r="DG4" t="s">
        <v>715</v>
      </c>
      <c r="DH4" t="s">
        <v>715</v>
      </c>
      <c r="DI4" t="s">
        <v>717</v>
      </c>
      <c r="DJ4" t="s">
        <v>717</v>
      </c>
      <c r="DK4" t="s">
        <v>717</v>
      </c>
      <c r="DL4" t="s">
        <v>717</v>
      </c>
      <c r="DM4" t="s">
        <v>717</v>
      </c>
      <c r="DN4" t="s">
        <v>719</v>
      </c>
      <c r="DO4" t="s">
        <v>719</v>
      </c>
      <c r="DP4" t="s">
        <v>719</v>
      </c>
      <c r="DQ4" t="s">
        <v>719</v>
      </c>
      <c r="DR4" t="s">
        <v>719</v>
      </c>
      <c r="DS4" t="s">
        <v>721</v>
      </c>
      <c r="DT4" t="s">
        <v>721</v>
      </c>
      <c r="DU4" t="s">
        <v>721</v>
      </c>
      <c r="DV4" t="s">
        <v>721</v>
      </c>
      <c r="DW4" t="s">
        <v>721</v>
      </c>
      <c r="DX4" t="s">
        <v>723</v>
      </c>
      <c r="DY4" t="s">
        <v>723</v>
      </c>
      <c r="DZ4" t="s">
        <v>723</v>
      </c>
      <c r="EA4" t="s">
        <v>723</v>
      </c>
      <c r="EB4" t="s">
        <v>723</v>
      </c>
      <c r="EC4" t="s">
        <v>725</v>
      </c>
      <c r="ED4" t="s">
        <v>725</v>
      </c>
      <c r="EE4" t="s">
        <v>725</v>
      </c>
      <c r="EF4" t="s">
        <v>725</v>
      </c>
      <c r="EG4" t="s">
        <v>725</v>
      </c>
      <c r="EH4" t="s">
        <v>727</v>
      </c>
      <c r="EI4" t="s">
        <v>727</v>
      </c>
      <c r="EJ4" t="s">
        <v>727</v>
      </c>
      <c r="EK4" t="s">
        <v>727</v>
      </c>
      <c r="EL4" t="s">
        <v>727</v>
      </c>
      <c r="EM4" t="s">
        <v>729</v>
      </c>
      <c r="EN4" t="s">
        <v>729</v>
      </c>
      <c r="EO4" t="s">
        <v>729</v>
      </c>
      <c r="EP4" t="s">
        <v>729</v>
      </c>
      <c r="EQ4" t="s">
        <v>729</v>
      </c>
      <c r="ER4" t="s">
        <v>731</v>
      </c>
      <c r="ES4" t="s">
        <v>731</v>
      </c>
      <c r="ET4" t="s">
        <v>731</v>
      </c>
      <c r="EU4" t="s">
        <v>731</v>
      </c>
      <c r="EV4" t="s">
        <v>731</v>
      </c>
      <c r="EW4" t="s">
        <v>733</v>
      </c>
      <c r="EX4" t="s">
        <v>733</v>
      </c>
      <c r="EY4" t="s">
        <v>733</v>
      </c>
      <c r="EZ4" t="s">
        <v>733</v>
      </c>
      <c r="FA4" t="s">
        <v>733</v>
      </c>
    </row>
    <row r="5" spans="1:15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257</v>
      </c>
      <c r="CQ5" t="s">
        <v>74</v>
      </c>
      <c r="CR5" t="s">
        <v>263</v>
      </c>
      <c r="CS5" t="s">
        <v>76</v>
      </c>
      <c r="CT5" t="s">
        <v>69</v>
      </c>
      <c r="CU5" t="s">
        <v>257</v>
      </c>
      <c r="CV5" t="s">
        <v>74</v>
      </c>
      <c r="CW5" t="s">
        <v>263</v>
      </c>
      <c r="CX5" t="s">
        <v>76</v>
      </c>
      <c r="CY5" t="s">
        <v>69</v>
      </c>
      <c r="CZ5" t="s">
        <v>257</v>
      </c>
      <c r="DA5" t="s">
        <v>74</v>
      </c>
      <c r="DB5" t="s">
        <v>263</v>
      </c>
      <c r="DC5" t="s">
        <v>76</v>
      </c>
      <c r="DD5" t="s">
        <v>69</v>
      </c>
      <c r="DE5" t="s">
        <v>257</v>
      </c>
      <c r="DF5" t="s">
        <v>74</v>
      </c>
      <c r="DG5" t="s">
        <v>263</v>
      </c>
      <c r="DH5" t="s">
        <v>76</v>
      </c>
      <c r="DI5" t="s">
        <v>69</v>
      </c>
      <c r="DJ5" t="s">
        <v>257</v>
      </c>
      <c r="DK5" t="s">
        <v>74</v>
      </c>
      <c r="DL5" t="s">
        <v>263</v>
      </c>
      <c r="DM5" t="s">
        <v>76</v>
      </c>
      <c r="DN5" t="s">
        <v>69</v>
      </c>
      <c r="DO5" t="s">
        <v>257</v>
      </c>
      <c r="DP5" t="s">
        <v>74</v>
      </c>
      <c r="DQ5" t="s">
        <v>263</v>
      </c>
      <c r="DR5" t="s">
        <v>76</v>
      </c>
      <c r="DS5" t="s">
        <v>69</v>
      </c>
      <c r="DT5" t="s">
        <v>257</v>
      </c>
      <c r="DU5" t="s">
        <v>74</v>
      </c>
      <c r="DV5" t="s">
        <v>263</v>
      </c>
      <c r="DW5" t="s">
        <v>76</v>
      </c>
      <c r="DX5" t="s">
        <v>69</v>
      </c>
      <c r="DY5" t="s">
        <v>257</v>
      </c>
      <c r="DZ5" t="s">
        <v>74</v>
      </c>
      <c r="EA5" t="s">
        <v>263</v>
      </c>
      <c r="EB5" t="s">
        <v>76</v>
      </c>
      <c r="EC5" t="s">
        <v>69</v>
      </c>
      <c r="ED5" t="s">
        <v>257</v>
      </c>
      <c r="EE5" t="s">
        <v>74</v>
      </c>
      <c r="EF5" t="s">
        <v>263</v>
      </c>
      <c r="EG5" t="s">
        <v>76</v>
      </c>
      <c r="EH5" t="s">
        <v>69</v>
      </c>
      <c r="EI5" t="s">
        <v>257</v>
      </c>
      <c r="EJ5" t="s">
        <v>74</v>
      </c>
      <c r="EK5" t="s">
        <v>263</v>
      </c>
      <c r="EL5" t="s">
        <v>76</v>
      </c>
      <c r="EM5" t="s">
        <v>69</v>
      </c>
      <c r="EN5" t="s">
        <v>257</v>
      </c>
      <c r="EO5" t="s">
        <v>74</v>
      </c>
      <c r="EP5" t="s">
        <v>263</v>
      </c>
      <c r="EQ5" t="s">
        <v>76</v>
      </c>
      <c r="ER5" t="s">
        <v>69</v>
      </c>
      <c r="ES5" t="s">
        <v>257</v>
      </c>
      <c r="ET5" t="s">
        <v>74</v>
      </c>
      <c r="EU5" t="s">
        <v>263</v>
      </c>
      <c r="EV5" t="s">
        <v>76</v>
      </c>
      <c r="EW5" t="s">
        <v>69</v>
      </c>
      <c r="EX5" t="s">
        <v>257</v>
      </c>
      <c r="EY5" t="s">
        <v>74</v>
      </c>
      <c r="EZ5" t="s">
        <v>263</v>
      </c>
      <c r="FA5" t="s">
        <v>76</v>
      </c>
    </row>
    <row r="6" spans="1:15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259</v>
      </c>
      <c r="CQ6" t="s">
        <v>75</v>
      </c>
      <c r="CR6" t="s">
        <v>264</v>
      </c>
      <c r="CS6" t="s">
        <v>77</v>
      </c>
      <c r="CT6" t="s">
        <v>72</v>
      </c>
      <c r="CU6" t="s">
        <v>259</v>
      </c>
      <c r="CV6" t="s">
        <v>75</v>
      </c>
      <c r="CW6" t="s">
        <v>264</v>
      </c>
      <c r="CX6" t="s">
        <v>77</v>
      </c>
      <c r="CY6" t="s">
        <v>72</v>
      </c>
      <c r="CZ6" t="s">
        <v>259</v>
      </c>
      <c r="DA6" t="s">
        <v>75</v>
      </c>
      <c r="DB6" t="s">
        <v>264</v>
      </c>
      <c r="DC6" t="s">
        <v>77</v>
      </c>
      <c r="DD6" t="s">
        <v>72</v>
      </c>
      <c r="DE6" t="s">
        <v>259</v>
      </c>
      <c r="DF6" t="s">
        <v>75</v>
      </c>
      <c r="DG6" t="s">
        <v>264</v>
      </c>
      <c r="DH6" t="s">
        <v>77</v>
      </c>
      <c r="DI6" t="s">
        <v>72</v>
      </c>
      <c r="DJ6" t="s">
        <v>259</v>
      </c>
      <c r="DK6" t="s">
        <v>75</v>
      </c>
      <c r="DL6" t="s">
        <v>264</v>
      </c>
      <c r="DM6" t="s">
        <v>77</v>
      </c>
      <c r="DN6" t="s">
        <v>72</v>
      </c>
      <c r="DO6" t="s">
        <v>259</v>
      </c>
      <c r="DP6" t="s">
        <v>75</v>
      </c>
      <c r="DQ6" t="s">
        <v>264</v>
      </c>
      <c r="DR6" t="s">
        <v>77</v>
      </c>
      <c r="DS6" t="s">
        <v>72</v>
      </c>
      <c r="DT6" t="s">
        <v>259</v>
      </c>
      <c r="DU6" t="s">
        <v>75</v>
      </c>
      <c r="DV6" t="s">
        <v>264</v>
      </c>
      <c r="DW6" t="s">
        <v>77</v>
      </c>
      <c r="DX6" t="s">
        <v>72</v>
      </c>
      <c r="DY6" t="s">
        <v>259</v>
      </c>
      <c r="DZ6" t="s">
        <v>75</v>
      </c>
      <c r="EA6" t="s">
        <v>264</v>
      </c>
      <c r="EB6" t="s">
        <v>77</v>
      </c>
      <c r="EC6" t="s">
        <v>72</v>
      </c>
      <c r="ED6" t="s">
        <v>259</v>
      </c>
      <c r="EE6" t="s">
        <v>75</v>
      </c>
      <c r="EF6" t="s">
        <v>264</v>
      </c>
      <c r="EG6" t="s">
        <v>77</v>
      </c>
      <c r="EH6" t="s">
        <v>72</v>
      </c>
      <c r="EI6" t="s">
        <v>259</v>
      </c>
      <c r="EJ6" t="s">
        <v>75</v>
      </c>
      <c r="EK6" t="s">
        <v>264</v>
      </c>
      <c r="EL6" t="s">
        <v>77</v>
      </c>
      <c r="EM6" t="s">
        <v>72</v>
      </c>
      <c r="EN6" t="s">
        <v>259</v>
      </c>
      <c r="EO6" t="s">
        <v>75</v>
      </c>
      <c r="EP6" t="s">
        <v>264</v>
      </c>
      <c r="EQ6" t="s">
        <v>77</v>
      </c>
      <c r="ER6" t="s">
        <v>72</v>
      </c>
      <c r="ES6" t="s">
        <v>259</v>
      </c>
      <c r="ET6" t="s">
        <v>75</v>
      </c>
      <c r="EU6" t="s">
        <v>264</v>
      </c>
      <c r="EV6" t="s">
        <v>77</v>
      </c>
      <c r="EW6" t="s">
        <v>72</v>
      </c>
      <c r="EX6" t="s">
        <v>259</v>
      </c>
      <c r="EY6" t="s">
        <v>75</v>
      </c>
      <c r="EZ6" t="s">
        <v>264</v>
      </c>
      <c r="FA6" t="s">
        <v>77</v>
      </c>
    </row>
    <row r="7" spans="1:15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251</v>
      </c>
      <c r="CK7" t="s">
        <v>258</v>
      </c>
      <c r="CL7" t="s">
        <v>251</v>
      </c>
      <c r="CM7" t="s">
        <v>258</v>
      </c>
      <c r="CN7" t="s">
        <v>251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251</v>
      </c>
      <c r="CU7" t="s">
        <v>258</v>
      </c>
      <c r="CV7" t="s">
        <v>251</v>
      </c>
      <c r="CW7" t="s">
        <v>258</v>
      </c>
      <c r="CX7" t="s">
        <v>251</v>
      </c>
      <c r="CY7" t="s">
        <v>251</v>
      </c>
      <c r="CZ7" t="s">
        <v>258</v>
      </c>
      <c r="DA7" t="s">
        <v>251</v>
      </c>
      <c r="DB7" t="s">
        <v>258</v>
      </c>
      <c r="DC7" t="s">
        <v>251</v>
      </c>
      <c r="DD7" t="s">
        <v>251</v>
      </c>
      <c r="DE7" t="s">
        <v>258</v>
      </c>
      <c r="DF7" t="s">
        <v>251</v>
      </c>
      <c r="DG7" t="s">
        <v>258</v>
      </c>
      <c r="DH7" t="s">
        <v>251</v>
      </c>
      <c r="DI7" t="s">
        <v>251</v>
      </c>
      <c r="DJ7" t="s">
        <v>258</v>
      </c>
      <c r="DK7" t="s">
        <v>251</v>
      </c>
      <c r="DL7" t="s">
        <v>258</v>
      </c>
      <c r="DM7" t="s">
        <v>251</v>
      </c>
      <c r="DN7" t="s">
        <v>251</v>
      </c>
      <c r="DO7" t="s">
        <v>258</v>
      </c>
      <c r="DP7" t="s">
        <v>251</v>
      </c>
      <c r="DQ7" t="s">
        <v>258</v>
      </c>
      <c r="DR7" t="s">
        <v>251</v>
      </c>
      <c r="DS7" t="s">
        <v>251</v>
      </c>
      <c r="DT7" t="s">
        <v>258</v>
      </c>
      <c r="DU7" t="s">
        <v>251</v>
      </c>
      <c r="DV7" t="s">
        <v>258</v>
      </c>
      <c r="DW7" t="s">
        <v>251</v>
      </c>
      <c r="DX7" t="s">
        <v>251</v>
      </c>
      <c r="DY7" t="s">
        <v>258</v>
      </c>
      <c r="DZ7" t="s">
        <v>251</v>
      </c>
      <c r="EA7" t="s">
        <v>258</v>
      </c>
      <c r="EB7" t="s">
        <v>251</v>
      </c>
      <c r="EC7" t="s">
        <v>251</v>
      </c>
      <c r="ED7" t="s">
        <v>258</v>
      </c>
      <c r="EE7" t="s">
        <v>251</v>
      </c>
      <c r="EF7" t="s">
        <v>258</v>
      </c>
      <c r="EG7" t="s">
        <v>251</v>
      </c>
      <c r="EH7" t="s">
        <v>251</v>
      </c>
      <c r="EI7" t="s">
        <v>258</v>
      </c>
      <c r="EJ7" t="s">
        <v>251</v>
      </c>
      <c r="EK7" t="s">
        <v>258</v>
      </c>
      <c r="EL7" t="s">
        <v>251</v>
      </c>
      <c r="EM7" t="s">
        <v>251</v>
      </c>
      <c r="EN7" t="s">
        <v>258</v>
      </c>
      <c r="EO7" t="s">
        <v>251</v>
      </c>
      <c r="EP7" t="s">
        <v>258</v>
      </c>
      <c r="EQ7" t="s">
        <v>251</v>
      </c>
      <c r="ER7" t="s">
        <v>251</v>
      </c>
      <c r="ES7" t="s">
        <v>258</v>
      </c>
      <c r="ET7" t="s">
        <v>251</v>
      </c>
      <c r="EU7" t="s">
        <v>258</v>
      </c>
      <c r="EV7" t="s">
        <v>251</v>
      </c>
      <c r="EW7" t="s">
        <v>251</v>
      </c>
      <c r="EX7" t="s">
        <v>258</v>
      </c>
      <c r="EY7" t="s">
        <v>251</v>
      </c>
      <c r="EZ7" t="s">
        <v>258</v>
      </c>
      <c r="FA7" t="s">
        <v>251</v>
      </c>
    </row>
    <row r="8" spans="1:15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253</v>
      </c>
      <c r="CK8" t="s">
        <v>260</v>
      </c>
      <c r="CL8" t="s">
        <v>253</v>
      </c>
      <c r="CM8" t="s">
        <v>260</v>
      </c>
      <c r="CN8" t="s">
        <v>253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253</v>
      </c>
      <c r="CU8" t="s">
        <v>260</v>
      </c>
      <c r="CV8" t="s">
        <v>253</v>
      </c>
      <c r="CW8" t="s">
        <v>260</v>
      </c>
      <c r="CX8" t="s">
        <v>253</v>
      </c>
      <c r="CY8" t="s">
        <v>253</v>
      </c>
      <c r="CZ8" t="s">
        <v>260</v>
      </c>
      <c r="DA8" t="s">
        <v>253</v>
      </c>
      <c r="DB8" t="s">
        <v>260</v>
      </c>
      <c r="DC8" t="s">
        <v>253</v>
      </c>
      <c r="DD8" t="s">
        <v>253</v>
      </c>
      <c r="DE8" t="s">
        <v>260</v>
      </c>
      <c r="DF8" t="s">
        <v>253</v>
      </c>
      <c r="DG8" t="s">
        <v>260</v>
      </c>
      <c r="DH8" t="s">
        <v>253</v>
      </c>
      <c r="DI8" t="s">
        <v>253</v>
      </c>
      <c r="DJ8" t="s">
        <v>260</v>
      </c>
      <c r="DK8" t="s">
        <v>253</v>
      </c>
      <c r="DL8" t="s">
        <v>260</v>
      </c>
      <c r="DM8" t="s">
        <v>253</v>
      </c>
      <c r="DN8" t="s">
        <v>253</v>
      </c>
      <c r="DO8" t="s">
        <v>260</v>
      </c>
      <c r="DP8" t="s">
        <v>253</v>
      </c>
      <c r="DQ8" t="s">
        <v>260</v>
      </c>
      <c r="DR8" t="s">
        <v>253</v>
      </c>
      <c r="DS8" t="s">
        <v>253</v>
      </c>
      <c r="DT8" t="s">
        <v>260</v>
      </c>
      <c r="DU8" t="s">
        <v>253</v>
      </c>
      <c r="DV8" t="s">
        <v>260</v>
      </c>
      <c r="DW8" t="s">
        <v>253</v>
      </c>
      <c r="DX8" t="s">
        <v>253</v>
      </c>
      <c r="DY8" t="s">
        <v>260</v>
      </c>
      <c r="DZ8" t="s">
        <v>253</v>
      </c>
      <c r="EA8" t="s">
        <v>260</v>
      </c>
      <c r="EB8" t="s">
        <v>253</v>
      </c>
      <c r="EC8" t="s">
        <v>253</v>
      </c>
      <c r="ED8" t="s">
        <v>260</v>
      </c>
      <c r="EE8" t="s">
        <v>253</v>
      </c>
      <c r="EF8" t="s">
        <v>260</v>
      </c>
      <c r="EG8" t="s">
        <v>253</v>
      </c>
      <c r="EH8" t="s">
        <v>253</v>
      </c>
      <c r="EI8" t="s">
        <v>260</v>
      </c>
      <c r="EJ8" t="s">
        <v>253</v>
      </c>
      <c r="EK8" t="s">
        <v>260</v>
      </c>
      <c r="EL8" t="s">
        <v>253</v>
      </c>
      <c r="EM8" t="s">
        <v>253</v>
      </c>
      <c r="EN8" t="s">
        <v>260</v>
      </c>
      <c r="EO8" t="s">
        <v>253</v>
      </c>
      <c r="EP8" t="s">
        <v>260</v>
      </c>
      <c r="EQ8" t="s">
        <v>253</v>
      </c>
      <c r="ER8" t="s">
        <v>253</v>
      </c>
      <c r="ES8" t="s">
        <v>260</v>
      </c>
      <c r="ET8" t="s">
        <v>253</v>
      </c>
      <c r="EU8" t="s">
        <v>260</v>
      </c>
      <c r="EV8" t="s">
        <v>253</v>
      </c>
      <c r="EW8" t="s">
        <v>253</v>
      </c>
      <c r="EX8" t="s">
        <v>260</v>
      </c>
      <c r="EY8" t="s">
        <v>253</v>
      </c>
      <c r="EZ8" t="s">
        <v>260</v>
      </c>
      <c r="FA8" t="s">
        <v>253</v>
      </c>
    </row>
    <row r="9" spans="1:157" x14ac:dyDescent="0.4">
      <c r="A9" s="1" t="s">
        <v>6</v>
      </c>
      <c r="B9" s="3" t="s">
        <v>7</v>
      </c>
      <c r="C9">
        <v>58303</v>
      </c>
      <c r="D9">
        <v>578</v>
      </c>
      <c r="E9">
        <v>764396</v>
      </c>
      <c r="F9">
        <v>5572</v>
      </c>
      <c r="G9">
        <v>128156</v>
      </c>
      <c r="H9">
        <v>229928</v>
      </c>
      <c r="I9">
        <v>3767</v>
      </c>
      <c r="J9">
        <v>145384</v>
      </c>
      <c r="K9">
        <v>1548</v>
      </c>
      <c r="L9">
        <v>57768</v>
      </c>
      <c r="M9">
        <v>2548376</v>
      </c>
      <c r="N9">
        <v>42735</v>
      </c>
      <c r="O9">
        <v>886989</v>
      </c>
      <c r="P9">
        <v>16472</v>
      </c>
      <c r="Q9">
        <v>149029</v>
      </c>
      <c r="R9">
        <v>77912</v>
      </c>
      <c r="S9">
        <v>10875</v>
      </c>
      <c r="T9">
        <v>41878</v>
      </c>
      <c r="U9">
        <v>8832</v>
      </c>
      <c r="V9">
        <v>3039</v>
      </c>
      <c r="W9">
        <v>17944399</v>
      </c>
      <c r="X9">
        <v>278284</v>
      </c>
      <c r="Y9">
        <v>17437151</v>
      </c>
      <c r="Z9">
        <v>284749</v>
      </c>
      <c r="AA9">
        <v>313094</v>
      </c>
      <c r="AB9">
        <v>244</v>
      </c>
      <c r="AC9">
        <v>7725</v>
      </c>
      <c r="AD9">
        <v>225</v>
      </c>
      <c r="AE9">
        <v>7623</v>
      </c>
      <c r="AF9">
        <v>0</v>
      </c>
      <c r="AG9">
        <v>1653</v>
      </c>
      <c r="AH9">
        <v>12286</v>
      </c>
      <c r="AI9">
        <v>1654</v>
      </c>
      <c r="AJ9">
        <v>12296</v>
      </c>
      <c r="AK9">
        <v>16</v>
      </c>
      <c r="AL9">
        <v>54618</v>
      </c>
      <c r="AM9">
        <v>17404</v>
      </c>
      <c r="AN9">
        <v>52958</v>
      </c>
      <c r="AO9">
        <v>16347</v>
      </c>
      <c r="AP9">
        <v>5423</v>
      </c>
      <c r="AQ9">
        <v>14972</v>
      </c>
      <c r="AR9">
        <v>38795</v>
      </c>
      <c r="AS9">
        <v>14230</v>
      </c>
      <c r="AT9">
        <v>36843</v>
      </c>
      <c r="AU9">
        <v>2185</v>
      </c>
      <c r="AV9">
        <v>2580017</v>
      </c>
      <c r="AW9">
        <v>182615</v>
      </c>
      <c r="AX9">
        <v>5270239</v>
      </c>
      <c r="AY9">
        <v>285628</v>
      </c>
      <c r="AZ9">
        <v>651120</v>
      </c>
      <c r="BA9">
        <v>1001847</v>
      </c>
      <c r="BB9">
        <v>148171</v>
      </c>
      <c r="BC9">
        <v>1124454</v>
      </c>
      <c r="BD9">
        <v>152229</v>
      </c>
      <c r="BE9">
        <v>100260</v>
      </c>
      <c r="BF9">
        <v>739169</v>
      </c>
      <c r="BG9">
        <v>396365</v>
      </c>
      <c r="BH9">
        <v>797575</v>
      </c>
      <c r="BI9">
        <v>391563</v>
      </c>
      <c r="BJ9">
        <v>95996</v>
      </c>
      <c r="BK9">
        <v>2994624</v>
      </c>
      <c r="BL9">
        <v>128082</v>
      </c>
      <c r="BM9">
        <v>5513292</v>
      </c>
      <c r="BN9">
        <v>203154</v>
      </c>
      <c r="BO9">
        <v>713233</v>
      </c>
      <c r="BP9">
        <v>1160094</v>
      </c>
      <c r="BQ9">
        <v>119543</v>
      </c>
      <c r="BR9">
        <v>1292224</v>
      </c>
      <c r="BS9">
        <v>122041</v>
      </c>
      <c r="BT9">
        <v>150828</v>
      </c>
      <c r="BU9">
        <v>619959</v>
      </c>
      <c r="BV9">
        <v>89971</v>
      </c>
      <c r="BW9">
        <v>715086</v>
      </c>
      <c r="BX9">
        <v>87376</v>
      </c>
      <c r="BY9">
        <v>93923</v>
      </c>
      <c r="BZ9">
        <v>28899</v>
      </c>
      <c r="CA9">
        <v>36808</v>
      </c>
      <c r="CB9">
        <v>32029</v>
      </c>
      <c r="CC9">
        <v>36523</v>
      </c>
      <c r="CD9">
        <v>5315</v>
      </c>
      <c r="CE9">
        <v>30936</v>
      </c>
      <c r="CF9">
        <v>33085</v>
      </c>
      <c r="CG9">
        <v>34528</v>
      </c>
      <c r="CH9">
        <v>44434</v>
      </c>
      <c r="CI9">
        <v>2402</v>
      </c>
      <c r="CJ9">
        <v>88391</v>
      </c>
      <c r="CK9">
        <v>7453</v>
      </c>
      <c r="CL9">
        <v>111549</v>
      </c>
      <c r="CM9">
        <v>10182</v>
      </c>
      <c r="CN9">
        <v>29619</v>
      </c>
      <c r="CO9">
        <v>7236876</v>
      </c>
      <c r="CP9">
        <v>282417</v>
      </c>
      <c r="CQ9">
        <v>7233276</v>
      </c>
      <c r="CR9">
        <v>283932</v>
      </c>
      <c r="CS9">
        <v>48053</v>
      </c>
      <c r="CT9">
        <v>14540</v>
      </c>
      <c r="CU9">
        <v>18046</v>
      </c>
      <c r="CV9">
        <v>14778</v>
      </c>
      <c r="CW9">
        <v>18130</v>
      </c>
      <c r="CX9">
        <v>687</v>
      </c>
      <c r="CY9">
        <v>119723</v>
      </c>
      <c r="CZ9">
        <v>36110</v>
      </c>
      <c r="DA9">
        <v>117375</v>
      </c>
      <c r="DB9">
        <v>33000</v>
      </c>
      <c r="DC9">
        <v>22453</v>
      </c>
      <c r="DD9">
        <v>135092</v>
      </c>
      <c r="DE9">
        <v>46911</v>
      </c>
      <c r="DF9">
        <v>139112</v>
      </c>
      <c r="DG9">
        <v>48691</v>
      </c>
      <c r="DH9">
        <v>13919</v>
      </c>
      <c r="DI9">
        <v>63213</v>
      </c>
      <c r="DJ9">
        <v>14927</v>
      </c>
      <c r="DK9">
        <v>142021</v>
      </c>
      <c r="DL9">
        <v>18603</v>
      </c>
      <c r="DM9">
        <v>11756</v>
      </c>
      <c r="DN9">
        <v>247839</v>
      </c>
      <c r="DO9">
        <v>12121</v>
      </c>
      <c r="DP9">
        <v>233628</v>
      </c>
      <c r="DQ9">
        <v>10393</v>
      </c>
      <c r="DR9">
        <v>80747</v>
      </c>
      <c r="DS9">
        <v>68547</v>
      </c>
      <c r="DT9">
        <v>13457</v>
      </c>
      <c r="DU9">
        <v>67566</v>
      </c>
      <c r="DV9">
        <v>13005</v>
      </c>
      <c r="DW9">
        <v>5428</v>
      </c>
      <c r="DX9">
        <v>14949</v>
      </c>
      <c r="DY9">
        <v>43456</v>
      </c>
      <c r="DZ9">
        <v>11062</v>
      </c>
      <c r="EA9">
        <v>36718</v>
      </c>
      <c r="EB9">
        <v>1659</v>
      </c>
      <c r="EC9">
        <v>39736</v>
      </c>
      <c r="ED9">
        <v>24689</v>
      </c>
      <c r="EE9">
        <v>39929</v>
      </c>
      <c r="EF9">
        <v>24419</v>
      </c>
      <c r="EG9">
        <v>1854</v>
      </c>
      <c r="EH9">
        <v>23828</v>
      </c>
      <c r="EI9">
        <v>19162</v>
      </c>
      <c r="EJ9">
        <v>69470</v>
      </c>
      <c r="EK9">
        <v>20477</v>
      </c>
      <c r="EL9">
        <v>4926</v>
      </c>
      <c r="EM9">
        <v>77621</v>
      </c>
      <c r="EN9">
        <v>7701</v>
      </c>
      <c r="EO9">
        <v>75656</v>
      </c>
      <c r="EP9">
        <v>7766</v>
      </c>
      <c r="EQ9">
        <v>8718</v>
      </c>
      <c r="ER9">
        <v>12275</v>
      </c>
      <c r="ES9">
        <v>24072</v>
      </c>
      <c r="ET9">
        <v>12241</v>
      </c>
      <c r="EU9">
        <v>23491</v>
      </c>
      <c r="EV9">
        <v>1259</v>
      </c>
      <c r="EW9">
        <v>5003</v>
      </c>
      <c r="EX9">
        <v>8783</v>
      </c>
      <c r="EY9">
        <v>5023</v>
      </c>
      <c r="EZ9">
        <v>8794</v>
      </c>
      <c r="FA9">
        <v>70</v>
      </c>
    </row>
    <row r="10" spans="1:157" x14ac:dyDescent="0.4">
      <c r="A10" s="1" t="s">
        <v>8</v>
      </c>
      <c r="B10" s="3" t="s">
        <v>9</v>
      </c>
      <c r="C10">
        <v>37027</v>
      </c>
      <c r="D10">
        <v>601</v>
      </c>
      <c r="E10">
        <v>704700</v>
      </c>
      <c r="F10">
        <v>5753</v>
      </c>
      <c r="G10">
        <v>65558</v>
      </c>
      <c r="H10">
        <v>237180</v>
      </c>
      <c r="I10">
        <v>4305</v>
      </c>
      <c r="J10">
        <v>139722</v>
      </c>
      <c r="K10">
        <v>1501</v>
      </c>
      <c r="L10">
        <v>54121</v>
      </c>
      <c r="M10">
        <v>2538859</v>
      </c>
      <c r="N10">
        <v>46177</v>
      </c>
      <c r="O10">
        <v>837866</v>
      </c>
      <c r="P10">
        <v>15410</v>
      </c>
      <c r="Q10">
        <v>147174</v>
      </c>
      <c r="R10">
        <v>96249</v>
      </c>
      <c r="S10">
        <v>12624</v>
      </c>
      <c r="T10">
        <v>52819</v>
      </c>
      <c r="U10">
        <v>10300</v>
      </c>
      <c r="V10">
        <v>5429</v>
      </c>
      <c r="W10">
        <v>18756837</v>
      </c>
      <c r="X10">
        <v>309241</v>
      </c>
      <c r="Y10">
        <v>18420725</v>
      </c>
      <c r="Z10">
        <v>316000</v>
      </c>
      <c r="AA10">
        <v>231114</v>
      </c>
      <c r="AB10">
        <v>269</v>
      </c>
      <c r="AC10">
        <v>10521</v>
      </c>
      <c r="AD10">
        <v>263</v>
      </c>
      <c r="AE10">
        <v>10489</v>
      </c>
      <c r="AF10">
        <v>0</v>
      </c>
      <c r="AG10">
        <v>1615</v>
      </c>
      <c r="AH10">
        <v>13520</v>
      </c>
      <c r="AI10">
        <v>1614</v>
      </c>
      <c r="AJ10">
        <v>13415</v>
      </c>
      <c r="AK10">
        <v>17</v>
      </c>
      <c r="AL10">
        <v>53400</v>
      </c>
      <c r="AM10">
        <v>16551</v>
      </c>
      <c r="AN10">
        <v>52929</v>
      </c>
      <c r="AO10">
        <v>16832</v>
      </c>
      <c r="AP10">
        <v>5741</v>
      </c>
      <c r="AQ10">
        <v>14985</v>
      </c>
      <c r="AR10">
        <v>37840</v>
      </c>
      <c r="AS10">
        <v>14603</v>
      </c>
      <c r="AT10">
        <v>37739</v>
      </c>
      <c r="AU10">
        <v>2516</v>
      </c>
      <c r="AV10">
        <v>2605534</v>
      </c>
      <c r="AW10">
        <v>189848</v>
      </c>
      <c r="AX10">
        <v>5192949</v>
      </c>
      <c r="AY10">
        <v>326895</v>
      </c>
      <c r="AZ10">
        <v>616955</v>
      </c>
      <c r="BA10">
        <v>1040801</v>
      </c>
      <c r="BB10">
        <v>167292</v>
      </c>
      <c r="BC10">
        <v>1143454</v>
      </c>
      <c r="BD10">
        <v>175049</v>
      </c>
      <c r="BE10">
        <v>134714</v>
      </c>
      <c r="BF10">
        <v>766095</v>
      </c>
      <c r="BG10">
        <v>441506</v>
      </c>
      <c r="BH10">
        <v>879715</v>
      </c>
      <c r="BI10">
        <v>438595</v>
      </c>
      <c r="BJ10">
        <v>114515</v>
      </c>
      <c r="BK10">
        <v>3006952</v>
      </c>
      <c r="BL10">
        <v>125558</v>
      </c>
      <c r="BM10">
        <v>5441581</v>
      </c>
      <c r="BN10">
        <v>233336</v>
      </c>
      <c r="BO10">
        <v>683480</v>
      </c>
      <c r="BP10">
        <v>1115302</v>
      </c>
      <c r="BQ10">
        <v>122805</v>
      </c>
      <c r="BR10">
        <v>1278160</v>
      </c>
      <c r="BS10">
        <v>134242</v>
      </c>
      <c r="BT10">
        <v>171537</v>
      </c>
      <c r="BU10">
        <v>613823</v>
      </c>
      <c r="BV10">
        <v>94086</v>
      </c>
      <c r="BW10">
        <v>754476</v>
      </c>
      <c r="BX10">
        <v>93718</v>
      </c>
      <c r="BY10">
        <v>118172</v>
      </c>
      <c r="BZ10">
        <v>28090</v>
      </c>
      <c r="CA10">
        <v>36167</v>
      </c>
      <c r="CB10">
        <v>32358</v>
      </c>
      <c r="CC10">
        <v>38086</v>
      </c>
      <c r="CD10">
        <v>5359</v>
      </c>
      <c r="CE10">
        <v>32126</v>
      </c>
      <c r="CF10">
        <v>34400</v>
      </c>
      <c r="CG10">
        <v>36087</v>
      </c>
      <c r="CH10">
        <v>45860</v>
      </c>
      <c r="CI10">
        <v>2087</v>
      </c>
      <c r="CJ10">
        <v>74619</v>
      </c>
      <c r="CK10">
        <v>6126</v>
      </c>
      <c r="CL10">
        <v>114381</v>
      </c>
      <c r="CM10">
        <v>10293</v>
      </c>
      <c r="CN10">
        <v>24355</v>
      </c>
      <c r="CO10">
        <v>6935842</v>
      </c>
      <c r="CP10">
        <v>278616</v>
      </c>
      <c r="CQ10">
        <v>6940956</v>
      </c>
      <c r="CR10">
        <v>284287</v>
      </c>
      <c r="CS10">
        <v>44868</v>
      </c>
      <c r="CT10">
        <v>19420</v>
      </c>
      <c r="CU10">
        <v>17692</v>
      </c>
      <c r="CV10">
        <v>19239</v>
      </c>
      <c r="CW10">
        <v>17298</v>
      </c>
      <c r="CX10">
        <v>796</v>
      </c>
      <c r="CY10">
        <v>114274</v>
      </c>
      <c r="CZ10">
        <v>35552</v>
      </c>
      <c r="DA10">
        <v>112585</v>
      </c>
      <c r="DB10">
        <v>31172</v>
      </c>
      <c r="DC10">
        <v>22203</v>
      </c>
      <c r="DD10">
        <v>123600</v>
      </c>
      <c r="DE10">
        <v>43080</v>
      </c>
      <c r="DF10">
        <v>127825</v>
      </c>
      <c r="DG10">
        <v>45138</v>
      </c>
      <c r="DH10">
        <v>15422</v>
      </c>
      <c r="DI10">
        <v>60386</v>
      </c>
      <c r="DJ10">
        <v>14483</v>
      </c>
      <c r="DK10">
        <v>158969</v>
      </c>
      <c r="DL10">
        <v>18925</v>
      </c>
      <c r="DM10">
        <v>21373</v>
      </c>
      <c r="DN10">
        <v>193174</v>
      </c>
      <c r="DO10">
        <v>11300</v>
      </c>
      <c r="DP10">
        <v>186698</v>
      </c>
      <c r="DQ10">
        <v>9849</v>
      </c>
      <c r="DR10">
        <v>80464</v>
      </c>
      <c r="DS10">
        <v>74602</v>
      </c>
      <c r="DT10">
        <v>15251</v>
      </c>
      <c r="DU10">
        <v>72676</v>
      </c>
      <c r="DV10">
        <v>14402</v>
      </c>
      <c r="DW10">
        <v>7194</v>
      </c>
      <c r="DX10">
        <v>18909</v>
      </c>
      <c r="DY10">
        <v>53691</v>
      </c>
      <c r="DZ10">
        <v>13931</v>
      </c>
      <c r="EA10">
        <v>43568</v>
      </c>
      <c r="EB10">
        <v>2500</v>
      </c>
      <c r="EC10">
        <v>29719</v>
      </c>
      <c r="ED10">
        <v>18839</v>
      </c>
      <c r="EE10">
        <v>30471</v>
      </c>
      <c r="EF10">
        <v>19143</v>
      </c>
      <c r="EG10">
        <v>1388</v>
      </c>
      <c r="EH10">
        <v>23399</v>
      </c>
      <c r="EI10">
        <v>19570</v>
      </c>
      <c r="EJ10">
        <v>38937</v>
      </c>
      <c r="EK10">
        <v>19819</v>
      </c>
      <c r="EL10">
        <v>5637</v>
      </c>
      <c r="EM10">
        <v>78869</v>
      </c>
      <c r="EN10">
        <v>9120</v>
      </c>
      <c r="EO10">
        <v>77727</v>
      </c>
      <c r="EP10">
        <v>9294</v>
      </c>
      <c r="EQ10">
        <v>9197</v>
      </c>
      <c r="ER10">
        <v>14032</v>
      </c>
      <c r="ES10">
        <v>30033</v>
      </c>
      <c r="ET10">
        <v>13378</v>
      </c>
      <c r="EU10">
        <v>28608</v>
      </c>
      <c r="EV10">
        <v>1921</v>
      </c>
      <c r="EW10">
        <v>4386</v>
      </c>
      <c r="EX10">
        <v>9803</v>
      </c>
      <c r="EY10">
        <v>4393</v>
      </c>
      <c r="EZ10">
        <v>9787</v>
      </c>
      <c r="FA10">
        <v>152</v>
      </c>
    </row>
    <row r="11" spans="1:157" x14ac:dyDescent="0.4">
      <c r="A11" s="1" t="s">
        <v>10</v>
      </c>
      <c r="B11" s="3" t="s">
        <v>11</v>
      </c>
      <c r="C11">
        <v>28123</v>
      </c>
      <c r="D11">
        <v>202</v>
      </c>
      <c r="E11">
        <v>462415</v>
      </c>
      <c r="F11">
        <v>3987</v>
      </c>
      <c r="G11">
        <v>37632</v>
      </c>
      <c r="H11">
        <v>161283</v>
      </c>
      <c r="I11">
        <v>3126</v>
      </c>
      <c r="J11">
        <v>78923</v>
      </c>
      <c r="K11">
        <v>892</v>
      </c>
      <c r="L11">
        <v>57789</v>
      </c>
      <c r="M11">
        <v>2166294</v>
      </c>
      <c r="N11">
        <v>39572</v>
      </c>
      <c r="O11">
        <v>753710</v>
      </c>
      <c r="P11">
        <v>14616</v>
      </c>
      <c r="Q11">
        <v>127875</v>
      </c>
      <c r="R11">
        <v>74606</v>
      </c>
      <c r="S11">
        <v>11065</v>
      </c>
      <c r="T11">
        <v>32604</v>
      </c>
      <c r="U11">
        <v>8925</v>
      </c>
      <c r="V11">
        <v>3943</v>
      </c>
      <c r="W11">
        <v>18691716</v>
      </c>
      <c r="X11">
        <v>326483</v>
      </c>
      <c r="Y11">
        <v>18625937</v>
      </c>
      <c r="Z11">
        <v>339102</v>
      </c>
      <c r="AA11">
        <v>239035</v>
      </c>
      <c r="AB11">
        <v>271</v>
      </c>
      <c r="AC11">
        <v>10081</v>
      </c>
      <c r="AD11">
        <v>263</v>
      </c>
      <c r="AE11">
        <v>10034</v>
      </c>
      <c r="AF11">
        <v>0</v>
      </c>
      <c r="AG11">
        <v>1320</v>
      </c>
      <c r="AH11">
        <v>12436</v>
      </c>
      <c r="AI11">
        <v>1318</v>
      </c>
      <c r="AJ11">
        <v>12496</v>
      </c>
      <c r="AK11">
        <v>19</v>
      </c>
      <c r="AL11">
        <v>46269</v>
      </c>
      <c r="AM11">
        <v>17992</v>
      </c>
      <c r="AN11">
        <v>46733</v>
      </c>
      <c r="AO11">
        <v>18376</v>
      </c>
      <c r="AP11">
        <v>5147</v>
      </c>
      <c r="AQ11">
        <v>13743</v>
      </c>
      <c r="AR11">
        <v>36692</v>
      </c>
      <c r="AS11">
        <v>13828</v>
      </c>
      <c r="AT11">
        <v>37798</v>
      </c>
      <c r="AU11">
        <v>2390</v>
      </c>
      <c r="AV11">
        <v>2664098</v>
      </c>
      <c r="AW11">
        <v>192345</v>
      </c>
      <c r="AX11">
        <v>5506994</v>
      </c>
      <c r="AY11">
        <v>350664</v>
      </c>
      <c r="AZ11">
        <v>505508</v>
      </c>
      <c r="BA11">
        <v>974099</v>
      </c>
      <c r="BB11">
        <v>157895</v>
      </c>
      <c r="BC11">
        <v>1111228</v>
      </c>
      <c r="BD11">
        <v>173411</v>
      </c>
      <c r="BE11">
        <v>93079</v>
      </c>
      <c r="BF11">
        <v>724308</v>
      </c>
      <c r="BG11">
        <v>403108</v>
      </c>
      <c r="BH11">
        <v>844612</v>
      </c>
      <c r="BI11">
        <v>410333</v>
      </c>
      <c r="BJ11">
        <v>86834</v>
      </c>
      <c r="BK11">
        <v>2763374</v>
      </c>
      <c r="BL11">
        <v>129845</v>
      </c>
      <c r="BM11">
        <v>5688980</v>
      </c>
      <c r="BN11">
        <v>258112</v>
      </c>
      <c r="BO11">
        <v>522638</v>
      </c>
      <c r="BP11">
        <v>1059852</v>
      </c>
      <c r="BQ11">
        <v>124085</v>
      </c>
      <c r="BR11">
        <v>1303587</v>
      </c>
      <c r="BS11">
        <v>143552</v>
      </c>
      <c r="BT11">
        <v>133950</v>
      </c>
      <c r="BU11">
        <v>589908</v>
      </c>
      <c r="BV11">
        <v>94488</v>
      </c>
      <c r="BW11">
        <v>741209</v>
      </c>
      <c r="BX11">
        <v>100339</v>
      </c>
      <c r="BY11">
        <v>91632</v>
      </c>
      <c r="BZ11">
        <v>28697</v>
      </c>
      <c r="CA11">
        <v>33930</v>
      </c>
      <c r="CB11">
        <v>33151</v>
      </c>
      <c r="CC11">
        <v>35685</v>
      </c>
      <c r="CD11">
        <v>5143</v>
      </c>
      <c r="CE11">
        <v>29046</v>
      </c>
      <c r="CF11">
        <v>32256</v>
      </c>
      <c r="CG11">
        <v>32630</v>
      </c>
      <c r="CH11">
        <v>39764</v>
      </c>
      <c r="CI11">
        <v>1513</v>
      </c>
      <c r="CJ11">
        <v>76944</v>
      </c>
      <c r="CK11">
        <v>6042</v>
      </c>
      <c r="CL11">
        <v>111298</v>
      </c>
      <c r="CM11">
        <v>10230</v>
      </c>
      <c r="CN11">
        <v>18606</v>
      </c>
      <c r="CO11">
        <v>7034858</v>
      </c>
      <c r="CP11">
        <v>344815</v>
      </c>
      <c r="CQ11">
        <v>7037814</v>
      </c>
      <c r="CR11">
        <v>357882</v>
      </c>
      <c r="CS11">
        <v>44829</v>
      </c>
      <c r="CT11">
        <v>23091</v>
      </c>
      <c r="CU11">
        <v>16391</v>
      </c>
      <c r="CV11">
        <v>23195</v>
      </c>
      <c r="CW11">
        <v>16804</v>
      </c>
      <c r="CX11">
        <v>579</v>
      </c>
      <c r="CY11">
        <v>118942</v>
      </c>
      <c r="CZ11">
        <v>32053</v>
      </c>
      <c r="DA11">
        <v>138181</v>
      </c>
      <c r="DB11">
        <v>35266</v>
      </c>
      <c r="DC11">
        <v>31636</v>
      </c>
      <c r="DD11">
        <v>118987</v>
      </c>
      <c r="DE11">
        <v>40181</v>
      </c>
      <c r="DF11">
        <v>123200</v>
      </c>
      <c r="DG11">
        <v>40992</v>
      </c>
      <c r="DH11">
        <v>11899</v>
      </c>
      <c r="DI11">
        <v>64950</v>
      </c>
      <c r="DJ11">
        <v>15455</v>
      </c>
      <c r="DK11">
        <v>130177</v>
      </c>
      <c r="DL11">
        <v>17992</v>
      </c>
      <c r="DM11">
        <v>13563</v>
      </c>
      <c r="DN11">
        <v>173810</v>
      </c>
      <c r="DO11">
        <v>10688</v>
      </c>
      <c r="DP11">
        <v>165934</v>
      </c>
      <c r="DQ11">
        <v>9785</v>
      </c>
      <c r="DR11">
        <v>81914</v>
      </c>
      <c r="DS11">
        <v>73354</v>
      </c>
      <c r="DT11">
        <v>15154</v>
      </c>
      <c r="DU11">
        <v>75336</v>
      </c>
      <c r="DV11">
        <v>15014</v>
      </c>
      <c r="DW11">
        <v>4934</v>
      </c>
      <c r="DX11">
        <v>18532</v>
      </c>
      <c r="DY11">
        <v>51645</v>
      </c>
      <c r="DZ11">
        <v>13951</v>
      </c>
      <c r="EA11">
        <v>42549</v>
      </c>
      <c r="EB11">
        <v>2018</v>
      </c>
      <c r="EC11">
        <v>37583</v>
      </c>
      <c r="ED11">
        <v>23268</v>
      </c>
      <c r="EE11">
        <v>37985</v>
      </c>
      <c r="EF11">
        <v>23664</v>
      </c>
      <c r="EG11">
        <v>1791</v>
      </c>
      <c r="EH11">
        <v>20054</v>
      </c>
      <c r="EI11">
        <v>13153</v>
      </c>
      <c r="EJ11">
        <v>24088</v>
      </c>
      <c r="EK11">
        <v>15297</v>
      </c>
      <c r="EL11">
        <v>3625</v>
      </c>
      <c r="EM11">
        <v>79629</v>
      </c>
      <c r="EN11">
        <v>10976</v>
      </c>
      <c r="EO11">
        <v>83025</v>
      </c>
      <c r="EP11">
        <v>11201</v>
      </c>
      <c r="EQ11">
        <v>7612</v>
      </c>
      <c r="ER11">
        <v>13552</v>
      </c>
      <c r="ES11">
        <v>37500</v>
      </c>
      <c r="ET11">
        <v>13329</v>
      </c>
      <c r="EU11">
        <v>35680</v>
      </c>
      <c r="EV11">
        <v>2134</v>
      </c>
      <c r="EW11">
        <v>4638</v>
      </c>
      <c r="EX11">
        <v>10156</v>
      </c>
      <c r="EY11">
        <v>4543</v>
      </c>
      <c r="EZ11">
        <v>9978</v>
      </c>
      <c r="FA11">
        <v>243</v>
      </c>
    </row>
    <row r="12" spans="1:157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>
        <v>121788</v>
      </c>
      <c r="I12">
        <v>2172</v>
      </c>
      <c r="J12">
        <v>72916</v>
      </c>
      <c r="K12">
        <v>856</v>
      </c>
      <c r="L12">
        <v>55756</v>
      </c>
      <c r="M12">
        <v>2135571</v>
      </c>
      <c r="N12">
        <v>37754</v>
      </c>
      <c r="O12">
        <v>954666</v>
      </c>
      <c r="P12">
        <v>14967</v>
      </c>
      <c r="Q12">
        <v>167424</v>
      </c>
      <c r="R12" t="s">
        <v>73</v>
      </c>
      <c r="S12" t="s">
        <v>73</v>
      </c>
      <c r="T12" t="s">
        <v>73</v>
      </c>
      <c r="U12" t="s">
        <v>73</v>
      </c>
      <c r="V12" t="s">
        <v>73</v>
      </c>
      <c r="W12">
        <v>19132085</v>
      </c>
      <c r="X12">
        <v>346111</v>
      </c>
      <c r="Y12">
        <v>19251301</v>
      </c>
      <c r="Z12">
        <v>370514</v>
      </c>
      <c r="AA12">
        <v>232549</v>
      </c>
      <c r="AB12">
        <v>266</v>
      </c>
      <c r="AC12">
        <v>11827</v>
      </c>
      <c r="AD12">
        <v>262</v>
      </c>
      <c r="AE12">
        <v>11803</v>
      </c>
      <c r="AF12">
        <v>0</v>
      </c>
      <c r="AG12">
        <v>1398</v>
      </c>
      <c r="AH12">
        <v>15076</v>
      </c>
      <c r="AI12">
        <v>1385</v>
      </c>
      <c r="AJ12">
        <v>14828</v>
      </c>
      <c r="AK12">
        <v>32</v>
      </c>
      <c r="AL12">
        <v>45663</v>
      </c>
      <c r="AM12">
        <v>17958</v>
      </c>
      <c r="AN12">
        <v>45889</v>
      </c>
      <c r="AO12">
        <v>17809</v>
      </c>
      <c r="AP12">
        <v>4765</v>
      </c>
      <c r="AQ12">
        <v>14626</v>
      </c>
      <c r="AR12">
        <v>42578</v>
      </c>
      <c r="AS12">
        <v>14515</v>
      </c>
      <c r="AT12">
        <v>41238</v>
      </c>
      <c r="AU12">
        <v>2426</v>
      </c>
      <c r="AV12">
        <v>2720702</v>
      </c>
      <c r="AW12">
        <v>200776</v>
      </c>
      <c r="AX12">
        <v>6052671</v>
      </c>
      <c r="AY12">
        <v>373256</v>
      </c>
      <c r="AZ12">
        <v>478057</v>
      </c>
      <c r="BA12">
        <v>1042637</v>
      </c>
      <c r="BB12">
        <v>150450</v>
      </c>
      <c r="BC12">
        <v>1134759</v>
      </c>
      <c r="BD12">
        <v>163049</v>
      </c>
      <c r="BE12">
        <v>96574</v>
      </c>
      <c r="BF12">
        <v>672383</v>
      </c>
      <c r="BG12">
        <v>314796</v>
      </c>
      <c r="BH12">
        <v>789005</v>
      </c>
      <c r="BI12">
        <v>325153</v>
      </c>
      <c r="BJ12">
        <v>83098</v>
      </c>
      <c r="BK12">
        <v>2713570</v>
      </c>
      <c r="BL12">
        <v>137430</v>
      </c>
      <c r="BM12">
        <v>6461119</v>
      </c>
      <c r="BN12">
        <v>279189</v>
      </c>
      <c r="BO12">
        <v>520851</v>
      </c>
      <c r="BP12">
        <v>1108245</v>
      </c>
      <c r="BQ12">
        <v>117917</v>
      </c>
      <c r="BR12">
        <v>1420271</v>
      </c>
      <c r="BS12">
        <v>142724</v>
      </c>
      <c r="BT12">
        <v>151479</v>
      </c>
      <c r="BU12">
        <v>648998</v>
      </c>
      <c r="BV12">
        <v>87452</v>
      </c>
      <c r="BW12">
        <v>823535</v>
      </c>
      <c r="BX12">
        <v>93061</v>
      </c>
      <c r="BY12">
        <v>118357</v>
      </c>
      <c r="BZ12">
        <v>28270</v>
      </c>
      <c r="CA12">
        <v>28300</v>
      </c>
      <c r="CB12">
        <v>32606</v>
      </c>
      <c r="CC12">
        <v>29146</v>
      </c>
      <c r="CD12">
        <v>4935</v>
      </c>
      <c r="CE12">
        <v>32527</v>
      </c>
      <c r="CF12">
        <v>36911</v>
      </c>
      <c r="CG12">
        <v>36125</v>
      </c>
      <c r="CH12">
        <v>41396</v>
      </c>
      <c r="CI12">
        <v>1754</v>
      </c>
      <c r="CJ12">
        <v>86613</v>
      </c>
      <c r="CK12">
        <v>6566</v>
      </c>
      <c r="CL12">
        <v>118227</v>
      </c>
      <c r="CM12">
        <v>9797</v>
      </c>
      <c r="CN12">
        <v>17217</v>
      </c>
      <c r="CO12">
        <v>7008126</v>
      </c>
      <c r="CP12">
        <v>376927</v>
      </c>
      <c r="CQ12">
        <v>7013735</v>
      </c>
      <c r="CR12">
        <v>383765</v>
      </c>
      <c r="CS12">
        <v>34490</v>
      </c>
      <c r="CT12">
        <v>25738</v>
      </c>
      <c r="CU12">
        <v>21852</v>
      </c>
      <c r="CV12">
        <v>25381</v>
      </c>
      <c r="CW12">
        <v>21029</v>
      </c>
      <c r="CX12">
        <v>937</v>
      </c>
      <c r="CY12">
        <v>125238</v>
      </c>
      <c r="CZ12">
        <v>34536</v>
      </c>
      <c r="DA12">
        <v>144689</v>
      </c>
      <c r="DB12">
        <v>34541</v>
      </c>
      <c r="DC12">
        <v>27499</v>
      </c>
      <c r="DD12">
        <v>128700</v>
      </c>
      <c r="DE12">
        <v>43660</v>
      </c>
      <c r="DF12">
        <v>130718</v>
      </c>
      <c r="DG12">
        <v>43811</v>
      </c>
      <c r="DH12">
        <v>12395</v>
      </c>
      <c r="DI12">
        <v>63375</v>
      </c>
      <c r="DJ12">
        <v>15101</v>
      </c>
      <c r="DK12">
        <v>138017</v>
      </c>
      <c r="DL12">
        <v>18946</v>
      </c>
      <c r="DM12">
        <v>11331</v>
      </c>
      <c r="DN12">
        <v>157648</v>
      </c>
      <c r="DO12">
        <v>11001</v>
      </c>
      <c r="DP12">
        <v>154058</v>
      </c>
      <c r="DQ12">
        <v>9895</v>
      </c>
      <c r="DR12">
        <v>79836</v>
      </c>
      <c r="DS12">
        <v>81721</v>
      </c>
      <c r="DT12">
        <v>16851</v>
      </c>
      <c r="DU12">
        <v>79936</v>
      </c>
      <c r="DV12">
        <v>16167</v>
      </c>
      <c r="DW12">
        <v>6440</v>
      </c>
      <c r="DX12">
        <v>17884</v>
      </c>
      <c r="DY12">
        <v>50998</v>
      </c>
      <c r="DZ12">
        <v>12787</v>
      </c>
      <c r="EA12">
        <v>39342</v>
      </c>
      <c r="EB12">
        <v>1957</v>
      </c>
      <c r="EC12">
        <v>40668</v>
      </c>
      <c r="ED12">
        <v>26280</v>
      </c>
      <c r="EE12">
        <v>43506</v>
      </c>
      <c r="EF12">
        <v>27987</v>
      </c>
      <c r="EG12">
        <v>2146</v>
      </c>
      <c r="EH12">
        <v>21555</v>
      </c>
      <c r="EI12">
        <v>12753</v>
      </c>
      <c r="EJ12">
        <v>23936</v>
      </c>
      <c r="EK12">
        <v>13357</v>
      </c>
      <c r="EL12">
        <v>3380</v>
      </c>
      <c r="EM12">
        <v>53322</v>
      </c>
      <c r="EN12">
        <v>4778</v>
      </c>
      <c r="EO12">
        <v>79430</v>
      </c>
      <c r="EP12">
        <v>7787</v>
      </c>
      <c r="EQ12">
        <v>9560</v>
      </c>
      <c r="ER12">
        <v>13423</v>
      </c>
      <c r="ES12">
        <v>39828</v>
      </c>
      <c r="ET12">
        <v>13316</v>
      </c>
      <c r="EU12">
        <v>40508</v>
      </c>
      <c r="EV12">
        <v>2253</v>
      </c>
      <c r="EW12">
        <v>4785</v>
      </c>
      <c r="EX12">
        <v>10957</v>
      </c>
      <c r="EY12">
        <v>4751</v>
      </c>
      <c r="EZ12">
        <v>10948</v>
      </c>
      <c r="FA12">
        <v>277</v>
      </c>
    </row>
    <row r="13" spans="1:157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>
        <v>122946</v>
      </c>
      <c r="I13">
        <v>2184</v>
      </c>
      <c r="J13">
        <v>72095</v>
      </c>
      <c r="K13">
        <v>872</v>
      </c>
      <c r="L13">
        <v>5139</v>
      </c>
      <c r="M13">
        <v>2203460</v>
      </c>
      <c r="N13">
        <v>39285</v>
      </c>
      <c r="O13">
        <v>950295</v>
      </c>
      <c r="P13">
        <v>15731</v>
      </c>
      <c r="Q13">
        <v>104370</v>
      </c>
      <c r="R13" t="s">
        <v>73</v>
      </c>
      <c r="S13" t="s">
        <v>73</v>
      </c>
      <c r="T13" t="s">
        <v>73</v>
      </c>
      <c r="U13" t="s">
        <v>73</v>
      </c>
      <c r="V13" t="s">
        <v>73</v>
      </c>
      <c r="W13">
        <v>18099804</v>
      </c>
      <c r="X13">
        <v>329595</v>
      </c>
      <c r="Y13">
        <v>17946256</v>
      </c>
      <c r="Z13">
        <v>358235</v>
      </c>
      <c r="AA13">
        <v>180718</v>
      </c>
      <c r="AB13">
        <v>294</v>
      </c>
      <c r="AC13">
        <v>14695</v>
      </c>
      <c r="AD13">
        <v>281</v>
      </c>
      <c r="AE13">
        <v>14615</v>
      </c>
      <c r="AF13">
        <v>0</v>
      </c>
      <c r="AG13">
        <v>1383</v>
      </c>
      <c r="AH13">
        <v>16183</v>
      </c>
      <c r="AI13">
        <v>1371</v>
      </c>
      <c r="AJ13">
        <v>16153</v>
      </c>
      <c r="AK13">
        <v>44</v>
      </c>
      <c r="AL13">
        <v>45400</v>
      </c>
      <c r="AM13">
        <v>17060</v>
      </c>
      <c r="AN13">
        <v>44984</v>
      </c>
      <c r="AO13">
        <v>17192</v>
      </c>
      <c r="AP13">
        <v>5045</v>
      </c>
      <c r="AQ13">
        <v>15539</v>
      </c>
      <c r="AR13">
        <v>46574</v>
      </c>
      <c r="AS13">
        <v>15442</v>
      </c>
      <c r="AT13">
        <v>46542</v>
      </c>
      <c r="AU13">
        <v>2609</v>
      </c>
      <c r="AV13">
        <v>2736432</v>
      </c>
      <c r="AW13">
        <v>215380</v>
      </c>
      <c r="AX13">
        <v>6234642</v>
      </c>
      <c r="AY13">
        <v>407526</v>
      </c>
      <c r="AZ13">
        <v>499972</v>
      </c>
      <c r="BA13">
        <v>1137650</v>
      </c>
      <c r="BB13">
        <v>168057</v>
      </c>
      <c r="BC13">
        <v>1215477</v>
      </c>
      <c r="BD13">
        <v>180806</v>
      </c>
      <c r="BE13">
        <v>95988</v>
      </c>
      <c r="BF13">
        <v>715719</v>
      </c>
      <c r="BG13">
        <v>340750</v>
      </c>
      <c r="BH13">
        <v>717350</v>
      </c>
      <c r="BI13">
        <v>341514</v>
      </c>
      <c r="BJ13">
        <v>63489</v>
      </c>
      <c r="BK13">
        <v>2869846</v>
      </c>
      <c r="BL13">
        <v>156269</v>
      </c>
      <c r="BM13">
        <v>6619312</v>
      </c>
      <c r="BN13">
        <v>304789</v>
      </c>
      <c r="BO13">
        <v>583369</v>
      </c>
      <c r="BP13">
        <v>1164837</v>
      </c>
      <c r="BQ13">
        <v>127753</v>
      </c>
      <c r="BR13">
        <v>1470579</v>
      </c>
      <c r="BS13">
        <v>153152</v>
      </c>
      <c r="BT13">
        <v>162824</v>
      </c>
      <c r="BU13">
        <v>683876</v>
      </c>
      <c r="BV13">
        <v>91673</v>
      </c>
      <c r="BW13">
        <v>737371</v>
      </c>
      <c r="BX13">
        <v>94416</v>
      </c>
      <c r="BY13">
        <v>123502</v>
      </c>
      <c r="BZ13">
        <v>28211</v>
      </c>
      <c r="CA13">
        <v>30323</v>
      </c>
      <c r="CB13">
        <v>32245</v>
      </c>
      <c r="CC13">
        <v>32130</v>
      </c>
      <c r="CD13">
        <v>4370</v>
      </c>
      <c r="CE13">
        <v>31991</v>
      </c>
      <c r="CF13">
        <v>38009</v>
      </c>
      <c r="CG13">
        <v>36266</v>
      </c>
      <c r="CH13">
        <v>44040</v>
      </c>
      <c r="CI13">
        <v>1280</v>
      </c>
      <c r="CJ13">
        <v>80955</v>
      </c>
      <c r="CK13">
        <v>6781</v>
      </c>
      <c r="CL13">
        <v>115193</v>
      </c>
      <c r="CM13">
        <v>10132</v>
      </c>
      <c r="CN13">
        <v>11656</v>
      </c>
      <c r="CO13">
        <v>7486979</v>
      </c>
      <c r="CP13">
        <v>404019</v>
      </c>
      <c r="CQ13">
        <v>7495960</v>
      </c>
      <c r="CR13">
        <v>416772</v>
      </c>
      <c r="CS13">
        <v>29705</v>
      </c>
      <c r="CT13">
        <v>30137</v>
      </c>
      <c r="CU13">
        <v>20599</v>
      </c>
      <c r="CV13">
        <v>30091</v>
      </c>
      <c r="CW13">
        <v>21298</v>
      </c>
      <c r="CX13">
        <v>1162</v>
      </c>
      <c r="CY13">
        <v>129766</v>
      </c>
      <c r="CZ13">
        <v>35427</v>
      </c>
      <c r="DA13">
        <v>142821</v>
      </c>
      <c r="DB13">
        <v>34080</v>
      </c>
      <c r="DC13">
        <v>32710</v>
      </c>
      <c r="DD13">
        <v>132351</v>
      </c>
      <c r="DE13">
        <v>44492</v>
      </c>
      <c r="DF13">
        <v>130564</v>
      </c>
      <c r="DG13">
        <v>43694</v>
      </c>
      <c r="DH13">
        <v>14545</v>
      </c>
      <c r="DI13">
        <v>69163</v>
      </c>
      <c r="DJ13">
        <v>17612</v>
      </c>
      <c r="DK13">
        <v>135907</v>
      </c>
      <c r="DL13">
        <v>19211</v>
      </c>
      <c r="DM13">
        <v>11739</v>
      </c>
      <c r="DN13">
        <v>137563</v>
      </c>
      <c r="DO13">
        <v>10510</v>
      </c>
      <c r="DP13">
        <v>139734</v>
      </c>
      <c r="DQ13">
        <v>9492</v>
      </c>
      <c r="DR13">
        <v>57224</v>
      </c>
      <c r="DS13">
        <v>86291</v>
      </c>
      <c r="DT13">
        <v>18498</v>
      </c>
      <c r="DU13">
        <v>84381</v>
      </c>
      <c r="DV13">
        <v>17817</v>
      </c>
      <c r="DW13">
        <v>8097</v>
      </c>
      <c r="DX13">
        <v>17704</v>
      </c>
      <c r="DY13">
        <v>57347</v>
      </c>
      <c r="DZ13">
        <v>13391</v>
      </c>
      <c r="EA13">
        <v>47984</v>
      </c>
      <c r="EB13">
        <v>1804</v>
      </c>
      <c r="EC13">
        <v>39770</v>
      </c>
      <c r="ED13">
        <v>26287</v>
      </c>
      <c r="EE13">
        <v>40241</v>
      </c>
      <c r="EF13">
        <v>26874</v>
      </c>
      <c r="EG13">
        <v>2116</v>
      </c>
      <c r="EH13">
        <v>20614</v>
      </c>
      <c r="EI13">
        <v>13944</v>
      </c>
      <c r="EJ13">
        <v>22661</v>
      </c>
      <c r="EK13">
        <v>13961</v>
      </c>
      <c r="EL13">
        <v>4025</v>
      </c>
      <c r="EM13">
        <v>55234</v>
      </c>
      <c r="EN13">
        <v>5072</v>
      </c>
      <c r="EO13">
        <v>76502</v>
      </c>
      <c r="EP13">
        <v>7943</v>
      </c>
      <c r="EQ13">
        <v>10833</v>
      </c>
      <c r="ER13">
        <v>12470</v>
      </c>
      <c r="ES13">
        <v>42618</v>
      </c>
      <c r="ET13">
        <v>12595</v>
      </c>
      <c r="EU13">
        <v>44154</v>
      </c>
      <c r="EV13">
        <v>2132</v>
      </c>
      <c r="EW13">
        <v>5381</v>
      </c>
      <c r="EX13">
        <v>12468</v>
      </c>
      <c r="EY13">
        <v>5463</v>
      </c>
      <c r="EZ13">
        <v>12507</v>
      </c>
      <c r="FA13">
        <v>195</v>
      </c>
    </row>
    <row r="14" spans="1:157" x14ac:dyDescent="0.4">
      <c r="A14" s="1" t="s">
        <v>16</v>
      </c>
      <c r="B14" s="1" t="s">
        <v>17</v>
      </c>
      <c r="C14">
        <v>809</v>
      </c>
      <c r="D14">
        <v>3</v>
      </c>
      <c r="E14">
        <v>207</v>
      </c>
      <c r="F14">
        <v>2</v>
      </c>
      <c r="G14">
        <v>1541</v>
      </c>
      <c r="H14">
        <v>8516</v>
      </c>
      <c r="I14">
        <v>100</v>
      </c>
      <c r="J14">
        <v>7420</v>
      </c>
      <c r="K14">
        <v>83</v>
      </c>
      <c r="L14">
        <v>54409</v>
      </c>
      <c r="M14">
        <v>160172</v>
      </c>
      <c r="N14">
        <v>2763</v>
      </c>
      <c r="O14">
        <v>114069</v>
      </c>
      <c r="P14">
        <v>1502</v>
      </c>
      <c r="Q14">
        <v>167909</v>
      </c>
      <c r="R14">
        <v>7132</v>
      </c>
      <c r="S14">
        <v>1076</v>
      </c>
      <c r="T14">
        <v>3989</v>
      </c>
      <c r="U14">
        <v>944</v>
      </c>
      <c r="V14">
        <v>2659</v>
      </c>
      <c r="W14">
        <v>1732058</v>
      </c>
      <c r="X14">
        <v>30202</v>
      </c>
      <c r="Y14">
        <v>1729168</v>
      </c>
      <c r="Z14">
        <v>32808</v>
      </c>
      <c r="AA14">
        <v>242093</v>
      </c>
      <c r="AB14">
        <v>42</v>
      </c>
      <c r="AC14">
        <v>1707</v>
      </c>
      <c r="AD14">
        <v>41</v>
      </c>
      <c r="AE14">
        <v>1701</v>
      </c>
      <c r="AF14">
        <v>0</v>
      </c>
      <c r="AG14">
        <v>105</v>
      </c>
      <c r="AH14">
        <v>1233</v>
      </c>
      <c r="AI14">
        <v>106</v>
      </c>
      <c r="AJ14">
        <v>1204</v>
      </c>
      <c r="AK14">
        <v>17</v>
      </c>
      <c r="AL14">
        <v>3460</v>
      </c>
      <c r="AM14">
        <v>1171</v>
      </c>
      <c r="AN14">
        <v>3455</v>
      </c>
      <c r="AO14">
        <v>1520</v>
      </c>
      <c r="AP14">
        <v>4578</v>
      </c>
      <c r="AQ14">
        <v>1030</v>
      </c>
      <c r="AR14">
        <v>3005</v>
      </c>
      <c r="AS14">
        <v>1361</v>
      </c>
      <c r="AT14">
        <v>4156</v>
      </c>
      <c r="AU14">
        <v>1563</v>
      </c>
      <c r="AV14">
        <v>238034</v>
      </c>
      <c r="AW14">
        <v>15123</v>
      </c>
      <c r="AX14">
        <v>652205</v>
      </c>
      <c r="AY14">
        <v>34879</v>
      </c>
      <c r="AZ14">
        <v>470900</v>
      </c>
      <c r="BA14">
        <v>78248</v>
      </c>
      <c r="BB14">
        <v>10064</v>
      </c>
      <c r="BC14">
        <v>104729</v>
      </c>
      <c r="BD14">
        <v>12994</v>
      </c>
      <c r="BE14">
        <v>94746</v>
      </c>
      <c r="BF14">
        <v>45864</v>
      </c>
      <c r="BG14">
        <v>20700</v>
      </c>
      <c r="BH14">
        <v>81664</v>
      </c>
      <c r="BI14">
        <v>28077</v>
      </c>
      <c r="BJ14">
        <v>68454</v>
      </c>
      <c r="BK14">
        <v>244873</v>
      </c>
      <c r="BL14">
        <v>10959</v>
      </c>
      <c r="BM14">
        <v>681595</v>
      </c>
      <c r="BN14">
        <v>25085</v>
      </c>
      <c r="BO14">
        <v>505265</v>
      </c>
      <c r="BP14">
        <v>85914</v>
      </c>
      <c r="BQ14">
        <v>8306</v>
      </c>
      <c r="BR14">
        <v>128016</v>
      </c>
      <c r="BS14">
        <v>11806</v>
      </c>
      <c r="BT14">
        <v>131983</v>
      </c>
      <c r="BU14">
        <v>47552</v>
      </c>
      <c r="BV14">
        <v>6175</v>
      </c>
      <c r="BW14">
        <v>81516</v>
      </c>
      <c r="BX14">
        <v>7690</v>
      </c>
      <c r="BY14">
        <v>93736</v>
      </c>
      <c r="BZ14">
        <v>2215</v>
      </c>
      <c r="CA14">
        <v>2234</v>
      </c>
      <c r="CB14">
        <v>3331</v>
      </c>
      <c r="CC14">
        <v>3098</v>
      </c>
      <c r="CD14">
        <v>4210</v>
      </c>
      <c r="CE14">
        <v>2555</v>
      </c>
      <c r="CF14">
        <v>2885</v>
      </c>
      <c r="CG14">
        <v>2658</v>
      </c>
      <c r="CH14">
        <v>3034</v>
      </c>
      <c r="CI14">
        <v>2425</v>
      </c>
      <c r="CJ14">
        <v>5305</v>
      </c>
      <c r="CK14">
        <v>359</v>
      </c>
      <c r="CL14">
        <v>7452</v>
      </c>
      <c r="CM14">
        <v>596</v>
      </c>
      <c r="CN14">
        <v>16890</v>
      </c>
      <c r="CO14">
        <v>601194</v>
      </c>
      <c r="CP14">
        <v>29516</v>
      </c>
      <c r="CQ14">
        <v>596561</v>
      </c>
      <c r="CR14">
        <v>31035</v>
      </c>
      <c r="CS14">
        <v>35921</v>
      </c>
      <c r="CT14">
        <v>2254</v>
      </c>
      <c r="CU14">
        <v>2824</v>
      </c>
      <c r="CV14">
        <v>2210</v>
      </c>
      <c r="CW14">
        <v>2481</v>
      </c>
      <c r="CX14">
        <v>841</v>
      </c>
      <c r="CY14">
        <v>9913</v>
      </c>
      <c r="CZ14">
        <v>2636</v>
      </c>
      <c r="DA14">
        <v>12375</v>
      </c>
      <c r="DB14">
        <v>2678</v>
      </c>
      <c r="DC14">
        <v>29490</v>
      </c>
      <c r="DD14">
        <v>10748</v>
      </c>
      <c r="DE14">
        <v>3533</v>
      </c>
      <c r="DF14">
        <v>10922</v>
      </c>
      <c r="DG14">
        <v>3625</v>
      </c>
      <c r="DH14">
        <v>11091</v>
      </c>
      <c r="DI14">
        <v>4504</v>
      </c>
      <c r="DJ14">
        <v>1068</v>
      </c>
      <c r="DK14">
        <v>8873</v>
      </c>
      <c r="DL14">
        <v>1290</v>
      </c>
      <c r="DM14">
        <v>14876</v>
      </c>
      <c r="DN14">
        <v>19820</v>
      </c>
      <c r="DO14">
        <v>1007</v>
      </c>
      <c r="DP14">
        <v>7524</v>
      </c>
      <c r="DQ14">
        <v>778</v>
      </c>
      <c r="DR14">
        <v>118096</v>
      </c>
      <c r="DS14">
        <v>6820</v>
      </c>
      <c r="DT14">
        <v>1357</v>
      </c>
      <c r="DU14">
        <v>6952</v>
      </c>
      <c r="DV14">
        <v>1426</v>
      </c>
      <c r="DW14">
        <v>6038</v>
      </c>
      <c r="DX14">
        <v>1274</v>
      </c>
      <c r="DY14">
        <v>3088</v>
      </c>
      <c r="DZ14">
        <v>1261</v>
      </c>
      <c r="EA14">
        <v>3828</v>
      </c>
      <c r="EB14">
        <v>1428</v>
      </c>
      <c r="EC14">
        <v>2938</v>
      </c>
      <c r="ED14">
        <v>2082</v>
      </c>
      <c r="EE14">
        <v>2805</v>
      </c>
      <c r="EF14">
        <v>2156</v>
      </c>
      <c r="EG14">
        <v>1940</v>
      </c>
      <c r="EH14">
        <v>1648</v>
      </c>
      <c r="EI14">
        <v>1112</v>
      </c>
      <c r="EJ14">
        <v>2129</v>
      </c>
      <c r="EK14">
        <v>1236</v>
      </c>
      <c r="EL14">
        <v>3874</v>
      </c>
      <c r="EM14">
        <v>4031</v>
      </c>
      <c r="EN14">
        <v>366</v>
      </c>
      <c r="EO14">
        <v>5790</v>
      </c>
      <c r="EP14">
        <v>607</v>
      </c>
      <c r="EQ14">
        <v>9157</v>
      </c>
      <c r="ER14">
        <v>1166</v>
      </c>
      <c r="ES14">
        <v>3265</v>
      </c>
      <c r="ET14">
        <v>1264</v>
      </c>
      <c r="EU14">
        <v>3406</v>
      </c>
      <c r="EV14">
        <v>2262</v>
      </c>
      <c r="EW14">
        <v>348</v>
      </c>
      <c r="EX14">
        <v>877</v>
      </c>
      <c r="EY14">
        <v>363</v>
      </c>
      <c r="EZ14">
        <v>923</v>
      </c>
      <c r="FA14">
        <v>256</v>
      </c>
    </row>
    <row r="15" spans="1:157" x14ac:dyDescent="0.4">
      <c r="A15" s="1" t="s">
        <v>18</v>
      </c>
      <c r="B15" s="1" t="s">
        <v>19</v>
      </c>
      <c r="C15">
        <v>1595</v>
      </c>
      <c r="D15">
        <v>9</v>
      </c>
      <c r="E15">
        <v>406</v>
      </c>
      <c r="F15">
        <v>4</v>
      </c>
      <c r="G15">
        <v>1747</v>
      </c>
      <c r="H15">
        <v>7991</v>
      </c>
      <c r="I15">
        <v>119</v>
      </c>
      <c r="J15">
        <v>7127</v>
      </c>
      <c r="K15">
        <v>74</v>
      </c>
      <c r="L15">
        <v>52581</v>
      </c>
      <c r="M15">
        <v>214646</v>
      </c>
      <c r="N15">
        <v>3574</v>
      </c>
      <c r="O15">
        <v>106596</v>
      </c>
      <c r="P15">
        <v>1358</v>
      </c>
      <c r="Q15">
        <v>157597</v>
      </c>
      <c r="R15">
        <v>6942</v>
      </c>
      <c r="S15">
        <v>896</v>
      </c>
      <c r="T15">
        <v>2790</v>
      </c>
      <c r="U15">
        <v>675</v>
      </c>
      <c r="V15">
        <v>3323</v>
      </c>
      <c r="W15">
        <v>1658335</v>
      </c>
      <c r="X15">
        <v>31076</v>
      </c>
      <c r="Y15">
        <v>1653208</v>
      </c>
      <c r="Z15">
        <v>31250</v>
      </c>
      <c r="AA15">
        <v>233753</v>
      </c>
      <c r="AB15">
        <v>22</v>
      </c>
      <c r="AC15">
        <v>819</v>
      </c>
      <c r="AD15">
        <v>21</v>
      </c>
      <c r="AE15">
        <v>813</v>
      </c>
      <c r="AF15">
        <v>0</v>
      </c>
      <c r="AG15">
        <v>135</v>
      </c>
      <c r="AH15">
        <v>1548</v>
      </c>
      <c r="AI15">
        <v>133</v>
      </c>
      <c r="AJ15">
        <v>1479</v>
      </c>
      <c r="AK15">
        <v>19</v>
      </c>
      <c r="AL15">
        <v>4378</v>
      </c>
      <c r="AM15">
        <v>1768</v>
      </c>
      <c r="AN15">
        <v>4209</v>
      </c>
      <c r="AO15">
        <v>1374</v>
      </c>
      <c r="AP15">
        <v>4743</v>
      </c>
      <c r="AQ15">
        <v>1322</v>
      </c>
      <c r="AR15">
        <v>4112</v>
      </c>
      <c r="AS15">
        <v>1030</v>
      </c>
      <c r="AT15">
        <v>2823</v>
      </c>
      <c r="AU15">
        <v>1843</v>
      </c>
      <c r="AV15">
        <v>286980</v>
      </c>
      <c r="AW15">
        <v>22042</v>
      </c>
      <c r="AX15">
        <v>408938</v>
      </c>
      <c r="AY15">
        <v>26827</v>
      </c>
      <c r="AZ15">
        <v>726612</v>
      </c>
      <c r="BA15">
        <v>109763</v>
      </c>
      <c r="BB15">
        <v>15863</v>
      </c>
      <c r="BC15">
        <v>73993</v>
      </c>
      <c r="BD15">
        <v>11750</v>
      </c>
      <c r="BE15">
        <v>140444</v>
      </c>
      <c r="BF15">
        <v>54346</v>
      </c>
      <c r="BG15">
        <v>29303</v>
      </c>
      <c r="BH15">
        <v>51250</v>
      </c>
      <c r="BI15">
        <v>25480</v>
      </c>
      <c r="BJ15">
        <v>80366</v>
      </c>
      <c r="BK15">
        <v>303748</v>
      </c>
      <c r="BL15">
        <v>15315</v>
      </c>
      <c r="BM15">
        <v>439471</v>
      </c>
      <c r="BN15">
        <v>20078</v>
      </c>
      <c r="BO15">
        <v>777540</v>
      </c>
      <c r="BP15">
        <v>110226</v>
      </c>
      <c r="BQ15">
        <v>12159</v>
      </c>
      <c r="BR15">
        <v>103274</v>
      </c>
      <c r="BS15">
        <v>11540</v>
      </c>
      <c r="BT15">
        <v>176585</v>
      </c>
      <c r="BU15">
        <v>51279</v>
      </c>
      <c r="BV15">
        <v>7594</v>
      </c>
      <c r="BW15">
        <v>59408</v>
      </c>
      <c r="BX15">
        <v>7809</v>
      </c>
      <c r="BY15">
        <v>100783</v>
      </c>
      <c r="BZ15">
        <v>2412</v>
      </c>
      <c r="CA15">
        <v>2306</v>
      </c>
      <c r="CB15">
        <v>2611</v>
      </c>
      <c r="CC15">
        <v>2280</v>
      </c>
      <c r="CD15">
        <v>4347</v>
      </c>
      <c r="CE15">
        <v>3002</v>
      </c>
      <c r="CF15">
        <v>3465</v>
      </c>
      <c r="CG15">
        <v>2389</v>
      </c>
      <c r="CH15">
        <v>2716</v>
      </c>
      <c r="CI15">
        <v>3151</v>
      </c>
      <c r="CJ15">
        <v>8584</v>
      </c>
      <c r="CK15">
        <v>664</v>
      </c>
      <c r="CL15">
        <v>7769</v>
      </c>
      <c r="CM15">
        <v>626</v>
      </c>
      <c r="CN15">
        <v>19437</v>
      </c>
      <c r="CO15">
        <v>522636</v>
      </c>
      <c r="CP15">
        <v>29464</v>
      </c>
      <c r="CQ15">
        <v>522735</v>
      </c>
      <c r="CR15">
        <v>30808</v>
      </c>
      <c r="CS15">
        <v>36115</v>
      </c>
      <c r="CT15">
        <v>1783</v>
      </c>
      <c r="CU15">
        <v>1278</v>
      </c>
      <c r="CV15">
        <v>1805</v>
      </c>
      <c r="CW15">
        <v>1455</v>
      </c>
      <c r="CX15">
        <v>819</v>
      </c>
      <c r="CY15">
        <v>10014</v>
      </c>
      <c r="CZ15">
        <v>2722</v>
      </c>
      <c r="DA15">
        <v>11697</v>
      </c>
      <c r="DB15">
        <v>2805</v>
      </c>
      <c r="DC15">
        <v>28617</v>
      </c>
      <c r="DD15">
        <v>10624</v>
      </c>
      <c r="DE15">
        <v>3561</v>
      </c>
      <c r="DF15">
        <v>10808</v>
      </c>
      <c r="DG15">
        <v>3483</v>
      </c>
      <c r="DH15">
        <v>11027</v>
      </c>
      <c r="DI15">
        <v>5141</v>
      </c>
      <c r="DJ15">
        <v>1231</v>
      </c>
      <c r="DK15">
        <v>11928</v>
      </c>
      <c r="DL15">
        <v>1507</v>
      </c>
      <c r="DM15">
        <v>13231</v>
      </c>
      <c r="DN15">
        <v>23427</v>
      </c>
      <c r="DO15">
        <v>1278</v>
      </c>
      <c r="DP15">
        <v>31952</v>
      </c>
      <c r="DQ15">
        <v>1364</v>
      </c>
      <c r="DR15">
        <v>109231</v>
      </c>
      <c r="DS15">
        <v>6947</v>
      </c>
      <c r="DT15">
        <v>1459</v>
      </c>
      <c r="DU15">
        <v>6904</v>
      </c>
      <c r="DV15">
        <v>1359</v>
      </c>
      <c r="DW15">
        <v>6069</v>
      </c>
      <c r="DX15">
        <v>1497</v>
      </c>
      <c r="DY15">
        <v>4387</v>
      </c>
      <c r="DZ15">
        <v>993</v>
      </c>
      <c r="EA15">
        <v>2561</v>
      </c>
      <c r="EB15">
        <v>1665</v>
      </c>
      <c r="EC15">
        <v>3122</v>
      </c>
      <c r="ED15">
        <v>2158</v>
      </c>
      <c r="EE15">
        <v>2858</v>
      </c>
      <c r="EF15">
        <v>1994</v>
      </c>
      <c r="EG15">
        <v>2207</v>
      </c>
      <c r="EH15">
        <v>1748</v>
      </c>
      <c r="EI15">
        <v>866</v>
      </c>
      <c r="EJ15">
        <v>1950</v>
      </c>
      <c r="EK15">
        <v>1046</v>
      </c>
      <c r="EL15">
        <v>3880</v>
      </c>
      <c r="EM15">
        <v>4303</v>
      </c>
      <c r="EN15">
        <v>404</v>
      </c>
      <c r="EO15">
        <v>5507</v>
      </c>
      <c r="EP15">
        <v>567</v>
      </c>
      <c r="EQ15">
        <v>9758</v>
      </c>
      <c r="ER15">
        <v>1020</v>
      </c>
      <c r="ES15">
        <v>2775</v>
      </c>
      <c r="ET15">
        <v>1194</v>
      </c>
      <c r="EU15">
        <v>3824</v>
      </c>
      <c r="EV15">
        <v>2091</v>
      </c>
      <c r="EW15">
        <v>364</v>
      </c>
      <c r="EX15">
        <v>988</v>
      </c>
      <c r="EY15">
        <v>351</v>
      </c>
      <c r="EZ15">
        <v>955</v>
      </c>
      <c r="FA15">
        <v>269</v>
      </c>
    </row>
    <row r="16" spans="1:157" x14ac:dyDescent="0.4">
      <c r="A16" s="1" t="s">
        <v>20</v>
      </c>
      <c r="B16" s="1" t="s">
        <v>21</v>
      </c>
      <c r="C16">
        <v>1436</v>
      </c>
      <c r="D16">
        <v>9</v>
      </c>
      <c r="E16">
        <v>824</v>
      </c>
      <c r="F16">
        <v>8</v>
      </c>
      <c r="G16">
        <v>1753</v>
      </c>
      <c r="H16">
        <v>9608</v>
      </c>
      <c r="I16">
        <v>157</v>
      </c>
      <c r="J16">
        <v>2953</v>
      </c>
      <c r="K16">
        <v>39</v>
      </c>
      <c r="L16">
        <v>56486</v>
      </c>
      <c r="M16">
        <v>178140</v>
      </c>
      <c r="N16">
        <v>3133</v>
      </c>
      <c r="O16">
        <v>78018</v>
      </c>
      <c r="P16">
        <v>1147</v>
      </c>
      <c r="Q16">
        <v>158315</v>
      </c>
      <c r="R16">
        <v>6092</v>
      </c>
      <c r="S16">
        <v>892</v>
      </c>
      <c r="T16">
        <v>1464</v>
      </c>
      <c r="U16">
        <v>618</v>
      </c>
      <c r="V16">
        <v>4358</v>
      </c>
      <c r="W16">
        <v>1577096</v>
      </c>
      <c r="X16">
        <v>27473</v>
      </c>
      <c r="Y16">
        <v>1546758</v>
      </c>
      <c r="Z16">
        <v>28642</v>
      </c>
      <c r="AA16">
        <v>225367</v>
      </c>
      <c r="AB16">
        <v>15</v>
      </c>
      <c r="AC16">
        <v>871</v>
      </c>
      <c r="AD16">
        <v>15</v>
      </c>
      <c r="AE16">
        <v>871</v>
      </c>
      <c r="AF16">
        <v>0</v>
      </c>
      <c r="AG16">
        <v>126</v>
      </c>
      <c r="AH16">
        <v>1562</v>
      </c>
      <c r="AI16">
        <v>128</v>
      </c>
      <c r="AJ16">
        <v>1548</v>
      </c>
      <c r="AK16">
        <v>17</v>
      </c>
      <c r="AL16">
        <v>4033</v>
      </c>
      <c r="AM16">
        <v>1722</v>
      </c>
      <c r="AN16">
        <v>3480</v>
      </c>
      <c r="AO16">
        <v>1368</v>
      </c>
      <c r="AP16">
        <v>5291</v>
      </c>
      <c r="AQ16">
        <v>1474</v>
      </c>
      <c r="AR16">
        <v>4095</v>
      </c>
      <c r="AS16">
        <v>1275</v>
      </c>
      <c r="AT16">
        <v>3527</v>
      </c>
      <c r="AU16">
        <v>2039</v>
      </c>
      <c r="AV16">
        <v>280532</v>
      </c>
      <c r="AW16">
        <v>22785</v>
      </c>
      <c r="AX16">
        <v>621992</v>
      </c>
      <c r="AY16">
        <v>41443</v>
      </c>
      <c r="AZ16">
        <v>820290</v>
      </c>
      <c r="BA16">
        <v>102296</v>
      </c>
      <c r="BB16">
        <v>16633</v>
      </c>
      <c r="BC16">
        <v>109216</v>
      </c>
      <c r="BD16">
        <v>16588</v>
      </c>
      <c r="BE16">
        <v>145675</v>
      </c>
      <c r="BF16">
        <v>59505</v>
      </c>
      <c r="BG16">
        <v>29919</v>
      </c>
      <c r="BH16">
        <v>61840</v>
      </c>
      <c r="BI16">
        <v>27830</v>
      </c>
      <c r="BJ16">
        <v>93593</v>
      </c>
      <c r="BK16">
        <v>290050</v>
      </c>
      <c r="BL16">
        <v>15307</v>
      </c>
      <c r="BM16">
        <v>659407</v>
      </c>
      <c r="BN16">
        <v>30526</v>
      </c>
      <c r="BO16">
        <v>885910</v>
      </c>
      <c r="BP16">
        <v>102059</v>
      </c>
      <c r="BQ16">
        <v>11660</v>
      </c>
      <c r="BR16">
        <v>131761</v>
      </c>
      <c r="BS16">
        <v>13776</v>
      </c>
      <c r="BT16">
        <v>185771</v>
      </c>
      <c r="BU16">
        <v>55090</v>
      </c>
      <c r="BV16">
        <v>8183</v>
      </c>
      <c r="BW16">
        <v>66349</v>
      </c>
      <c r="BX16">
        <v>8691</v>
      </c>
      <c r="BY16">
        <v>113135</v>
      </c>
      <c r="BZ16">
        <v>2352</v>
      </c>
      <c r="CA16">
        <v>2225</v>
      </c>
      <c r="CB16">
        <v>2745</v>
      </c>
      <c r="CC16">
        <v>2433</v>
      </c>
      <c r="CD16">
        <v>4279</v>
      </c>
      <c r="CE16">
        <v>3205</v>
      </c>
      <c r="CF16">
        <v>3685</v>
      </c>
      <c r="CG16">
        <v>2862</v>
      </c>
      <c r="CH16">
        <v>3210</v>
      </c>
      <c r="CI16">
        <v>3705</v>
      </c>
      <c r="CJ16">
        <v>7254</v>
      </c>
      <c r="CK16">
        <v>573</v>
      </c>
      <c r="CL16">
        <v>9444</v>
      </c>
      <c r="CM16">
        <v>767</v>
      </c>
      <c r="CN16">
        <v>19758</v>
      </c>
      <c r="CO16">
        <v>570654</v>
      </c>
      <c r="CP16">
        <v>29872</v>
      </c>
      <c r="CQ16">
        <v>570090</v>
      </c>
      <c r="CR16">
        <v>30192</v>
      </c>
      <c r="CS16">
        <v>36969</v>
      </c>
      <c r="CT16">
        <v>1956</v>
      </c>
      <c r="CU16">
        <v>1855</v>
      </c>
      <c r="CV16">
        <v>1895</v>
      </c>
      <c r="CW16">
        <v>1862</v>
      </c>
      <c r="CX16">
        <v>880</v>
      </c>
      <c r="CY16">
        <v>10432</v>
      </c>
      <c r="CZ16">
        <v>2746</v>
      </c>
      <c r="DA16">
        <v>11827</v>
      </c>
      <c r="DB16">
        <v>2800</v>
      </c>
      <c r="DC16">
        <v>28396</v>
      </c>
      <c r="DD16">
        <v>11457</v>
      </c>
      <c r="DE16">
        <v>3824</v>
      </c>
      <c r="DF16">
        <v>11405</v>
      </c>
      <c r="DG16">
        <v>3760</v>
      </c>
      <c r="DH16">
        <v>11210</v>
      </c>
      <c r="DI16">
        <v>5482</v>
      </c>
      <c r="DJ16">
        <v>1330</v>
      </c>
      <c r="DK16">
        <v>11459</v>
      </c>
      <c r="DL16">
        <v>1541</v>
      </c>
      <c r="DM16">
        <v>12664</v>
      </c>
      <c r="DN16">
        <v>22791</v>
      </c>
      <c r="DO16">
        <v>1235</v>
      </c>
      <c r="DP16">
        <v>26202</v>
      </c>
      <c r="DQ16">
        <v>1193</v>
      </c>
      <c r="DR16">
        <v>105388</v>
      </c>
      <c r="DS16">
        <v>6986</v>
      </c>
      <c r="DT16">
        <v>1421</v>
      </c>
      <c r="DU16">
        <v>6307</v>
      </c>
      <c r="DV16">
        <v>1249</v>
      </c>
      <c r="DW16">
        <v>6714</v>
      </c>
      <c r="DX16">
        <v>1353</v>
      </c>
      <c r="DY16">
        <v>3367</v>
      </c>
      <c r="DZ16">
        <v>896</v>
      </c>
      <c r="EA16">
        <v>2441</v>
      </c>
      <c r="EB16">
        <v>1653</v>
      </c>
      <c r="EC16">
        <v>3359</v>
      </c>
      <c r="ED16">
        <v>2225</v>
      </c>
      <c r="EE16">
        <v>3237</v>
      </c>
      <c r="EF16">
        <v>2264</v>
      </c>
      <c r="EG16">
        <v>2420</v>
      </c>
      <c r="EH16">
        <v>1685</v>
      </c>
      <c r="EI16">
        <v>1048</v>
      </c>
      <c r="EJ16">
        <v>2013</v>
      </c>
      <c r="EK16">
        <v>1059</v>
      </c>
      <c r="EL16">
        <v>3567</v>
      </c>
      <c r="EM16">
        <v>4018</v>
      </c>
      <c r="EN16">
        <v>372</v>
      </c>
      <c r="EO16">
        <v>6145</v>
      </c>
      <c r="EP16">
        <v>571</v>
      </c>
      <c r="EQ16">
        <v>9815</v>
      </c>
      <c r="ER16">
        <v>1042</v>
      </c>
      <c r="ES16">
        <v>2746</v>
      </c>
      <c r="ET16">
        <v>895</v>
      </c>
      <c r="EU16">
        <v>2517</v>
      </c>
      <c r="EV16">
        <v>2238</v>
      </c>
      <c r="EW16">
        <v>287</v>
      </c>
      <c r="EX16">
        <v>526</v>
      </c>
      <c r="EY16">
        <v>345</v>
      </c>
      <c r="EZ16">
        <v>695</v>
      </c>
      <c r="FA16">
        <v>211</v>
      </c>
    </row>
    <row r="17" spans="1:157" x14ac:dyDescent="0.4">
      <c r="A17" s="1" t="s">
        <v>22</v>
      </c>
      <c r="B17" s="1" t="s">
        <v>23</v>
      </c>
      <c r="C17">
        <v>2054</v>
      </c>
      <c r="D17">
        <v>11</v>
      </c>
      <c r="E17">
        <v>913</v>
      </c>
      <c r="F17">
        <v>8</v>
      </c>
      <c r="G17">
        <v>1758</v>
      </c>
      <c r="H17">
        <v>5843</v>
      </c>
      <c r="I17">
        <v>103</v>
      </c>
      <c r="J17">
        <v>2518</v>
      </c>
      <c r="K17">
        <v>39</v>
      </c>
      <c r="L17">
        <v>56648</v>
      </c>
      <c r="M17">
        <v>201255</v>
      </c>
      <c r="N17">
        <v>3601</v>
      </c>
      <c r="O17">
        <v>88949</v>
      </c>
      <c r="P17">
        <v>1298</v>
      </c>
      <c r="Q17">
        <v>148206</v>
      </c>
      <c r="R17">
        <v>6134</v>
      </c>
      <c r="S17">
        <v>876</v>
      </c>
      <c r="T17">
        <v>3777</v>
      </c>
      <c r="U17">
        <v>704</v>
      </c>
      <c r="V17">
        <v>2699</v>
      </c>
      <c r="W17">
        <v>1597794</v>
      </c>
      <c r="X17">
        <v>28801</v>
      </c>
      <c r="Y17">
        <v>1574470</v>
      </c>
      <c r="Z17">
        <v>30741</v>
      </c>
      <c r="AA17">
        <v>238579</v>
      </c>
      <c r="AB17">
        <v>17</v>
      </c>
      <c r="AC17">
        <v>568</v>
      </c>
      <c r="AD17">
        <v>17</v>
      </c>
      <c r="AE17">
        <v>568</v>
      </c>
      <c r="AF17">
        <v>0</v>
      </c>
      <c r="AG17">
        <v>89</v>
      </c>
      <c r="AH17">
        <v>754</v>
      </c>
      <c r="AI17">
        <v>95</v>
      </c>
      <c r="AJ17">
        <v>858</v>
      </c>
      <c r="AK17">
        <v>11</v>
      </c>
      <c r="AL17">
        <v>3857</v>
      </c>
      <c r="AM17">
        <v>1657</v>
      </c>
      <c r="AN17">
        <v>3963</v>
      </c>
      <c r="AO17">
        <v>1504</v>
      </c>
      <c r="AP17">
        <v>5168</v>
      </c>
      <c r="AQ17">
        <v>1447</v>
      </c>
      <c r="AR17">
        <v>4101</v>
      </c>
      <c r="AS17">
        <v>1277</v>
      </c>
      <c r="AT17">
        <v>3632</v>
      </c>
      <c r="AU17">
        <v>2209</v>
      </c>
      <c r="AV17">
        <v>292525</v>
      </c>
      <c r="AW17">
        <v>24098</v>
      </c>
      <c r="AX17">
        <v>827333</v>
      </c>
      <c r="AY17">
        <v>55680</v>
      </c>
      <c r="AZ17">
        <v>744393</v>
      </c>
      <c r="BA17">
        <v>111972</v>
      </c>
      <c r="BB17">
        <v>16472</v>
      </c>
      <c r="BC17">
        <v>133747</v>
      </c>
      <c r="BD17">
        <v>19699</v>
      </c>
      <c r="BE17">
        <v>137737</v>
      </c>
      <c r="BF17">
        <v>70071</v>
      </c>
      <c r="BG17">
        <v>29314</v>
      </c>
      <c r="BH17">
        <v>77863</v>
      </c>
      <c r="BI17">
        <v>29849</v>
      </c>
      <c r="BJ17">
        <v>96632</v>
      </c>
      <c r="BK17">
        <v>300440</v>
      </c>
      <c r="BL17">
        <v>15938</v>
      </c>
      <c r="BM17">
        <v>867477</v>
      </c>
      <c r="BN17">
        <v>40573</v>
      </c>
      <c r="BO17">
        <v>829395</v>
      </c>
      <c r="BP17">
        <v>104376</v>
      </c>
      <c r="BQ17">
        <v>11052</v>
      </c>
      <c r="BR17">
        <v>152829</v>
      </c>
      <c r="BS17">
        <v>15424</v>
      </c>
      <c r="BT17">
        <v>182666</v>
      </c>
      <c r="BU17">
        <v>62387</v>
      </c>
      <c r="BV17">
        <v>8112</v>
      </c>
      <c r="BW17">
        <v>76527</v>
      </c>
      <c r="BX17">
        <v>8397</v>
      </c>
      <c r="BY17">
        <v>119016</v>
      </c>
      <c r="BZ17">
        <v>2401</v>
      </c>
      <c r="CA17">
        <v>2379</v>
      </c>
      <c r="CB17">
        <v>2661</v>
      </c>
      <c r="CC17">
        <v>2314</v>
      </c>
      <c r="CD17">
        <v>4356</v>
      </c>
      <c r="CE17">
        <v>2359</v>
      </c>
      <c r="CF17">
        <v>2617</v>
      </c>
      <c r="CG17">
        <v>2724</v>
      </c>
      <c r="CH17">
        <v>3114</v>
      </c>
      <c r="CI17">
        <v>3753</v>
      </c>
      <c r="CJ17">
        <v>8088</v>
      </c>
      <c r="CK17">
        <v>638</v>
      </c>
      <c r="CL17">
        <v>5787</v>
      </c>
      <c r="CM17">
        <v>526</v>
      </c>
      <c r="CN17">
        <v>24176</v>
      </c>
      <c r="CO17">
        <v>614021</v>
      </c>
      <c r="CP17">
        <v>32498</v>
      </c>
      <c r="CQ17">
        <v>615254</v>
      </c>
      <c r="CR17">
        <v>31318</v>
      </c>
      <c r="CS17">
        <v>35957</v>
      </c>
      <c r="CT17">
        <v>1969</v>
      </c>
      <c r="CU17">
        <v>1234</v>
      </c>
      <c r="CV17">
        <v>1864</v>
      </c>
      <c r="CW17">
        <v>1060</v>
      </c>
      <c r="CX17">
        <v>985</v>
      </c>
      <c r="CY17">
        <v>9819</v>
      </c>
      <c r="CZ17">
        <v>2701</v>
      </c>
      <c r="DA17">
        <v>13148</v>
      </c>
      <c r="DB17">
        <v>3180</v>
      </c>
      <c r="DC17">
        <v>26775</v>
      </c>
      <c r="DD17">
        <v>11720</v>
      </c>
      <c r="DE17">
        <v>3961</v>
      </c>
      <c r="DF17">
        <v>13032</v>
      </c>
      <c r="DG17">
        <v>4410</v>
      </c>
      <c r="DH17">
        <v>10128</v>
      </c>
      <c r="DI17">
        <v>5649</v>
      </c>
      <c r="DJ17">
        <v>1379</v>
      </c>
      <c r="DK17">
        <v>13426</v>
      </c>
      <c r="DL17">
        <v>1687</v>
      </c>
      <c r="DM17">
        <v>14375</v>
      </c>
      <c r="DN17">
        <v>15324</v>
      </c>
      <c r="DO17">
        <v>1054</v>
      </c>
      <c r="DP17">
        <v>30023</v>
      </c>
      <c r="DQ17">
        <v>1205</v>
      </c>
      <c r="DR17">
        <v>90451</v>
      </c>
      <c r="DS17">
        <v>6500</v>
      </c>
      <c r="DT17">
        <v>1423</v>
      </c>
      <c r="DU17">
        <v>7693</v>
      </c>
      <c r="DV17">
        <v>1573</v>
      </c>
      <c r="DW17">
        <v>5517</v>
      </c>
      <c r="DX17">
        <v>1434</v>
      </c>
      <c r="DY17">
        <v>3931</v>
      </c>
      <c r="DZ17">
        <v>951</v>
      </c>
      <c r="EA17">
        <v>2277</v>
      </c>
      <c r="EB17">
        <v>1832</v>
      </c>
      <c r="EC17">
        <v>3884</v>
      </c>
      <c r="ED17">
        <v>2398</v>
      </c>
      <c r="EE17">
        <v>3778</v>
      </c>
      <c r="EF17">
        <v>2440</v>
      </c>
      <c r="EG17">
        <v>2448</v>
      </c>
      <c r="EH17">
        <v>1967</v>
      </c>
      <c r="EI17">
        <v>977</v>
      </c>
      <c r="EJ17">
        <v>2138</v>
      </c>
      <c r="EK17">
        <v>1080</v>
      </c>
      <c r="EL17">
        <v>3632</v>
      </c>
      <c r="EM17">
        <v>4238</v>
      </c>
      <c r="EN17">
        <v>424</v>
      </c>
      <c r="EO17">
        <v>5838</v>
      </c>
      <c r="EP17">
        <v>537</v>
      </c>
      <c r="EQ17">
        <v>10320</v>
      </c>
      <c r="ER17">
        <v>1082</v>
      </c>
      <c r="ES17">
        <v>3032</v>
      </c>
      <c r="ET17">
        <v>925</v>
      </c>
      <c r="EU17">
        <v>2571</v>
      </c>
      <c r="EV17">
        <v>2402</v>
      </c>
      <c r="EW17">
        <v>201</v>
      </c>
      <c r="EX17">
        <v>705</v>
      </c>
      <c r="EY17">
        <v>212</v>
      </c>
      <c r="EZ17">
        <v>737</v>
      </c>
      <c r="FA17">
        <v>200</v>
      </c>
    </row>
    <row r="18" spans="1:157" x14ac:dyDescent="0.4">
      <c r="A18" s="1" t="s">
        <v>24</v>
      </c>
      <c r="B18" s="1" t="s">
        <v>25</v>
      </c>
      <c r="C18">
        <v>1190</v>
      </c>
      <c r="D18">
        <v>8</v>
      </c>
      <c r="E18">
        <v>953</v>
      </c>
      <c r="F18">
        <v>9</v>
      </c>
      <c r="G18">
        <v>1386</v>
      </c>
      <c r="H18">
        <v>10439</v>
      </c>
      <c r="I18">
        <v>184</v>
      </c>
      <c r="J18">
        <v>4379</v>
      </c>
      <c r="K18">
        <v>58</v>
      </c>
      <c r="L18">
        <v>58096</v>
      </c>
      <c r="M18">
        <v>222326</v>
      </c>
      <c r="N18">
        <v>3960</v>
      </c>
      <c r="O18">
        <v>79100</v>
      </c>
      <c r="P18">
        <v>1291</v>
      </c>
      <c r="Q18">
        <v>158417</v>
      </c>
      <c r="R18">
        <v>10032</v>
      </c>
      <c r="S18">
        <v>1141</v>
      </c>
      <c r="T18">
        <v>3496</v>
      </c>
      <c r="U18">
        <v>822</v>
      </c>
      <c r="V18">
        <v>3560</v>
      </c>
      <c r="W18">
        <v>1533588</v>
      </c>
      <c r="X18">
        <v>31803</v>
      </c>
      <c r="Y18">
        <v>1789996</v>
      </c>
      <c r="Z18">
        <v>34630</v>
      </c>
      <c r="AA18">
        <v>235852</v>
      </c>
      <c r="AB18">
        <v>10</v>
      </c>
      <c r="AC18">
        <v>762</v>
      </c>
      <c r="AD18">
        <v>10</v>
      </c>
      <c r="AE18">
        <v>762</v>
      </c>
      <c r="AF18">
        <v>0</v>
      </c>
      <c r="AG18">
        <v>72</v>
      </c>
      <c r="AH18">
        <v>842</v>
      </c>
      <c r="AI18">
        <v>43</v>
      </c>
      <c r="AJ18">
        <v>566</v>
      </c>
      <c r="AK18">
        <v>40</v>
      </c>
      <c r="AL18">
        <v>4469</v>
      </c>
      <c r="AM18">
        <v>1676</v>
      </c>
      <c r="AN18">
        <v>3928</v>
      </c>
      <c r="AO18">
        <v>1567</v>
      </c>
      <c r="AP18">
        <v>5701</v>
      </c>
      <c r="AQ18">
        <v>1393</v>
      </c>
      <c r="AR18">
        <v>4092</v>
      </c>
      <c r="AS18">
        <v>1122</v>
      </c>
      <c r="AT18">
        <v>3605</v>
      </c>
      <c r="AU18">
        <v>2471</v>
      </c>
      <c r="AV18">
        <v>289834</v>
      </c>
      <c r="AW18">
        <v>21872</v>
      </c>
      <c r="AX18">
        <v>841682</v>
      </c>
      <c r="AY18">
        <v>53407</v>
      </c>
      <c r="AZ18">
        <v>571774</v>
      </c>
      <c r="BA18">
        <v>111300</v>
      </c>
      <c r="BB18">
        <v>15646</v>
      </c>
      <c r="BC18">
        <v>144278</v>
      </c>
      <c r="BD18">
        <v>19748</v>
      </c>
      <c r="BE18">
        <v>114298</v>
      </c>
      <c r="BF18">
        <v>72023</v>
      </c>
      <c r="BG18">
        <v>30944</v>
      </c>
      <c r="BH18">
        <v>95564</v>
      </c>
      <c r="BI18">
        <v>32161</v>
      </c>
      <c r="BJ18">
        <v>84242</v>
      </c>
      <c r="BK18">
        <v>298718</v>
      </c>
      <c r="BL18">
        <v>14678</v>
      </c>
      <c r="BM18">
        <v>879924</v>
      </c>
      <c r="BN18">
        <v>38651</v>
      </c>
      <c r="BO18">
        <v>674178</v>
      </c>
      <c r="BP18">
        <v>111495</v>
      </c>
      <c r="BQ18">
        <v>11056</v>
      </c>
      <c r="BR18">
        <v>169037</v>
      </c>
      <c r="BS18">
        <v>16003</v>
      </c>
      <c r="BT18">
        <v>162608</v>
      </c>
      <c r="BU18">
        <v>64511</v>
      </c>
      <c r="BV18">
        <v>8622</v>
      </c>
      <c r="BW18">
        <v>96774</v>
      </c>
      <c r="BX18">
        <v>9791</v>
      </c>
      <c r="BY18">
        <v>106790</v>
      </c>
      <c r="BZ18">
        <v>2304</v>
      </c>
      <c r="CA18">
        <v>2217</v>
      </c>
      <c r="CB18">
        <v>2504</v>
      </c>
      <c r="CC18">
        <v>2165</v>
      </c>
      <c r="CD18">
        <v>4495</v>
      </c>
      <c r="CE18">
        <v>2272</v>
      </c>
      <c r="CF18">
        <v>2479</v>
      </c>
      <c r="CG18">
        <v>3121</v>
      </c>
      <c r="CH18">
        <v>3561</v>
      </c>
      <c r="CI18">
        <v>3505</v>
      </c>
      <c r="CJ18">
        <v>11916</v>
      </c>
      <c r="CK18">
        <v>927</v>
      </c>
      <c r="CL18">
        <v>13251</v>
      </c>
      <c r="CM18">
        <v>1149</v>
      </c>
      <c r="CN18">
        <v>26679</v>
      </c>
      <c r="CO18">
        <v>703861</v>
      </c>
      <c r="CP18">
        <v>37773</v>
      </c>
      <c r="CQ18">
        <v>702419</v>
      </c>
      <c r="CR18">
        <v>38230</v>
      </c>
      <c r="CS18">
        <v>37666</v>
      </c>
      <c r="CT18">
        <v>2386</v>
      </c>
      <c r="CU18">
        <v>1483</v>
      </c>
      <c r="CV18">
        <v>2453</v>
      </c>
      <c r="CW18">
        <v>1577</v>
      </c>
      <c r="CX18">
        <v>918</v>
      </c>
      <c r="CY18">
        <v>11728</v>
      </c>
      <c r="CZ18">
        <v>3168</v>
      </c>
      <c r="DA18">
        <v>14299</v>
      </c>
      <c r="DB18">
        <v>3146</v>
      </c>
      <c r="DC18">
        <v>25773</v>
      </c>
      <c r="DD18">
        <v>11610</v>
      </c>
      <c r="DE18">
        <v>4022</v>
      </c>
      <c r="DF18">
        <v>10877</v>
      </c>
      <c r="DG18">
        <v>3735</v>
      </c>
      <c r="DH18">
        <v>11134</v>
      </c>
      <c r="DI18">
        <v>6328</v>
      </c>
      <c r="DJ18">
        <v>1520</v>
      </c>
      <c r="DK18">
        <v>17131</v>
      </c>
      <c r="DL18">
        <v>2170</v>
      </c>
      <c r="DM18">
        <v>13722</v>
      </c>
      <c r="DN18">
        <v>8357</v>
      </c>
      <c r="DO18">
        <v>867</v>
      </c>
      <c r="DP18">
        <v>17634</v>
      </c>
      <c r="DQ18">
        <v>929</v>
      </c>
      <c r="DR18">
        <v>80955</v>
      </c>
      <c r="DS18">
        <v>8493</v>
      </c>
      <c r="DT18">
        <v>1765</v>
      </c>
      <c r="DU18">
        <v>8695</v>
      </c>
      <c r="DV18">
        <v>1744</v>
      </c>
      <c r="DW18">
        <v>5239</v>
      </c>
      <c r="DX18">
        <v>1571</v>
      </c>
      <c r="DY18">
        <v>3999</v>
      </c>
      <c r="DZ18">
        <v>1193</v>
      </c>
      <c r="EA18">
        <v>3646</v>
      </c>
      <c r="EB18">
        <v>1781</v>
      </c>
      <c r="EC18">
        <v>4418</v>
      </c>
      <c r="ED18">
        <v>2547</v>
      </c>
      <c r="EE18">
        <v>4003</v>
      </c>
      <c r="EF18">
        <v>2464</v>
      </c>
      <c r="EG18">
        <v>2797</v>
      </c>
      <c r="EH18">
        <v>2185</v>
      </c>
      <c r="EI18">
        <v>1216</v>
      </c>
      <c r="EJ18">
        <v>2509</v>
      </c>
      <c r="EK18">
        <v>1247</v>
      </c>
      <c r="EL18">
        <v>3806</v>
      </c>
      <c r="EM18">
        <v>4507</v>
      </c>
      <c r="EN18">
        <v>430</v>
      </c>
      <c r="EO18">
        <v>7177</v>
      </c>
      <c r="EP18">
        <v>683</v>
      </c>
      <c r="EQ18">
        <v>10241</v>
      </c>
      <c r="ER18">
        <v>1265</v>
      </c>
      <c r="ES18">
        <v>3840</v>
      </c>
      <c r="ET18">
        <v>1100</v>
      </c>
      <c r="EU18">
        <v>3543</v>
      </c>
      <c r="EV18">
        <v>2569</v>
      </c>
      <c r="EW18">
        <v>422</v>
      </c>
      <c r="EX18">
        <v>748</v>
      </c>
      <c r="EY18">
        <v>317</v>
      </c>
      <c r="EZ18">
        <v>588</v>
      </c>
      <c r="FA18">
        <v>305</v>
      </c>
    </row>
    <row r="19" spans="1:157" x14ac:dyDescent="0.4">
      <c r="A19" s="1" t="s">
        <v>26</v>
      </c>
      <c r="B19" s="1" t="s">
        <v>27</v>
      </c>
      <c r="C19">
        <v>1973</v>
      </c>
      <c r="D19">
        <v>14</v>
      </c>
      <c r="E19">
        <v>251</v>
      </c>
      <c r="F19">
        <v>2</v>
      </c>
      <c r="G19">
        <v>2447</v>
      </c>
      <c r="H19">
        <v>6017</v>
      </c>
      <c r="I19">
        <v>133</v>
      </c>
      <c r="J19">
        <v>2930</v>
      </c>
      <c r="K19">
        <v>43</v>
      </c>
      <c r="L19">
        <v>57328</v>
      </c>
      <c r="M19">
        <v>136014</v>
      </c>
      <c r="N19">
        <v>2579</v>
      </c>
      <c r="O19">
        <v>43366</v>
      </c>
      <c r="P19">
        <v>956</v>
      </c>
      <c r="Q19">
        <v>167845</v>
      </c>
      <c r="R19">
        <v>6319</v>
      </c>
      <c r="S19">
        <v>977</v>
      </c>
      <c r="T19">
        <v>2431</v>
      </c>
      <c r="U19">
        <v>732</v>
      </c>
      <c r="V19">
        <v>5184</v>
      </c>
      <c r="W19">
        <v>1378694</v>
      </c>
      <c r="X19">
        <v>25064</v>
      </c>
      <c r="Y19">
        <v>1368882</v>
      </c>
      <c r="Z19">
        <v>26773</v>
      </c>
      <c r="AA19">
        <v>240791</v>
      </c>
      <c r="AB19">
        <v>13</v>
      </c>
      <c r="AC19">
        <v>663</v>
      </c>
      <c r="AD19">
        <v>13</v>
      </c>
      <c r="AE19">
        <v>663</v>
      </c>
      <c r="AF19">
        <v>0</v>
      </c>
      <c r="AG19">
        <v>64</v>
      </c>
      <c r="AH19">
        <v>474</v>
      </c>
      <c r="AI19">
        <v>62</v>
      </c>
      <c r="AJ19">
        <v>488</v>
      </c>
      <c r="AK19">
        <v>42</v>
      </c>
      <c r="AL19">
        <v>3438</v>
      </c>
      <c r="AM19">
        <v>1163</v>
      </c>
      <c r="AN19">
        <v>3849</v>
      </c>
      <c r="AO19">
        <v>1391</v>
      </c>
      <c r="AP19">
        <v>5282</v>
      </c>
      <c r="AQ19">
        <v>1070</v>
      </c>
      <c r="AR19">
        <v>2816</v>
      </c>
      <c r="AS19">
        <v>962</v>
      </c>
      <c r="AT19">
        <v>2710</v>
      </c>
      <c r="AU19">
        <v>2577</v>
      </c>
      <c r="AV19">
        <v>162841</v>
      </c>
      <c r="AW19">
        <v>11988</v>
      </c>
      <c r="AX19">
        <v>471750</v>
      </c>
      <c r="AY19">
        <v>28715</v>
      </c>
      <c r="AZ19">
        <v>475361</v>
      </c>
      <c r="BA19">
        <v>74024</v>
      </c>
      <c r="BB19">
        <v>9830</v>
      </c>
      <c r="BC19">
        <v>96497</v>
      </c>
      <c r="BD19">
        <v>13500</v>
      </c>
      <c r="BE19">
        <v>97529</v>
      </c>
      <c r="BF19">
        <v>50648</v>
      </c>
      <c r="BG19">
        <v>21975</v>
      </c>
      <c r="BH19">
        <v>70402</v>
      </c>
      <c r="BI19">
        <v>26066</v>
      </c>
      <c r="BJ19">
        <v>72498</v>
      </c>
      <c r="BK19">
        <v>159109</v>
      </c>
      <c r="BL19">
        <v>8230</v>
      </c>
      <c r="BM19">
        <v>505107</v>
      </c>
      <c r="BN19">
        <v>21262</v>
      </c>
      <c r="BO19">
        <v>564132</v>
      </c>
      <c r="BP19">
        <v>75185</v>
      </c>
      <c r="BQ19">
        <v>7659</v>
      </c>
      <c r="BR19">
        <v>114023</v>
      </c>
      <c r="BS19">
        <v>10726</v>
      </c>
      <c r="BT19">
        <v>147013</v>
      </c>
      <c r="BU19">
        <v>46011</v>
      </c>
      <c r="BV19">
        <v>5926</v>
      </c>
      <c r="BW19">
        <v>71312</v>
      </c>
      <c r="BX19">
        <v>7395</v>
      </c>
      <c r="BY19">
        <v>96067</v>
      </c>
      <c r="BZ19">
        <v>2090</v>
      </c>
      <c r="CA19">
        <v>1885</v>
      </c>
      <c r="CB19">
        <v>2233</v>
      </c>
      <c r="CC19">
        <v>1710</v>
      </c>
      <c r="CD19">
        <v>4691</v>
      </c>
      <c r="CE19">
        <v>2539</v>
      </c>
      <c r="CF19">
        <v>2915</v>
      </c>
      <c r="CG19">
        <v>3704</v>
      </c>
      <c r="CH19">
        <v>4340</v>
      </c>
      <c r="CI19">
        <v>2652</v>
      </c>
      <c r="CJ19">
        <v>6085</v>
      </c>
      <c r="CK19">
        <v>448</v>
      </c>
      <c r="CL19">
        <v>9769</v>
      </c>
      <c r="CM19">
        <v>827</v>
      </c>
      <c r="CN19">
        <v>25283</v>
      </c>
      <c r="CO19">
        <v>463920</v>
      </c>
      <c r="CP19">
        <v>27349</v>
      </c>
      <c r="CQ19">
        <v>474925</v>
      </c>
      <c r="CR19">
        <v>27287</v>
      </c>
      <c r="CS19">
        <v>26886</v>
      </c>
      <c r="CT19">
        <v>1956</v>
      </c>
      <c r="CU19">
        <v>1641</v>
      </c>
      <c r="CV19">
        <v>1889</v>
      </c>
      <c r="CW19">
        <v>1701</v>
      </c>
      <c r="CX19">
        <v>985</v>
      </c>
      <c r="CY19">
        <v>10373</v>
      </c>
      <c r="CZ19">
        <v>2741</v>
      </c>
      <c r="DA19">
        <v>10583</v>
      </c>
      <c r="DB19">
        <v>2541</v>
      </c>
      <c r="DC19">
        <v>27357</v>
      </c>
      <c r="DD19">
        <v>8910</v>
      </c>
      <c r="DE19">
        <v>3088</v>
      </c>
      <c r="DF19">
        <v>7525</v>
      </c>
      <c r="DG19">
        <v>2605</v>
      </c>
      <c r="DH19">
        <v>12586</v>
      </c>
      <c r="DI19">
        <v>5148</v>
      </c>
      <c r="DJ19">
        <v>1169</v>
      </c>
      <c r="DK19">
        <v>13026</v>
      </c>
      <c r="DL19">
        <v>1693</v>
      </c>
      <c r="DM19">
        <v>12411</v>
      </c>
      <c r="DN19">
        <v>4205</v>
      </c>
      <c r="DO19">
        <v>501</v>
      </c>
      <c r="DP19">
        <v>6668</v>
      </c>
      <c r="DQ19">
        <v>574</v>
      </c>
      <c r="DR19">
        <v>78229</v>
      </c>
      <c r="DS19">
        <v>6788</v>
      </c>
      <c r="DT19">
        <v>1412</v>
      </c>
      <c r="DU19">
        <v>6916</v>
      </c>
      <c r="DV19">
        <v>1368</v>
      </c>
      <c r="DW19">
        <v>5116</v>
      </c>
      <c r="DX19">
        <v>1246</v>
      </c>
      <c r="DY19">
        <v>3458</v>
      </c>
      <c r="DZ19">
        <v>771</v>
      </c>
      <c r="EA19">
        <v>1887</v>
      </c>
      <c r="EB19">
        <v>2032</v>
      </c>
      <c r="EC19">
        <v>2913</v>
      </c>
      <c r="ED19">
        <v>1847</v>
      </c>
      <c r="EE19">
        <v>2799</v>
      </c>
      <c r="EF19">
        <v>1986</v>
      </c>
      <c r="EG19">
        <v>2905</v>
      </c>
      <c r="EH19">
        <v>1777</v>
      </c>
      <c r="EI19">
        <v>777</v>
      </c>
      <c r="EJ19">
        <v>1965</v>
      </c>
      <c r="EK19">
        <v>880</v>
      </c>
      <c r="EL19">
        <v>3757</v>
      </c>
      <c r="EM19">
        <v>4250</v>
      </c>
      <c r="EN19">
        <v>382</v>
      </c>
      <c r="EO19">
        <v>6416</v>
      </c>
      <c r="EP19">
        <v>613</v>
      </c>
      <c r="EQ19">
        <v>9865</v>
      </c>
      <c r="ER19">
        <v>1057</v>
      </c>
      <c r="ES19">
        <v>3203</v>
      </c>
      <c r="ET19">
        <v>964</v>
      </c>
      <c r="EU19">
        <v>2656</v>
      </c>
      <c r="EV19">
        <v>2662</v>
      </c>
      <c r="EW19">
        <v>397</v>
      </c>
      <c r="EX19">
        <v>675</v>
      </c>
      <c r="EY19">
        <v>402</v>
      </c>
      <c r="EZ19">
        <v>674</v>
      </c>
      <c r="FA19">
        <v>300</v>
      </c>
    </row>
    <row r="20" spans="1:157" x14ac:dyDescent="0.4">
      <c r="A20" s="1" t="s">
        <v>28</v>
      </c>
      <c r="B20" s="1" t="s">
        <v>29</v>
      </c>
      <c r="C20">
        <v>1504</v>
      </c>
      <c r="D20">
        <v>11</v>
      </c>
      <c r="E20">
        <v>1975</v>
      </c>
      <c r="F20">
        <v>20</v>
      </c>
      <c r="G20">
        <v>1677</v>
      </c>
      <c r="H20">
        <v>11946</v>
      </c>
      <c r="I20">
        <v>261</v>
      </c>
      <c r="J20">
        <v>4786</v>
      </c>
      <c r="K20">
        <v>64</v>
      </c>
      <c r="L20">
        <v>57416</v>
      </c>
      <c r="M20">
        <v>166429</v>
      </c>
      <c r="N20">
        <v>2918</v>
      </c>
      <c r="O20">
        <v>59643</v>
      </c>
      <c r="P20">
        <v>1166</v>
      </c>
      <c r="Q20">
        <v>170945</v>
      </c>
      <c r="R20">
        <v>8920</v>
      </c>
      <c r="S20">
        <v>1095</v>
      </c>
      <c r="T20">
        <v>5145</v>
      </c>
      <c r="U20">
        <v>965</v>
      </c>
      <c r="V20">
        <v>4843</v>
      </c>
      <c r="W20">
        <v>1727373</v>
      </c>
      <c r="X20">
        <v>31600</v>
      </c>
      <c r="Y20">
        <v>1731494</v>
      </c>
      <c r="Z20">
        <v>34072</v>
      </c>
      <c r="AA20">
        <v>223629</v>
      </c>
      <c r="AB20">
        <v>9</v>
      </c>
      <c r="AC20">
        <v>372</v>
      </c>
      <c r="AD20">
        <v>9</v>
      </c>
      <c r="AE20">
        <v>372</v>
      </c>
      <c r="AF20">
        <v>0</v>
      </c>
      <c r="AG20">
        <v>90</v>
      </c>
      <c r="AH20">
        <v>594</v>
      </c>
      <c r="AI20">
        <v>84</v>
      </c>
      <c r="AJ20">
        <v>637</v>
      </c>
      <c r="AK20">
        <v>48</v>
      </c>
      <c r="AL20">
        <v>4000</v>
      </c>
      <c r="AM20">
        <v>1250</v>
      </c>
      <c r="AN20">
        <v>4675</v>
      </c>
      <c r="AO20">
        <v>1714</v>
      </c>
      <c r="AP20">
        <v>4593</v>
      </c>
      <c r="AQ20">
        <v>1165</v>
      </c>
      <c r="AR20">
        <v>2878</v>
      </c>
      <c r="AS20">
        <v>1606</v>
      </c>
      <c r="AT20">
        <v>4350</v>
      </c>
      <c r="AU20">
        <v>2106</v>
      </c>
      <c r="AV20">
        <v>161493</v>
      </c>
      <c r="AW20">
        <v>11509</v>
      </c>
      <c r="AX20">
        <v>393867</v>
      </c>
      <c r="AY20">
        <v>24094</v>
      </c>
      <c r="AZ20">
        <v>403757</v>
      </c>
      <c r="BA20">
        <v>71689</v>
      </c>
      <c r="BB20">
        <v>10313</v>
      </c>
      <c r="BC20">
        <v>90428</v>
      </c>
      <c r="BD20">
        <v>13116</v>
      </c>
      <c r="BE20">
        <v>84930</v>
      </c>
      <c r="BF20">
        <v>56061</v>
      </c>
      <c r="BG20">
        <v>25151</v>
      </c>
      <c r="BH20">
        <v>67284</v>
      </c>
      <c r="BI20">
        <v>27015</v>
      </c>
      <c r="BJ20">
        <v>66858</v>
      </c>
      <c r="BK20">
        <v>160092</v>
      </c>
      <c r="BL20">
        <v>8462</v>
      </c>
      <c r="BM20">
        <v>434561</v>
      </c>
      <c r="BN20">
        <v>18949</v>
      </c>
      <c r="BO20">
        <v>487222</v>
      </c>
      <c r="BP20">
        <v>77558</v>
      </c>
      <c r="BQ20">
        <v>8373</v>
      </c>
      <c r="BR20">
        <v>113048</v>
      </c>
      <c r="BS20">
        <v>11135</v>
      </c>
      <c r="BT20">
        <v>133490</v>
      </c>
      <c r="BU20">
        <v>52920</v>
      </c>
      <c r="BV20">
        <v>6846</v>
      </c>
      <c r="BW20">
        <v>68997</v>
      </c>
      <c r="BX20">
        <v>7436</v>
      </c>
      <c r="BY20">
        <v>94192</v>
      </c>
      <c r="BZ20">
        <v>2159</v>
      </c>
      <c r="CA20">
        <v>2155</v>
      </c>
      <c r="CB20">
        <v>2602</v>
      </c>
      <c r="CC20">
        <v>2471</v>
      </c>
      <c r="CD20">
        <v>4599</v>
      </c>
      <c r="CE20">
        <v>2456</v>
      </c>
      <c r="CF20">
        <v>2774</v>
      </c>
      <c r="CG20">
        <v>2770</v>
      </c>
      <c r="CH20">
        <v>3201</v>
      </c>
      <c r="CI20">
        <v>2630</v>
      </c>
      <c r="CJ20">
        <v>8800</v>
      </c>
      <c r="CK20">
        <v>632</v>
      </c>
      <c r="CL20">
        <v>10393</v>
      </c>
      <c r="CM20">
        <v>810</v>
      </c>
      <c r="CN20">
        <v>27134</v>
      </c>
      <c r="CO20">
        <v>638207</v>
      </c>
      <c r="CP20">
        <v>33870</v>
      </c>
      <c r="CQ20">
        <v>628957</v>
      </c>
      <c r="CR20">
        <v>36080</v>
      </c>
      <c r="CS20">
        <v>36464</v>
      </c>
      <c r="CT20">
        <v>2190</v>
      </c>
      <c r="CU20">
        <v>1517</v>
      </c>
      <c r="CV20">
        <v>2150</v>
      </c>
      <c r="CW20">
        <v>1422</v>
      </c>
      <c r="CX20">
        <v>1025</v>
      </c>
      <c r="CY20">
        <v>10989</v>
      </c>
      <c r="CZ20">
        <v>3206</v>
      </c>
      <c r="DA20">
        <v>12487</v>
      </c>
      <c r="DB20">
        <v>3036</v>
      </c>
      <c r="DC20">
        <v>26691</v>
      </c>
      <c r="DD20">
        <v>11086</v>
      </c>
      <c r="DE20">
        <v>3848</v>
      </c>
      <c r="DF20">
        <v>11445</v>
      </c>
      <c r="DG20">
        <v>3878</v>
      </c>
      <c r="DH20">
        <v>12486</v>
      </c>
      <c r="DI20">
        <v>6172</v>
      </c>
      <c r="DJ20">
        <v>1464</v>
      </c>
      <c r="DK20">
        <v>13212</v>
      </c>
      <c r="DL20">
        <v>1938</v>
      </c>
      <c r="DM20">
        <v>12124</v>
      </c>
      <c r="DN20">
        <v>6319</v>
      </c>
      <c r="DO20">
        <v>596</v>
      </c>
      <c r="DP20">
        <v>7384</v>
      </c>
      <c r="DQ20">
        <v>724</v>
      </c>
      <c r="DR20">
        <v>76767</v>
      </c>
      <c r="DS20">
        <v>7351</v>
      </c>
      <c r="DT20">
        <v>1511</v>
      </c>
      <c r="DU20">
        <v>6868</v>
      </c>
      <c r="DV20">
        <v>1427</v>
      </c>
      <c r="DW20">
        <v>5570</v>
      </c>
      <c r="DX20">
        <v>1569</v>
      </c>
      <c r="DY20">
        <v>4708</v>
      </c>
      <c r="DZ20">
        <v>1222</v>
      </c>
      <c r="EA20">
        <v>3960</v>
      </c>
      <c r="EB20">
        <v>1884</v>
      </c>
      <c r="EC20">
        <v>3393</v>
      </c>
      <c r="ED20">
        <v>2223</v>
      </c>
      <c r="EE20">
        <v>3374</v>
      </c>
      <c r="EF20">
        <v>2362</v>
      </c>
      <c r="EG20">
        <v>2926</v>
      </c>
      <c r="EH20">
        <v>1894</v>
      </c>
      <c r="EI20">
        <v>1561</v>
      </c>
      <c r="EJ20">
        <v>2321</v>
      </c>
      <c r="EK20">
        <v>1072</v>
      </c>
      <c r="EL20">
        <v>3483</v>
      </c>
      <c r="EM20">
        <v>4324</v>
      </c>
      <c r="EN20">
        <v>362</v>
      </c>
      <c r="EO20">
        <v>6995</v>
      </c>
      <c r="EP20">
        <v>653</v>
      </c>
      <c r="EQ20">
        <v>9340</v>
      </c>
      <c r="ER20">
        <v>1079</v>
      </c>
      <c r="ES20">
        <v>3334</v>
      </c>
      <c r="ET20">
        <v>1331</v>
      </c>
      <c r="EU20">
        <v>4246</v>
      </c>
      <c r="EV20">
        <v>2410</v>
      </c>
      <c r="EW20">
        <v>389</v>
      </c>
      <c r="EX20">
        <v>605</v>
      </c>
      <c r="EY20">
        <v>338</v>
      </c>
      <c r="EZ20">
        <v>512</v>
      </c>
      <c r="FA20">
        <v>351</v>
      </c>
    </row>
    <row r="21" spans="1:157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>
        <v>15931</v>
      </c>
      <c r="I21">
        <v>300</v>
      </c>
      <c r="J21">
        <v>7156</v>
      </c>
      <c r="K21">
        <v>87</v>
      </c>
      <c r="L21">
        <v>59577</v>
      </c>
      <c r="M21">
        <v>187971</v>
      </c>
      <c r="N21">
        <v>3496</v>
      </c>
      <c r="O21">
        <v>60815</v>
      </c>
      <c r="P21">
        <v>1276</v>
      </c>
      <c r="Q21">
        <v>168721</v>
      </c>
      <c r="R21" t="s">
        <v>73</v>
      </c>
      <c r="S21" t="s">
        <v>73</v>
      </c>
      <c r="T21" t="s">
        <v>73</v>
      </c>
      <c r="U21" t="s">
        <v>73</v>
      </c>
      <c r="V21" t="s">
        <v>73</v>
      </c>
      <c r="W21">
        <v>1711544</v>
      </c>
      <c r="X21">
        <v>25807</v>
      </c>
      <c r="Y21">
        <v>1700637</v>
      </c>
      <c r="Z21">
        <v>28706</v>
      </c>
      <c r="AA21">
        <v>228138</v>
      </c>
      <c r="AB21">
        <v>12</v>
      </c>
      <c r="AC21">
        <v>807</v>
      </c>
      <c r="AD21">
        <v>12</v>
      </c>
      <c r="AE21">
        <v>807</v>
      </c>
      <c r="AF21">
        <v>0</v>
      </c>
      <c r="AG21">
        <v>176</v>
      </c>
      <c r="AH21">
        <v>1763</v>
      </c>
      <c r="AI21">
        <v>161</v>
      </c>
      <c r="AJ21">
        <v>1493</v>
      </c>
      <c r="AK21">
        <v>63</v>
      </c>
      <c r="AL21">
        <v>4086</v>
      </c>
      <c r="AM21">
        <v>1658</v>
      </c>
      <c r="AN21">
        <v>4173</v>
      </c>
      <c r="AO21">
        <v>1719</v>
      </c>
      <c r="AP21">
        <v>4464</v>
      </c>
      <c r="AQ21">
        <v>1419</v>
      </c>
      <c r="AR21">
        <v>4252</v>
      </c>
      <c r="AS21">
        <v>1426</v>
      </c>
      <c r="AT21">
        <v>3643</v>
      </c>
      <c r="AU21">
        <v>2100</v>
      </c>
      <c r="AV21">
        <v>187725</v>
      </c>
      <c r="AW21">
        <v>14575</v>
      </c>
      <c r="AX21">
        <v>302658</v>
      </c>
      <c r="AY21">
        <v>18551</v>
      </c>
      <c r="AZ21">
        <v>435150</v>
      </c>
      <c r="BA21">
        <v>79253</v>
      </c>
      <c r="BB21">
        <v>12466</v>
      </c>
      <c r="BC21">
        <v>73276</v>
      </c>
      <c r="BD21">
        <v>10811</v>
      </c>
      <c r="BE21">
        <v>97419</v>
      </c>
      <c r="BF21">
        <v>65819</v>
      </c>
      <c r="BG21">
        <v>32515</v>
      </c>
      <c r="BH21">
        <v>61223</v>
      </c>
      <c r="BI21">
        <v>27895</v>
      </c>
      <c r="BJ21">
        <v>78650</v>
      </c>
      <c r="BK21">
        <v>180571</v>
      </c>
      <c r="BL21">
        <v>10299</v>
      </c>
      <c r="BM21">
        <v>342840</v>
      </c>
      <c r="BN21">
        <v>15341</v>
      </c>
      <c r="BO21">
        <v>510095</v>
      </c>
      <c r="BP21">
        <v>99303</v>
      </c>
      <c r="BQ21">
        <v>11710</v>
      </c>
      <c r="BR21">
        <v>107413</v>
      </c>
      <c r="BS21">
        <v>11495</v>
      </c>
      <c r="BT21">
        <v>148863</v>
      </c>
      <c r="BU21">
        <v>63238</v>
      </c>
      <c r="BV21">
        <v>8758</v>
      </c>
      <c r="BW21">
        <v>72233</v>
      </c>
      <c r="BX21">
        <v>8239</v>
      </c>
      <c r="BY21">
        <v>101616</v>
      </c>
      <c r="BZ21">
        <v>2364</v>
      </c>
      <c r="CA21">
        <v>2512</v>
      </c>
      <c r="CB21">
        <v>2617</v>
      </c>
      <c r="CC21">
        <v>2338</v>
      </c>
      <c r="CD21">
        <v>4708</v>
      </c>
      <c r="CE21">
        <v>3358</v>
      </c>
      <c r="CF21">
        <v>3834</v>
      </c>
      <c r="CG21">
        <v>3797</v>
      </c>
      <c r="CH21">
        <v>4380</v>
      </c>
      <c r="CI21">
        <v>2644</v>
      </c>
      <c r="CJ21">
        <v>9634</v>
      </c>
      <c r="CK21">
        <v>696</v>
      </c>
      <c r="CL21">
        <v>13737</v>
      </c>
      <c r="CM21">
        <v>1192</v>
      </c>
      <c r="CN21">
        <v>27018</v>
      </c>
      <c r="CO21">
        <v>693953</v>
      </c>
      <c r="CP21">
        <v>37161</v>
      </c>
      <c r="CQ21">
        <v>694094</v>
      </c>
      <c r="CR21">
        <v>38406</v>
      </c>
      <c r="CS21">
        <v>36733</v>
      </c>
      <c r="CT21">
        <v>2391</v>
      </c>
      <c r="CU21">
        <v>1549</v>
      </c>
      <c r="CV21">
        <v>2449</v>
      </c>
      <c r="CW21">
        <v>1469</v>
      </c>
      <c r="CX21">
        <v>967</v>
      </c>
      <c r="CY21">
        <v>10565</v>
      </c>
      <c r="CZ21">
        <v>3225</v>
      </c>
      <c r="DA21">
        <v>12900</v>
      </c>
      <c r="DB21">
        <v>3076</v>
      </c>
      <c r="DC21">
        <v>26213</v>
      </c>
      <c r="DD21">
        <v>13505</v>
      </c>
      <c r="DE21">
        <v>4594</v>
      </c>
      <c r="DF21">
        <v>15175</v>
      </c>
      <c r="DG21">
        <v>5167</v>
      </c>
      <c r="DH21">
        <v>11220</v>
      </c>
      <c r="DI21">
        <v>5878</v>
      </c>
      <c r="DJ21">
        <v>1408</v>
      </c>
      <c r="DK21">
        <v>13542</v>
      </c>
      <c r="DL21">
        <v>1956</v>
      </c>
      <c r="DM21">
        <v>12136</v>
      </c>
      <c r="DN21">
        <v>3075</v>
      </c>
      <c r="DO21">
        <v>814</v>
      </c>
      <c r="DP21">
        <v>6656</v>
      </c>
      <c r="DQ21">
        <v>671</v>
      </c>
      <c r="DR21">
        <v>72136</v>
      </c>
      <c r="DS21">
        <v>7141</v>
      </c>
      <c r="DT21">
        <v>1499</v>
      </c>
      <c r="DU21">
        <v>7142</v>
      </c>
      <c r="DV21">
        <v>1472</v>
      </c>
      <c r="DW21">
        <v>5512</v>
      </c>
      <c r="DX21">
        <v>1915</v>
      </c>
      <c r="DY21">
        <v>5820</v>
      </c>
      <c r="DZ21">
        <v>1088</v>
      </c>
      <c r="EA21">
        <v>3283</v>
      </c>
      <c r="EB21">
        <v>2250</v>
      </c>
      <c r="EC21">
        <v>3391</v>
      </c>
      <c r="ED21">
        <v>2298</v>
      </c>
      <c r="EE21">
        <v>4618</v>
      </c>
      <c r="EF21">
        <v>2588</v>
      </c>
      <c r="EG21">
        <v>2982</v>
      </c>
      <c r="EH21">
        <v>1870</v>
      </c>
      <c r="EI21">
        <v>1122</v>
      </c>
      <c r="EJ21">
        <v>2305</v>
      </c>
      <c r="EK21">
        <v>1582</v>
      </c>
      <c r="EL21">
        <v>3291</v>
      </c>
      <c r="EM21">
        <v>4721</v>
      </c>
      <c r="EN21">
        <v>417</v>
      </c>
      <c r="EO21">
        <v>7437</v>
      </c>
      <c r="EP21">
        <v>734</v>
      </c>
      <c r="EQ21">
        <v>9059</v>
      </c>
      <c r="ER21">
        <v>1137</v>
      </c>
      <c r="ES21">
        <v>3924</v>
      </c>
      <c r="ET21">
        <v>1319</v>
      </c>
      <c r="EU21">
        <v>4277</v>
      </c>
      <c r="EV21">
        <v>2228</v>
      </c>
      <c r="EW21">
        <v>602</v>
      </c>
      <c r="EX21">
        <v>1056</v>
      </c>
      <c r="EY21">
        <v>567</v>
      </c>
      <c r="EZ21">
        <v>1003</v>
      </c>
      <c r="FA21">
        <v>386</v>
      </c>
    </row>
    <row r="22" spans="1:157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>
        <v>10978</v>
      </c>
      <c r="I22">
        <v>242</v>
      </c>
      <c r="J22">
        <v>7186</v>
      </c>
      <c r="K22">
        <v>85</v>
      </c>
      <c r="L22">
        <v>57002</v>
      </c>
      <c r="M22">
        <v>173319</v>
      </c>
      <c r="N22">
        <v>3210</v>
      </c>
      <c r="O22">
        <v>59521</v>
      </c>
      <c r="P22">
        <v>1183</v>
      </c>
      <c r="Q22">
        <v>167529</v>
      </c>
      <c r="R22" t="s">
        <v>73</v>
      </c>
      <c r="S22" t="s">
        <v>73</v>
      </c>
      <c r="T22" t="s">
        <v>73</v>
      </c>
      <c r="U22" t="s">
        <v>73</v>
      </c>
      <c r="V22" t="s">
        <v>73</v>
      </c>
      <c r="W22">
        <v>1651090</v>
      </c>
      <c r="X22">
        <v>30588</v>
      </c>
      <c r="Y22">
        <v>1613261</v>
      </c>
      <c r="Z22">
        <v>32923</v>
      </c>
      <c r="AA22">
        <v>223146</v>
      </c>
      <c r="AB22">
        <v>31</v>
      </c>
      <c r="AC22">
        <v>1338</v>
      </c>
      <c r="AD22">
        <v>31</v>
      </c>
      <c r="AE22">
        <v>1338</v>
      </c>
      <c r="AF22">
        <v>0</v>
      </c>
      <c r="AG22">
        <v>180</v>
      </c>
      <c r="AH22">
        <v>1747</v>
      </c>
      <c r="AI22">
        <v>200</v>
      </c>
      <c r="AJ22">
        <v>1974</v>
      </c>
      <c r="AK22">
        <v>43</v>
      </c>
      <c r="AL22">
        <v>3692</v>
      </c>
      <c r="AM22">
        <v>1687</v>
      </c>
      <c r="AN22">
        <v>3539</v>
      </c>
      <c r="AO22">
        <v>1579</v>
      </c>
      <c r="AP22">
        <v>4605</v>
      </c>
      <c r="AQ22">
        <v>1335</v>
      </c>
      <c r="AR22">
        <v>3941</v>
      </c>
      <c r="AS22">
        <v>1143</v>
      </c>
      <c r="AT22">
        <v>3399</v>
      </c>
      <c r="AU22">
        <v>2285</v>
      </c>
      <c r="AV22">
        <v>192007</v>
      </c>
      <c r="AW22">
        <v>14281</v>
      </c>
      <c r="AX22">
        <v>344587</v>
      </c>
      <c r="AY22">
        <v>21558</v>
      </c>
      <c r="AZ22">
        <v>465475</v>
      </c>
      <c r="BA22">
        <v>78802</v>
      </c>
      <c r="BB22">
        <v>11734</v>
      </c>
      <c r="BC22">
        <v>81141</v>
      </c>
      <c r="BD22">
        <v>12103</v>
      </c>
      <c r="BE22">
        <v>101993</v>
      </c>
      <c r="BF22">
        <v>58508</v>
      </c>
      <c r="BG22">
        <v>27338</v>
      </c>
      <c r="BH22">
        <v>60938</v>
      </c>
      <c r="BI22">
        <v>27760</v>
      </c>
      <c r="BJ22">
        <v>83175</v>
      </c>
      <c r="BK22">
        <v>183435</v>
      </c>
      <c r="BL22">
        <v>9962</v>
      </c>
      <c r="BM22">
        <v>384364</v>
      </c>
      <c r="BN22">
        <v>17771</v>
      </c>
      <c r="BO22">
        <v>515032</v>
      </c>
      <c r="BP22">
        <v>93789</v>
      </c>
      <c r="BQ22">
        <v>10421</v>
      </c>
      <c r="BR22">
        <v>110525</v>
      </c>
      <c r="BS22">
        <v>11346</v>
      </c>
      <c r="BT22">
        <v>153351</v>
      </c>
      <c r="BU22">
        <v>58170</v>
      </c>
      <c r="BV22">
        <v>7512</v>
      </c>
      <c r="BW22">
        <v>64476</v>
      </c>
      <c r="BX22">
        <v>7416</v>
      </c>
      <c r="BY22">
        <v>110289</v>
      </c>
      <c r="BZ22">
        <v>2393</v>
      </c>
      <c r="CA22">
        <v>2567</v>
      </c>
      <c r="CB22">
        <v>2690</v>
      </c>
      <c r="CC22">
        <v>2606</v>
      </c>
      <c r="CD22">
        <v>4750</v>
      </c>
      <c r="CE22">
        <v>3386</v>
      </c>
      <c r="CF22">
        <v>3849</v>
      </c>
      <c r="CG22">
        <v>4333</v>
      </c>
      <c r="CH22">
        <v>5016</v>
      </c>
      <c r="CI22">
        <v>2041</v>
      </c>
      <c r="CJ22">
        <v>6414</v>
      </c>
      <c r="CK22">
        <v>506</v>
      </c>
      <c r="CL22">
        <v>18213</v>
      </c>
      <c r="CM22">
        <v>1438</v>
      </c>
      <c r="CN22">
        <v>18377</v>
      </c>
      <c r="CO22">
        <v>640485</v>
      </c>
      <c r="CP22">
        <v>36292</v>
      </c>
      <c r="CQ22">
        <v>641138</v>
      </c>
      <c r="CR22">
        <v>35566</v>
      </c>
      <c r="CS22">
        <v>36538</v>
      </c>
      <c r="CT22">
        <v>2233</v>
      </c>
      <c r="CU22">
        <v>1444</v>
      </c>
      <c r="CV22">
        <v>2311</v>
      </c>
      <c r="CW22">
        <v>1413</v>
      </c>
      <c r="CX22">
        <v>889</v>
      </c>
      <c r="CY22">
        <v>10840</v>
      </c>
      <c r="CZ22">
        <v>3031</v>
      </c>
      <c r="DA22">
        <v>12463</v>
      </c>
      <c r="DB22">
        <v>3227</v>
      </c>
      <c r="DC22">
        <v>25493</v>
      </c>
      <c r="DD22">
        <v>12411</v>
      </c>
      <c r="DE22">
        <v>4196</v>
      </c>
      <c r="DF22">
        <v>13787</v>
      </c>
      <c r="DG22">
        <v>4590</v>
      </c>
      <c r="DH22">
        <v>10255</v>
      </c>
      <c r="DI22">
        <v>5290</v>
      </c>
      <c r="DJ22">
        <v>1262</v>
      </c>
      <c r="DK22">
        <v>8972</v>
      </c>
      <c r="DL22">
        <v>1505</v>
      </c>
      <c r="DM22">
        <v>11986</v>
      </c>
      <c r="DN22">
        <v>5371</v>
      </c>
      <c r="DO22">
        <v>732</v>
      </c>
      <c r="DP22">
        <v>5214</v>
      </c>
      <c r="DQ22">
        <v>580</v>
      </c>
      <c r="DR22">
        <v>71689</v>
      </c>
      <c r="DS22">
        <v>6707</v>
      </c>
      <c r="DT22">
        <v>1396</v>
      </c>
      <c r="DU22">
        <v>6358</v>
      </c>
      <c r="DV22">
        <v>1290</v>
      </c>
      <c r="DW22">
        <v>5840</v>
      </c>
      <c r="DX22">
        <v>1743</v>
      </c>
      <c r="DY22">
        <v>5075</v>
      </c>
      <c r="DZ22">
        <v>1274</v>
      </c>
      <c r="EA22">
        <v>4754</v>
      </c>
      <c r="EB22">
        <v>2090</v>
      </c>
      <c r="EC22">
        <v>3460</v>
      </c>
      <c r="ED22">
        <v>2331</v>
      </c>
      <c r="EE22">
        <v>4867</v>
      </c>
      <c r="EF22">
        <v>2620</v>
      </c>
      <c r="EG22">
        <v>2662</v>
      </c>
      <c r="EH22">
        <v>1698</v>
      </c>
      <c r="EI22">
        <v>1352</v>
      </c>
      <c r="EJ22">
        <v>1875</v>
      </c>
      <c r="EK22">
        <v>983</v>
      </c>
      <c r="EL22">
        <v>3287</v>
      </c>
      <c r="EM22">
        <v>5366</v>
      </c>
      <c r="EN22">
        <v>421</v>
      </c>
      <c r="EO22">
        <v>7974</v>
      </c>
      <c r="EP22">
        <v>740</v>
      </c>
      <c r="EQ22">
        <v>9381</v>
      </c>
      <c r="ER22">
        <v>1057</v>
      </c>
      <c r="ES22">
        <v>3644</v>
      </c>
      <c r="ET22">
        <v>1150</v>
      </c>
      <c r="EU22">
        <v>3983</v>
      </c>
      <c r="EV22">
        <v>2135</v>
      </c>
      <c r="EW22">
        <v>556</v>
      </c>
      <c r="EX22">
        <v>2101</v>
      </c>
      <c r="EY22">
        <v>649</v>
      </c>
      <c r="EZ22">
        <v>2241</v>
      </c>
      <c r="FA22">
        <v>293</v>
      </c>
    </row>
    <row r="23" spans="1:157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>
        <v>14969</v>
      </c>
      <c r="I23">
        <v>294</v>
      </c>
      <c r="J23">
        <v>9294</v>
      </c>
      <c r="K23">
        <v>105</v>
      </c>
      <c r="L23">
        <v>55756</v>
      </c>
      <c r="M23">
        <v>164563</v>
      </c>
      <c r="N23">
        <v>3022</v>
      </c>
      <c r="O23">
        <v>78643</v>
      </c>
      <c r="P23">
        <v>1207</v>
      </c>
      <c r="Q23">
        <v>167424</v>
      </c>
      <c r="R23" t="s">
        <v>73</v>
      </c>
      <c r="S23" t="s">
        <v>73</v>
      </c>
      <c r="T23" t="s">
        <v>73</v>
      </c>
      <c r="U23" t="s">
        <v>73</v>
      </c>
      <c r="V23" t="s">
        <v>73</v>
      </c>
      <c r="W23">
        <v>1642849</v>
      </c>
      <c r="X23">
        <v>31485</v>
      </c>
      <c r="Y23">
        <v>1650902</v>
      </c>
      <c r="Z23">
        <v>34284</v>
      </c>
      <c r="AA23">
        <v>232549</v>
      </c>
      <c r="AB23">
        <v>40</v>
      </c>
      <c r="AC23">
        <v>1599</v>
      </c>
      <c r="AD23">
        <v>40</v>
      </c>
      <c r="AE23">
        <v>1599</v>
      </c>
      <c r="AF23">
        <v>0</v>
      </c>
      <c r="AG23">
        <v>129</v>
      </c>
      <c r="AH23">
        <v>1361</v>
      </c>
      <c r="AI23">
        <v>140</v>
      </c>
      <c r="AJ23">
        <v>1309</v>
      </c>
      <c r="AK23">
        <v>32</v>
      </c>
      <c r="AL23">
        <v>3114</v>
      </c>
      <c r="AM23">
        <v>1339</v>
      </c>
      <c r="AN23">
        <v>2930</v>
      </c>
      <c r="AO23">
        <v>1098</v>
      </c>
      <c r="AP23">
        <v>4765</v>
      </c>
      <c r="AQ23">
        <v>1101</v>
      </c>
      <c r="AR23">
        <v>3651</v>
      </c>
      <c r="AS23">
        <v>959</v>
      </c>
      <c r="AT23">
        <v>2698</v>
      </c>
      <c r="AU23">
        <v>2426</v>
      </c>
      <c r="AV23">
        <v>190007</v>
      </c>
      <c r="AW23">
        <v>14211</v>
      </c>
      <c r="AX23">
        <v>405896</v>
      </c>
      <c r="AY23">
        <v>25526</v>
      </c>
      <c r="AZ23">
        <v>478057</v>
      </c>
      <c r="BA23">
        <v>75190</v>
      </c>
      <c r="BB23">
        <v>11434</v>
      </c>
      <c r="BC23">
        <v>89311</v>
      </c>
      <c r="BD23">
        <v>13262</v>
      </c>
      <c r="BE23">
        <v>96574</v>
      </c>
      <c r="BF23">
        <v>52238</v>
      </c>
      <c r="BG23">
        <v>25667</v>
      </c>
      <c r="BH23">
        <v>59620</v>
      </c>
      <c r="BI23">
        <v>25919</v>
      </c>
      <c r="BJ23">
        <v>83098</v>
      </c>
      <c r="BK23">
        <v>189931</v>
      </c>
      <c r="BL23">
        <v>9836</v>
      </c>
      <c r="BM23">
        <v>439445</v>
      </c>
      <c r="BN23">
        <v>19742</v>
      </c>
      <c r="BO23">
        <v>520851</v>
      </c>
      <c r="BP23">
        <v>84719</v>
      </c>
      <c r="BQ23">
        <v>9031</v>
      </c>
      <c r="BR23">
        <v>107350</v>
      </c>
      <c r="BS23">
        <v>11048</v>
      </c>
      <c r="BT23">
        <v>151479</v>
      </c>
      <c r="BU23">
        <v>53846</v>
      </c>
      <c r="BV23">
        <v>6811</v>
      </c>
      <c r="BW23">
        <v>58810</v>
      </c>
      <c r="BX23">
        <v>6688</v>
      </c>
      <c r="BY23">
        <v>118357</v>
      </c>
      <c r="BZ23">
        <v>2492</v>
      </c>
      <c r="CA23">
        <v>2807</v>
      </c>
      <c r="CB23">
        <v>2652</v>
      </c>
      <c r="CC23">
        <v>2457</v>
      </c>
      <c r="CD23">
        <v>4935</v>
      </c>
      <c r="CE23">
        <v>2690</v>
      </c>
      <c r="CF23">
        <v>3091</v>
      </c>
      <c r="CG23">
        <v>3276</v>
      </c>
      <c r="CH23">
        <v>3814</v>
      </c>
      <c r="CI23">
        <v>1754</v>
      </c>
      <c r="CJ23">
        <v>5217</v>
      </c>
      <c r="CK23">
        <v>400</v>
      </c>
      <c r="CL23">
        <v>8899</v>
      </c>
      <c r="CM23">
        <v>776</v>
      </c>
      <c r="CN23">
        <v>17217</v>
      </c>
      <c r="CO23">
        <v>590137</v>
      </c>
      <c r="CP23">
        <v>32077</v>
      </c>
      <c r="CQ23">
        <v>592662</v>
      </c>
      <c r="CR23">
        <v>32562</v>
      </c>
      <c r="CS23">
        <v>34490</v>
      </c>
      <c r="CT23">
        <v>2790</v>
      </c>
      <c r="CU23">
        <v>3709</v>
      </c>
      <c r="CV23">
        <v>2743</v>
      </c>
      <c r="CW23">
        <v>3734</v>
      </c>
      <c r="CX23">
        <v>937</v>
      </c>
      <c r="CY23">
        <v>9531</v>
      </c>
      <c r="CZ23">
        <v>2800</v>
      </c>
      <c r="DA23">
        <v>9112</v>
      </c>
      <c r="DB23">
        <v>2189</v>
      </c>
      <c r="DC23">
        <v>27499</v>
      </c>
      <c r="DD23">
        <v>6738</v>
      </c>
      <c r="DE23">
        <v>2365</v>
      </c>
      <c r="DF23">
        <v>4697</v>
      </c>
      <c r="DG23">
        <v>1574</v>
      </c>
      <c r="DH23">
        <v>12395</v>
      </c>
      <c r="DI23">
        <v>4877</v>
      </c>
      <c r="DJ23">
        <v>1175</v>
      </c>
      <c r="DK23">
        <v>10024</v>
      </c>
      <c r="DL23">
        <v>1340</v>
      </c>
      <c r="DM23">
        <v>11331</v>
      </c>
      <c r="DN23">
        <v>14153</v>
      </c>
      <c r="DO23">
        <v>943</v>
      </c>
      <c r="DP23">
        <v>5485</v>
      </c>
      <c r="DQ23">
        <v>662</v>
      </c>
      <c r="DR23">
        <v>79836</v>
      </c>
      <c r="DS23">
        <v>6024</v>
      </c>
      <c r="DT23">
        <v>1233</v>
      </c>
      <c r="DU23">
        <v>5383</v>
      </c>
      <c r="DV23">
        <v>1055</v>
      </c>
      <c r="DW23">
        <v>6440</v>
      </c>
      <c r="DX23">
        <v>1674</v>
      </c>
      <c r="DY23">
        <v>4949</v>
      </c>
      <c r="DZ23">
        <v>1178</v>
      </c>
      <c r="EA23">
        <v>3574</v>
      </c>
      <c r="EB23">
        <v>1957</v>
      </c>
      <c r="EC23">
        <v>3094</v>
      </c>
      <c r="ED23">
        <v>2095</v>
      </c>
      <c r="EE23">
        <v>4529</v>
      </c>
      <c r="EF23">
        <v>2574</v>
      </c>
      <c r="EG23">
        <v>2146</v>
      </c>
      <c r="EH23">
        <v>1631</v>
      </c>
      <c r="EI23">
        <v>776</v>
      </c>
      <c r="EJ23">
        <v>1610</v>
      </c>
      <c r="EK23">
        <v>1410</v>
      </c>
      <c r="EL23">
        <v>3380</v>
      </c>
      <c r="EM23">
        <v>4825</v>
      </c>
      <c r="EN23">
        <v>380</v>
      </c>
      <c r="EO23">
        <v>7710</v>
      </c>
      <c r="EP23">
        <v>784</v>
      </c>
      <c r="EQ23">
        <v>9560</v>
      </c>
      <c r="ER23">
        <v>1179</v>
      </c>
      <c r="ES23">
        <v>3966</v>
      </c>
      <c r="ET23">
        <v>1061</v>
      </c>
      <c r="EU23">
        <v>3764</v>
      </c>
      <c r="EV23">
        <v>2253</v>
      </c>
      <c r="EW23">
        <v>514</v>
      </c>
      <c r="EX23">
        <v>1290</v>
      </c>
      <c r="EY23">
        <v>530</v>
      </c>
      <c r="EZ23">
        <v>1312</v>
      </c>
      <c r="FA23">
        <v>277</v>
      </c>
    </row>
    <row r="24" spans="1:157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13695</v>
      </c>
      <c r="I24">
        <v>268</v>
      </c>
      <c r="J24">
        <v>6289</v>
      </c>
      <c r="K24">
        <v>74</v>
      </c>
      <c r="L24">
        <v>7265</v>
      </c>
      <c r="M24">
        <v>168555</v>
      </c>
      <c r="N24">
        <v>2943</v>
      </c>
      <c r="O24">
        <v>88204</v>
      </c>
      <c r="P24">
        <v>1382</v>
      </c>
      <c r="Q24">
        <v>92012</v>
      </c>
      <c r="R24" t="s">
        <v>73</v>
      </c>
      <c r="S24" t="s">
        <v>73</v>
      </c>
      <c r="T24" t="s">
        <v>73</v>
      </c>
      <c r="U24" t="s">
        <v>73</v>
      </c>
      <c r="V24" t="s">
        <v>73</v>
      </c>
      <c r="W24">
        <v>1399078</v>
      </c>
      <c r="X24">
        <v>23998</v>
      </c>
      <c r="Y24">
        <v>1329647</v>
      </c>
      <c r="Z24">
        <v>25624</v>
      </c>
      <c r="AA24">
        <v>192690</v>
      </c>
      <c r="AB24">
        <v>45</v>
      </c>
      <c r="AC24">
        <v>1600</v>
      </c>
      <c r="AD24">
        <v>45</v>
      </c>
      <c r="AE24">
        <v>1600</v>
      </c>
      <c r="AF24">
        <v>0</v>
      </c>
      <c r="AG24">
        <v>116</v>
      </c>
      <c r="AH24">
        <v>1450</v>
      </c>
      <c r="AI24">
        <v>106</v>
      </c>
      <c r="AJ24">
        <v>1363</v>
      </c>
      <c r="AK24">
        <v>42</v>
      </c>
      <c r="AL24">
        <v>3331</v>
      </c>
      <c r="AM24">
        <v>1231</v>
      </c>
      <c r="AN24">
        <v>3345</v>
      </c>
      <c r="AO24">
        <v>1434</v>
      </c>
      <c r="AP24">
        <v>4688</v>
      </c>
      <c r="AQ24">
        <v>1181</v>
      </c>
      <c r="AR24">
        <v>3644</v>
      </c>
      <c r="AS24">
        <v>1483</v>
      </c>
      <c r="AT24">
        <v>4325</v>
      </c>
      <c r="AU24">
        <v>2234</v>
      </c>
      <c r="AV24">
        <v>203922</v>
      </c>
      <c r="AW24">
        <v>14717</v>
      </c>
      <c r="AX24">
        <v>388475</v>
      </c>
      <c r="AY24">
        <v>23140</v>
      </c>
      <c r="AZ24">
        <v>547021</v>
      </c>
      <c r="BA24">
        <v>79028</v>
      </c>
      <c r="BB24">
        <v>11735</v>
      </c>
      <c r="BC24">
        <v>73237</v>
      </c>
      <c r="BD24">
        <v>10893</v>
      </c>
      <c r="BE24">
        <v>105573</v>
      </c>
      <c r="BF24">
        <v>51343</v>
      </c>
      <c r="BG24">
        <v>25845</v>
      </c>
      <c r="BH24">
        <v>46225</v>
      </c>
      <c r="BI24">
        <v>23144</v>
      </c>
      <c r="BJ24">
        <v>70597</v>
      </c>
      <c r="BK24">
        <v>202049</v>
      </c>
      <c r="BL24">
        <v>9913</v>
      </c>
      <c r="BM24">
        <v>416919</v>
      </c>
      <c r="BN24">
        <v>17460</v>
      </c>
      <c r="BO24">
        <v>590629</v>
      </c>
      <c r="BP24">
        <v>75516</v>
      </c>
      <c r="BQ24">
        <v>7782</v>
      </c>
      <c r="BR24">
        <v>93525</v>
      </c>
      <c r="BS24">
        <v>9535</v>
      </c>
      <c r="BT24">
        <v>148833</v>
      </c>
      <c r="BU24">
        <v>48398</v>
      </c>
      <c r="BV24">
        <v>6104</v>
      </c>
      <c r="BW24">
        <v>49082</v>
      </c>
      <c r="BX24">
        <v>6128</v>
      </c>
      <c r="BY24">
        <v>96097</v>
      </c>
      <c r="BZ24">
        <v>2522</v>
      </c>
      <c r="CA24">
        <v>2632</v>
      </c>
      <c r="CB24">
        <v>3147</v>
      </c>
      <c r="CC24">
        <v>3365</v>
      </c>
      <c r="CD24">
        <v>4171</v>
      </c>
      <c r="CE24">
        <v>2565</v>
      </c>
      <c r="CF24">
        <v>2958</v>
      </c>
      <c r="CG24">
        <v>2646</v>
      </c>
      <c r="CH24">
        <v>3103</v>
      </c>
      <c r="CI24">
        <v>1821</v>
      </c>
      <c r="CJ24">
        <v>4146</v>
      </c>
      <c r="CK24">
        <v>359</v>
      </c>
      <c r="CL24">
        <v>5481</v>
      </c>
      <c r="CM24">
        <v>515</v>
      </c>
      <c r="CN24">
        <v>14332</v>
      </c>
      <c r="CO24">
        <v>634463</v>
      </c>
      <c r="CP24">
        <v>34812</v>
      </c>
      <c r="CQ24">
        <v>632422</v>
      </c>
      <c r="CR24">
        <v>34630</v>
      </c>
      <c r="CS24">
        <v>37319</v>
      </c>
      <c r="CT24">
        <v>2448</v>
      </c>
      <c r="CU24">
        <v>1664</v>
      </c>
      <c r="CV24">
        <v>2498</v>
      </c>
      <c r="CW24">
        <v>1689</v>
      </c>
      <c r="CX24">
        <v>1076</v>
      </c>
      <c r="CY24">
        <v>9590</v>
      </c>
      <c r="CZ24">
        <v>2802</v>
      </c>
      <c r="DA24">
        <v>10493</v>
      </c>
      <c r="DB24">
        <v>2568</v>
      </c>
      <c r="DC24">
        <v>28208</v>
      </c>
      <c r="DD24">
        <v>9024</v>
      </c>
      <c r="DE24">
        <v>3138</v>
      </c>
      <c r="DF24">
        <v>9273</v>
      </c>
      <c r="DG24">
        <v>3154</v>
      </c>
      <c r="DH24">
        <v>12162</v>
      </c>
      <c r="DI24">
        <v>4625</v>
      </c>
      <c r="DJ24">
        <v>1163</v>
      </c>
      <c r="DK24">
        <v>7673</v>
      </c>
      <c r="DL24">
        <v>1153</v>
      </c>
      <c r="DM24">
        <v>11403</v>
      </c>
      <c r="DN24">
        <v>18253</v>
      </c>
      <c r="DO24">
        <v>867</v>
      </c>
      <c r="DP24">
        <v>6266</v>
      </c>
      <c r="DQ24">
        <v>606</v>
      </c>
      <c r="DR24">
        <v>91441</v>
      </c>
      <c r="DS24">
        <v>6439</v>
      </c>
      <c r="DT24">
        <v>1370</v>
      </c>
      <c r="DU24">
        <v>5809</v>
      </c>
      <c r="DV24">
        <v>1213</v>
      </c>
      <c r="DW24">
        <v>7033</v>
      </c>
      <c r="DX24">
        <v>1540</v>
      </c>
      <c r="DY24">
        <v>5100</v>
      </c>
      <c r="DZ24">
        <v>1084</v>
      </c>
      <c r="EA24">
        <v>4086</v>
      </c>
      <c r="EB24">
        <v>1979</v>
      </c>
      <c r="EC24">
        <v>2546</v>
      </c>
      <c r="ED24">
        <v>1764</v>
      </c>
      <c r="EE24">
        <v>3119</v>
      </c>
      <c r="EF24">
        <v>1940</v>
      </c>
      <c r="EG24">
        <v>1919</v>
      </c>
      <c r="EH24">
        <v>1586</v>
      </c>
      <c r="EI24">
        <v>1412</v>
      </c>
      <c r="EJ24">
        <v>1425</v>
      </c>
      <c r="EK24">
        <v>788</v>
      </c>
      <c r="EL24">
        <v>3940</v>
      </c>
      <c r="EM24">
        <v>4610</v>
      </c>
      <c r="EN24">
        <v>408</v>
      </c>
      <c r="EO24">
        <v>7688</v>
      </c>
      <c r="EP24">
        <v>743</v>
      </c>
      <c r="EQ24">
        <v>8788</v>
      </c>
      <c r="ER24">
        <v>1082</v>
      </c>
      <c r="ES24">
        <v>3900</v>
      </c>
      <c r="ET24">
        <v>1012</v>
      </c>
      <c r="EU24">
        <v>3361</v>
      </c>
      <c r="EV24">
        <v>2323</v>
      </c>
      <c r="EW24">
        <v>457</v>
      </c>
      <c r="EX24">
        <v>890</v>
      </c>
      <c r="EY24">
        <v>489</v>
      </c>
      <c r="EZ24">
        <v>948</v>
      </c>
      <c r="FA24">
        <v>245</v>
      </c>
    </row>
    <row r="25" spans="1:157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15964</v>
      </c>
      <c r="I25">
        <v>294</v>
      </c>
      <c r="J25">
        <v>9699</v>
      </c>
      <c r="K25">
        <v>103</v>
      </c>
      <c r="L25">
        <v>6922</v>
      </c>
      <c r="M25">
        <v>165298</v>
      </c>
      <c r="N25">
        <v>2841</v>
      </c>
      <c r="O25">
        <v>99879</v>
      </c>
      <c r="P25">
        <v>1473</v>
      </c>
      <c r="Q25">
        <v>85346</v>
      </c>
      <c r="R25" t="s">
        <v>73</v>
      </c>
      <c r="S25" t="s">
        <v>73</v>
      </c>
      <c r="T25" t="s">
        <v>73</v>
      </c>
      <c r="U25" t="s">
        <v>73</v>
      </c>
      <c r="V25" t="s">
        <v>73</v>
      </c>
      <c r="W25">
        <v>1591984</v>
      </c>
      <c r="X25">
        <v>27020</v>
      </c>
      <c r="Y25">
        <v>1628819</v>
      </c>
      <c r="Z25">
        <v>30225</v>
      </c>
      <c r="AA25">
        <v>174002</v>
      </c>
      <c r="AB25">
        <v>40</v>
      </c>
      <c r="AC25">
        <v>1928</v>
      </c>
      <c r="AD25">
        <v>38</v>
      </c>
      <c r="AE25">
        <v>1915</v>
      </c>
      <c r="AF25">
        <v>0</v>
      </c>
      <c r="AG25">
        <v>112</v>
      </c>
      <c r="AH25">
        <v>1331</v>
      </c>
      <c r="AI25">
        <v>108</v>
      </c>
      <c r="AJ25">
        <v>1431</v>
      </c>
      <c r="AK25">
        <v>46</v>
      </c>
      <c r="AL25">
        <v>2727</v>
      </c>
      <c r="AM25">
        <v>1077</v>
      </c>
      <c r="AN25">
        <v>3508</v>
      </c>
      <c r="AO25">
        <v>1412</v>
      </c>
      <c r="AP25">
        <v>3925</v>
      </c>
      <c r="AQ25">
        <v>1208</v>
      </c>
      <c r="AR25">
        <v>3920</v>
      </c>
      <c r="AS25">
        <v>1530</v>
      </c>
      <c r="AT25">
        <v>4608</v>
      </c>
      <c r="AU25">
        <v>1912</v>
      </c>
      <c r="AV25">
        <v>222032</v>
      </c>
      <c r="AW25">
        <v>15521</v>
      </c>
      <c r="AX25">
        <v>444093</v>
      </c>
      <c r="AY25">
        <v>26602</v>
      </c>
      <c r="AZ25">
        <v>583051</v>
      </c>
      <c r="BA25">
        <v>77074</v>
      </c>
      <c r="BB25">
        <v>10734</v>
      </c>
      <c r="BC25">
        <v>79953</v>
      </c>
      <c r="BD25">
        <v>11741</v>
      </c>
      <c r="BE25">
        <v>105502</v>
      </c>
      <c r="BF25">
        <v>52524</v>
      </c>
      <c r="BG25">
        <v>25445</v>
      </c>
      <c r="BH25">
        <v>52363</v>
      </c>
      <c r="BI25">
        <v>25624</v>
      </c>
      <c r="BJ25">
        <v>71031</v>
      </c>
      <c r="BK25">
        <v>217742</v>
      </c>
      <c r="BL25">
        <v>10546</v>
      </c>
      <c r="BM25">
        <v>468988</v>
      </c>
      <c r="BN25">
        <v>19511</v>
      </c>
      <c r="BO25">
        <v>637804</v>
      </c>
      <c r="BP25">
        <v>81878</v>
      </c>
      <c r="BQ25">
        <v>8254</v>
      </c>
      <c r="BR25">
        <v>98877</v>
      </c>
      <c r="BS25">
        <v>10050</v>
      </c>
      <c r="BT25">
        <v>150779</v>
      </c>
      <c r="BU25">
        <v>44365</v>
      </c>
      <c r="BV25">
        <v>5512</v>
      </c>
      <c r="BW25">
        <v>51034</v>
      </c>
      <c r="BX25">
        <v>6484</v>
      </c>
      <c r="BY25">
        <v>96008</v>
      </c>
      <c r="BZ25">
        <v>2309</v>
      </c>
      <c r="CA25">
        <v>2441</v>
      </c>
      <c r="CB25">
        <v>2705</v>
      </c>
      <c r="CC25">
        <v>2677</v>
      </c>
      <c r="CD25">
        <v>4111</v>
      </c>
      <c r="CE25">
        <v>2517</v>
      </c>
      <c r="CF25">
        <v>2923</v>
      </c>
      <c r="CG25">
        <v>2866</v>
      </c>
      <c r="CH25">
        <v>3321</v>
      </c>
      <c r="CI25">
        <v>1655</v>
      </c>
      <c r="CJ25">
        <v>5344</v>
      </c>
      <c r="CK25">
        <v>410</v>
      </c>
      <c r="CL25">
        <v>7118</v>
      </c>
      <c r="CM25">
        <v>587</v>
      </c>
      <c r="CN25">
        <v>14065</v>
      </c>
      <c r="CO25">
        <v>641864</v>
      </c>
      <c r="CP25">
        <v>34720</v>
      </c>
      <c r="CQ25">
        <v>650623</v>
      </c>
      <c r="CR25">
        <v>34508</v>
      </c>
      <c r="CS25">
        <v>29052</v>
      </c>
      <c r="CT25">
        <v>2325</v>
      </c>
      <c r="CU25">
        <v>1417</v>
      </c>
      <c r="CV25">
        <v>2293</v>
      </c>
      <c r="CW25">
        <v>1721</v>
      </c>
      <c r="CX25">
        <v>1108</v>
      </c>
      <c r="CY25">
        <v>9850</v>
      </c>
      <c r="CZ25">
        <v>2856</v>
      </c>
      <c r="DA25">
        <v>11682</v>
      </c>
      <c r="DB25">
        <v>3050</v>
      </c>
      <c r="DC25">
        <v>27470</v>
      </c>
      <c r="DD25">
        <v>11172</v>
      </c>
      <c r="DE25">
        <v>3702</v>
      </c>
      <c r="DF25">
        <v>11962</v>
      </c>
      <c r="DG25">
        <v>4006</v>
      </c>
      <c r="DH25">
        <v>11399</v>
      </c>
      <c r="DI25">
        <v>4997</v>
      </c>
      <c r="DJ25">
        <v>1298</v>
      </c>
      <c r="DK25">
        <v>7916</v>
      </c>
      <c r="DL25">
        <v>1256</v>
      </c>
      <c r="DM25">
        <v>12377</v>
      </c>
      <c r="DN25">
        <v>15770</v>
      </c>
      <c r="DO25">
        <v>890</v>
      </c>
      <c r="DP25">
        <v>5251</v>
      </c>
      <c r="DQ25">
        <v>667</v>
      </c>
      <c r="DR25">
        <v>101468</v>
      </c>
      <c r="DS25">
        <v>7234</v>
      </c>
      <c r="DT25">
        <v>1491</v>
      </c>
      <c r="DU25">
        <v>6466</v>
      </c>
      <c r="DV25">
        <v>1308</v>
      </c>
      <c r="DW25">
        <v>7766</v>
      </c>
      <c r="DX25">
        <v>1384</v>
      </c>
      <c r="DY25">
        <v>4886</v>
      </c>
      <c r="DZ25">
        <v>1208</v>
      </c>
      <c r="EA25">
        <v>4646</v>
      </c>
      <c r="EB25">
        <v>1768</v>
      </c>
      <c r="EC25">
        <v>2807</v>
      </c>
      <c r="ED25">
        <v>2024</v>
      </c>
      <c r="EE25">
        <v>3069</v>
      </c>
      <c r="EF25">
        <v>2101</v>
      </c>
      <c r="EG25">
        <v>1621</v>
      </c>
      <c r="EH25">
        <v>1566</v>
      </c>
      <c r="EI25">
        <v>1211</v>
      </c>
      <c r="EJ25">
        <v>1629</v>
      </c>
      <c r="EK25">
        <v>1341</v>
      </c>
      <c r="EL25">
        <v>4072</v>
      </c>
      <c r="EM25">
        <v>4651</v>
      </c>
      <c r="EN25">
        <v>385</v>
      </c>
      <c r="EO25">
        <v>7152</v>
      </c>
      <c r="EP25">
        <v>706</v>
      </c>
      <c r="EQ25">
        <v>8091</v>
      </c>
      <c r="ER25">
        <v>1088</v>
      </c>
      <c r="ES25">
        <v>3382</v>
      </c>
      <c r="ET25">
        <v>1219</v>
      </c>
      <c r="EU25">
        <v>4309</v>
      </c>
      <c r="EV25">
        <v>2192</v>
      </c>
      <c r="EW25">
        <v>470</v>
      </c>
      <c r="EX25">
        <v>843</v>
      </c>
      <c r="EY25">
        <v>493</v>
      </c>
      <c r="EZ25">
        <v>877</v>
      </c>
      <c r="FA25">
        <v>222</v>
      </c>
    </row>
    <row r="26" spans="1:157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16219</v>
      </c>
      <c r="I26">
        <v>302</v>
      </c>
      <c r="J26">
        <v>12438</v>
      </c>
      <c r="K26">
        <v>137</v>
      </c>
      <c r="L26">
        <v>3354</v>
      </c>
      <c r="M26">
        <v>182386</v>
      </c>
      <c r="N26">
        <v>3107</v>
      </c>
      <c r="O26">
        <v>105768</v>
      </c>
      <c r="P26">
        <v>1594</v>
      </c>
      <c r="Q26">
        <v>75185</v>
      </c>
      <c r="R26" t="s">
        <v>73</v>
      </c>
      <c r="S26" t="s">
        <v>73</v>
      </c>
      <c r="T26" t="s">
        <v>73</v>
      </c>
      <c r="U26" t="s">
        <v>73</v>
      </c>
      <c r="V26" t="s">
        <v>73</v>
      </c>
      <c r="W26">
        <v>1636869</v>
      </c>
      <c r="X26">
        <v>30398</v>
      </c>
      <c r="Y26">
        <v>1601242</v>
      </c>
      <c r="Z26">
        <v>33166</v>
      </c>
      <c r="AA26">
        <v>177938</v>
      </c>
      <c r="AB26">
        <v>56</v>
      </c>
      <c r="AC26">
        <v>2850</v>
      </c>
      <c r="AD26">
        <v>54</v>
      </c>
      <c r="AE26">
        <v>2837</v>
      </c>
      <c r="AF26">
        <v>0</v>
      </c>
      <c r="AG26">
        <v>123</v>
      </c>
      <c r="AH26">
        <v>1656</v>
      </c>
      <c r="AI26">
        <v>143</v>
      </c>
      <c r="AJ26">
        <v>1835</v>
      </c>
      <c r="AK26">
        <v>26</v>
      </c>
      <c r="AL26">
        <v>3116</v>
      </c>
      <c r="AM26">
        <v>1274</v>
      </c>
      <c r="AN26">
        <v>3538</v>
      </c>
      <c r="AO26">
        <v>1510</v>
      </c>
      <c r="AP26">
        <v>3495</v>
      </c>
      <c r="AQ26">
        <v>1280</v>
      </c>
      <c r="AR26">
        <v>3985</v>
      </c>
      <c r="AS26">
        <v>1575</v>
      </c>
      <c r="AT26">
        <v>5754</v>
      </c>
      <c r="AU26">
        <v>1607</v>
      </c>
      <c r="AV26">
        <v>246285</v>
      </c>
      <c r="AW26">
        <v>18291</v>
      </c>
      <c r="AX26">
        <v>638272</v>
      </c>
      <c r="AY26">
        <v>37729</v>
      </c>
      <c r="AZ26">
        <v>468468</v>
      </c>
      <c r="BA26">
        <v>95439</v>
      </c>
      <c r="BB26">
        <v>13325</v>
      </c>
      <c r="BC26">
        <v>108180</v>
      </c>
      <c r="BD26">
        <v>15409</v>
      </c>
      <c r="BE26">
        <v>98748</v>
      </c>
      <c r="BF26">
        <v>54440</v>
      </c>
      <c r="BG26">
        <v>25109</v>
      </c>
      <c r="BH26">
        <v>71321</v>
      </c>
      <c r="BI26">
        <v>36264</v>
      </c>
      <c r="BJ26">
        <v>53510</v>
      </c>
      <c r="BK26">
        <v>262893</v>
      </c>
      <c r="BL26">
        <v>12976</v>
      </c>
      <c r="BM26">
        <v>669214</v>
      </c>
      <c r="BN26">
        <v>27375</v>
      </c>
      <c r="BO26">
        <v>540870</v>
      </c>
      <c r="BP26">
        <v>95320</v>
      </c>
      <c r="BQ26">
        <v>9338</v>
      </c>
      <c r="BR26">
        <v>126066</v>
      </c>
      <c r="BS26">
        <v>12271</v>
      </c>
      <c r="BT26">
        <v>140065</v>
      </c>
      <c r="BU26">
        <v>49285</v>
      </c>
      <c r="BV26">
        <v>6259</v>
      </c>
      <c r="BW26">
        <v>55059</v>
      </c>
      <c r="BX26">
        <v>7177</v>
      </c>
      <c r="BY26">
        <v>94664</v>
      </c>
      <c r="BZ26">
        <v>2503</v>
      </c>
      <c r="CA26">
        <v>2804</v>
      </c>
      <c r="CB26">
        <v>3010</v>
      </c>
      <c r="CC26">
        <v>3205</v>
      </c>
      <c r="CD26">
        <v>3911</v>
      </c>
      <c r="CE26">
        <v>2203</v>
      </c>
      <c r="CF26">
        <v>2532</v>
      </c>
      <c r="CG26">
        <v>2584</v>
      </c>
      <c r="CH26">
        <v>3025</v>
      </c>
      <c r="CI26">
        <v>1459</v>
      </c>
      <c r="CJ26">
        <v>4803</v>
      </c>
      <c r="CK26">
        <v>381</v>
      </c>
      <c r="CL26">
        <v>6898</v>
      </c>
      <c r="CM26">
        <v>612</v>
      </c>
      <c r="CN26">
        <v>13033</v>
      </c>
      <c r="CO26">
        <v>651990</v>
      </c>
      <c r="CP26">
        <v>36659</v>
      </c>
      <c r="CQ26">
        <v>644957</v>
      </c>
      <c r="CR26">
        <v>38416</v>
      </c>
      <c r="CS26">
        <v>36321</v>
      </c>
      <c r="CT26">
        <v>2528</v>
      </c>
      <c r="CU26">
        <v>2328</v>
      </c>
      <c r="CV26">
        <v>2667</v>
      </c>
      <c r="CW26">
        <v>2562</v>
      </c>
      <c r="CX26">
        <v>969</v>
      </c>
      <c r="CY26">
        <v>10353</v>
      </c>
      <c r="CZ26">
        <v>2740</v>
      </c>
      <c r="DA26">
        <v>12225</v>
      </c>
      <c r="DB26">
        <v>2966</v>
      </c>
      <c r="DC26">
        <v>26618</v>
      </c>
      <c r="DD26">
        <v>11138</v>
      </c>
      <c r="DE26">
        <v>3745</v>
      </c>
      <c r="DF26">
        <v>12472</v>
      </c>
      <c r="DG26">
        <v>4167</v>
      </c>
      <c r="DH26">
        <v>10100</v>
      </c>
      <c r="DI26">
        <v>5120</v>
      </c>
      <c r="DJ26">
        <v>1358</v>
      </c>
      <c r="DK26">
        <v>8757</v>
      </c>
      <c r="DL26">
        <v>1398</v>
      </c>
      <c r="DM26">
        <v>11643</v>
      </c>
      <c r="DN26">
        <v>20275</v>
      </c>
      <c r="DO26">
        <v>1114</v>
      </c>
      <c r="DP26">
        <v>7125</v>
      </c>
      <c r="DQ26">
        <v>707</v>
      </c>
      <c r="DR26">
        <v>114247</v>
      </c>
      <c r="DS26">
        <v>7125</v>
      </c>
      <c r="DT26">
        <v>1526</v>
      </c>
      <c r="DU26">
        <v>7222</v>
      </c>
      <c r="DV26">
        <v>1502</v>
      </c>
      <c r="DW26">
        <v>7673</v>
      </c>
      <c r="DX26">
        <v>1599</v>
      </c>
      <c r="DY26">
        <v>5940</v>
      </c>
      <c r="DZ26">
        <v>1169</v>
      </c>
      <c r="EA26">
        <v>4663</v>
      </c>
      <c r="EB26">
        <v>1709</v>
      </c>
      <c r="EC26">
        <v>3541</v>
      </c>
      <c r="ED26">
        <v>2432</v>
      </c>
      <c r="EE26">
        <v>3557</v>
      </c>
      <c r="EF26">
        <v>2530</v>
      </c>
      <c r="EG26">
        <v>1721</v>
      </c>
      <c r="EH26">
        <v>1465</v>
      </c>
      <c r="EI26">
        <v>908</v>
      </c>
      <c r="EJ26">
        <v>2331</v>
      </c>
      <c r="EK26">
        <v>1652</v>
      </c>
      <c r="EL26">
        <v>3276</v>
      </c>
      <c r="EM26">
        <v>4350</v>
      </c>
      <c r="EN26">
        <v>383</v>
      </c>
      <c r="EO26">
        <v>6883</v>
      </c>
      <c r="EP26">
        <v>735</v>
      </c>
      <c r="EQ26">
        <v>8240</v>
      </c>
      <c r="ER26">
        <v>1320</v>
      </c>
      <c r="ES26">
        <v>4378</v>
      </c>
      <c r="ET26">
        <v>1470</v>
      </c>
      <c r="EU26">
        <v>5011</v>
      </c>
      <c r="EV26">
        <v>2046</v>
      </c>
      <c r="EW26">
        <v>518</v>
      </c>
      <c r="EX26">
        <v>1133</v>
      </c>
      <c r="EY26">
        <v>532</v>
      </c>
      <c r="EZ26">
        <v>1171</v>
      </c>
      <c r="FA26">
        <v>208</v>
      </c>
    </row>
    <row r="27" spans="1:157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11925</v>
      </c>
      <c r="I27">
        <v>246</v>
      </c>
      <c r="J27">
        <v>5406</v>
      </c>
      <c r="K27">
        <v>62</v>
      </c>
      <c r="L27">
        <v>4465</v>
      </c>
      <c r="M27">
        <v>232051</v>
      </c>
      <c r="N27">
        <v>3875</v>
      </c>
      <c r="O27">
        <v>110546</v>
      </c>
      <c r="P27">
        <v>1556</v>
      </c>
      <c r="Q27">
        <v>68539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>
        <v>1603938</v>
      </c>
      <c r="X27">
        <v>29214</v>
      </c>
      <c r="Y27">
        <v>1584884</v>
      </c>
      <c r="Z27">
        <v>31565</v>
      </c>
      <c r="AA27">
        <v>179122</v>
      </c>
      <c r="AB27">
        <v>14</v>
      </c>
      <c r="AC27">
        <v>510</v>
      </c>
      <c r="AD27">
        <v>12</v>
      </c>
      <c r="AE27">
        <v>497</v>
      </c>
      <c r="AF27">
        <v>0</v>
      </c>
      <c r="AG27">
        <v>144</v>
      </c>
      <c r="AH27">
        <v>2012</v>
      </c>
      <c r="AI27">
        <v>141</v>
      </c>
      <c r="AJ27">
        <v>1818</v>
      </c>
      <c r="AK27">
        <v>29</v>
      </c>
      <c r="AL27">
        <v>4091</v>
      </c>
      <c r="AM27">
        <v>1568</v>
      </c>
      <c r="AN27">
        <v>3651</v>
      </c>
      <c r="AO27">
        <v>1281</v>
      </c>
      <c r="AP27">
        <v>3926</v>
      </c>
      <c r="AQ27">
        <v>1379</v>
      </c>
      <c r="AR27">
        <v>3957</v>
      </c>
      <c r="AS27">
        <v>1117</v>
      </c>
      <c r="AT27">
        <v>3055</v>
      </c>
      <c r="AU27">
        <v>1863</v>
      </c>
      <c r="AV27">
        <v>309276</v>
      </c>
      <c r="AW27">
        <v>25557</v>
      </c>
      <c r="AX27">
        <v>463603</v>
      </c>
      <c r="AY27">
        <v>32489</v>
      </c>
      <c r="AZ27">
        <v>770491</v>
      </c>
      <c r="BA27">
        <v>122714</v>
      </c>
      <c r="BB27">
        <v>19099</v>
      </c>
      <c r="BC27">
        <v>86284</v>
      </c>
      <c r="BD27">
        <v>13352</v>
      </c>
      <c r="BE27">
        <v>146121</v>
      </c>
      <c r="BF27">
        <v>66258</v>
      </c>
      <c r="BG27">
        <v>31285</v>
      </c>
      <c r="BH27">
        <v>52192</v>
      </c>
      <c r="BI27">
        <v>24958</v>
      </c>
      <c r="BJ27">
        <v>67396</v>
      </c>
      <c r="BK27">
        <v>331977</v>
      </c>
      <c r="BL27">
        <v>18364</v>
      </c>
      <c r="BM27">
        <v>495983</v>
      </c>
      <c r="BN27">
        <v>24361</v>
      </c>
      <c r="BO27">
        <v>831226</v>
      </c>
      <c r="BP27">
        <v>112216</v>
      </c>
      <c r="BQ27">
        <v>12852</v>
      </c>
      <c r="BR27">
        <v>110109</v>
      </c>
      <c r="BS27">
        <v>11900</v>
      </c>
      <c r="BT27">
        <v>185250</v>
      </c>
      <c r="BU27">
        <v>58407</v>
      </c>
      <c r="BV27">
        <v>8472</v>
      </c>
      <c r="BW27">
        <v>56941</v>
      </c>
      <c r="BX27">
        <v>7419</v>
      </c>
      <c r="BY27">
        <v>104376</v>
      </c>
      <c r="BZ27">
        <v>2364</v>
      </c>
      <c r="CA27">
        <v>2610</v>
      </c>
      <c r="CB27">
        <v>2671</v>
      </c>
      <c r="CC27">
        <v>2790</v>
      </c>
      <c r="CD27">
        <v>3930</v>
      </c>
      <c r="CE27">
        <v>2443</v>
      </c>
      <c r="CF27">
        <v>2911</v>
      </c>
      <c r="CG27">
        <v>2578</v>
      </c>
      <c r="CH27">
        <v>3091</v>
      </c>
      <c r="CI27">
        <v>1708</v>
      </c>
      <c r="CJ27">
        <v>6731</v>
      </c>
      <c r="CK27">
        <v>576</v>
      </c>
      <c r="CL27">
        <v>6610</v>
      </c>
      <c r="CM27">
        <v>658</v>
      </c>
      <c r="CN27">
        <v>15930</v>
      </c>
      <c r="CO27">
        <v>610011</v>
      </c>
      <c r="CP27">
        <v>32970</v>
      </c>
      <c r="CQ27">
        <v>612954</v>
      </c>
      <c r="CR27">
        <v>32409</v>
      </c>
      <c r="CS27">
        <v>33864</v>
      </c>
      <c r="CT27">
        <v>2204</v>
      </c>
      <c r="CU27">
        <v>1576</v>
      </c>
      <c r="CV27">
        <v>2039</v>
      </c>
      <c r="CW27">
        <v>1476</v>
      </c>
      <c r="CX27">
        <v>1133</v>
      </c>
      <c r="CY27">
        <v>10886</v>
      </c>
      <c r="CZ27">
        <v>3073</v>
      </c>
      <c r="DA27">
        <v>11644</v>
      </c>
      <c r="DB27">
        <v>2728</v>
      </c>
      <c r="DC27">
        <v>27807</v>
      </c>
      <c r="DD27">
        <v>11484</v>
      </c>
      <c r="DE27">
        <v>3887</v>
      </c>
      <c r="DF27">
        <v>10578</v>
      </c>
      <c r="DG27">
        <v>3595</v>
      </c>
      <c r="DH27">
        <v>11052</v>
      </c>
      <c r="DI27">
        <v>5519</v>
      </c>
      <c r="DJ27">
        <v>1414</v>
      </c>
      <c r="DK27">
        <v>10137</v>
      </c>
      <c r="DL27">
        <v>1455</v>
      </c>
      <c r="DM27">
        <v>13415</v>
      </c>
      <c r="DN27">
        <v>18969</v>
      </c>
      <c r="DO27">
        <v>1165</v>
      </c>
      <c r="DP27">
        <v>27360</v>
      </c>
      <c r="DQ27">
        <v>1185</v>
      </c>
      <c r="DR27">
        <v>98088</v>
      </c>
      <c r="DS27">
        <v>6727</v>
      </c>
      <c r="DT27">
        <v>1432</v>
      </c>
      <c r="DU27">
        <v>6873</v>
      </c>
      <c r="DV27">
        <v>1500</v>
      </c>
      <c r="DW27">
        <v>7523</v>
      </c>
      <c r="DX27">
        <v>1708</v>
      </c>
      <c r="DY27">
        <v>5374</v>
      </c>
      <c r="DZ27">
        <v>1237</v>
      </c>
      <c r="EA27">
        <v>4877</v>
      </c>
      <c r="EB27">
        <v>1724</v>
      </c>
      <c r="EC27">
        <v>3465</v>
      </c>
      <c r="ED27">
        <v>2220</v>
      </c>
      <c r="EE27">
        <v>3353</v>
      </c>
      <c r="EF27">
        <v>2229</v>
      </c>
      <c r="EG27">
        <v>1881</v>
      </c>
      <c r="EH27">
        <v>1584</v>
      </c>
      <c r="EI27">
        <v>1232</v>
      </c>
      <c r="EJ27">
        <v>1917</v>
      </c>
      <c r="EK27">
        <v>1276</v>
      </c>
      <c r="EL27">
        <v>3065</v>
      </c>
      <c r="EM27">
        <v>4923</v>
      </c>
      <c r="EN27">
        <v>446</v>
      </c>
      <c r="EO27">
        <v>6266</v>
      </c>
      <c r="EP27">
        <v>607</v>
      </c>
      <c r="EQ27">
        <v>8741</v>
      </c>
      <c r="ER27">
        <v>1181</v>
      </c>
      <c r="ES27">
        <v>3943</v>
      </c>
      <c r="ET27">
        <v>1158</v>
      </c>
      <c r="EU27">
        <v>4149</v>
      </c>
      <c r="EV27">
        <v>2069</v>
      </c>
      <c r="EW27">
        <v>500</v>
      </c>
      <c r="EX27">
        <v>1414</v>
      </c>
      <c r="EY27">
        <v>497</v>
      </c>
      <c r="EZ27">
        <v>1397</v>
      </c>
      <c r="FA27">
        <v>211</v>
      </c>
    </row>
    <row r="28" spans="1:157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10860</v>
      </c>
      <c r="I28">
        <v>200</v>
      </c>
      <c r="J28">
        <v>5088</v>
      </c>
      <c r="K28">
        <v>60</v>
      </c>
      <c r="L28">
        <v>5829</v>
      </c>
      <c r="M28">
        <v>195465</v>
      </c>
      <c r="N28">
        <v>3284</v>
      </c>
      <c r="O28">
        <v>95882</v>
      </c>
      <c r="P28">
        <v>1317</v>
      </c>
      <c r="Q28">
        <v>69659</v>
      </c>
      <c r="R28" t="s">
        <v>73</v>
      </c>
      <c r="S28" t="s">
        <v>73</v>
      </c>
      <c r="T28" t="s">
        <v>73</v>
      </c>
      <c r="U28" t="s">
        <v>73</v>
      </c>
      <c r="V28" t="s">
        <v>73</v>
      </c>
      <c r="W28">
        <v>1467901</v>
      </c>
      <c r="X28">
        <v>25988</v>
      </c>
      <c r="Y28">
        <v>1449220</v>
      </c>
      <c r="Z28">
        <v>26688</v>
      </c>
      <c r="AA28">
        <v>174269</v>
      </c>
      <c r="AB28">
        <v>15</v>
      </c>
      <c r="AC28">
        <v>537</v>
      </c>
      <c r="AD28">
        <v>13</v>
      </c>
      <c r="AE28">
        <v>524</v>
      </c>
      <c r="AF28">
        <v>0</v>
      </c>
      <c r="AG28">
        <v>110</v>
      </c>
      <c r="AH28">
        <v>1094</v>
      </c>
      <c r="AI28">
        <v>120</v>
      </c>
      <c r="AJ28">
        <v>1340</v>
      </c>
      <c r="AK28">
        <v>19</v>
      </c>
      <c r="AL28">
        <v>4118</v>
      </c>
      <c r="AM28">
        <v>1520</v>
      </c>
      <c r="AN28">
        <v>3753</v>
      </c>
      <c r="AO28">
        <v>1324</v>
      </c>
      <c r="AP28">
        <v>4269</v>
      </c>
      <c r="AQ28">
        <v>1312</v>
      </c>
      <c r="AR28">
        <v>3722</v>
      </c>
      <c r="AS28">
        <v>1303</v>
      </c>
      <c r="AT28">
        <v>3617</v>
      </c>
      <c r="AU28">
        <v>1871</v>
      </c>
      <c r="AV28">
        <v>289162</v>
      </c>
      <c r="AW28">
        <v>24707</v>
      </c>
      <c r="AX28">
        <v>627843</v>
      </c>
      <c r="AY28">
        <v>46949</v>
      </c>
      <c r="AZ28">
        <v>887547</v>
      </c>
      <c r="BA28">
        <v>117980</v>
      </c>
      <c r="BB28">
        <v>18514</v>
      </c>
      <c r="BC28">
        <v>118590</v>
      </c>
      <c r="BD28">
        <v>18914</v>
      </c>
      <c r="BE28">
        <v>157243</v>
      </c>
      <c r="BF28">
        <v>58440</v>
      </c>
      <c r="BG28">
        <v>27478</v>
      </c>
      <c r="BH28">
        <v>60111</v>
      </c>
      <c r="BI28">
        <v>27920</v>
      </c>
      <c r="BJ28">
        <v>65477</v>
      </c>
      <c r="BK28">
        <v>303419</v>
      </c>
      <c r="BL28">
        <v>17591</v>
      </c>
      <c r="BM28">
        <v>664086</v>
      </c>
      <c r="BN28">
        <v>34852</v>
      </c>
      <c r="BO28">
        <v>932134</v>
      </c>
      <c r="BP28">
        <v>115026</v>
      </c>
      <c r="BQ28">
        <v>13241</v>
      </c>
      <c r="BR28">
        <v>135762</v>
      </c>
      <c r="BS28">
        <v>14905</v>
      </c>
      <c r="BT28">
        <v>200422</v>
      </c>
      <c r="BU28">
        <v>56654</v>
      </c>
      <c r="BV28">
        <v>8084</v>
      </c>
      <c r="BW28">
        <v>61718</v>
      </c>
      <c r="BX28">
        <v>8044</v>
      </c>
      <c r="BY28">
        <v>106618</v>
      </c>
      <c r="BZ28">
        <v>2266</v>
      </c>
      <c r="CA28">
        <v>2468</v>
      </c>
      <c r="CB28">
        <v>2645</v>
      </c>
      <c r="CC28">
        <v>2584</v>
      </c>
      <c r="CD28">
        <v>3886</v>
      </c>
      <c r="CE28">
        <v>2490</v>
      </c>
      <c r="CF28">
        <v>2968</v>
      </c>
      <c r="CG28">
        <v>2676</v>
      </c>
      <c r="CH28">
        <v>3275</v>
      </c>
      <c r="CI28">
        <v>2038</v>
      </c>
      <c r="CJ28">
        <v>6026</v>
      </c>
      <c r="CK28">
        <v>513</v>
      </c>
      <c r="CL28">
        <v>5294</v>
      </c>
      <c r="CM28">
        <v>524</v>
      </c>
      <c r="CN28">
        <v>18812</v>
      </c>
      <c r="CO28">
        <v>582982</v>
      </c>
      <c r="CP28">
        <v>31119</v>
      </c>
      <c r="CQ28">
        <v>581900</v>
      </c>
      <c r="CR28">
        <v>31813</v>
      </c>
      <c r="CS28">
        <v>35438</v>
      </c>
      <c r="CT28">
        <v>2071</v>
      </c>
      <c r="CU28">
        <v>1592</v>
      </c>
      <c r="CV28">
        <v>2048</v>
      </c>
      <c r="CW28">
        <v>1460</v>
      </c>
      <c r="CX28">
        <v>1156</v>
      </c>
      <c r="CY28">
        <v>11378</v>
      </c>
      <c r="CZ28">
        <v>2954</v>
      </c>
      <c r="DA28">
        <v>11504</v>
      </c>
      <c r="DB28">
        <v>2682</v>
      </c>
      <c r="DC28">
        <v>28741</v>
      </c>
      <c r="DD28">
        <v>11696</v>
      </c>
      <c r="DE28">
        <v>3860</v>
      </c>
      <c r="DF28">
        <v>12097</v>
      </c>
      <c r="DG28">
        <v>3986</v>
      </c>
      <c r="DH28">
        <v>10700</v>
      </c>
      <c r="DI28">
        <v>5561</v>
      </c>
      <c r="DJ28">
        <v>1421</v>
      </c>
      <c r="DK28">
        <v>9167</v>
      </c>
      <c r="DL28">
        <v>1442</v>
      </c>
      <c r="DM28">
        <v>14151</v>
      </c>
      <c r="DN28">
        <v>18654</v>
      </c>
      <c r="DO28">
        <v>1035</v>
      </c>
      <c r="DP28">
        <v>26105</v>
      </c>
      <c r="DQ28">
        <v>1116</v>
      </c>
      <c r="DR28">
        <v>90151</v>
      </c>
      <c r="DS28">
        <v>6424</v>
      </c>
      <c r="DT28">
        <v>1466</v>
      </c>
      <c r="DU28">
        <v>6744</v>
      </c>
      <c r="DV28">
        <v>1448</v>
      </c>
      <c r="DW28">
        <v>7159</v>
      </c>
      <c r="DX28">
        <v>1327</v>
      </c>
      <c r="DY28">
        <v>4342</v>
      </c>
      <c r="DZ28">
        <v>981</v>
      </c>
      <c r="EA28">
        <v>3441</v>
      </c>
      <c r="EB28">
        <v>1767</v>
      </c>
      <c r="EC28">
        <v>3283</v>
      </c>
      <c r="ED28">
        <v>2076</v>
      </c>
      <c r="EE28">
        <v>3060</v>
      </c>
      <c r="EF28">
        <v>2057</v>
      </c>
      <c r="EG28">
        <v>2121</v>
      </c>
      <c r="EH28">
        <v>1768</v>
      </c>
      <c r="EI28">
        <v>1158</v>
      </c>
      <c r="EJ28">
        <v>1635</v>
      </c>
      <c r="EK28">
        <v>867</v>
      </c>
      <c r="EL28">
        <v>3294</v>
      </c>
      <c r="EM28">
        <v>4068</v>
      </c>
      <c r="EN28">
        <v>351</v>
      </c>
      <c r="EO28">
        <v>5867</v>
      </c>
      <c r="EP28">
        <v>578</v>
      </c>
      <c r="EQ28">
        <v>8838</v>
      </c>
      <c r="ER28">
        <v>958</v>
      </c>
      <c r="ES28">
        <v>3344</v>
      </c>
      <c r="ET28">
        <v>876</v>
      </c>
      <c r="EU28">
        <v>2871</v>
      </c>
      <c r="EV28">
        <v>2151</v>
      </c>
      <c r="EW28">
        <v>308</v>
      </c>
      <c r="EX28">
        <v>1099</v>
      </c>
      <c r="EY28">
        <v>346</v>
      </c>
      <c r="EZ28">
        <v>1167</v>
      </c>
      <c r="FA28">
        <v>173</v>
      </c>
    </row>
    <row r="29" spans="1:157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12704</v>
      </c>
      <c r="I29">
        <v>253</v>
      </c>
      <c r="J29">
        <v>3982</v>
      </c>
      <c r="K29">
        <v>57</v>
      </c>
      <c r="L29">
        <v>8013</v>
      </c>
      <c r="M29">
        <v>213062</v>
      </c>
      <c r="N29">
        <v>3574</v>
      </c>
      <c r="O29">
        <v>99630</v>
      </c>
      <c r="P29">
        <v>1472</v>
      </c>
      <c r="Q29">
        <v>65772</v>
      </c>
      <c r="R29" t="s">
        <v>73</v>
      </c>
      <c r="S29" t="s">
        <v>73</v>
      </c>
      <c r="T29" t="s">
        <v>73</v>
      </c>
      <c r="U29" t="s">
        <v>73</v>
      </c>
      <c r="V29" t="s">
        <v>73</v>
      </c>
      <c r="W29">
        <v>1538128</v>
      </c>
      <c r="X29">
        <v>27137</v>
      </c>
      <c r="Y29">
        <v>1517390</v>
      </c>
      <c r="Z29">
        <v>29674</v>
      </c>
      <c r="AA29">
        <v>174678</v>
      </c>
      <c r="AB29">
        <v>11</v>
      </c>
      <c r="AC29">
        <v>672</v>
      </c>
      <c r="AD29">
        <v>9</v>
      </c>
      <c r="AE29">
        <v>659</v>
      </c>
      <c r="AF29">
        <v>0</v>
      </c>
      <c r="AG29">
        <v>90</v>
      </c>
      <c r="AH29">
        <v>705</v>
      </c>
      <c r="AI29">
        <v>86</v>
      </c>
      <c r="AJ29">
        <v>644</v>
      </c>
      <c r="AK29">
        <v>23</v>
      </c>
      <c r="AL29">
        <v>4652</v>
      </c>
      <c r="AM29">
        <v>1709</v>
      </c>
      <c r="AN29">
        <v>4136</v>
      </c>
      <c r="AO29">
        <v>1538</v>
      </c>
      <c r="AP29">
        <v>4776</v>
      </c>
      <c r="AQ29">
        <v>1368</v>
      </c>
      <c r="AR29">
        <v>3589</v>
      </c>
      <c r="AS29">
        <v>1088</v>
      </c>
      <c r="AT29">
        <v>3104</v>
      </c>
      <c r="AU29">
        <v>2151</v>
      </c>
      <c r="AV29">
        <v>306243</v>
      </c>
      <c r="AW29">
        <v>24951</v>
      </c>
      <c r="AX29">
        <v>881467</v>
      </c>
      <c r="AY29">
        <v>61359</v>
      </c>
      <c r="AZ29">
        <v>782356</v>
      </c>
      <c r="BA29">
        <v>124096</v>
      </c>
      <c r="BB29">
        <v>18980</v>
      </c>
      <c r="BC29">
        <v>158894</v>
      </c>
      <c r="BD29">
        <v>23930</v>
      </c>
      <c r="BE29">
        <v>132178</v>
      </c>
      <c r="BF29">
        <v>68775</v>
      </c>
      <c r="BG29">
        <v>31265</v>
      </c>
      <c r="BH29">
        <v>72372</v>
      </c>
      <c r="BI29">
        <v>32341</v>
      </c>
      <c r="BJ29">
        <v>61771</v>
      </c>
      <c r="BK29">
        <v>320554</v>
      </c>
      <c r="BL29">
        <v>17900</v>
      </c>
      <c r="BM29">
        <v>917521</v>
      </c>
      <c r="BN29">
        <v>45118</v>
      </c>
      <c r="BO29">
        <v>823161</v>
      </c>
      <c r="BP29">
        <v>123803</v>
      </c>
      <c r="BQ29">
        <v>13976</v>
      </c>
      <c r="BR29">
        <v>177447</v>
      </c>
      <c r="BS29">
        <v>18400</v>
      </c>
      <c r="BT29">
        <v>184275</v>
      </c>
      <c r="BU29">
        <v>65215</v>
      </c>
      <c r="BV29">
        <v>9235</v>
      </c>
      <c r="BW29">
        <v>75142</v>
      </c>
      <c r="BX29">
        <v>9965</v>
      </c>
      <c r="BY29">
        <v>105468</v>
      </c>
      <c r="BZ29">
        <v>2454</v>
      </c>
      <c r="CA29">
        <v>2463</v>
      </c>
      <c r="CB29">
        <v>2649</v>
      </c>
      <c r="CC29">
        <v>2396</v>
      </c>
      <c r="CD29">
        <v>3998</v>
      </c>
      <c r="CE29">
        <v>2773</v>
      </c>
      <c r="CF29">
        <v>3274</v>
      </c>
      <c r="CG29">
        <v>2700</v>
      </c>
      <c r="CH29">
        <v>3198</v>
      </c>
      <c r="CI29">
        <v>2653</v>
      </c>
      <c r="CJ29">
        <v>9359</v>
      </c>
      <c r="CK29">
        <v>802</v>
      </c>
      <c r="CL29">
        <v>9934</v>
      </c>
      <c r="CM29">
        <v>824</v>
      </c>
      <c r="CN29">
        <v>20254</v>
      </c>
      <c r="CO29">
        <v>654601</v>
      </c>
      <c r="CP29">
        <v>34269</v>
      </c>
      <c r="CQ29">
        <v>655320</v>
      </c>
      <c r="CR29">
        <v>35368</v>
      </c>
      <c r="CS29">
        <v>35208</v>
      </c>
      <c r="CT29">
        <v>2456</v>
      </c>
      <c r="CU29">
        <v>1997</v>
      </c>
      <c r="CV29">
        <v>2407</v>
      </c>
      <c r="CW29">
        <v>2101</v>
      </c>
      <c r="CX29">
        <v>1205</v>
      </c>
      <c r="CY29">
        <v>11846</v>
      </c>
      <c r="CZ29">
        <v>3311</v>
      </c>
      <c r="DA29">
        <v>12875</v>
      </c>
      <c r="DB29">
        <v>2984</v>
      </c>
      <c r="DC29">
        <v>29503</v>
      </c>
      <c r="DD29">
        <v>11640</v>
      </c>
      <c r="DE29">
        <v>3867</v>
      </c>
      <c r="DF29">
        <v>11067</v>
      </c>
      <c r="DG29">
        <v>3725</v>
      </c>
      <c r="DH29">
        <v>11312</v>
      </c>
      <c r="DI29">
        <v>6243</v>
      </c>
      <c r="DJ29">
        <v>1611</v>
      </c>
      <c r="DK29">
        <v>12128</v>
      </c>
      <c r="DL29">
        <v>1678</v>
      </c>
      <c r="DM29">
        <v>15998</v>
      </c>
      <c r="DN29">
        <v>14477</v>
      </c>
      <c r="DO29">
        <v>1074</v>
      </c>
      <c r="DP29">
        <v>29859</v>
      </c>
      <c r="DQ29">
        <v>1299</v>
      </c>
      <c r="DR29">
        <v>74376</v>
      </c>
      <c r="DS29">
        <v>8021</v>
      </c>
      <c r="DT29">
        <v>1738</v>
      </c>
      <c r="DU29">
        <v>7529</v>
      </c>
      <c r="DV29">
        <v>1603</v>
      </c>
      <c r="DW29">
        <v>7619</v>
      </c>
      <c r="DX29">
        <v>1430</v>
      </c>
      <c r="DY29">
        <v>4219</v>
      </c>
      <c r="DZ29">
        <v>1138</v>
      </c>
      <c r="EA29">
        <v>3716</v>
      </c>
      <c r="EB29">
        <v>1663</v>
      </c>
      <c r="EC29">
        <v>3706</v>
      </c>
      <c r="ED29">
        <v>2382</v>
      </c>
      <c r="EE29">
        <v>3493</v>
      </c>
      <c r="EF29">
        <v>2252</v>
      </c>
      <c r="EG29">
        <v>2290</v>
      </c>
      <c r="EH29">
        <v>1868</v>
      </c>
      <c r="EI29">
        <v>1119</v>
      </c>
      <c r="EJ29">
        <v>2107</v>
      </c>
      <c r="EK29">
        <v>1309</v>
      </c>
      <c r="EL29">
        <v>3188</v>
      </c>
      <c r="EM29">
        <v>4047</v>
      </c>
      <c r="EN29">
        <v>366</v>
      </c>
      <c r="EO29">
        <v>5434</v>
      </c>
      <c r="EP29">
        <v>559</v>
      </c>
      <c r="EQ29">
        <v>9109</v>
      </c>
      <c r="ER29">
        <v>970</v>
      </c>
      <c r="ES29">
        <v>3205</v>
      </c>
      <c r="ET29">
        <v>997</v>
      </c>
      <c r="EU29">
        <v>3429</v>
      </c>
      <c r="EV29">
        <v>2124</v>
      </c>
      <c r="EW29">
        <v>384</v>
      </c>
      <c r="EX29">
        <v>989</v>
      </c>
      <c r="EY29">
        <v>400</v>
      </c>
      <c r="EZ29">
        <v>1020</v>
      </c>
      <c r="FA29">
        <v>157</v>
      </c>
    </row>
    <row r="30" spans="1:157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8483</v>
      </c>
      <c r="I30">
        <v>166</v>
      </c>
      <c r="J30">
        <v>6359</v>
      </c>
      <c r="K30">
        <v>79</v>
      </c>
      <c r="L30">
        <v>5910</v>
      </c>
      <c r="M30">
        <v>226813</v>
      </c>
      <c r="N30">
        <v>4044</v>
      </c>
      <c r="O30">
        <v>82840</v>
      </c>
      <c r="P30">
        <v>1425</v>
      </c>
      <c r="Q30">
        <v>71221</v>
      </c>
      <c r="R30" t="s">
        <v>73</v>
      </c>
      <c r="S30" t="s">
        <v>73</v>
      </c>
      <c r="T30" t="s">
        <v>73</v>
      </c>
      <c r="U30" t="s">
        <v>73</v>
      </c>
      <c r="V30" t="s">
        <v>73</v>
      </c>
      <c r="W30">
        <v>1699211</v>
      </c>
      <c r="X30">
        <v>29626</v>
      </c>
      <c r="Y30">
        <v>1693571</v>
      </c>
      <c r="Z30">
        <v>32587</v>
      </c>
      <c r="AA30">
        <v>180067</v>
      </c>
      <c r="AB30">
        <v>12</v>
      </c>
      <c r="AC30">
        <v>702</v>
      </c>
      <c r="AD30">
        <v>12</v>
      </c>
      <c r="AE30">
        <v>702</v>
      </c>
      <c r="AF30">
        <v>0</v>
      </c>
      <c r="AG30">
        <v>80</v>
      </c>
      <c r="AH30">
        <v>913</v>
      </c>
      <c r="AI30">
        <v>51</v>
      </c>
      <c r="AJ30">
        <v>546</v>
      </c>
      <c r="AK30">
        <v>52</v>
      </c>
      <c r="AL30">
        <v>4977</v>
      </c>
      <c r="AM30">
        <v>1784</v>
      </c>
      <c r="AN30">
        <v>4866</v>
      </c>
      <c r="AO30">
        <v>1799</v>
      </c>
      <c r="AP30">
        <v>4872</v>
      </c>
      <c r="AQ30">
        <v>1394</v>
      </c>
      <c r="AR30">
        <v>3958</v>
      </c>
      <c r="AS30">
        <v>1114</v>
      </c>
      <c r="AT30">
        <v>3401</v>
      </c>
      <c r="AU30">
        <v>2431</v>
      </c>
      <c r="AV30">
        <v>306364</v>
      </c>
      <c r="AW30">
        <v>22963</v>
      </c>
      <c r="AX30">
        <v>824376</v>
      </c>
      <c r="AY30">
        <v>53171</v>
      </c>
      <c r="AZ30">
        <v>670926</v>
      </c>
      <c r="BA30">
        <v>127779</v>
      </c>
      <c r="BB30">
        <v>18177</v>
      </c>
      <c r="BC30">
        <v>154078</v>
      </c>
      <c r="BD30">
        <v>21543</v>
      </c>
      <c r="BE30">
        <v>114700</v>
      </c>
      <c r="BF30">
        <v>79308</v>
      </c>
      <c r="BG30">
        <v>35098</v>
      </c>
      <c r="BH30">
        <v>79884</v>
      </c>
      <c r="BI30">
        <v>33982</v>
      </c>
      <c r="BJ30">
        <v>61119</v>
      </c>
      <c r="BK30">
        <v>324459</v>
      </c>
      <c r="BL30">
        <v>17323</v>
      </c>
      <c r="BM30">
        <v>861030</v>
      </c>
      <c r="BN30">
        <v>39648</v>
      </c>
      <c r="BO30">
        <v>701390</v>
      </c>
      <c r="BP30">
        <v>129335</v>
      </c>
      <c r="BQ30">
        <v>13476</v>
      </c>
      <c r="BR30">
        <v>175415</v>
      </c>
      <c r="BS30">
        <v>17420</v>
      </c>
      <c r="BT30">
        <v>169059</v>
      </c>
      <c r="BU30">
        <v>76686</v>
      </c>
      <c r="BV30">
        <v>10074</v>
      </c>
      <c r="BW30">
        <v>86327</v>
      </c>
      <c r="BX30">
        <v>10628</v>
      </c>
      <c r="BY30">
        <v>105058</v>
      </c>
      <c r="BZ30">
        <v>2652</v>
      </c>
      <c r="CA30">
        <v>2722</v>
      </c>
      <c r="CB30">
        <v>2733</v>
      </c>
      <c r="CC30">
        <v>2467</v>
      </c>
      <c r="CD30">
        <v>4249</v>
      </c>
      <c r="CE30">
        <v>3200</v>
      </c>
      <c r="CF30">
        <v>3934</v>
      </c>
      <c r="CG30">
        <v>3239</v>
      </c>
      <c r="CH30">
        <v>4001</v>
      </c>
      <c r="CI30">
        <v>3131</v>
      </c>
      <c r="CJ30">
        <v>10398</v>
      </c>
      <c r="CK30">
        <v>841</v>
      </c>
      <c r="CL30">
        <v>12289</v>
      </c>
      <c r="CM30">
        <v>1153</v>
      </c>
      <c r="CN30">
        <v>23212</v>
      </c>
      <c r="CO30">
        <v>681437</v>
      </c>
      <c r="CP30">
        <v>35606</v>
      </c>
      <c r="CQ30">
        <v>683264</v>
      </c>
      <c r="CR30">
        <v>37187</v>
      </c>
      <c r="CS30">
        <v>33837</v>
      </c>
      <c r="CT30">
        <v>2664</v>
      </c>
      <c r="CU30">
        <v>1527</v>
      </c>
      <c r="CV30">
        <v>2703</v>
      </c>
      <c r="CW30">
        <v>1388</v>
      </c>
      <c r="CX30">
        <v>1166</v>
      </c>
      <c r="CY30">
        <v>13291</v>
      </c>
      <c r="CZ30">
        <v>3428</v>
      </c>
      <c r="DA30">
        <v>14063</v>
      </c>
      <c r="DB30">
        <v>3067</v>
      </c>
      <c r="DC30">
        <v>30260</v>
      </c>
      <c r="DD30">
        <v>11625</v>
      </c>
      <c r="DE30">
        <v>3937</v>
      </c>
      <c r="DF30">
        <v>10257</v>
      </c>
      <c r="DG30">
        <v>3474</v>
      </c>
      <c r="DH30">
        <v>12716</v>
      </c>
      <c r="DI30">
        <v>7494</v>
      </c>
      <c r="DJ30">
        <v>1840</v>
      </c>
      <c r="DK30">
        <v>17379</v>
      </c>
      <c r="DL30">
        <v>2161</v>
      </c>
      <c r="DM30">
        <v>12365</v>
      </c>
      <c r="DN30">
        <v>6505</v>
      </c>
      <c r="DO30">
        <v>874</v>
      </c>
      <c r="DP30">
        <v>12334</v>
      </c>
      <c r="DQ30">
        <v>991</v>
      </c>
      <c r="DR30">
        <v>68113</v>
      </c>
      <c r="DS30">
        <v>9505</v>
      </c>
      <c r="DT30">
        <v>2024</v>
      </c>
      <c r="DU30">
        <v>10648</v>
      </c>
      <c r="DV30">
        <v>2233</v>
      </c>
      <c r="DW30">
        <v>6456</v>
      </c>
      <c r="DX30">
        <v>1502</v>
      </c>
      <c r="DY30">
        <v>4626</v>
      </c>
      <c r="DZ30">
        <v>1115</v>
      </c>
      <c r="EA30">
        <v>3798</v>
      </c>
      <c r="EB30">
        <v>1877</v>
      </c>
      <c r="EC30">
        <v>4123</v>
      </c>
      <c r="ED30">
        <v>2497</v>
      </c>
      <c r="EE30">
        <v>3807</v>
      </c>
      <c r="EF30">
        <v>2418</v>
      </c>
      <c r="EG30">
        <v>2574</v>
      </c>
      <c r="EH30">
        <v>1996</v>
      </c>
      <c r="EI30">
        <v>1067</v>
      </c>
      <c r="EJ30">
        <v>2293</v>
      </c>
      <c r="EK30">
        <v>950</v>
      </c>
      <c r="EL30">
        <v>3316</v>
      </c>
      <c r="EM30">
        <v>4655</v>
      </c>
      <c r="EN30">
        <v>448</v>
      </c>
      <c r="EO30">
        <v>5494</v>
      </c>
      <c r="EP30">
        <v>532</v>
      </c>
      <c r="EQ30">
        <v>10376</v>
      </c>
      <c r="ER30">
        <v>1124</v>
      </c>
      <c r="ES30">
        <v>3322</v>
      </c>
      <c r="ET30">
        <v>1004</v>
      </c>
      <c r="EU30">
        <v>3473</v>
      </c>
      <c r="EV30">
        <v>2244</v>
      </c>
      <c r="EW30">
        <v>400</v>
      </c>
      <c r="EX30">
        <v>873</v>
      </c>
      <c r="EY30">
        <v>352</v>
      </c>
      <c r="EZ30">
        <v>743</v>
      </c>
      <c r="FA30">
        <v>205</v>
      </c>
    </row>
    <row r="31" spans="1:157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5378</v>
      </c>
      <c r="I31">
        <v>75</v>
      </c>
      <c r="J31">
        <v>3654</v>
      </c>
      <c r="K31">
        <v>53</v>
      </c>
      <c r="L31">
        <v>5900</v>
      </c>
      <c r="M31">
        <v>131671</v>
      </c>
      <c r="N31">
        <v>2626</v>
      </c>
      <c r="O31">
        <v>47296</v>
      </c>
      <c r="P31">
        <v>1024</v>
      </c>
      <c r="Q31">
        <v>84889</v>
      </c>
      <c r="R31" t="s">
        <v>73</v>
      </c>
      <c r="S31" t="s">
        <v>73</v>
      </c>
      <c r="T31" t="s">
        <v>73</v>
      </c>
      <c r="U31" t="s">
        <v>73</v>
      </c>
      <c r="V31" t="s">
        <v>73</v>
      </c>
      <c r="W31">
        <v>1348350</v>
      </c>
      <c r="X31">
        <v>25690</v>
      </c>
      <c r="Y31">
        <v>1367118</v>
      </c>
      <c r="Z31">
        <v>28238</v>
      </c>
      <c r="AA31">
        <v>167531</v>
      </c>
      <c r="AB31">
        <v>13</v>
      </c>
      <c r="AC31">
        <v>950</v>
      </c>
      <c r="AD31">
        <v>12</v>
      </c>
      <c r="AE31">
        <v>944</v>
      </c>
      <c r="AF31">
        <v>0</v>
      </c>
      <c r="AG31">
        <v>41</v>
      </c>
      <c r="AH31">
        <v>560</v>
      </c>
      <c r="AI31">
        <v>43</v>
      </c>
      <c r="AJ31">
        <v>655</v>
      </c>
      <c r="AK31">
        <v>50</v>
      </c>
      <c r="AL31">
        <v>3385</v>
      </c>
      <c r="AM31">
        <v>1150</v>
      </c>
      <c r="AN31">
        <v>3462</v>
      </c>
      <c r="AO31">
        <v>1252</v>
      </c>
      <c r="AP31">
        <v>4811</v>
      </c>
      <c r="AQ31">
        <v>842</v>
      </c>
      <c r="AR31">
        <v>2307</v>
      </c>
      <c r="AS31">
        <v>1052</v>
      </c>
      <c r="AT31">
        <v>3105</v>
      </c>
      <c r="AU31">
        <v>2220</v>
      </c>
      <c r="AV31">
        <v>135114</v>
      </c>
      <c r="AW31">
        <v>10882</v>
      </c>
      <c r="AX31">
        <v>424371</v>
      </c>
      <c r="AY31">
        <v>25700</v>
      </c>
      <c r="AZ31">
        <v>566294</v>
      </c>
      <c r="BA31">
        <v>72397</v>
      </c>
      <c r="BB31">
        <v>10744</v>
      </c>
      <c r="BC31">
        <v>91535</v>
      </c>
      <c r="BD31">
        <v>12965</v>
      </c>
      <c r="BE31">
        <v>99256</v>
      </c>
      <c r="BF31">
        <v>54262</v>
      </c>
      <c r="BG31">
        <v>23331</v>
      </c>
      <c r="BH31">
        <v>57955</v>
      </c>
      <c r="BI31">
        <v>25098</v>
      </c>
      <c r="BJ31">
        <v>57489</v>
      </c>
      <c r="BK31">
        <v>154132</v>
      </c>
      <c r="BL31">
        <v>8368</v>
      </c>
      <c r="BM31">
        <v>455902</v>
      </c>
      <c r="BN31">
        <v>19527</v>
      </c>
      <c r="BO31">
        <v>620493</v>
      </c>
      <c r="BP31">
        <v>77803</v>
      </c>
      <c r="BQ31">
        <v>8144</v>
      </c>
      <c r="BR31">
        <v>108254</v>
      </c>
      <c r="BS31">
        <v>10594</v>
      </c>
      <c r="BT31">
        <v>159709</v>
      </c>
      <c r="BU31">
        <v>49930</v>
      </c>
      <c r="BV31">
        <v>6538</v>
      </c>
      <c r="BW31">
        <v>61226</v>
      </c>
      <c r="BX31">
        <v>7494</v>
      </c>
      <c r="BY31">
        <v>101737</v>
      </c>
      <c r="BZ31">
        <v>2021</v>
      </c>
      <c r="CA31">
        <v>2114</v>
      </c>
      <c r="CB31">
        <v>2385</v>
      </c>
      <c r="CC31">
        <v>2112</v>
      </c>
      <c r="CD31">
        <v>4222</v>
      </c>
      <c r="CE31">
        <v>2036</v>
      </c>
      <c r="CF31">
        <v>2459</v>
      </c>
      <c r="CG31">
        <v>3179</v>
      </c>
      <c r="CH31">
        <v>3917</v>
      </c>
      <c r="CI31">
        <v>2166</v>
      </c>
      <c r="CJ31">
        <v>6576</v>
      </c>
      <c r="CK31">
        <v>566</v>
      </c>
      <c r="CL31">
        <v>11184</v>
      </c>
      <c r="CM31">
        <v>960</v>
      </c>
      <c r="CN31">
        <v>20661</v>
      </c>
      <c r="CO31">
        <v>497115</v>
      </c>
      <c r="CP31">
        <v>25946</v>
      </c>
      <c r="CQ31">
        <v>504055</v>
      </c>
      <c r="CR31">
        <v>28528</v>
      </c>
      <c r="CS31">
        <v>27377</v>
      </c>
      <c r="CT31">
        <v>2085</v>
      </c>
      <c r="CU31">
        <v>1351</v>
      </c>
      <c r="CV31">
        <v>2008</v>
      </c>
      <c r="CW31">
        <v>1302</v>
      </c>
      <c r="CX31">
        <v>1243</v>
      </c>
      <c r="CY31">
        <v>9669</v>
      </c>
      <c r="CZ31">
        <v>2431</v>
      </c>
      <c r="DA31">
        <v>11112</v>
      </c>
      <c r="DB31">
        <v>2555</v>
      </c>
      <c r="DC31">
        <v>30525</v>
      </c>
      <c r="DD31">
        <v>8554</v>
      </c>
      <c r="DE31">
        <v>2917</v>
      </c>
      <c r="DF31">
        <v>7693</v>
      </c>
      <c r="DG31">
        <v>2565</v>
      </c>
      <c r="DH31">
        <v>13607</v>
      </c>
      <c r="DI31">
        <v>5533</v>
      </c>
      <c r="DJ31">
        <v>1454</v>
      </c>
      <c r="DK31">
        <v>13165</v>
      </c>
      <c r="DL31">
        <v>1802</v>
      </c>
      <c r="DM31">
        <v>12578</v>
      </c>
      <c r="DN31">
        <v>2317</v>
      </c>
      <c r="DO31">
        <v>568</v>
      </c>
      <c r="DP31">
        <v>5593</v>
      </c>
      <c r="DQ31">
        <v>627</v>
      </c>
      <c r="DR31">
        <v>64545</v>
      </c>
      <c r="DS31">
        <v>7351</v>
      </c>
      <c r="DT31">
        <v>1548</v>
      </c>
      <c r="DU31">
        <v>7132</v>
      </c>
      <c r="DV31">
        <v>1500</v>
      </c>
      <c r="DW31">
        <v>6646</v>
      </c>
      <c r="DX31">
        <v>1116</v>
      </c>
      <c r="DY31">
        <v>3288</v>
      </c>
      <c r="DZ31">
        <v>800</v>
      </c>
      <c r="EA31">
        <v>2233</v>
      </c>
      <c r="EB31">
        <v>1966</v>
      </c>
      <c r="EC31">
        <v>2854</v>
      </c>
      <c r="ED31">
        <v>1883</v>
      </c>
      <c r="EE31">
        <v>3266</v>
      </c>
      <c r="EF31">
        <v>2047</v>
      </c>
      <c r="EG31">
        <v>2172</v>
      </c>
      <c r="EH31">
        <v>1864</v>
      </c>
      <c r="EI31">
        <v>1010</v>
      </c>
      <c r="EJ31">
        <v>1917</v>
      </c>
      <c r="EK31">
        <v>1054</v>
      </c>
      <c r="EL31">
        <v>3432</v>
      </c>
      <c r="EM31">
        <v>4565</v>
      </c>
      <c r="EN31">
        <v>378</v>
      </c>
      <c r="EO31">
        <v>5871</v>
      </c>
      <c r="EP31">
        <v>581</v>
      </c>
      <c r="EQ31">
        <v>10318</v>
      </c>
      <c r="ER31">
        <v>770</v>
      </c>
      <c r="ES31">
        <v>2669</v>
      </c>
      <c r="ET31">
        <v>771</v>
      </c>
      <c r="EU31">
        <v>2771</v>
      </c>
      <c r="EV31">
        <v>2243</v>
      </c>
      <c r="EW31">
        <v>401</v>
      </c>
      <c r="EX31">
        <v>851</v>
      </c>
      <c r="EY31">
        <v>400</v>
      </c>
      <c r="EZ31">
        <v>857</v>
      </c>
      <c r="FA31">
        <v>206</v>
      </c>
    </row>
    <row r="32" spans="1:157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6869</v>
      </c>
      <c r="I32">
        <v>103</v>
      </c>
      <c r="J32">
        <v>3511</v>
      </c>
      <c r="K32">
        <v>51</v>
      </c>
      <c r="L32">
        <v>6187</v>
      </c>
      <c r="M32">
        <v>160897</v>
      </c>
      <c r="N32">
        <v>3188</v>
      </c>
      <c r="O32">
        <v>58078</v>
      </c>
      <c r="P32">
        <v>1127</v>
      </c>
      <c r="Q32">
        <v>82543</v>
      </c>
      <c r="R32" t="s">
        <v>73</v>
      </c>
      <c r="S32" t="s">
        <v>73</v>
      </c>
      <c r="T32" t="s">
        <v>73</v>
      </c>
      <c r="U32" t="s">
        <v>73</v>
      </c>
      <c r="V32" t="s">
        <v>73</v>
      </c>
      <c r="W32">
        <v>1564521</v>
      </c>
      <c r="X32">
        <v>28663</v>
      </c>
      <c r="Y32">
        <v>1531843</v>
      </c>
      <c r="Z32">
        <v>30746</v>
      </c>
      <c r="AA32">
        <v>169822</v>
      </c>
      <c r="AB32">
        <v>14</v>
      </c>
      <c r="AC32">
        <v>1110</v>
      </c>
      <c r="AD32">
        <v>13</v>
      </c>
      <c r="AE32">
        <v>1104</v>
      </c>
      <c r="AF32">
        <v>0</v>
      </c>
      <c r="AG32">
        <v>92</v>
      </c>
      <c r="AH32">
        <v>902</v>
      </c>
      <c r="AI32">
        <v>86</v>
      </c>
      <c r="AJ32">
        <v>960</v>
      </c>
      <c r="AK32">
        <v>56</v>
      </c>
      <c r="AL32">
        <v>4354</v>
      </c>
      <c r="AM32">
        <v>1413</v>
      </c>
      <c r="AN32">
        <v>4357</v>
      </c>
      <c r="AO32">
        <v>1511</v>
      </c>
      <c r="AP32">
        <v>4803</v>
      </c>
      <c r="AQ32">
        <v>1384</v>
      </c>
      <c r="AR32">
        <v>4188</v>
      </c>
      <c r="AS32">
        <v>1284</v>
      </c>
      <c r="AT32">
        <v>3603</v>
      </c>
      <c r="AU32">
        <v>2317</v>
      </c>
      <c r="AV32">
        <v>155136</v>
      </c>
      <c r="AW32">
        <v>11792</v>
      </c>
      <c r="AX32">
        <v>440779</v>
      </c>
      <c r="AY32">
        <v>28600</v>
      </c>
      <c r="AZ32">
        <v>431625</v>
      </c>
      <c r="BA32">
        <v>77836</v>
      </c>
      <c r="BB32">
        <v>10491</v>
      </c>
      <c r="BC32">
        <v>95119</v>
      </c>
      <c r="BD32">
        <v>14023</v>
      </c>
      <c r="BE32">
        <v>87764</v>
      </c>
      <c r="BF32">
        <v>57753</v>
      </c>
      <c r="BG32">
        <v>26945</v>
      </c>
      <c r="BH32">
        <v>60642</v>
      </c>
      <c r="BI32">
        <v>28601</v>
      </c>
      <c r="BJ32">
        <v>55134</v>
      </c>
      <c r="BK32">
        <v>172471</v>
      </c>
      <c r="BL32">
        <v>9405</v>
      </c>
      <c r="BM32">
        <v>476055</v>
      </c>
      <c r="BN32">
        <v>21390</v>
      </c>
      <c r="BO32">
        <v>495068</v>
      </c>
      <c r="BP32">
        <v>81870</v>
      </c>
      <c r="BQ32">
        <v>8037</v>
      </c>
      <c r="BR32">
        <v>116661</v>
      </c>
      <c r="BS32">
        <v>12031</v>
      </c>
      <c r="BT32">
        <v>151099</v>
      </c>
      <c r="BU32">
        <v>59957</v>
      </c>
      <c r="BV32">
        <v>7412</v>
      </c>
      <c r="BW32">
        <v>63200</v>
      </c>
      <c r="BX32">
        <v>7816</v>
      </c>
      <c r="BY32">
        <v>107687</v>
      </c>
      <c r="BZ32">
        <v>2268</v>
      </c>
      <c r="CA32">
        <v>2534</v>
      </c>
      <c r="CB32">
        <v>2452</v>
      </c>
      <c r="CC32">
        <v>2468</v>
      </c>
      <c r="CD32">
        <v>4363</v>
      </c>
      <c r="CE32">
        <v>2877</v>
      </c>
      <c r="CF32">
        <v>3449</v>
      </c>
      <c r="CG32">
        <v>3013</v>
      </c>
      <c r="CH32">
        <v>3745</v>
      </c>
      <c r="CI32">
        <v>2251</v>
      </c>
      <c r="CJ32">
        <v>8209</v>
      </c>
      <c r="CK32">
        <v>678</v>
      </c>
      <c r="CL32">
        <v>6027</v>
      </c>
      <c r="CM32">
        <v>573</v>
      </c>
      <c r="CN32">
        <v>25698</v>
      </c>
      <c r="CO32">
        <v>689761</v>
      </c>
      <c r="CP32">
        <v>36107</v>
      </c>
      <c r="CQ32">
        <v>684540</v>
      </c>
      <c r="CR32">
        <v>38027</v>
      </c>
      <c r="CS32">
        <v>31475</v>
      </c>
      <c r="CT32">
        <v>2895</v>
      </c>
      <c r="CU32">
        <v>1779</v>
      </c>
      <c r="CV32">
        <v>2880</v>
      </c>
      <c r="CW32">
        <v>1972</v>
      </c>
      <c r="CX32">
        <v>1248</v>
      </c>
      <c r="CY32">
        <v>11921</v>
      </c>
      <c r="CZ32">
        <v>3282</v>
      </c>
      <c r="DA32">
        <v>13225</v>
      </c>
      <c r="DB32">
        <v>3097</v>
      </c>
      <c r="DC32">
        <v>30906</v>
      </c>
      <c r="DD32">
        <v>12737</v>
      </c>
      <c r="DE32">
        <v>4250</v>
      </c>
      <c r="DF32">
        <v>12940</v>
      </c>
      <c r="DG32">
        <v>4327</v>
      </c>
      <c r="DH32">
        <v>13414</v>
      </c>
      <c r="DI32">
        <v>5817</v>
      </c>
      <c r="DJ32">
        <v>1537</v>
      </c>
      <c r="DK32">
        <v>12405</v>
      </c>
      <c r="DL32">
        <v>1842</v>
      </c>
      <c r="DM32">
        <v>11133</v>
      </c>
      <c r="DN32">
        <v>4453</v>
      </c>
      <c r="DO32">
        <v>715</v>
      </c>
      <c r="DP32">
        <v>5558</v>
      </c>
      <c r="DQ32">
        <v>583</v>
      </c>
      <c r="DR32">
        <v>63058</v>
      </c>
      <c r="DS32">
        <v>8581</v>
      </c>
      <c r="DT32">
        <v>1806</v>
      </c>
      <c r="DU32">
        <v>7538</v>
      </c>
      <c r="DV32">
        <v>1577</v>
      </c>
      <c r="DW32">
        <v>7670</v>
      </c>
      <c r="DX32">
        <v>1369</v>
      </c>
      <c r="DY32">
        <v>4130</v>
      </c>
      <c r="DZ32">
        <v>1216</v>
      </c>
      <c r="EA32">
        <v>3963</v>
      </c>
      <c r="EB32">
        <v>1838</v>
      </c>
      <c r="EC32">
        <v>3533</v>
      </c>
      <c r="ED32">
        <v>2347</v>
      </c>
      <c r="EE32">
        <v>3528</v>
      </c>
      <c r="EF32">
        <v>2370</v>
      </c>
      <c r="EG32">
        <v>2141</v>
      </c>
      <c r="EH32">
        <v>1830</v>
      </c>
      <c r="EI32">
        <v>1274</v>
      </c>
      <c r="EJ32">
        <v>2337</v>
      </c>
      <c r="EK32">
        <v>1371</v>
      </c>
      <c r="EL32">
        <v>3148</v>
      </c>
      <c r="EM32">
        <v>4744</v>
      </c>
      <c r="EN32">
        <v>454</v>
      </c>
      <c r="EO32">
        <v>6745</v>
      </c>
      <c r="EP32">
        <v>820</v>
      </c>
      <c r="EQ32">
        <v>10497</v>
      </c>
      <c r="ER32">
        <v>996</v>
      </c>
      <c r="ES32">
        <v>3332</v>
      </c>
      <c r="ET32">
        <v>958</v>
      </c>
      <c r="EU32">
        <v>3353</v>
      </c>
      <c r="EV32">
        <v>2281</v>
      </c>
      <c r="EW32">
        <v>440</v>
      </c>
      <c r="EX32">
        <v>1641</v>
      </c>
      <c r="EY32">
        <v>408</v>
      </c>
      <c r="EZ32">
        <v>1526</v>
      </c>
      <c r="FA32">
        <v>238</v>
      </c>
    </row>
    <row r="33" spans="1:157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6791</v>
      </c>
      <c r="I33">
        <v>93</v>
      </c>
      <c r="J33">
        <v>4298</v>
      </c>
      <c r="K33">
        <v>60</v>
      </c>
      <c r="L33">
        <v>6432</v>
      </c>
      <c r="M33">
        <v>187900</v>
      </c>
      <c r="N33">
        <v>3553</v>
      </c>
      <c r="O33">
        <v>56826</v>
      </c>
      <c r="P33">
        <v>1134</v>
      </c>
      <c r="Q33">
        <v>85352</v>
      </c>
      <c r="R33" t="s">
        <v>73</v>
      </c>
      <c r="S33" t="s">
        <v>73</v>
      </c>
      <c r="T33" t="s">
        <v>73</v>
      </c>
      <c r="U33" t="s">
        <v>73</v>
      </c>
      <c r="V33" t="s">
        <v>73</v>
      </c>
      <c r="W33">
        <v>1580746</v>
      </c>
      <c r="X33">
        <v>29967</v>
      </c>
      <c r="Y33">
        <v>1590306</v>
      </c>
      <c r="Z33">
        <v>33013</v>
      </c>
      <c r="AA33">
        <v>177753</v>
      </c>
      <c r="AB33">
        <v>20</v>
      </c>
      <c r="AC33">
        <v>1103</v>
      </c>
      <c r="AD33">
        <v>19</v>
      </c>
      <c r="AE33">
        <v>1097</v>
      </c>
      <c r="AF33">
        <v>0</v>
      </c>
      <c r="AG33">
        <v>168</v>
      </c>
      <c r="AH33">
        <v>1786</v>
      </c>
      <c r="AI33">
        <v>156</v>
      </c>
      <c r="AJ33">
        <v>1573</v>
      </c>
      <c r="AK33">
        <v>68</v>
      </c>
      <c r="AL33">
        <v>3951</v>
      </c>
      <c r="AM33">
        <v>1692</v>
      </c>
      <c r="AN33">
        <v>3932</v>
      </c>
      <c r="AO33">
        <v>1495</v>
      </c>
      <c r="AP33">
        <v>4810</v>
      </c>
      <c r="AQ33">
        <v>1610</v>
      </c>
      <c r="AR33">
        <v>5314</v>
      </c>
      <c r="AS33">
        <v>1692</v>
      </c>
      <c r="AT33">
        <v>4933</v>
      </c>
      <c r="AU33">
        <v>2237</v>
      </c>
      <c r="AV33">
        <v>187887</v>
      </c>
      <c r="AW33">
        <v>15167</v>
      </c>
      <c r="AX33">
        <v>314089</v>
      </c>
      <c r="AY33">
        <v>20011</v>
      </c>
      <c r="AZ33">
        <v>454244</v>
      </c>
      <c r="BA33">
        <v>86723</v>
      </c>
      <c r="BB33">
        <v>13211</v>
      </c>
      <c r="BC33">
        <v>79522</v>
      </c>
      <c r="BD33">
        <v>12362</v>
      </c>
      <c r="BE33">
        <v>100301</v>
      </c>
      <c r="BF33">
        <v>66796</v>
      </c>
      <c r="BG33">
        <v>36410</v>
      </c>
      <c r="BH33">
        <v>59261</v>
      </c>
      <c r="BI33">
        <v>30820</v>
      </c>
      <c r="BJ33">
        <v>62900</v>
      </c>
      <c r="BK33">
        <v>199179</v>
      </c>
      <c r="BL33">
        <v>11731</v>
      </c>
      <c r="BM33">
        <v>349912</v>
      </c>
      <c r="BN33">
        <v>16184</v>
      </c>
      <c r="BO33">
        <v>523682</v>
      </c>
      <c r="BP33">
        <v>101978</v>
      </c>
      <c r="BQ33">
        <v>12751</v>
      </c>
      <c r="BR33">
        <v>111340</v>
      </c>
      <c r="BS33">
        <v>12300</v>
      </c>
      <c r="BT33">
        <v>169621</v>
      </c>
      <c r="BU33">
        <v>68946</v>
      </c>
      <c r="BV33">
        <v>9899</v>
      </c>
      <c r="BW33">
        <v>66423</v>
      </c>
      <c r="BX33">
        <v>8502</v>
      </c>
      <c r="BY33">
        <v>118708</v>
      </c>
      <c r="BZ33">
        <v>2351</v>
      </c>
      <c r="CA33">
        <v>2708</v>
      </c>
      <c r="CB33">
        <v>2640</v>
      </c>
      <c r="CC33">
        <v>2873</v>
      </c>
      <c r="CD33">
        <v>4408</v>
      </c>
      <c r="CE33">
        <v>3407</v>
      </c>
      <c r="CF33">
        <v>4027</v>
      </c>
      <c r="CG33">
        <v>3768</v>
      </c>
      <c r="CH33">
        <v>4528</v>
      </c>
      <c r="CI33">
        <v>2172</v>
      </c>
      <c r="CJ33">
        <v>8110</v>
      </c>
      <c r="CK33">
        <v>759</v>
      </c>
      <c r="CL33">
        <v>18632</v>
      </c>
      <c r="CM33">
        <v>1595</v>
      </c>
      <c r="CN33">
        <v>20989</v>
      </c>
      <c r="CO33">
        <v>698038</v>
      </c>
      <c r="CP33">
        <v>37753</v>
      </c>
      <c r="CQ33">
        <v>697080</v>
      </c>
      <c r="CR33">
        <v>38692</v>
      </c>
      <c r="CS33">
        <v>32913</v>
      </c>
      <c r="CT33">
        <v>3014</v>
      </c>
      <c r="CU33">
        <v>1789</v>
      </c>
      <c r="CV33">
        <v>3106</v>
      </c>
      <c r="CW33">
        <v>1858</v>
      </c>
      <c r="CX33">
        <v>1157</v>
      </c>
      <c r="CY33">
        <v>11527</v>
      </c>
      <c r="CZ33">
        <v>3255</v>
      </c>
      <c r="DA33">
        <v>12933</v>
      </c>
      <c r="DB33">
        <v>3114</v>
      </c>
      <c r="DC33">
        <v>31389</v>
      </c>
      <c r="DD33">
        <v>14097</v>
      </c>
      <c r="DE33">
        <v>4706</v>
      </c>
      <c r="DF33">
        <v>14107</v>
      </c>
      <c r="DG33">
        <v>4618</v>
      </c>
      <c r="DH33">
        <v>13451</v>
      </c>
      <c r="DI33">
        <v>6847</v>
      </c>
      <c r="DJ33">
        <v>1695</v>
      </c>
      <c r="DK33">
        <v>12462</v>
      </c>
      <c r="DL33">
        <v>1822</v>
      </c>
      <c r="DM33">
        <v>12470</v>
      </c>
      <c r="DN33">
        <v>4852</v>
      </c>
      <c r="DO33">
        <v>739</v>
      </c>
      <c r="DP33">
        <v>5066</v>
      </c>
      <c r="DQ33">
        <v>679</v>
      </c>
      <c r="DR33">
        <v>54573</v>
      </c>
      <c r="DS33">
        <v>7121</v>
      </c>
      <c r="DT33">
        <v>1529</v>
      </c>
      <c r="DU33">
        <v>7286</v>
      </c>
      <c r="DV33">
        <v>1563</v>
      </c>
      <c r="DW33">
        <v>7474</v>
      </c>
      <c r="DX33">
        <v>1572</v>
      </c>
      <c r="DY33">
        <v>5256</v>
      </c>
      <c r="DZ33">
        <v>1005</v>
      </c>
      <c r="EA33">
        <v>3387</v>
      </c>
      <c r="EB33">
        <v>2010</v>
      </c>
      <c r="EC33">
        <v>3372</v>
      </c>
      <c r="ED33">
        <v>2188</v>
      </c>
      <c r="EE33">
        <v>3399</v>
      </c>
      <c r="EF33">
        <v>2256</v>
      </c>
      <c r="EG33">
        <v>2109</v>
      </c>
      <c r="EH33">
        <v>1725</v>
      </c>
      <c r="EI33">
        <v>1447</v>
      </c>
      <c r="EJ33">
        <v>2010</v>
      </c>
      <c r="EK33">
        <v>1490</v>
      </c>
      <c r="EL33">
        <v>3032</v>
      </c>
      <c r="EM33">
        <v>5219</v>
      </c>
      <c r="EN33">
        <v>504</v>
      </c>
      <c r="EO33">
        <v>6939</v>
      </c>
      <c r="EP33">
        <v>744</v>
      </c>
      <c r="EQ33">
        <v>10608</v>
      </c>
      <c r="ER33">
        <v>981</v>
      </c>
      <c r="ES33">
        <v>3706</v>
      </c>
      <c r="ET33">
        <v>994</v>
      </c>
      <c r="EU33">
        <v>3694</v>
      </c>
      <c r="EV33">
        <v>2268</v>
      </c>
      <c r="EW33">
        <v>458</v>
      </c>
      <c r="EX33">
        <v>765</v>
      </c>
      <c r="EY33">
        <v>460</v>
      </c>
      <c r="EZ33">
        <v>771</v>
      </c>
      <c r="FA33">
        <v>236</v>
      </c>
    </row>
    <row r="34" spans="1:157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6586</v>
      </c>
      <c r="I34">
        <v>88</v>
      </c>
      <c r="J34">
        <v>4504</v>
      </c>
      <c r="K34">
        <v>57</v>
      </c>
      <c r="L34">
        <v>6528</v>
      </c>
      <c r="M34">
        <v>163571</v>
      </c>
      <c r="N34">
        <v>3010</v>
      </c>
      <c r="O34">
        <v>46755</v>
      </c>
      <c r="P34">
        <v>1075</v>
      </c>
      <c r="Q34">
        <v>89793</v>
      </c>
      <c r="R34" t="s">
        <v>73</v>
      </c>
      <c r="S34" t="s">
        <v>73</v>
      </c>
      <c r="T34" t="s">
        <v>73</v>
      </c>
      <c r="U34" t="s">
        <v>73</v>
      </c>
      <c r="V34" t="s">
        <v>73</v>
      </c>
      <c r="W34">
        <v>1345310</v>
      </c>
      <c r="X34">
        <v>25898</v>
      </c>
      <c r="Y34">
        <v>1333536</v>
      </c>
      <c r="Z34">
        <v>28040</v>
      </c>
      <c r="AA34">
        <v>179900</v>
      </c>
      <c r="AB34">
        <v>27</v>
      </c>
      <c r="AC34">
        <v>1210</v>
      </c>
      <c r="AD34">
        <v>27</v>
      </c>
      <c r="AE34">
        <v>1213</v>
      </c>
      <c r="AF34">
        <v>0</v>
      </c>
      <c r="AG34">
        <v>170</v>
      </c>
      <c r="AH34">
        <v>2313</v>
      </c>
      <c r="AI34">
        <v>191</v>
      </c>
      <c r="AJ34">
        <v>2472</v>
      </c>
      <c r="AK34">
        <v>47</v>
      </c>
      <c r="AL34">
        <v>3662</v>
      </c>
      <c r="AM34">
        <v>1429</v>
      </c>
      <c r="AN34">
        <v>3343</v>
      </c>
      <c r="AO34">
        <v>1230</v>
      </c>
      <c r="AP34">
        <v>5128</v>
      </c>
      <c r="AQ34">
        <v>1344</v>
      </c>
      <c r="AR34">
        <v>4080</v>
      </c>
      <c r="AS34">
        <v>1062</v>
      </c>
      <c r="AT34">
        <v>3083</v>
      </c>
      <c r="AU34">
        <v>2517</v>
      </c>
      <c r="AV34">
        <v>182864</v>
      </c>
      <c r="AW34">
        <v>15373</v>
      </c>
      <c r="AX34">
        <v>356853</v>
      </c>
      <c r="AY34">
        <v>23655</v>
      </c>
      <c r="AZ34">
        <v>476336</v>
      </c>
      <c r="BA34">
        <v>73324</v>
      </c>
      <c r="BB34">
        <v>11228</v>
      </c>
      <c r="BC34">
        <v>82542</v>
      </c>
      <c r="BD34">
        <v>12640</v>
      </c>
      <c r="BE34">
        <v>95629</v>
      </c>
      <c r="BF34">
        <v>51464</v>
      </c>
      <c r="BG34">
        <v>25424</v>
      </c>
      <c r="BH34">
        <v>54265</v>
      </c>
      <c r="BI34">
        <v>28014</v>
      </c>
      <c r="BJ34">
        <v>60076</v>
      </c>
      <c r="BK34">
        <v>181176</v>
      </c>
      <c r="BL34">
        <v>10672</v>
      </c>
      <c r="BM34">
        <v>388613</v>
      </c>
      <c r="BN34">
        <v>18718</v>
      </c>
      <c r="BO34">
        <v>539323</v>
      </c>
      <c r="BP34">
        <v>83855</v>
      </c>
      <c r="BQ34">
        <v>10246</v>
      </c>
      <c r="BR34">
        <v>108658</v>
      </c>
      <c r="BS34">
        <v>12140</v>
      </c>
      <c r="BT34">
        <v>163179</v>
      </c>
      <c r="BU34">
        <v>51938</v>
      </c>
      <c r="BV34">
        <v>7039</v>
      </c>
      <c r="BW34">
        <v>58217</v>
      </c>
      <c r="BX34">
        <v>7723</v>
      </c>
      <c r="BY34">
        <v>117855</v>
      </c>
      <c r="BZ34">
        <v>2216</v>
      </c>
      <c r="CA34">
        <v>2356</v>
      </c>
      <c r="CB34">
        <v>2653</v>
      </c>
      <c r="CC34">
        <v>2686</v>
      </c>
      <c r="CD34">
        <v>4307</v>
      </c>
      <c r="CE34">
        <v>2971</v>
      </c>
      <c r="CF34">
        <v>3532</v>
      </c>
      <c r="CG34">
        <v>3854</v>
      </c>
      <c r="CH34">
        <v>4805</v>
      </c>
      <c r="CI34">
        <v>1622</v>
      </c>
      <c r="CJ34">
        <v>6247</v>
      </c>
      <c r="CK34">
        <v>500</v>
      </c>
      <c r="CL34">
        <v>16146</v>
      </c>
      <c r="CM34">
        <v>1296</v>
      </c>
      <c r="CN34">
        <v>14158</v>
      </c>
      <c r="CO34">
        <v>574841</v>
      </c>
      <c r="CP34">
        <v>32186</v>
      </c>
      <c r="CQ34">
        <v>577551</v>
      </c>
      <c r="CR34">
        <v>33831</v>
      </c>
      <c r="CS34">
        <v>30693</v>
      </c>
      <c r="CT34">
        <v>2671</v>
      </c>
      <c r="CU34">
        <v>1893</v>
      </c>
      <c r="CV34">
        <v>2726</v>
      </c>
      <c r="CW34">
        <v>2111</v>
      </c>
      <c r="CX34">
        <v>1102</v>
      </c>
      <c r="CY34">
        <v>10132</v>
      </c>
      <c r="CZ34">
        <v>2675</v>
      </c>
      <c r="DA34">
        <v>11887</v>
      </c>
      <c r="DB34">
        <v>2945</v>
      </c>
      <c r="DC34">
        <v>31204</v>
      </c>
      <c r="DD34">
        <v>10822</v>
      </c>
      <c r="DE34">
        <v>3632</v>
      </c>
      <c r="DF34">
        <v>13217</v>
      </c>
      <c r="DG34">
        <v>4362</v>
      </c>
      <c r="DH34">
        <v>11081</v>
      </c>
      <c r="DI34">
        <v>5835</v>
      </c>
      <c r="DJ34">
        <v>1472</v>
      </c>
      <c r="DK34">
        <v>11618</v>
      </c>
      <c r="DL34">
        <v>1647</v>
      </c>
      <c r="DM34">
        <v>11204</v>
      </c>
      <c r="DN34">
        <v>4030</v>
      </c>
      <c r="DO34">
        <v>679</v>
      </c>
      <c r="DP34">
        <v>5298</v>
      </c>
      <c r="DQ34">
        <v>526</v>
      </c>
      <c r="DR34">
        <v>52704</v>
      </c>
      <c r="DS34">
        <v>6081</v>
      </c>
      <c r="DT34">
        <v>1313</v>
      </c>
      <c r="DU34">
        <v>6085</v>
      </c>
      <c r="DV34">
        <v>1271</v>
      </c>
      <c r="DW34">
        <v>7448</v>
      </c>
      <c r="DX34">
        <v>1569</v>
      </c>
      <c r="DY34">
        <v>5279</v>
      </c>
      <c r="DZ34">
        <v>1144</v>
      </c>
      <c r="EA34">
        <v>4206</v>
      </c>
      <c r="EB34">
        <v>2048</v>
      </c>
      <c r="EC34">
        <v>3083</v>
      </c>
      <c r="ED34">
        <v>2096</v>
      </c>
      <c r="EE34">
        <v>3312</v>
      </c>
      <c r="EF34">
        <v>2383</v>
      </c>
      <c r="EG34">
        <v>1904</v>
      </c>
      <c r="EH34">
        <v>1792</v>
      </c>
      <c r="EI34">
        <v>837</v>
      </c>
      <c r="EJ34">
        <v>1650</v>
      </c>
      <c r="EK34">
        <v>724</v>
      </c>
      <c r="EL34">
        <v>3348</v>
      </c>
      <c r="EM34">
        <v>4790</v>
      </c>
      <c r="EN34">
        <v>464</v>
      </c>
      <c r="EO34">
        <v>6518</v>
      </c>
      <c r="EP34">
        <v>712</v>
      </c>
      <c r="EQ34">
        <v>10333</v>
      </c>
      <c r="ER34">
        <v>988</v>
      </c>
      <c r="ES34">
        <v>3453</v>
      </c>
      <c r="ET34">
        <v>1095</v>
      </c>
      <c r="EU34">
        <v>4021</v>
      </c>
      <c r="EV34">
        <v>2161</v>
      </c>
      <c r="EW34">
        <v>485</v>
      </c>
      <c r="EX34">
        <v>965</v>
      </c>
      <c r="EY34">
        <v>523</v>
      </c>
      <c r="EZ34">
        <v>1025</v>
      </c>
      <c r="FA34">
        <v>198</v>
      </c>
    </row>
    <row r="35" spans="1:157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7472</v>
      </c>
      <c r="I35">
        <v>96</v>
      </c>
      <c r="J35">
        <v>6867</v>
      </c>
      <c r="K35">
        <v>79</v>
      </c>
      <c r="L35">
        <v>5139</v>
      </c>
      <c r="M35">
        <v>175791</v>
      </c>
      <c r="N35">
        <v>3240</v>
      </c>
      <c r="O35">
        <v>58591</v>
      </c>
      <c r="P35">
        <v>1152</v>
      </c>
      <c r="Q35">
        <v>104370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1323768</v>
      </c>
      <c r="X35">
        <v>25996</v>
      </c>
      <c r="Y35">
        <v>1318680</v>
      </c>
      <c r="Z35">
        <v>28669</v>
      </c>
      <c r="AA35">
        <v>180718</v>
      </c>
      <c r="AB35">
        <v>27</v>
      </c>
      <c r="AC35">
        <v>1523</v>
      </c>
      <c r="AD35">
        <v>27</v>
      </c>
      <c r="AE35">
        <v>1523</v>
      </c>
      <c r="AF35">
        <v>0</v>
      </c>
      <c r="AG35">
        <v>137</v>
      </c>
      <c r="AH35">
        <v>1461</v>
      </c>
      <c r="AI35">
        <v>140</v>
      </c>
      <c r="AJ35">
        <v>1516</v>
      </c>
      <c r="AK35">
        <v>44</v>
      </c>
      <c r="AL35">
        <v>3036</v>
      </c>
      <c r="AM35">
        <v>1213</v>
      </c>
      <c r="AN35">
        <v>3093</v>
      </c>
      <c r="AO35">
        <v>1406</v>
      </c>
      <c r="AP35">
        <v>5045</v>
      </c>
      <c r="AQ35">
        <v>1237</v>
      </c>
      <c r="AR35">
        <v>3910</v>
      </c>
      <c r="AS35">
        <v>1142</v>
      </c>
      <c r="AT35">
        <v>3954</v>
      </c>
      <c r="AU35">
        <v>2609</v>
      </c>
      <c r="AV35">
        <v>192147</v>
      </c>
      <c r="AW35">
        <v>15459</v>
      </c>
      <c r="AX35">
        <v>430421</v>
      </c>
      <c r="AY35">
        <v>28121</v>
      </c>
      <c r="AZ35">
        <v>499972</v>
      </c>
      <c r="BA35">
        <v>83260</v>
      </c>
      <c r="BB35">
        <v>11819</v>
      </c>
      <c r="BC35">
        <v>87543</v>
      </c>
      <c r="BD35">
        <v>13034</v>
      </c>
      <c r="BE35">
        <v>95988</v>
      </c>
      <c r="BF35">
        <v>54356</v>
      </c>
      <c r="BG35">
        <v>27115</v>
      </c>
      <c r="BH35">
        <v>50759</v>
      </c>
      <c r="BI35">
        <v>24748</v>
      </c>
      <c r="BJ35">
        <v>63489</v>
      </c>
      <c r="BK35">
        <v>199795</v>
      </c>
      <c r="BL35">
        <v>11480</v>
      </c>
      <c r="BM35">
        <v>455089</v>
      </c>
      <c r="BN35">
        <v>20645</v>
      </c>
      <c r="BO35">
        <v>583369</v>
      </c>
      <c r="BP35">
        <v>86237</v>
      </c>
      <c r="BQ35">
        <v>9656</v>
      </c>
      <c r="BR35">
        <v>108465</v>
      </c>
      <c r="BS35">
        <v>11606</v>
      </c>
      <c r="BT35">
        <v>162824</v>
      </c>
      <c r="BU35">
        <v>54095</v>
      </c>
      <c r="BV35">
        <v>7045</v>
      </c>
      <c r="BW35">
        <v>53002</v>
      </c>
      <c r="BX35">
        <v>7036</v>
      </c>
      <c r="BY35">
        <v>123502</v>
      </c>
      <c r="BZ35">
        <v>2285</v>
      </c>
      <c r="CA35">
        <v>2471</v>
      </c>
      <c r="CB35">
        <v>2555</v>
      </c>
      <c r="CC35">
        <v>2507</v>
      </c>
      <c r="CD35">
        <v>4370</v>
      </c>
      <c r="CE35">
        <v>2509</v>
      </c>
      <c r="CF35">
        <v>3042</v>
      </c>
      <c r="CG35">
        <v>3163</v>
      </c>
      <c r="CH35">
        <v>4031</v>
      </c>
      <c r="CI35">
        <v>1280</v>
      </c>
      <c r="CJ35">
        <v>5006</v>
      </c>
      <c r="CK35">
        <v>396</v>
      </c>
      <c r="CL35">
        <v>9580</v>
      </c>
      <c r="CM35">
        <v>835</v>
      </c>
      <c r="CN35">
        <v>11656</v>
      </c>
      <c r="CO35">
        <v>569876</v>
      </c>
      <c r="CP35">
        <v>31872</v>
      </c>
      <c r="CQ35">
        <v>571294</v>
      </c>
      <c r="CR35">
        <v>33363</v>
      </c>
      <c r="CS35">
        <v>29705</v>
      </c>
      <c r="CT35">
        <v>2776</v>
      </c>
      <c r="CU35">
        <v>1686</v>
      </c>
      <c r="CV35">
        <v>2716</v>
      </c>
      <c r="CW35">
        <v>1658</v>
      </c>
      <c r="CX35">
        <v>1162</v>
      </c>
      <c r="CY35">
        <v>9323</v>
      </c>
      <c r="CZ35">
        <v>2620</v>
      </c>
      <c r="DA35">
        <v>9178</v>
      </c>
      <c r="DB35">
        <v>2324</v>
      </c>
      <c r="DC35">
        <v>32710</v>
      </c>
      <c r="DD35">
        <v>8362</v>
      </c>
      <c r="DE35">
        <v>2851</v>
      </c>
      <c r="DF35">
        <v>4901</v>
      </c>
      <c r="DG35">
        <v>1715</v>
      </c>
      <c r="DH35">
        <v>14545</v>
      </c>
      <c r="DI35">
        <v>5572</v>
      </c>
      <c r="DJ35">
        <v>1349</v>
      </c>
      <c r="DK35">
        <v>13100</v>
      </c>
      <c r="DL35">
        <v>1555</v>
      </c>
      <c r="DM35">
        <v>11739</v>
      </c>
      <c r="DN35">
        <v>9008</v>
      </c>
      <c r="DO35">
        <v>790</v>
      </c>
      <c r="DP35">
        <v>3919</v>
      </c>
      <c r="DQ35">
        <v>506</v>
      </c>
      <c r="DR35">
        <v>57224</v>
      </c>
      <c r="DS35">
        <v>5682</v>
      </c>
      <c r="DT35">
        <v>1255</v>
      </c>
      <c r="DU35">
        <v>5049</v>
      </c>
      <c r="DV35">
        <v>1099</v>
      </c>
      <c r="DW35">
        <v>8097</v>
      </c>
      <c r="DX35">
        <v>1588</v>
      </c>
      <c r="DY35">
        <v>4907</v>
      </c>
      <c r="DZ35">
        <v>1294</v>
      </c>
      <c r="EA35">
        <v>4968</v>
      </c>
      <c r="EB35">
        <v>1804</v>
      </c>
      <c r="EC35">
        <v>3457</v>
      </c>
      <c r="ED35">
        <v>2378</v>
      </c>
      <c r="EE35">
        <v>3278</v>
      </c>
      <c r="EF35">
        <v>2291</v>
      </c>
      <c r="EG35">
        <v>2116</v>
      </c>
      <c r="EH35">
        <v>1570</v>
      </c>
      <c r="EI35">
        <v>1269</v>
      </c>
      <c r="EJ35">
        <v>1410</v>
      </c>
      <c r="EK35">
        <v>1139</v>
      </c>
      <c r="EL35">
        <v>4025</v>
      </c>
      <c r="EM35">
        <v>4612</v>
      </c>
      <c r="EN35">
        <v>485</v>
      </c>
      <c r="EO35">
        <v>5645</v>
      </c>
      <c r="EP35">
        <v>626</v>
      </c>
      <c r="EQ35">
        <v>10833</v>
      </c>
      <c r="ER35">
        <v>1012</v>
      </c>
      <c r="ES35">
        <v>3984</v>
      </c>
      <c r="ET35">
        <v>1041</v>
      </c>
      <c r="EU35">
        <v>3712</v>
      </c>
      <c r="EV35">
        <v>2132</v>
      </c>
      <c r="EW35">
        <v>560</v>
      </c>
      <c r="EX35">
        <v>1005</v>
      </c>
      <c r="EY35">
        <v>563</v>
      </c>
      <c r="EZ35">
        <v>1005</v>
      </c>
      <c r="FA35">
        <v>195</v>
      </c>
    </row>
    <row r="36" spans="1:157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11128</v>
      </c>
      <c r="I36">
        <v>234</v>
      </c>
      <c r="J36">
        <v>2407</v>
      </c>
      <c r="K36">
        <v>32</v>
      </c>
      <c r="L36">
        <v>8616</v>
      </c>
      <c r="M36">
        <v>148104</v>
      </c>
      <c r="N36">
        <v>2723</v>
      </c>
      <c r="O36">
        <v>68708</v>
      </c>
      <c r="P36">
        <v>1223</v>
      </c>
      <c r="Q36">
        <v>93306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1276698</v>
      </c>
      <c r="X36">
        <v>23669</v>
      </c>
      <c r="Y36">
        <v>1254263</v>
      </c>
      <c r="Z36">
        <v>25777</v>
      </c>
      <c r="AA36">
        <v>182391</v>
      </c>
      <c r="AB36">
        <v>50</v>
      </c>
      <c r="AC36">
        <v>2596</v>
      </c>
      <c r="AD36">
        <v>50</v>
      </c>
      <c r="AE36">
        <v>2596</v>
      </c>
      <c r="AF36">
        <v>0</v>
      </c>
      <c r="AG36">
        <v>96</v>
      </c>
      <c r="AH36">
        <v>1202</v>
      </c>
      <c r="AI36">
        <v>96</v>
      </c>
      <c r="AJ36">
        <v>1269</v>
      </c>
      <c r="AK36">
        <v>44</v>
      </c>
      <c r="AL36">
        <v>3350</v>
      </c>
      <c r="AM36">
        <v>1195</v>
      </c>
      <c r="AN36">
        <v>3315</v>
      </c>
      <c r="AO36">
        <v>1308</v>
      </c>
      <c r="AP36">
        <v>5073</v>
      </c>
      <c r="AQ36">
        <v>1158</v>
      </c>
      <c r="AR36">
        <v>3665</v>
      </c>
      <c r="AS36">
        <v>1333</v>
      </c>
      <c r="AT36">
        <v>4371</v>
      </c>
      <c r="AU36">
        <v>2428</v>
      </c>
      <c r="AV36">
        <v>192868</v>
      </c>
      <c r="AW36">
        <v>16583</v>
      </c>
      <c r="AX36">
        <v>417680</v>
      </c>
      <c r="AY36">
        <v>26588</v>
      </c>
      <c r="AZ36">
        <v>551861</v>
      </c>
      <c r="BA36">
        <v>80579</v>
      </c>
      <c r="BB36">
        <v>9631</v>
      </c>
      <c r="BC36">
        <v>79934</v>
      </c>
      <c r="BD36">
        <v>12193</v>
      </c>
      <c r="BE36">
        <v>100745</v>
      </c>
      <c r="BF36">
        <v>49789</v>
      </c>
      <c r="BG36">
        <v>20711</v>
      </c>
      <c r="BH36">
        <v>46897</v>
      </c>
      <c r="BI36">
        <v>25743</v>
      </c>
      <c r="BJ36">
        <v>65578</v>
      </c>
      <c r="BK36">
        <v>210968</v>
      </c>
      <c r="BL36">
        <v>12378</v>
      </c>
      <c r="BM36">
        <v>440124</v>
      </c>
      <c r="BN36">
        <v>19791</v>
      </c>
      <c r="BO36">
        <v>642906</v>
      </c>
      <c r="BP36">
        <v>82817</v>
      </c>
      <c r="BQ36">
        <v>7520</v>
      </c>
      <c r="BR36">
        <v>97827</v>
      </c>
      <c r="BS36">
        <v>11218</v>
      </c>
      <c r="BT36">
        <v>171405</v>
      </c>
      <c r="BU36">
        <v>49812</v>
      </c>
      <c r="BV36">
        <v>5935</v>
      </c>
      <c r="BW36">
        <v>48173</v>
      </c>
      <c r="BX36">
        <v>6823</v>
      </c>
      <c r="BY36">
        <v>129577</v>
      </c>
      <c r="BZ36">
        <v>2242</v>
      </c>
      <c r="CA36">
        <v>2322</v>
      </c>
      <c r="CB36">
        <v>2316</v>
      </c>
      <c r="CC36">
        <v>2177</v>
      </c>
      <c r="CD36">
        <v>4562</v>
      </c>
      <c r="CE36">
        <v>2206</v>
      </c>
      <c r="CF36">
        <v>2934</v>
      </c>
      <c r="CG36">
        <v>2538</v>
      </c>
      <c r="CH36">
        <v>3450</v>
      </c>
      <c r="CI36">
        <v>1271</v>
      </c>
      <c r="CJ36">
        <v>4312</v>
      </c>
      <c r="CK36">
        <v>301</v>
      </c>
      <c r="CL36">
        <v>7986</v>
      </c>
      <c r="CM36">
        <v>682</v>
      </c>
      <c r="CN36">
        <v>9583</v>
      </c>
      <c r="CO36">
        <v>616219</v>
      </c>
      <c r="CP36">
        <v>32968</v>
      </c>
      <c r="CQ36">
        <v>684741</v>
      </c>
      <c r="CR36">
        <v>33430</v>
      </c>
      <c r="CS36">
        <v>52219</v>
      </c>
      <c r="CT36">
        <v>2838</v>
      </c>
      <c r="CU36">
        <v>2238</v>
      </c>
      <c r="CV36">
        <v>2711</v>
      </c>
      <c r="CW36">
        <v>2039</v>
      </c>
      <c r="CX36">
        <v>1283</v>
      </c>
      <c r="CY36">
        <v>9587</v>
      </c>
      <c r="CZ36">
        <v>2608</v>
      </c>
      <c r="DA36">
        <v>10239</v>
      </c>
      <c r="DB36">
        <v>2438</v>
      </c>
      <c r="DC36">
        <v>34223</v>
      </c>
      <c r="DD36">
        <v>10262</v>
      </c>
      <c r="DE36">
        <v>3518</v>
      </c>
      <c r="DF36">
        <v>10600</v>
      </c>
      <c r="DG36">
        <v>3602</v>
      </c>
      <c r="DH36">
        <v>14214</v>
      </c>
      <c r="DI36">
        <v>5913</v>
      </c>
      <c r="DJ36">
        <v>1408</v>
      </c>
      <c r="DK36">
        <v>11489</v>
      </c>
      <c r="DL36">
        <v>1613</v>
      </c>
      <c r="DM36">
        <v>11854</v>
      </c>
      <c r="DN36">
        <v>15559</v>
      </c>
      <c r="DO36">
        <v>991</v>
      </c>
      <c r="DP36">
        <v>4404</v>
      </c>
      <c r="DQ36">
        <v>632</v>
      </c>
      <c r="DR36">
        <v>67839</v>
      </c>
      <c r="DS36">
        <v>6281</v>
      </c>
      <c r="DT36">
        <v>1367</v>
      </c>
      <c r="DU36">
        <v>5784</v>
      </c>
      <c r="DV36">
        <v>1278</v>
      </c>
      <c r="DW36">
        <v>8569</v>
      </c>
      <c r="DX36">
        <v>1506</v>
      </c>
      <c r="DY36">
        <v>4465</v>
      </c>
      <c r="DZ36">
        <v>1112</v>
      </c>
      <c r="EA36">
        <v>3938</v>
      </c>
      <c r="EB36">
        <v>1931</v>
      </c>
      <c r="EC36">
        <v>2870</v>
      </c>
      <c r="ED36">
        <v>2101</v>
      </c>
      <c r="EE36">
        <v>3002</v>
      </c>
      <c r="EF36">
        <v>2118</v>
      </c>
      <c r="EG36">
        <v>1963</v>
      </c>
      <c r="EH36">
        <v>1393</v>
      </c>
      <c r="EI36">
        <v>761</v>
      </c>
      <c r="EJ36">
        <v>1664</v>
      </c>
      <c r="EK36">
        <v>931</v>
      </c>
      <c r="EL36">
        <v>4246</v>
      </c>
      <c r="EM36">
        <v>4267</v>
      </c>
      <c r="EN36">
        <v>491</v>
      </c>
      <c r="EO36">
        <v>5956</v>
      </c>
      <c r="EP36">
        <v>754</v>
      </c>
      <c r="EQ36">
        <v>10613</v>
      </c>
      <c r="ER36">
        <v>905</v>
      </c>
      <c r="ES36">
        <v>3417</v>
      </c>
      <c r="ET36">
        <v>851</v>
      </c>
      <c r="EU36">
        <v>3252</v>
      </c>
      <c r="EV36">
        <v>2186</v>
      </c>
      <c r="EW36">
        <v>485</v>
      </c>
      <c r="EX36">
        <v>850</v>
      </c>
      <c r="EY36">
        <v>516</v>
      </c>
      <c r="EZ36">
        <v>909</v>
      </c>
      <c r="FA36">
        <v>164</v>
      </c>
    </row>
    <row r="37" spans="1:157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6471</v>
      </c>
      <c r="I37">
        <v>87</v>
      </c>
      <c r="J37">
        <v>6833</v>
      </c>
      <c r="K37">
        <v>77</v>
      </c>
      <c r="L37">
        <v>6536</v>
      </c>
      <c r="M37">
        <v>160000</v>
      </c>
      <c r="N37">
        <v>2975</v>
      </c>
      <c r="O37">
        <v>78105</v>
      </c>
      <c r="P37">
        <v>1327</v>
      </c>
      <c r="Q37">
        <v>119423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1419452</v>
      </c>
      <c r="X37">
        <v>28909</v>
      </c>
      <c r="Y37">
        <v>1424658</v>
      </c>
      <c r="Z37">
        <v>32166</v>
      </c>
      <c r="AA37">
        <v>170163</v>
      </c>
      <c r="AB37">
        <v>33</v>
      </c>
      <c r="AC37">
        <v>1963</v>
      </c>
      <c r="AD37">
        <v>33</v>
      </c>
      <c r="AE37">
        <v>1963</v>
      </c>
      <c r="AF37">
        <v>0</v>
      </c>
      <c r="AG37">
        <v>121</v>
      </c>
      <c r="AH37">
        <v>1289</v>
      </c>
      <c r="AI37">
        <v>127</v>
      </c>
      <c r="AJ37">
        <v>1457</v>
      </c>
      <c r="AK37">
        <v>38</v>
      </c>
      <c r="AL37">
        <v>3052</v>
      </c>
      <c r="AM37">
        <v>1029</v>
      </c>
      <c r="AN37">
        <v>3580</v>
      </c>
      <c r="AO37">
        <v>1303</v>
      </c>
      <c r="AP37">
        <v>4545</v>
      </c>
      <c r="AQ37">
        <v>1039</v>
      </c>
      <c r="AR37">
        <v>3335</v>
      </c>
      <c r="AS37">
        <v>1216</v>
      </c>
      <c r="AT37">
        <v>4014</v>
      </c>
      <c r="AU37">
        <v>2249</v>
      </c>
      <c r="AV37">
        <v>214656</v>
      </c>
      <c r="AW37">
        <v>16928</v>
      </c>
      <c r="AX37">
        <v>482242</v>
      </c>
      <c r="AY37">
        <v>31989</v>
      </c>
      <c r="AZ37">
        <v>650942</v>
      </c>
      <c r="BA37">
        <v>91166</v>
      </c>
      <c r="BB37">
        <v>12317</v>
      </c>
      <c r="BC37">
        <v>87595</v>
      </c>
      <c r="BD37">
        <v>13090</v>
      </c>
      <c r="BE37">
        <v>108984</v>
      </c>
      <c r="BF37">
        <v>49419</v>
      </c>
      <c r="BG37">
        <v>23152</v>
      </c>
      <c r="BH37">
        <v>51712</v>
      </c>
      <c r="BI37">
        <v>25347</v>
      </c>
      <c r="BJ37">
        <v>62810</v>
      </c>
      <c r="BK37">
        <v>222893</v>
      </c>
      <c r="BL37">
        <v>11707</v>
      </c>
      <c r="BM37">
        <v>508418</v>
      </c>
      <c r="BN37">
        <v>22747</v>
      </c>
      <c r="BO37">
        <v>745925</v>
      </c>
      <c r="BP37">
        <v>92008</v>
      </c>
      <c r="BQ37">
        <v>9065</v>
      </c>
      <c r="BR37">
        <v>109263</v>
      </c>
      <c r="BS37">
        <v>11169</v>
      </c>
      <c r="BT37">
        <v>178812</v>
      </c>
      <c r="BU37">
        <v>51729</v>
      </c>
      <c r="BV37">
        <v>6444</v>
      </c>
      <c r="BW37">
        <v>51838</v>
      </c>
      <c r="BX37">
        <v>6644</v>
      </c>
      <c r="BY37">
        <v>134318</v>
      </c>
      <c r="BZ37">
        <v>2140</v>
      </c>
      <c r="CA37">
        <v>2226</v>
      </c>
      <c r="CB37">
        <v>2582</v>
      </c>
      <c r="CC37">
        <v>2453</v>
      </c>
      <c r="CD37">
        <v>4451</v>
      </c>
      <c r="CE37">
        <v>2636</v>
      </c>
      <c r="CF37">
        <v>3625</v>
      </c>
      <c r="CG37">
        <v>3084</v>
      </c>
      <c r="CH37">
        <v>4337</v>
      </c>
      <c r="CI37">
        <v>1115</v>
      </c>
      <c r="CJ37">
        <v>4251</v>
      </c>
      <c r="CK37">
        <v>298</v>
      </c>
      <c r="CL37">
        <v>6449</v>
      </c>
      <c r="CM37">
        <v>533</v>
      </c>
      <c r="CN37">
        <v>9198</v>
      </c>
      <c r="CO37">
        <v>631265</v>
      </c>
      <c r="CP37">
        <v>34401</v>
      </c>
      <c r="CQ37">
        <v>715786</v>
      </c>
      <c r="CR37">
        <v>37527</v>
      </c>
      <c r="CS37">
        <v>39791</v>
      </c>
      <c r="CT37">
        <v>2904</v>
      </c>
      <c r="CU37">
        <v>2173</v>
      </c>
      <c r="CV37">
        <v>2879</v>
      </c>
      <c r="CW37">
        <v>1785</v>
      </c>
      <c r="CX37">
        <v>1308</v>
      </c>
      <c r="CY37">
        <v>9769</v>
      </c>
      <c r="CZ37">
        <v>2531</v>
      </c>
      <c r="DA37">
        <v>11446</v>
      </c>
      <c r="DB37">
        <v>2666</v>
      </c>
      <c r="DC37">
        <v>33815</v>
      </c>
      <c r="DD37">
        <v>10373</v>
      </c>
      <c r="DE37">
        <v>3549</v>
      </c>
      <c r="DF37">
        <v>11167</v>
      </c>
      <c r="DG37">
        <v>3805</v>
      </c>
      <c r="DH37">
        <v>13447</v>
      </c>
      <c r="DI37">
        <v>5965</v>
      </c>
      <c r="DJ37">
        <v>1447</v>
      </c>
      <c r="DK37">
        <v>9658</v>
      </c>
      <c r="DL37">
        <v>1472</v>
      </c>
      <c r="DM37">
        <v>12616</v>
      </c>
      <c r="DN37">
        <v>16697</v>
      </c>
      <c r="DO37">
        <v>860</v>
      </c>
      <c r="DP37">
        <v>3697</v>
      </c>
      <c r="DQ37">
        <v>583</v>
      </c>
      <c r="DR37">
        <v>80298</v>
      </c>
      <c r="DS37">
        <v>6587</v>
      </c>
      <c r="DT37">
        <v>1455</v>
      </c>
      <c r="DU37">
        <v>6842</v>
      </c>
      <c r="DV37">
        <v>1457</v>
      </c>
      <c r="DW37">
        <v>8269</v>
      </c>
      <c r="DX37">
        <v>1510</v>
      </c>
      <c r="DY37">
        <v>4648</v>
      </c>
      <c r="DZ37">
        <v>1148</v>
      </c>
      <c r="EA37">
        <v>3757</v>
      </c>
      <c r="EB37">
        <v>1856</v>
      </c>
      <c r="EC37">
        <v>3052</v>
      </c>
      <c r="ED37">
        <v>2263</v>
      </c>
      <c r="EE37">
        <v>3128</v>
      </c>
      <c r="EF37">
        <v>2392</v>
      </c>
      <c r="EG37">
        <v>1910</v>
      </c>
      <c r="EH37">
        <v>1404</v>
      </c>
      <c r="EI37">
        <v>738</v>
      </c>
      <c r="EJ37">
        <v>1442</v>
      </c>
      <c r="EK37">
        <v>673</v>
      </c>
      <c r="EL37">
        <v>4642</v>
      </c>
      <c r="EM37">
        <v>4576</v>
      </c>
      <c r="EN37">
        <v>447</v>
      </c>
      <c r="EO37">
        <v>5890</v>
      </c>
      <c r="EP37">
        <v>588</v>
      </c>
      <c r="EQ37">
        <v>10853</v>
      </c>
      <c r="ER37">
        <v>873</v>
      </c>
      <c r="ES37">
        <v>2898</v>
      </c>
      <c r="ET37">
        <v>915</v>
      </c>
      <c r="EU37">
        <v>3337</v>
      </c>
      <c r="EV37">
        <v>2144</v>
      </c>
      <c r="EW37">
        <v>453</v>
      </c>
      <c r="EX37">
        <v>920</v>
      </c>
      <c r="EY37">
        <v>478</v>
      </c>
      <c r="EZ37">
        <v>960</v>
      </c>
      <c r="FA37">
        <v>139</v>
      </c>
    </row>
    <row r="38" spans="1:157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11746</v>
      </c>
      <c r="I38">
        <v>144</v>
      </c>
      <c r="J38">
        <v>9792</v>
      </c>
      <c r="K38">
        <v>107</v>
      </c>
      <c r="L38">
        <v>6225</v>
      </c>
      <c r="M38">
        <v>173753</v>
      </c>
      <c r="N38">
        <v>3112</v>
      </c>
      <c r="O38">
        <v>106965</v>
      </c>
      <c r="P38">
        <v>1519</v>
      </c>
      <c r="Q38">
        <v>101061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1511688</v>
      </c>
      <c r="X38">
        <v>33404</v>
      </c>
      <c r="Y38">
        <v>1473932</v>
      </c>
      <c r="Z38">
        <v>36095</v>
      </c>
      <c r="AA38">
        <v>177938</v>
      </c>
      <c r="AB38">
        <v>16</v>
      </c>
      <c r="AC38">
        <v>705</v>
      </c>
      <c r="AD38">
        <v>16</v>
      </c>
      <c r="AE38">
        <v>705</v>
      </c>
      <c r="AF38">
        <v>0</v>
      </c>
      <c r="AG38">
        <v>114</v>
      </c>
      <c r="AH38">
        <v>1311</v>
      </c>
      <c r="AI38">
        <v>118</v>
      </c>
      <c r="AJ38">
        <v>1374</v>
      </c>
      <c r="AK38">
        <v>34</v>
      </c>
      <c r="AL38">
        <v>3027</v>
      </c>
      <c r="AM38">
        <v>1267</v>
      </c>
      <c r="AN38">
        <v>3602</v>
      </c>
      <c r="AO38">
        <v>1496</v>
      </c>
      <c r="AP38">
        <v>3941</v>
      </c>
      <c r="AQ38">
        <v>1073</v>
      </c>
      <c r="AR38">
        <v>2765</v>
      </c>
      <c r="AS38">
        <v>1378</v>
      </c>
      <c r="AT38">
        <v>4032</v>
      </c>
      <c r="AU38">
        <v>1942</v>
      </c>
      <c r="AV38">
        <v>280374</v>
      </c>
      <c r="AW38">
        <v>21791</v>
      </c>
      <c r="AX38">
        <v>715298</v>
      </c>
      <c r="AY38">
        <v>45467</v>
      </c>
      <c r="AZ38">
        <v>546295</v>
      </c>
      <c r="BA38">
        <v>110413</v>
      </c>
      <c r="BB38">
        <v>15359</v>
      </c>
      <c r="BC38">
        <v>118719</v>
      </c>
      <c r="BD38">
        <v>17364</v>
      </c>
      <c r="BE38">
        <v>104248</v>
      </c>
      <c r="BF38">
        <v>56501</v>
      </c>
      <c r="BG38">
        <v>26333</v>
      </c>
      <c r="BH38">
        <v>57788</v>
      </c>
      <c r="BI38">
        <v>29253</v>
      </c>
      <c r="BJ38">
        <v>60698</v>
      </c>
      <c r="BK38">
        <v>313687</v>
      </c>
      <c r="BL38">
        <v>17290</v>
      </c>
      <c r="BM38">
        <v>740317</v>
      </c>
      <c r="BN38">
        <v>33323</v>
      </c>
      <c r="BO38">
        <v>639515</v>
      </c>
      <c r="BP38">
        <v>108204</v>
      </c>
      <c r="BQ38">
        <v>12942</v>
      </c>
      <c r="BR38">
        <v>140811</v>
      </c>
      <c r="BS38">
        <v>16186</v>
      </c>
      <c r="BT38">
        <v>169763</v>
      </c>
      <c r="BU38">
        <v>54810</v>
      </c>
      <c r="BV38">
        <v>7525</v>
      </c>
      <c r="BW38">
        <v>58447</v>
      </c>
      <c r="BX38">
        <v>7951</v>
      </c>
      <c r="BY38">
        <v>137061</v>
      </c>
      <c r="BZ38">
        <v>2007</v>
      </c>
      <c r="CA38">
        <v>2072</v>
      </c>
      <c r="CB38">
        <v>2581</v>
      </c>
      <c r="CC38">
        <v>2745</v>
      </c>
      <c r="CD38">
        <v>4186</v>
      </c>
      <c r="CE38">
        <v>2674</v>
      </c>
      <c r="CF38">
        <v>3622</v>
      </c>
      <c r="CG38">
        <v>2902</v>
      </c>
      <c r="CH38">
        <v>3986</v>
      </c>
      <c r="CI38">
        <v>1186</v>
      </c>
      <c r="CJ38">
        <v>4490</v>
      </c>
      <c r="CK38">
        <v>318</v>
      </c>
      <c r="CL38">
        <v>6339</v>
      </c>
      <c r="CM38">
        <v>557</v>
      </c>
      <c r="CN38">
        <v>8901</v>
      </c>
      <c r="CO38">
        <v>668873</v>
      </c>
      <c r="CP38">
        <v>37294</v>
      </c>
      <c r="CQ38">
        <v>740758</v>
      </c>
      <c r="CR38">
        <v>39345</v>
      </c>
      <c r="CS38">
        <v>46951</v>
      </c>
      <c r="CT38">
        <v>2880</v>
      </c>
      <c r="CU38">
        <v>2916</v>
      </c>
      <c r="CV38">
        <v>2698</v>
      </c>
      <c r="CW38">
        <v>2924</v>
      </c>
      <c r="CX38">
        <v>1482</v>
      </c>
      <c r="CY38">
        <v>10226</v>
      </c>
      <c r="CZ38">
        <v>3021</v>
      </c>
      <c r="DA38">
        <v>11896</v>
      </c>
      <c r="DB38">
        <v>2912</v>
      </c>
      <c r="DC38">
        <v>33972</v>
      </c>
      <c r="DD38">
        <v>11808</v>
      </c>
      <c r="DE38">
        <v>4113</v>
      </c>
      <c r="DF38">
        <v>13492</v>
      </c>
      <c r="DG38">
        <v>4592</v>
      </c>
      <c r="DH38">
        <v>11798</v>
      </c>
      <c r="DI38">
        <v>6987</v>
      </c>
      <c r="DJ38">
        <v>1742</v>
      </c>
      <c r="DK38">
        <v>12415</v>
      </c>
      <c r="DL38">
        <v>1942</v>
      </c>
      <c r="DM38">
        <v>12930</v>
      </c>
      <c r="DN38">
        <v>15147</v>
      </c>
      <c r="DO38">
        <v>1038</v>
      </c>
      <c r="DP38">
        <v>7515</v>
      </c>
      <c r="DQ38">
        <v>926</v>
      </c>
      <c r="DR38">
        <v>87387</v>
      </c>
      <c r="DS38">
        <v>6508</v>
      </c>
      <c r="DT38">
        <v>1398</v>
      </c>
      <c r="DU38">
        <v>7068</v>
      </c>
      <c r="DV38">
        <v>1582</v>
      </c>
      <c r="DW38">
        <v>7715</v>
      </c>
      <c r="DX38">
        <v>1638</v>
      </c>
      <c r="DY38">
        <v>4911</v>
      </c>
      <c r="DZ38">
        <v>1425</v>
      </c>
      <c r="EA38">
        <v>5144</v>
      </c>
      <c r="EB38">
        <v>1605</v>
      </c>
      <c r="EC38">
        <v>3281</v>
      </c>
      <c r="ED38">
        <v>2616</v>
      </c>
      <c r="EE38">
        <v>3309</v>
      </c>
      <c r="EF38">
        <v>2626</v>
      </c>
      <c r="EG38">
        <v>1832</v>
      </c>
      <c r="EH38">
        <v>1386</v>
      </c>
      <c r="EI38">
        <v>1579</v>
      </c>
      <c r="EJ38">
        <v>2042</v>
      </c>
      <c r="EK38">
        <v>1792</v>
      </c>
      <c r="EL38">
        <v>4052</v>
      </c>
      <c r="EM38">
        <v>5881</v>
      </c>
      <c r="EN38">
        <v>580</v>
      </c>
      <c r="EO38">
        <v>6334</v>
      </c>
      <c r="EP38">
        <v>827</v>
      </c>
      <c r="EQ38">
        <v>11348</v>
      </c>
      <c r="ER38">
        <v>1064</v>
      </c>
      <c r="ES38">
        <v>4441</v>
      </c>
      <c r="ET38">
        <v>1115</v>
      </c>
      <c r="EU38">
        <v>4426</v>
      </c>
      <c r="EV38">
        <v>2093</v>
      </c>
      <c r="EW38">
        <v>388</v>
      </c>
      <c r="EX38">
        <v>531</v>
      </c>
      <c r="EY38">
        <v>436</v>
      </c>
      <c r="EZ38">
        <v>605</v>
      </c>
      <c r="FA38">
        <v>91</v>
      </c>
    </row>
    <row r="39" spans="1:157" x14ac:dyDescent="0.4">
      <c r="A39" s="1"/>
      <c r="B39" s="1"/>
    </row>
    <row r="40" spans="1:157" x14ac:dyDescent="0.4">
      <c r="A40" s="1"/>
      <c r="B40" s="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03085-2373-409A-9BC8-AAFD38876E13}">
  <dimension ref="A1:S40"/>
  <sheetViews>
    <sheetView workbookViewId="0">
      <selection activeCell="C9" sqref="C9"/>
    </sheetView>
  </sheetViews>
  <sheetFormatPr defaultColWidth="15.62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734</v>
      </c>
      <c r="D3" t="s">
        <v>734</v>
      </c>
      <c r="E3" t="s">
        <v>734</v>
      </c>
      <c r="F3" t="s">
        <v>734</v>
      </c>
      <c r="G3" t="s">
        <v>734</v>
      </c>
      <c r="H3" t="s">
        <v>736</v>
      </c>
      <c r="I3" t="s">
        <v>736</v>
      </c>
      <c r="J3" t="s">
        <v>736</v>
      </c>
      <c r="K3" t="s">
        <v>736</v>
      </c>
      <c r="L3" t="s">
        <v>736</v>
      </c>
      <c r="M3" t="s">
        <v>738</v>
      </c>
      <c r="N3" t="s">
        <v>738</v>
      </c>
      <c r="O3" t="s">
        <v>738</v>
      </c>
      <c r="P3" t="s">
        <v>738</v>
      </c>
      <c r="Q3" t="s">
        <v>738</v>
      </c>
      <c r="R3" t="s">
        <v>740</v>
      </c>
      <c r="S3" t="s">
        <v>740</v>
      </c>
    </row>
    <row r="4" spans="1:19" x14ac:dyDescent="0.4">
      <c r="A4" s="1"/>
      <c r="B4" s="2" t="s">
        <v>1</v>
      </c>
      <c r="C4" t="s">
        <v>735</v>
      </c>
      <c r="D4" t="s">
        <v>735</v>
      </c>
      <c r="E4" t="s">
        <v>735</v>
      </c>
      <c r="F4" t="s">
        <v>735</v>
      </c>
      <c r="G4" t="s">
        <v>735</v>
      </c>
      <c r="H4" t="s">
        <v>737</v>
      </c>
      <c r="I4" t="s">
        <v>737</v>
      </c>
      <c r="J4" t="s">
        <v>737</v>
      </c>
      <c r="K4" t="s">
        <v>737</v>
      </c>
      <c r="L4" t="s">
        <v>737</v>
      </c>
      <c r="M4" t="s">
        <v>739</v>
      </c>
      <c r="N4" t="s">
        <v>739</v>
      </c>
      <c r="O4" t="s">
        <v>739</v>
      </c>
      <c r="P4" t="s">
        <v>739</v>
      </c>
      <c r="Q4" t="s">
        <v>739</v>
      </c>
      <c r="R4" t="s">
        <v>741</v>
      </c>
      <c r="S4" t="s">
        <v>741</v>
      </c>
    </row>
    <row r="5" spans="1:19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</row>
    <row r="7" spans="1:19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</row>
    <row r="8" spans="1:19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</row>
    <row r="9" spans="1:19" x14ac:dyDescent="0.4">
      <c r="A9" s="1" t="s">
        <v>6</v>
      </c>
      <c r="B9" s="3" t="s">
        <v>7</v>
      </c>
      <c r="C9">
        <v>164540</v>
      </c>
      <c r="D9">
        <v>47965</v>
      </c>
      <c r="E9">
        <v>192386</v>
      </c>
      <c r="F9">
        <v>63208</v>
      </c>
      <c r="G9">
        <v>14988</v>
      </c>
      <c r="H9">
        <v>2520</v>
      </c>
      <c r="I9">
        <v>3705</v>
      </c>
      <c r="J9">
        <v>2569</v>
      </c>
      <c r="K9">
        <v>3692</v>
      </c>
      <c r="L9">
        <v>111</v>
      </c>
      <c r="M9">
        <v>9743</v>
      </c>
      <c r="N9">
        <v>11135</v>
      </c>
      <c r="O9">
        <v>9636</v>
      </c>
      <c r="P9">
        <v>11140</v>
      </c>
      <c r="Q9">
        <v>1326</v>
      </c>
      <c r="R9">
        <v>7968</v>
      </c>
      <c r="S9">
        <v>13409</v>
      </c>
    </row>
    <row r="10" spans="1:19" x14ac:dyDescent="0.4">
      <c r="A10" s="1" t="s">
        <v>8</v>
      </c>
      <c r="B10" s="3" t="s">
        <v>9</v>
      </c>
      <c r="C10">
        <v>188414</v>
      </c>
      <c r="D10">
        <v>55162</v>
      </c>
      <c r="E10">
        <v>201018</v>
      </c>
      <c r="F10">
        <v>69040</v>
      </c>
      <c r="G10">
        <v>12848</v>
      </c>
      <c r="H10">
        <v>1801</v>
      </c>
      <c r="I10">
        <v>2589</v>
      </c>
      <c r="J10">
        <v>1886</v>
      </c>
      <c r="K10">
        <v>2691</v>
      </c>
      <c r="L10">
        <v>26</v>
      </c>
      <c r="M10">
        <v>10643</v>
      </c>
      <c r="N10">
        <v>12109</v>
      </c>
      <c r="O10">
        <v>10431</v>
      </c>
      <c r="P10">
        <v>12002</v>
      </c>
      <c r="Q10">
        <v>1526</v>
      </c>
      <c r="R10">
        <v>7670</v>
      </c>
      <c r="S10">
        <v>14456</v>
      </c>
    </row>
    <row r="11" spans="1:19" x14ac:dyDescent="0.4">
      <c r="A11" s="1" t="s">
        <v>10</v>
      </c>
      <c r="B11" s="3" t="s">
        <v>11</v>
      </c>
      <c r="C11">
        <v>147249</v>
      </c>
      <c r="D11">
        <v>50306</v>
      </c>
      <c r="E11">
        <v>145436</v>
      </c>
      <c r="F11">
        <v>59458</v>
      </c>
      <c r="G11">
        <v>11522</v>
      </c>
      <c r="H11">
        <v>2753</v>
      </c>
      <c r="I11">
        <v>3678</v>
      </c>
      <c r="J11">
        <v>2419</v>
      </c>
      <c r="K11">
        <v>3413</v>
      </c>
      <c r="L11">
        <v>360</v>
      </c>
      <c r="M11">
        <v>10348</v>
      </c>
      <c r="N11">
        <v>13301</v>
      </c>
      <c r="O11">
        <v>10378</v>
      </c>
      <c r="P11">
        <v>12846</v>
      </c>
      <c r="Q11">
        <v>1488</v>
      </c>
      <c r="R11">
        <v>7851</v>
      </c>
      <c r="S11">
        <v>16286</v>
      </c>
    </row>
    <row r="12" spans="1:19" x14ac:dyDescent="0.4">
      <c r="A12" s="1" t="s">
        <v>12</v>
      </c>
      <c r="B12" s="3" t="s">
        <v>13</v>
      </c>
      <c r="C12">
        <v>131680</v>
      </c>
      <c r="D12">
        <v>51335</v>
      </c>
      <c r="E12">
        <v>132205</v>
      </c>
      <c r="F12">
        <v>63872</v>
      </c>
      <c r="G12">
        <v>11020</v>
      </c>
      <c r="H12">
        <v>5097</v>
      </c>
      <c r="I12">
        <v>8602</v>
      </c>
      <c r="J12">
        <v>5409</v>
      </c>
      <c r="K12">
        <v>8857</v>
      </c>
      <c r="L12">
        <v>48</v>
      </c>
      <c r="M12">
        <v>10530</v>
      </c>
      <c r="N12">
        <v>13878</v>
      </c>
      <c r="O12">
        <v>10267</v>
      </c>
      <c r="P12">
        <v>13849</v>
      </c>
      <c r="Q12">
        <v>1751</v>
      </c>
      <c r="R12">
        <v>6887</v>
      </c>
      <c r="S12">
        <v>14096</v>
      </c>
    </row>
    <row r="13" spans="1:19" x14ac:dyDescent="0.4">
      <c r="A13" s="1" t="s">
        <v>14</v>
      </c>
      <c r="B13" s="3" t="s">
        <v>15</v>
      </c>
      <c r="C13">
        <v>144018</v>
      </c>
      <c r="D13">
        <v>53751</v>
      </c>
      <c r="E13">
        <v>140854</v>
      </c>
      <c r="F13">
        <v>63126</v>
      </c>
      <c r="G13">
        <v>14206</v>
      </c>
      <c r="H13">
        <v>4042</v>
      </c>
      <c r="I13">
        <v>9873</v>
      </c>
      <c r="J13">
        <v>4019</v>
      </c>
      <c r="K13">
        <v>9866</v>
      </c>
      <c r="L13">
        <v>71</v>
      </c>
      <c r="M13">
        <v>25489</v>
      </c>
      <c r="N13">
        <v>15935</v>
      </c>
      <c r="O13">
        <v>26638</v>
      </c>
      <c r="P13">
        <v>16058</v>
      </c>
      <c r="Q13">
        <v>1946</v>
      </c>
      <c r="R13">
        <v>7132</v>
      </c>
      <c r="S13">
        <v>15280</v>
      </c>
    </row>
    <row r="14" spans="1:19" x14ac:dyDescent="0.4">
      <c r="A14" s="1" t="s">
        <v>16</v>
      </c>
      <c r="B14" s="1" t="s">
        <v>17</v>
      </c>
      <c r="C14">
        <v>12776</v>
      </c>
      <c r="D14">
        <v>5311</v>
      </c>
      <c r="E14">
        <v>15382</v>
      </c>
      <c r="F14">
        <v>7539</v>
      </c>
      <c r="G14">
        <v>12386</v>
      </c>
      <c r="H14">
        <v>473</v>
      </c>
      <c r="I14">
        <v>1057</v>
      </c>
      <c r="J14">
        <v>423</v>
      </c>
      <c r="K14">
        <v>1005</v>
      </c>
      <c r="L14">
        <v>264</v>
      </c>
      <c r="M14">
        <v>913</v>
      </c>
      <c r="N14">
        <v>1080</v>
      </c>
      <c r="O14">
        <v>1517</v>
      </c>
      <c r="P14">
        <v>1579</v>
      </c>
      <c r="Q14">
        <v>1013</v>
      </c>
      <c r="R14">
        <v>593</v>
      </c>
      <c r="S14">
        <v>1110</v>
      </c>
    </row>
    <row r="15" spans="1:19" x14ac:dyDescent="0.4">
      <c r="A15" s="1" t="s">
        <v>18</v>
      </c>
      <c r="B15" s="1" t="s">
        <v>19</v>
      </c>
      <c r="C15">
        <v>12516</v>
      </c>
      <c r="D15">
        <v>4651</v>
      </c>
      <c r="E15">
        <v>12265</v>
      </c>
      <c r="F15">
        <v>5659</v>
      </c>
      <c r="G15">
        <v>12639</v>
      </c>
      <c r="H15">
        <v>334</v>
      </c>
      <c r="I15">
        <v>440</v>
      </c>
      <c r="J15">
        <v>357</v>
      </c>
      <c r="K15">
        <v>450</v>
      </c>
      <c r="L15">
        <v>241</v>
      </c>
      <c r="M15">
        <v>889</v>
      </c>
      <c r="N15">
        <v>1084</v>
      </c>
      <c r="O15">
        <v>499</v>
      </c>
      <c r="P15">
        <v>718</v>
      </c>
      <c r="Q15">
        <v>1403</v>
      </c>
      <c r="R15">
        <v>530</v>
      </c>
      <c r="S15">
        <v>878</v>
      </c>
    </row>
    <row r="16" spans="1:19" x14ac:dyDescent="0.4">
      <c r="A16" s="1" t="s">
        <v>20</v>
      </c>
      <c r="B16" s="1" t="s">
        <v>21</v>
      </c>
      <c r="C16">
        <v>12788</v>
      </c>
      <c r="D16">
        <v>4753</v>
      </c>
      <c r="E16">
        <v>10945</v>
      </c>
      <c r="F16">
        <v>5139</v>
      </c>
      <c r="G16">
        <v>14484</v>
      </c>
      <c r="H16">
        <v>441</v>
      </c>
      <c r="I16">
        <v>581</v>
      </c>
      <c r="J16">
        <v>477</v>
      </c>
      <c r="K16">
        <v>606</v>
      </c>
      <c r="L16">
        <v>205</v>
      </c>
      <c r="M16">
        <v>872</v>
      </c>
      <c r="N16">
        <v>1113</v>
      </c>
      <c r="O16">
        <v>646</v>
      </c>
      <c r="P16">
        <v>796</v>
      </c>
      <c r="Q16">
        <v>1629</v>
      </c>
      <c r="R16">
        <v>548</v>
      </c>
      <c r="S16">
        <v>914</v>
      </c>
    </row>
    <row r="17" spans="1:19" x14ac:dyDescent="0.4">
      <c r="A17" s="1" t="s">
        <v>22</v>
      </c>
      <c r="B17" s="1" t="s">
        <v>23</v>
      </c>
      <c r="C17">
        <v>11488</v>
      </c>
      <c r="D17">
        <v>4532</v>
      </c>
      <c r="E17">
        <v>12180</v>
      </c>
      <c r="F17">
        <v>5892</v>
      </c>
      <c r="G17">
        <v>13794</v>
      </c>
      <c r="H17">
        <v>433</v>
      </c>
      <c r="I17">
        <v>605</v>
      </c>
      <c r="J17">
        <v>457</v>
      </c>
      <c r="K17">
        <v>623</v>
      </c>
      <c r="L17">
        <v>181</v>
      </c>
      <c r="M17">
        <v>1006</v>
      </c>
      <c r="N17">
        <v>1304</v>
      </c>
      <c r="O17">
        <v>1068</v>
      </c>
      <c r="P17">
        <v>1215</v>
      </c>
      <c r="Q17">
        <v>1567</v>
      </c>
      <c r="R17">
        <v>577</v>
      </c>
      <c r="S17">
        <v>1224</v>
      </c>
    </row>
    <row r="18" spans="1:19" x14ac:dyDescent="0.4">
      <c r="A18" s="1" t="s">
        <v>24</v>
      </c>
      <c r="B18" s="1" t="s">
        <v>25</v>
      </c>
      <c r="C18">
        <v>11662</v>
      </c>
      <c r="D18">
        <v>4478</v>
      </c>
      <c r="E18">
        <v>11715</v>
      </c>
      <c r="F18">
        <v>5584</v>
      </c>
      <c r="G18">
        <v>13743</v>
      </c>
      <c r="H18">
        <v>473</v>
      </c>
      <c r="I18">
        <v>628</v>
      </c>
      <c r="J18">
        <v>478</v>
      </c>
      <c r="K18">
        <v>642</v>
      </c>
      <c r="L18">
        <v>176</v>
      </c>
      <c r="M18">
        <v>875</v>
      </c>
      <c r="N18">
        <v>1075</v>
      </c>
      <c r="O18">
        <v>651</v>
      </c>
      <c r="P18">
        <v>1156</v>
      </c>
      <c r="Q18">
        <v>1791</v>
      </c>
      <c r="R18">
        <v>592</v>
      </c>
      <c r="S18">
        <v>1238</v>
      </c>
    </row>
    <row r="19" spans="1:19" x14ac:dyDescent="0.4">
      <c r="A19" s="1" t="s">
        <v>26</v>
      </c>
      <c r="B19" s="1" t="s">
        <v>27</v>
      </c>
      <c r="C19">
        <v>8872</v>
      </c>
      <c r="D19">
        <v>3324</v>
      </c>
      <c r="E19">
        <v>9366</v>
      </c>
      <c r="F19">
        <v>4294</v>
      </c>
      <c r="G19">
        <v>13251</v>
      </c>
      <c r="H19">
        <v>392</v>
      </c>
      <c r="I19">
        <v>554</v>
      </c>
      <c r="J19">
        <v>419</v>
      </c>
      <c r="K19">
        <v>576</v>
      </c>
      <c r="L19">
        <v>149</v>
      </c>
      <c r="M19">
        <v>791</v>
      </c>
      <c r="N19">
        <v>1081</v>
      </c>
      <c r="O19">
        <v>639</v>
      </c>
      <c r="P19">
        <v>656</v>
      </c>
      <c r="Q19">
        <v>1943</v>
      </c>
      <c r="R19">
        <v>528</v>
      </c>
      <c r="S19">
        <v>1025</v>
      </c>
    </row>
    <row r="20" spans="1:19" x14ac:dyDescent="0.4">
      <c r="A20" s="1" t="s">
        <v>28</v>
      </c>
      <c r="B20" s="1" t="s">
        <v>29</v>
      </c>
      <c r="C20">
        <v>10140</v>
      </c>
      <c r="D20">
        <v>4384</v>
      </c>
      <c r="E20">
        <v>13581</v>
      </c>
      <c r="F20">
        <v>6663</v>
      </c>
      <c r="G20">
        <v>9812</v>
      </c>
      <c r="H20">
        <v>393</v>
      </c>
      <c r="I20">
        <v>614</v>
      </c>
      <c r="J20">
        <v>471</v>
      </c>
      <c r="K20">
        <v>684</v>
      </c>
      <c r="L20">
        <v>71</v>
      </c>
      <c r="M20">
        <v>909</v>
      </c>
      <c r="N20">
        <v>1098</v>
      </c>
      <c r="O20">
        <v>1056</v>
      </c>
      <c r="P20">
        <v>971</v>
      </c>
      <c r="Q20">
        <v>1796</v>
      </c>
      <c r="R20">
        <v>660</v>
      </c>
      <c r="S20">
        <v>1442</v>
      </c>
    </row>
    <row r="21" spans="1:19" x14ac:dyDescent="0.4">
      <c r="A21" s="1" t="s">
        <v>30</v>
      </c>
      <c r="B21" s="1" t="s">
        <v>31</v>
      </c>
      <c r="C21">
        <v>10359</v>
      </c>
      <c r="D21">
        <v>3778</v>
      </c>
      <c r="E21">
        <v>9212</v>
      </c>
      <c r="F21">
        <v>4312</v>
      </c>
      <c r="G21">
        <v>10961</v>
      </c>
      <c r="H21">
        <v>454</v>
      </c>
      <c r="I21">
        <v>903</v>
      </c>
      <c r="J21">
        <v>460</v>
      </c>
      <c r="K21">
        <v>912</v>
      </c>
      <c r="L21">
        <v>65</v>
      </c>
      <c r="M21">
        <v>873</v>
      </c>
      <c r="N21">
        <v>1212</v>
      </c>
      <c r="O21">
        <v>708</v>
      </c>
      <c r="P21">
        <v>1050</v>
      </c>
      <c r="Q21">
        <v>1961</v>
      </c>
      <c r="R21">
        <v>568</v>
      </c>
      <c r="S21">
        <v>1251</v>
      </c>
    </row>
    <row r="22" spans="1:19" x14ac:dyDescent="0.4">
      <c r="A22" s="1" t="s">
        <v>32</v>
      </c>
      <c r="B22" s="1" t="s">
        <v>33</v>
      </c>
      <c r="C22">
        <v>9482</v>
      </c>
      <c r="D22">
        <v>3632</v>
      </c>
      <c r="E22">
        <v>10170</v>
      </c>
      <c r="F22">
        <v>4824</v>
      </c>
      <c r="G22">
        <v>10275</v>
      </c>
      <c r="H22">
        <v>432</v>
      </c>
      <c r="I22">
        <v>763</v>
      </c>
      <c r="J22">
        <v>420</v>
      </c>
      <c r="K22">
        <v>750</v>
      </c>
      <c r="L22">
        <v>77</v>
      </c>
      <c r="M22">
        <v>821</v>
      </c>
      <c r="N22">
        <v>1147</v>
      </c>
      <c r="O22">
        <v>854</v>
      </c>
      <c r="P22">
        <v>1688</v>
      </c>
      <c r="Q22">
        <v>1928</v>
      </c>
      <c r="R22">
        <v>609</v>
      </c>
      <c r="S22">
        <v>1480</v>
      </c>
    </row>
    <row r="23" spans="1:19" x14ac:dyDescent="0.4">
      <c r="A23" s="1" t="s">
        <v>34</v>
      </c>
      <c r="B23" s="1" t="s">
        <v>35</v>
      </c>
      <c r="C23">
        <v>9921</v>
      </c>
      <c r="D23">
        <v>3733</v>
      </c>
      <c r="E23">
        <v>9177</v>
      </c>
      <c r="F23">
        <v>4515</v>
      </c>
      <c r="G23">
        <v>11020</v>
      </c>
      <c r="H23">
        <v>435</v>
      </c>
      <c r="I23">
        <v>896</v>
      </c>
      <c r="J23">
        <v>464</v>
      </c>
      <c r="K23">
        <v>920</v>
      </c>
      <c r="L23">
        <v>48</v>
      </c>
      <c r="M23">
        <v>862</v>
      </c>
      <c r="N23">
        <v>1270</v>
      </c>
      <c r="O23">
        <v>1039</v>
      </c>
      <c r="P23">
        <v>1325</v>
      </c>
      <c r="Q23">
        <v>1751</v>
      </c>
      <c r="R23">
        <v>601</v>
      </c>
      <c r="S23">
        <v>1349</v>
      </c>
    </row>
    <row r="24" spans="1:19" x14ac:dyDescent="0.4">
      <c r="A24" s="1" t="s">
        <v>36</v>
      </c>
      <c r="B24" s="1" t="s">
        <v>37</v>
      </c>
      <c r="C24">
        <v>9399</v>
      </c>
      <c r="D24">
        <v>3698</v>
      </c>
      <c r="E24">
        <v>6801</v>
      </c>
      <c r="F24">
        <v>3471</v>
      </c>
      <c r="G24">
        <v>13620</v>
      </c>
      <c r="H24">
        <v>436</v>
      </c>
      <c r="I24">
        <v>915</v>
      </c>
      <c r="J24">
        <v>434</v>
      </c>
      <c r="K24">
        <v>924</v>
      </c>
      <c r="L24">
        <v>50</v>
      </c>
      <c r="M24">
        <v>1947</v>
      </c>
      <c r="N24">
        <v>1253</v>
      </c>
      <c r="O24">
        <v>1810</v>
      </c>
      <c r="P24">
        <v>1276</v>
      </c>
      <c r="Q24">
        <v>1888</v>
      </c>
      <c r="R24">
        <v>372</v>
      </c>
      <c r="S24">
        <v>637</v>
      </c>
    </row>
    <row r="25" spans="1:19" x14ac:dyDescent="0.4">
      <c r="A25" s="1" t="s">
        <v>38</v>
      </c>
      <c r="B25" s="1" t="s">
        <v>39</v>
      </c>
      <c r="C25">
        <v>10056</v>
      </c>
      <c r="D25">
        <v>4127</v>
      </c>
      <c r="E25">
        <v>9199</v>
      </c>
      <c r="F25">
        <v>4517</v>
      </c>
      <c r="G25">
        <v>14479</v>
      </c>
      <c r="H25">
        <v>528</v>
      </c>
      <c r="I25">
        <v>1366</v>
      </c>
      <c r="J25">
        <v>550</v>
      </c>
      <c r="K25">
        <v>1390</v>
      </c>
      <c r="L25">
        <v>28</v>
      </c>
      <c r="M25">
        <v>2051</v>
      </c>
      <c r="N25">
        <v>1239</v>
      </c>
      <c r="O25">
        <v>1993</v>
      </c>
      <c r="P25">
        <v>1320</v>
      </c>
      <c r="Q25">
        <v>1946</v>
      </c>
      <c r="R25">
        <v>527</v>
      </c>
      <c r="S25">
        <v>837</v>
      </c>
    </row>
    <row r="26" spans="1:19" x14ac:dyDescent="0.4">
      <c r="A26" s="1" t="s">
        <v>40</v>
      </c>
      <c r="B26" s="1" t="s">
        <v>41</v>
      </c>
      <c r="C26">
        <v>11621</v>
      </c>
      <c r="D26">
        <v>4920</v>
      </c>
      <c r="E26">
        <v>12288</v>
      </c>
      <c r="F26">
        <v>6479</v>
      </c>
      <c r="G26">
        <v>13814</v>
      </c>
      <c r="H26">
        <v>492</v>
      </c>
      <c r="I26">
        <v>1073</v>
      </c>
      <c r="J26">
        <v>409</v>
      </c>
      <c r="K26">
        <v>1011</v>
      </c>
      <c r="L26">
        <v>111</v>
      </c>
      <c r="M26">
        <v>2081</v>
      </c>
      <c r="N26">
        <v>1425</v>
      </c>
      <c r="O26">
        <v>2450</v>
      </c>
      <c r="P26">
        <v>1728</v>
      </c>
      <c r="Q26">
        <v>1577</v>
      </c>
      <c r="R26">
        <v>543</v>
      </c>
      <c r="S26">
        <v>871</v>
      </c>
    </row>
    <row r="27" spans="1:19" x14ac:dyDescent="0.4">
      <c r="A27" s="1" t="s">
        <v>42</v>
      </c>
      <c r="B27" s="1" t="s">
        <v>43</v>
      </c>
      <c r="C27">
        <v>10734</v>
      </c>
      <c r="D27">
        <v>3627</v>
      </c>
      <c r="E27">
        <v>10838</v>
      </c>
      <c r="F27">
        <v>4509</v>
      </c>
      <c r="G27">
        <v>13712</v>
      </c>
      <c r="H27">
        <v>89</v>
      </c>
      <c r="I27">
        <v>91</v>
      </c>
      <c r="J27">
        <v>89</v>
      </c>
      <c r="K27">
        <v>89</v>
      </c>
      <c r="L27">
        <v>111</v>
      </c>
      <c r="M27">
        <v>2029</v>
      </c>
      <c r="N27">
        <v>1346</v>
      </c>
      <c r="O27">
        <v>1729</v>
      </c>
      <c r="P27">
        <v>921</v>
      </c>
      <c r="Q27">
        <v>1877</v>
      </c>
      <c r="R27">
        <v>569</v>
      </c>
      <c r="S27">
        <v>892</v>
      </c>
    </row>
    <row r="28" spans="1:19" x14ac:dyDescent="0.4">
      <c r="A28" s="1" t="s">
        <v>44</v>
      </c>
      <c r="B28" s="1" t="s">
        <v>45</v>
      </c>
      <c r="C28">
        <v>13219</v>
      </c>
      <c r="D28">
        <v>4848</v>
      </c>
      <c r="E28">
        <v>9527</v>
      </c>
      <c r="F28">
        <v>4307</v>
      </c>
      <c r="G28">
        <v>17406</v>
      </c>
      <c r="H28">
        <v>101</v>
      </c>
      <c r="I28">
        <v>184</v>
      </c>
      <c r="J28">
        <v>90</v>
      </c>
      <c r="K28">
        <v>168</v>
      </c>
      <c r="L28">
        <v>122</v>
      </c>
      <c r="M28">
        <v>1849</v>
      </c>
      <c r="N28">
        <v>1214</v>
      </c>
      <c r="O28">
        <v>1597</v>
      </c>
      <c r="P28">
        <v>880</v>
      </c>
      <c r="Q28">
        <v>2129</v>
      </c>
      <c r="R28">
        <v>561</v>
      </c>
      <c r="S28">
        <v>765</v>
      </c>
    </row>
    <row r="29" spans="1:19" x14ac:dyDescent="0.4">
      <c r="A29" s="1" t="s">
        <v>46</v>
      </c>
      <c r="B29" s="1" t="s">
        <v>47</v>
      </c>
      <c r="C29">
        <v>14959</v>
      </c>
      <c r="D29">
        <v>5460</v>
      </c>
      <c r="E29">
        <v>15490</v>
      </c>
      <c r="F29">
        <v>6639</v>
      </c>
      <c r="G29">
        <v>16876</v>
      </c>
      <c r="H29">
        <v>250</v>
      </c>
      <c r="I29">
        <v>376</v>
      </c>
      <c r="J29">
        <v>171</v>
      </c>
      <c r="K29">
        <v>308</v>
      </c>
      <c r="L29">
        <v>201</v>
      </c>
      <c r="M29">
        <v>1889</v>
      </c>
      <c r="N29">
        <v>1306</v>
      </c>
      <c r="O29">
        <v>2152</v>
      </c>
      <c r="P29">
        <v>1342</v>
      </c>
      <c r="Q29">
        <v>1866</v>
      </c>
      <c r="R29">
        <v>606</v>
      </c>
      <c r="S29">
        <v>1203</v>
      </c>
    </row>
    <row r="30" spans="1:19" x14ac:dyDescent="0.4">
      <c r="A30" s="1" t="s">
        <v>48</v>
      </c>
      <c r="B30" s="1" t="s">
        <v>49</v>
      </c>
      <c r="C30">
        <v>14574</v>
      </c>
      <c r="D30">
        <v>5597</v>
      </c>
      <c r="E30">
        <v>13567</v>
      </c>
      <c r="F30">
        <v>6085</v>
      </c>
      <c r="G30">
        <v>17884</v>
      </c>
      <c r="H30">
        <v>251</v>
      </c>
      <c r="I30">
        <v>465</v>
      </c>
      <c r="J30">
        <v>276</v>
      </c>
      <c r="K30">
        <v>492</v>
      </c>
      <c r="L30">
        <v>176</v>
      </c>
      <c r="M30">
        <v>2324</v>
      </c>
      <c r="N30">
        <v>1371</v>
      </c>
      <c r="O30">
        <v>2576</v>
      </c>
      <c r="P30">
        <v>1422</v>
      </c>
      <c r="Q30">
        <v>1838</v>
      </c>
      <c r="R30">
        <v>694</v>
      </c>
      <c r="S30">
        <v>1310</v>
      </c>
    </row>
    <row r="31" spans="1:19" x14ac:dyDescent="0.4">
      <c r="A31" s="1" t="s">
        <v>50</v>
      </c>
      <c r="B31" s="1" t="s">
        <v>51</v>
      </c>
      <c r="C31">
        <v>10824</v>
      </c>
      <c r="D31">
        <v>3910</v>
      </c>
      <c r="E31">
        <v>11812</v>
      </c>
      <c r="F31">
        <v>4846</v>
      </c>
      <c r="G31">
        <v>16898</v>
      </c>
      <c r="H31">
        <v>215</v>
      </c>
      <c r="I31">
        <v>507</v>
      </c>
      <c r="J31">
        <v>222</v>
      </c>
      <c r="K31">
        <v>513</v>
      </c>
      <c r="L31">
        <v>169</v>
      </c>
      <c r="M31">
        <v>1872</v>
      </c>
      <c r="N31">
        <v>1150</v>
      </c>
      <c r="O31">
        <v>2049</v>
      </c>
      <c r="P31">
        <v>1147</v>
      </c>
      <c r="Q31">
        <v>1885</v>
      </c>
      <c r="R31">
        <v>523</v>
      </c>
      <c r="S31">
        <v>1433</v>
      </c>
    </row>
    <row r="32" spans="1:19" x14ac:dyDescent="0.4">
      <c r="A32" s="1" t="s">
        <v>52</v>
      </c>
      <c r="B32" s="1" t="s">
        <v>53</v>
      </c>
      <c r="C32">
        <v>11690</v>
      </c>
      <c r="D32">
        <v>4269</v>
      </c>
      <c r="E32">
        <v>13746</v>
      </c>
      <c r="F32">
        <v>5966</v>
      </c>
      <c r="G32">
        <v>14844</v>
      </c>
      <c r="H32">
        <v>420</v>
      </c>
      <c r="I32">
        <v>988</v>
      </c>
      <c r="J32">
        <v>432</v>
      </c>
      <c r="K32">
        <v>981</v>
      </c>
      <c r="L32">
        <v>157</v>
      </c>
      <c r="M32">
        <v>2430</v>
      </c>
      <c r="N32">
        <v>1575</v>
      </c>
      <c r="O32">
        <v>2623</v>
      </c>
      <c r="P32">
        <v>1456</v>
      </c>
      <c r="Q32">
        <v>1916</v>
      </c>
      <c r="R32">
        <v>581</v>
      </c>
      <c r="S32">
        <v>1694</v>
      </c>
    </row>
    <row r="33" spans="1:19" x14ac:dyDescent="0.4">
      <c r="A33" s="1" t="s">
        <v>54</v>
      </c>
      <c r="B33" s="1" t="s">
        <v>55</v>
      </c>
      <c r="C33">
        <v>13401</v>
      </c>
      <c r="D33">
        <v>4818</v>
      </c>
      <c r="E33">
        <v>13121</v>
      </c>
      <c r="F33">
        <v>5658</v>
      </c>
      <c r="G33">
        <v>15126</v>
      </c>
      <c r="H33">
        <v>477</v>
      </c>
      <c r="I33">
        <v>1258</v>
      </c>
      <c r="J33">
        <v>485</v>
      </c>
      <c r="K33">
        <v>1265</v>
      </c>
      <c r="L33">
        <v>149</v>
      </c>
      <c r="M33">
        <v>2446</v>
      </c>
      <c r="N33">
        <v>1318</v>
      </c>
      <c r="O33">
        <v>2672</v>
      </c>
      <c r="P33">
        <v>1361</v>
      </c>
      <c r="Q33">
        <v>1914</v>
      </c>
      <c r="R33">
        <v>756</v>
      </c>
      <c r="S33">
        <v>1970</v>
      </c>
    </row>
    <row r="34" spans="1:19" x14ac:dyDescent="0.4">
      <c r="A34" s="1" t="s">
        <v>56</v>
      </c>
      <c r="B34" s="1" t="s">
        <v>57</v>
      </c>
      <c r="C34">
        <v>11054</v>
      </c>
      <c r="D34">
        <v>3953</v>
      </c>
      <c r="E34">
        <v>11826</v>
      </c>
      <c r="F34">
        <v>5061</v>
      </c>
      <c r="G34">
        <v>14356</v>
      </c>
      <c r="H34">
        <v>329</v>
      </c>
      <c r="I34">
        <v>1089</v>
      </c>
      <c r="J34">
        <v>381</v>
      </c>
      <c r="K34">
        <v>1137</v>
      </c>
      <c r="L34">
        <v>97</v>
      </c>
      <c r="M34">
        <v>2276</v>
      </c>
      <c r="N34">
        <v>1483</v>
      </c>
      <c r="O34">
        <v>2471</v>
      </c>
      <c r="P34">
        <v>1697</v>
      </c>
      <c r="Q34">
        <v>1943</v>
      </c>
      <c r="R34">
        <v>722</v>
      </c>
      <c r="S34">
        <v>1849</v>
      </c>
    </row>
    <row r="35" spans="1:19" x14ac:dyDescent="0.4">
      <c r="A35" s="1" t="s">
        <v>58</v>
      </c>
      <c r="B35" s="1" t="s">
        <v>59</v>
      </c>
      <c r="C35">
        <v>12487</v>
      </c>
      <c r="D35">
        <v>4524</v>
      </c>
      <c r="E35">
        <v>12639</v>
      </c>
      <c r="F35">
        <v>5588</v>
      </c>
      <c r="G35">
        <v>14206</v>
      </c>
      <c r="H35">
        <v>454</v>
      </c>
      <c r="I35">
        <v>1561</v>
      </c>
      <c r="J35">
        <v>480</v>
      </c>
      <c r="K35">
        <v>1588</v>
      </c>
      <c r="L35">
        <v>71</v>
      </c>
      <c r="M35">
        <v>2295</v>
      </c>
      <c r="N35">
        <v>1255</v>
      </c>
      <c r="O35">
        <v>2516</v>
      </c>
      <c r="P35">
        <v>1508</v>
      </c>
      <c r="Q35">
        <v>1946</v>
      </c>
      <c r="R35">
        <v>678</v>
      </c>
      <c r="S35">
        <v>1819</v>
      </c>
    </row>
    <row r="36" spans="1:19" x14ac:dyDescent="0.4">
      <c r="A36" s="1" t="s">
        <v>60</v>
      </c>
      <c r="B36" s="1" t="s">
        <v>61</v>
      </c>
      <c r="C36">
        <v>13098</v>
      </c>
      <c r="D36">
        <v>4676</v>
      </c>
      <c r="E36">
        <v>11290</v>
      </c>
      <c r="F36">
        <v>4731</v>
      </c>
      <c r="G36">
        <v>16016</v>
      </c>
      <c r="H36">
        <v>539</v>
      </c>
      <c r="I36">
        <v>1652</v>
      </c>
      <c r="J36">
        <v>556</v>
      </c>
      <c r="K36">
        <v>1666</v>
      </c>
      <c r="L36">
        <v>54</v>
      </c>
      <c r="M36">
        <v>2442</v>
      </c>
      <c r="N36">
        <v>1425</v>
      </c>
      <c r="O36">
        <v>2683</v>
      </c>
      <c r="P36">
        <v>1740</v>
      </c>
      <c r="Q36">
        <v>1929</v>
      </c>
      <c r="R36">
        <v>482</v>
      </c>
      <c r="S36">
        <v>979</v>
      </c>
    </row>
    <row r="37" spans="1:19" x14ac:dyDescent="0.4">
      <c r="A37" s="1" t="s">
        <v>62</v>
      </c>
      <c r="B37" s="1" t="s">
        <v>63</v>
      </c>
      <c r="C37">
        <v>13832</v>
      </c>
      <c r="D37">
        <v>4958</v>
      </c>
      <c r="E37">
        <v>12212</v>
      </c>
      <c r="F37">
        <v>5181</v>
      </c>
      <c r="G37">
        <v>17638</v>
      </c>
      <c r="H37">
        <v>584</v>
      </c>
      <c r="I37">
        <v>1746</v>
      </c>
      <c r="J37">
        <v>578</v>
      </c>
      <c r="K37">
        <v>1738</v>
      </c>
      <c r="L37">
        <v>60</v>
      </c>
      <c r="M37">
        <v>2554</v>
      </c>
      <c r="N37">
        <v>1466</v>
      </c>
      <c r="O37">
        <v>2796</v>
      </c>
      <c r="P37">
        <v>2122</v>
      </c>
      <c r="Q37">
        <v>1911</v>
      </c>
      <c r="R37">
        <v>538</v>
      </c>
      <c r="S37">
        <v>986</v>
      </c>
    </row>
    <row r="38" spans="1:19" x14ac:dyDescent="0.4">
      <c r="A38" s="1" t="s">
        <v>64</v>
      </c>
      <c r="B38" s="1" t="s">
        <v>65</v>
      </c>
      <c r="C38">
        <v>15363</v>
      </c>
      <c r="D38">
        <v>5826</v>
      </c>
      <c r="E38">
        <v>17169</v>
      </c>
      <c r="F38">
        <v>7426</v>
      </c>
      <c r="G38">
        <v>15834</v>
      </c>
      <c r="H38">
        <v>415</v>
      </c>
      <c r="I38">
        <v>1440</v>
      </c>
      <c r="J38">
        <v>380</v>
      </c>
      <c r="K38">
        <v>1406</v>
      </c>
      <c r="L38">
        <v>95</v>
      </c>
      <c r="M38">
        <v>2760</v>
      </c>
      <c r="N38">
        <v>1571</v>
      </c>
      <c r="O38">
        <v>2975</v>
      </c>
      <c r="P38">
        <v>1835</v>
      </c>
      <c r="Q38">
        <v>1920</v>
      </c>
      <c r="R38">
        <v>511</v>
      </c>
      <c r="S38">
        <v>986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DA46E-E248-49E5-9CE9-4FF98029838E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742</v>
      </c>
      <c r="D3" t="s">
        <v>742</v>
      </c>
      <c r="E3" t="s">
        <v>742</v>
      </c>
      <c r="F3" t="s">
        <v>742</v>
      </c>
      <c r="G3" t="s">
        <v>742</v>
      </c>
      <c r="H3" t="s">
        <v>742</v>
      </c>
      <c r="I3" t="s">
        <v>746</v>
      </c>
      <c r="J3" t="s">
        <v>746</v>
      </c>
      <c r="K3" t="s">
        <v>746</v>
      </c>
      <c r="L3" t="s">
        <v>746</v>
      </c>
      <c r="M3" t="s">
        <v>746</v>
      </c>
      <c r="N3" t="s">
        <v>746</v>
      </c>
      <c r="O3" t="s">
        <v>748</v>
      </c>
      <c r="P3" t="s">
        <v>748</v>
      </c>
      <c r="Q3" t="s">
        <v>748</v>
      </c>
      <c r="R3" t="s">
        <v>748</v>
      </c>
      <c r="S3" t="s">
        <v>748</v>
      </c>
      <c r="T3" t="s">
        <v>748</v>
      </c>
      <c r="U3" t="s">
        <v>750</v>
      </c>
      <c r="V3" t="s">
        <v>750</v>
      </c>
      <c r="W3" t="s">
        <v>750</v>
      </c>
      <c r="X3" t="s">
        <v>750</v>
      </c>
      <c r="Y3" t="s">
        <v>750</v>
      </c>
      <c r="Z3" t="s">
        <v>750</v>
      </c>
      <c r="AA3" t="s">
        <v>752</v>
      </c>
      <c r="AB3" t="s">
        <v>752</v>
      </c>
      <c r="AC3" t="s">
        <v>752</v>
      </c>
      <c r="AD3" t="s">
        <v>752</v>
      </c>
      <c r="AE3" t="s">
        <v>752</v>
      </c>
      <c r="AF3" t="s">
        <v>752</v>
      </c>
      <c r="AG3" t="s">
        <v>754</v>
      </c>
      <c r="AH3" t="s">
        <v>754</v>
      </c>
      <c r="AI3" t="s">
        <v>754</v>
      </c>
      <c r="AJ3" t="s">
        <v>754</v>
      </c>
      <c r="AK3" t="s">
        <v>754</v>
      </c>
      <c r="AL3" t="s">
        <v>754</v>
      </c>
      <c r="AM3" t="s">
        <v>756</v>
      </c>
      <c r="AN3" t="s">
        <v>756</v>
      </c>
      <c r="AO3" t="s">
        <v>756</v>
      </c>
      <c r="AP3" t="s">
        <v>756</v>
      </c>
      <c r="AQ3" t="s">
        <v>756</v>
      </c>
      <c r="AR3" t="s">
        <v>756</v>
      </c>
      <c r="AS3" t="s">
        <v>758</v>
      </c>
      <c r="AT3" t="s">
        <v>758</v>
      </c>
      <c r="AU3" t="s">
        <v>758</v>
      </c>
      <c r="AV3" t="s">
        <v>758</v>
      </c>
      <c r="AW3" t="s">
        <v>758</v>
      </c>
      <c r="AX3" t="s">
        <v>758</v>
      </c>
      <c r="AY3" t="s">
        <v>760</v>
      </c>
      <c r="AZ3" t="s">
        <v>760</v>
      </c>
      <c r="BA3" t="s">
        <v>762</v>
      </c>
      <c r="BB3" t="s">
        <v>762</v>
      </c>
    </row>
    <row r="4" spans="1:54" x14ac:dyDescent="0.4">
      <c r="A4" s="1"/>
      <c r="B4" s="2" t="s">
        <v>1</v>
      </c>
      <c r="C4" t="s">
        <v>744</v>
      </c>
      <c r="D4" t="s">
        <v>744</v>
      </c>
      <c r="E4" t="s">
        <v>744</v>
      </c>
      <c r="F4" t="s">
        <v>744</v>
      </c>
      <c r="G4" t="s">
        <v>744</v>
      </c>
      <c r="H4" t="s">
        <v>744</v>
      </c>
      <c r="I4" t="s">
        <v>747</v>
      </c>
      <c r="J4" t="s">
        <v>747</v>
      </c>
      <c r="K4" t="s">
        <v>747</v>
      </c>
      <c r="L4" t="s">
        <v>747</v>
      </c>
      <c r="M4" t="s">
        <v>747</v>
      </c>
      <c r="N4" t="s">
        <v>747</v>
      </c>
      <c r="O4" t="s">
        <v>749</v>
      </c>
      <c r="P4" t="s">
        <v>749</v>
      </c>
      <c r="Q4" t="s">
        <v>749</v>
      </c>
      <c r="R4" t="s">
        <v>749</v>
      </c>
      <c r="S4" t="s">
        <v>749</v>
      </c>
      <c r="T4" t="s">
        <v>749</v>
      </c>
      <c r="U4" t="s">
        <v>751</v>
      </c>
      <c r="V4" t="s">
        <v>751</v>
      </c>
      <c r="W4" t="s">
        <v>751</v>
      </c>
      <c r="X4" t="s">
        <v>751</v>
      </c>
      <c r="Y4" t="s">
        <v>751</v>
      </c>
      <c r="Z4" t="s">
        <v>751</v>
      </c>
      <c r="AA4" t="s">
        <v>753</v>
      </c>
      <c r="AB4" t="s">
        <v>753</v>
      </c>
      <c r="AC4" t="s">
        <v>753</v>
      </c>
      <c r="AD4" t="s">
        <v>753</v>
      </c>
      <c r="AE4" t="s">
        <v>753</v>
      </c>
      <c r="AF4" t="s">
        <v>753</v>
      </c>
      <c r="AG4" t="s">
        <v>755</v>
      </c>
      <c r="AH4" t="s">
        <v>755</v>
      </c>
      <c r="AI4" t="s">
        <v>755</v>
      </c>
      <c r="AJ4" t="s">
        <v>755</v>
      </c>
      <c r="AK4" t="s">
        <v>755</v>
      </c>
      <c r="AL4" t="s">
        <v>755</v>
      </c>
      <c r="AM4" t="s">
        <v>757</v>
      </c>
      <c r="AN4" t="s">
        <v>757</v>
      </c>
      <c r="AO4" t="s">
        <v>757</v>
      </c>
      <c r="AP4" t="s">
        <v>757</v>
      </c>
      <c r="AQ4" t="s">
        <v>757</v>
      </c>
      <c r="AR4" t="s">
        <v>757</v>
      </c>
      <c r="AS4" t="s">
        <v>759</v>
      </c>
      <c r="AT4" t="s">
        <v>759</v>
      </c>
      <c r="AU4" t="s">
        <v>759</v>
      </c>
      <c r="AV4" t="s">
        <v>759</v>
      </c>
      <c r="AW4" t="s">
        <v>759</v>
      </c>
      <c r="AX4" t="s">
        <v>759</v>
      </c>
      <c r="AY4" t="s">
        <v>761</v>
      </c>
      <c r="AZ4" t="s">
        <v>761</v>
      </c>
      <c r="BA4" t="s">
        <v>763</v>
      </c>
      <c r="BB4" t="s">
        <v>763</v>
      </c>
    </row>
    <row r="5" spans="1:5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  <c r="AA5" t="s">
        <v>69</v>
      </c>
      <c r="AB5" t="s">
        <v>338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338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338</v>
      </c>
      <c r="AU5" t="s">
        <v>257</v>
      </c>
      <c r="AV5" t="s">
        <v>74</v>
      </c>
      <c r="AW5" t="s">
        <v>263</v>
      </c>
      <c r="AX5" t="s">
        <v>76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  <c r="AA6" t="s">
        <v>72</v>
      </c>
      <c r="AB6" t="s">
        <v>340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340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340</v>
      </c>
      <c r="AU6" t="s">
        <v>259</v>
      </c>
      <c r="AV6" t="s">
        <v>75</v>
      </c>
      <c r="AW6" t="s">
        <v>264</v>
      </c>
      <c r="AX6" t="s">
        <v>77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743</v>
      </c>
      <c r="D7" t="s">
        <v>70</v>
      </c>
      <c r="E7" t="s">
        <v>258</v>
      </c>
      <c r="F7" t="s">
        <v>743</v>
      </c>
      <c r="G7" t="s">
        <v>258</v>
      </c>
      <c r="H7" t="s">
        <v>743</v>
      </c>
      <c r="I7" t="s">
        <v>743</v>
      </c>
      <c r="J7" t="s">
        <v>70</v>
      </c>
      <c r="K7" t="s">
        <v>258</v>
      </c>
      <c r="L7" t="s">
        <v>743</v>
      </c>
      <c r="M7" t="s">
        <v>258</v>
      </c>
      <c r="N7" t="s">
        <v>743</v>
      </c>
      <c r="O7" t="s">
        <v>743</v>
      </c>
      <c r="P7" t="s">
        <v>70</v>
      </c>
      <c r="Q7" t="s">
        <v>258</v>
      </c>
      <c r="R7" t="s">
        <v>743</v>
      </c>
      <c r="S7" t="s">
        <v>258</v>
      </c>
      <c r="T7" t="s">
        <v>743</v>
      </c>
      <c r="U7" t="s">
        <v>743</v>
      </c>
      <c r="V7" t="s">
        <v>70</v>
      </c>
      <c r="W7" t="s">
        <v>258</v>
      </c>
      <c r="X7" t="s">
        <v>743</v>
      </c>
      <c r="Y7" t="s">
        <v>258</v>
      </c>
      <c r="Z7" t="s">
        <v>743</v>
      </c>
      <c r="AA7" t="s">
        <v>743</v>
      </c>
      <c r="AB7" t="s">
        <v>70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70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70</v>
      </c>
      <c r="AO7" t="s">
        <v>258</v>
      </c>
      <c r="AP7" t="s">
        <v>743</v>
      </c>
      <c r="AQ7" t="s">
        <v>258</v>
      </c>
      <c r="AR7" t="s">
        <v>743</v>
      </c>
      <c r="AS7" t="s">
        <v>743</v>
      </c>
      <c r="AT7" t="s">
        <v>70</v>
      </c>
      <c r="AU7" t="s">
        <v>258</v>
      </c>
      <c r="AV7" t="s">
        <v>743</v>
      </c>
      <c r="AW7" t="s">
        <v>258</v>
      </c>
      <c r="AX7" t="s">
        <v>743</v>
      </c>
      <c r="AY7" t="s">
        <v>743</v>
      </c>
      <c r="AZ7" t="s">
        <v>258</v>
      </c>
      <c r="BA7" t="s">
        <v>743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745</v>
      </c>
      <c r="D8" t="s">
        <v>70</v>
      </c>
      <c r="E8" t="s">
        <v>260</v>
      </c>
      <c r="F8" t="s">
        <v>745</v>
      </c>
      <c r="G8" t="s">
        <v>260</v>
      </c>
      <c r="H8" t="s">
        <v>745</v>
      </c>
      <c r="I8" t="s">
        <v>745</v>
      </c>
      <c r="J8" t="s">
        <v>70</v>
      </c>
      <c r="K8" t="s">
        <v>260</v>
      </c>
      <c r="L8" t="s">
        <v>745</v>
      </c>
      <c r="M8" t="s">
        <v>260</v>
      </c>
      <c r="N8" t="s">
        <v>745</v>
      </c>
      <c r="O8" t="s">
        <v>745</v>
      </c>
      <c r="P8" t="s">
        <v>70</v>
      </c>
      <c r="Q8" t="s">
        <v>260</v>
      </c>
      <c r="R8" t="s">
        <v>745</v>
      </c>
      <c r="S8" t="s">
        <v>260</v>
      </c>
      <c r="T8" t="s">
        <v>745</v>
      </c>
      <c r="U8" t="s">
        <v>745</v>
      </c>
      <c r="V8" t="s">
        <v>70</v>
      </c>
      <c r="W8" t="s">
        <v>260</v>
      </c>
      <c r="X8" t="s">
        <v>745</v>
      </c>
      <c r="Y8" t="s">
        <v>260</v>
      </c>
      <c r="Z8" t="s">
        <v>745</v>
      </c>
      <c r="AA8" t="s">
        <v>745</v>
      </c>
      <c r="AB8" t="s">
        <v>70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70</v>
      </c>
      <c r="AO8" t="s">
        <v>260</v>
      </c>
      <c r="AP8" t="s">
        <v>745</v>
      </c>
      <c r="AQ8" t="s">
        <v>260</v>
      </c>
      <c r="AR8" t="s">
        <v>745</v>
      </c>
      <c r="AS8" t="s">
        <v>745</v>
      </c>
      <c r="AT8" t="s">
        <v>70</v>
      </c>
      <c r="AU8" t="s">
        <v>260</v>
      </c>
      <c r="AV8" t="s">
        <v>745</v>
      </c>
      <c r="AW8" t="s">
        <v>260</v>
      </c>
      <c r="AX8" t="s">
        <v>745</v>
      </c>
      <c r="AY8" t="s">
        <v>745</v>
      </c>
      <c r="AZ8" t="s">
        <v>260</v>
      </c>
      <c r="BA8" t="s">
        <v>745</v>
      </c>
      <c r="BB8" t="s">
        <v>260</v>
      </c>
    </row>
    <row r="9" spans="1:54" x14ac:dyDescent="0.4">
      <c r="A9" s="1" t="s">
        <v>6</v>
      </c>
      <c r="B9" s="3" t="s">
        <v>7</v>
      </c>
      <c r="C9">
        <v>1290689</v>
      </c>
      <c r="D9">
        <v>295088</v>
      </c>
      <c r="E9">
        <v>340241</v>
      </c>
      <c r="F9">
        <v>1459017</v>
      </c>
      <c r="G9">
        <v>374071</v>
      </c>
      <c r="H9">
        <v>118570</v>
      </c>
      <c r="I9">
        <v>63992</v>
      </c>
      <c r="J9">
        <v>11912</v>
      </c>
      <c r="K9">
        <v>23597</v>
      </c>
      <c r="L9">
        <v>66113</v>
      </c>
      <c r="M9">
        <v>28618</v>
      </c>
      <c r="N9">
        <v>3101</v>
      </c>
      <c r="O9">
        <v>50008</v>
      </c>
      <c r="P9">
        <v>26360</v>
      </c>
      <c r="Q9">
        <v>54116</v>
      </c>
      <c r="R9">
        <v>47509</v>
      </c>
      <c r="S9">
        <v>55547</v>
      </c>
      <c r="T9">
        <v>8642</v>
      </c>
      <c r="U9">
        <v>211318</v>
      </c>
      <c r="V9">
        <v>131238</v>
      </c>
      <c r="W9">
        <v>144680</v>
      </c>
      <c r="X9">
        <v>223312</v>
      </c>
      <c r="Y9">
        <v>159636</v>
      </c>
      <c r="Z9">
        <v>13562</v>
      </c>
      <c r="AA9">
        <v>3312</v>
      </c>
      <c r="AB9">
        <v>25844</v>
      </c>
      <c r="AC9">
        <v>29571</v>
      </c>
      <c r="AD9">
        <v>4328</v>
      </c>
      <c r="AE9">
        <v>41730</v>
      </c>
      <c r="AF9">
        <v>465</v>
      </c>
      <c r="AG9">
        <v>1182544</v>
      </c>
      <c r="AH9">
        <v>30710</v>
      </c>
      <c r="AI9">
        <v>102242</v>
      </c>
      <c r="AJ9">
        <v>1109209</v>
      </c>
      <c r="AK9">
        <v>111519</v>
      </c>
      <c r="AL9">
        <v>80927</v>
      </c>
      <c r="AM9">
        <v>25669</v>
      </c>
      <c r="AN9">
        <v>2211</v>
      </c>
      <c r="AO9">
        <v>2830</v>
      </c>
      <c r="AP9">
        <v>8825</v>
      </c>
      <c r="AQ9">
        <v>1997</v>
      </c>
      <c r="AR9">
        <v>980</v>
      </c>
      <c r="AS9">
        <v>13751</v>
      </c>
      <c r="AT9">
        <v>17346</v>
      </c>
      <c r="AU9">
        <v>17062</v>
      </c>
      <c r="AV9">
        <v>20074</v>
      </c>
      <c r="AW9">
        <v>25840</v>
      </c>
      <c r="AX9">
        <v>4495</v>
      </c>
      <c r="AY9">
        <v>480292</v>
      </c>
      <c r="AZ9">
        <v>47973</v>
      </c>
      <c r="BA9">
        <v>992456</v>
      </c>
      <c r="BB9">
        <v>36078</v>
      </c>
    </row>
    <row r="10" spans="1:54" x14ac:dyDescent="0.4">
      <c r="A10" s="1" t="s">
        <v>8</v>
      </c>
      <c r="B10" s="3" t="s">
        <v>9</v>
      </c>
      <c r="C10">
        <v>1241165</v>
      </c>
      <c r="D10">
        <v>292875</v>
      </c>
      <c r="E10">
        <v>345774</v>
      </c>
      <c r="F10">
        <v>1432607</v>
      </c>
      <c r="G10">
        <v>409764</v>
      </c>
      <c r="H10">
        <v>130676</v>
      </c>
      <c r="I10">
        <v>62151</v>
      </c>
      <c r="J10">
        <v>10645</v>
      </c>
      <c r="K10">
        <v>23069</v>
      </c>
      <c r="L10">
        <v>64291</v>
      </c>
      <c r="M10">
        <v>29014</v>
      </c>
      <c r="N10">
        <v>2891</v>
      </c>
      <c r="O10">
        <v>35796</v>
      </c>
      <c r="P10">
        <v>26389</v>
      </c>
      <c r="Q10">
        <v>54161</v>
      </c>
      <c r="R10">
        <v>36980</v>
      </c>
      <c r="S10">
        <v>59986</v>
      </c>
      <c r="T10">
        <v>7793</v>
      </c>
      <c r="U10">
        <v>198435</v>
      </c>
      <c r="V10">
        <v>124592</v>
      </c>
      <c r="W10">
        <v>143515</v>
      </c>
      <c r="X10">
        <v>209146</v>
      </c>
      <c r="Y10">
        <v>165600</v>
      </c>
      <c r="Z10">
        <v>12306</v>
      </c>
      <c r="AA10">
        <v>3455</v>
      </c>
      <c r="AB10">
        <v>26724</v>
      </c>
      <c r="AC10">
        <v>30129</v>
      </c>
      <c r="AD10">
        <v>4586</v>
      </c>
      <c r="AE10">
        <v>44678</v>
      </c>
      <c r="AF10">
        <v>448</v>
      </c>
      <c r="AG10">
        <v>1073993</v>
      </c>
      <c r="AH10">
        <v>29914</v>
      </c>
      <c r="AI10">
        <v>97425</v>
      </c>
      <c r="AJ10">
        <v>1030277</v>
      </c>
      <c r="AK10">
        <v>108423</v>
      </c>
      <c r="AL10">
        <v>65522</v>
      </c>
      <c r="AM10">
        <v>22499</v>
      </c>
      <c r="AN10">
        <v>2047</v>
      </c>
      <c r="AO10">
        <v>2664</v>
      </c>
      <c r="AP10">
        <v>8001</v>
      </c>
      <c r="AQ10">
        <v>2027</v>
      </c>
      <c r="AR10">
        <v>687</v>
      </c>
      <c r="AS10">
        <v>13118</v>
      </c>
      <c r="AT10">
        <v>16573</v>
      </c>
      <c r="AU10">
        <v>18389</v>
      </c>
      <c r="AV10">
        <v>19796</v>
      </c>
      <c r="AW10">
        <v>28198</v>
      </c>
      <c r="AX10">
        <v>4859</v>
      </c>
      <c r="AY10">
        <v>472052</v>
      </c>
      <c r="AZ10">
        <v>49577</v>
      </c>
      <c r="BA10">
        <v>938917</v>
      </c>
      <c r="BB10">
        <v>36109</v>
      </c>
    </row>
    <row r="11" spans="1:54" x14ac:dyDescent="0.4">
      <c r="A11" s="1" t="s">
        <v>10</v>
      </c>
      <c r="B11" s="3" t="s">
        <v>11</v>
      </c>
      <c r="C11">
        <v>1031104</v>
      </c>
      <c r="D11">
        <v>350347</v>
      </c>
      <c r="E11">
        <v>349830</v>
      </c>
      <c r="F11">
        <v>1216579</v>
      </c>
      <c r="G11">
        <v>411008</v>
      </c>
      <c r="H11">
        <v>126841</v>
      </c>
      <c r="I11">
        <v>55721</v>
      </c>
      <c r="J11">
        <v>9924</v>
      </c>
      <c r="K11">
        <v>22965</v>
      </c>
      <c r="L11">
        <v>58820</v>
      </c>
      <c r="M11">
        <v>28762</v>
      </c>
      <c r="N11">
        <v>2630</v>
      </c>
      <c r="O11">
        <v>32948</v>
      </c>
      <c r="P11">
        <v>23008</v>
      </c>
      <c r="Q11">
        <v>49059</v>
      </c>
      <c r="R11">
        <v>36676</v>
      </c>
      <c r="S11">
        <v>55243</v>
      </c>
      <c r="T11">
        <v>5256</v>
      </c>
      <c r="U11">
        <v>186565</v>
      </c>
      <c r="V11">
        <v>116374</v>
      </c>
      <c r="W11">
        <v>140076</v>
      </c>
      <c r="X11">
        <v>195688</v>
      </c>
      <c r="Y11">
        <v>162188</v>
      </c>
      <c r="Z11">
        <v>13030</v>
      </c>
      <c r="AA11">
        <v>3300</v>
      </c>
      <c r="AB11">
        <v>25264</v>
      </c>
      <c r="AC11">
        <v>27796</v>
      </c>
      <c r="AD11">
        <v>4379</v>
      </c>
      <c r="AE11">
        <v>42845</v>
      </c>
      <c r="AF11">
        <v>516</v>
      </c>
      <c r="AG11">
        <v>1078190</v>
      </c>
      <c r="AH11">
        <v>32048</v>
      </c>
      <c r="AI11">
        <v>101024</v>
      </c>
      <c r="AJ11">
        <v>1015251</v>
      </c>
      <c r="AK11">
        <v>107093</v>
      </c>
      <c r="AL11">
        <v>64010</v>
      </c>
      <c r="AM11">
        <v>22268</v>
      </c>
      <c r="AN11">
        <v>2028</v>
      </c>
      <c r="AO11">
        <v>2752</v>
      </c>
      <c r="AP11">
        <v>7256</v>
      </c>
      <c r="AQ11">
        <v>1950</v>
      </c>
      <c r="AR11">
        <v>687</v>
      </c>
      <c r="AS11">
        <v>14103</v>
      </c>
      <c r="AT11">
        <v>18211</v>
      </c>
      <c r="AU11">
        <v>19534</v>
      </c>
      <c r="AV11">
        <v>21115</v>
      </c>
      <c r="AW11">
        <v>31465</v>
      </c>
      <c r="AX11">
        <v>6169</v>
      </c>
      <c r="AY11">
        <v>478829</v>
      </c>
      <c r="AZ11">
        <v>52053</v>
      </c>
      <c r="BA11">
        <v>910410</v>
      </c>
      <c r="BB11">
        <v>35359</v>
      </c>
    </row>
    <row r="12" spans="1:54" x14ac:dyDescent="0.4">
      <c r="A12" s="1" t="s">
        <v>12</v>
      </c>
      <c r="B12" s="3" t="s">
        <v>13</v>
      </c>
      <c r="C12">
        <v>985972</v>
      </c>
      <c r="D12">
        <v>392597</v>
      </c>
      <c r="E12">
        <v>333538</v>
      </c>
      <c r="F12">
        <v>1173056</v>
      </c>
      <c r="G12">
        <v>388933</v>
      </c>
      <c r="H12">
        <v>130894</v>
      </c>
      <c r="I12">
        <v>51634</v>
      </c>
      <c r="J12">
        <v>9482</v>
      </c>
      <c r="K12">
        <v>20733</v>
      </c>
      <c r="L12">
        <v>53928</v>
      </c>
      <c r="M12">
        <v>26249</v>
      </c>
      <c r="N12">
        <v>2987</v>
      </c>
      <c r="O12">
        <v>33167</v>
      </c>
      <c r="P12">
        <v>20779</v>
      </c>
      <c r="Q12">
        <v>49842</v>
      </c>
      <c r="R12">
        <v>35713</v>
      </c>
      <c r="S12">
        <v>52663</v>
      </c>
      <c r="T12">
        <v>3655</v>
      </c>
      <c r="U12">
        <v>174318</v>
      </c>
      <c r="V12">
        <v>108290</v>
      </c>
      <c r="W12">
        <v>137522</v>
      </c>
      <c r="X12">
        <v>184918</v>
      </c>
      <c r="Y12">
        <v>154939</v>
      </c>
      <c r="Z12">
        <v>12092</v>
      </c>
      <c r="AA12">
        <v>2882</v>
      </c>
      <c r="AB12">
        <v>22653</v>
      </c>
      <c r="AC12">
        <v>26365</v>
      </c>
      <c r="AD12">
        <v>3744</v>
      </c>
      <c r="AE12">
        <v>38929</v>
      </c>
      <c r="AF12">
        <v>579</v>
      </c>
      <c r="AG12">
        <v>1026009</v>
      </c>
      <c r="AH12">
        <v>28996</v>
      </c>
      <c r="AI12">
        <v>93350</v>
      </c>
      <c r="AJ12">
        <v>962150</v>
      </c>
      <c r="AK12">
        <v>98370</v>
      </c>
      <c r="AL12">
        <v>66109</v>
      </c>
      <c r="AM12">
        <v>20291</v>
      </c>
      <c r="AN12">
        <v>1889</v>
      </c>
      <c r="AO12">
        <v>2600</v>
      </c>
      <c r="AP12">
        <v>6478</v>
      </c>
      <c r="AQ12">
        <v>1777</v>
      </c>
      <c r="AR12">
        <v>613</v>
      </c>
      <c r="AS12">
        <v>10531</v>
      </c>
      <c r="AT12">
        <v>14626</v>
      </c>
      <c r="AU12">
        <v>17208</v>
      </c>
      <c r="AV12">
        <v>16598</v>
      </c>
      <c r="AW12">
        <v>28239</v>
      </c>
      <c r="AX12">
        <v>6296</v>
      </c>
      <c r="AY12">
        <v>467168</v>
      </c>
      <c r="AZ12">
        <v>52475</v>
      </c>
      <c r="BA12">
        <v>884729</v>
      </c>
      <c r="BB12">
        <v>34844</v>
      </c>
    </row>
    <row r="13" spans="1:54" x14ac:dyDescent="0.4">
      <c r="A13" s="1" t="s">
        <v>14</v>
      </c>
      <c r="B13" s="3" t="s">
        <v>15</v>
      </c>
      <c r="C13">
        <v>1008891</v>
      </c>
      <c r="D13">
        <v>380041</v>
      </c>
      <c r="E13">
        <v>345511</v>
      </c>
      <c r="F13">
        <v>1226435</v>
      </c>
      <c r="G13">
        <v>407889</v>
      </c>
      <c r="H13">
        <v>131046</v>
      </c>
      <c r="I13">
        <v>52761</v>
      </c>
      <c r="J13">
        <v>9621</v>
      </c>
      <c r="K13">
        <v>20484</v>
      </c>
      <c r="L13">
        <v>54869</v>
      </c>
      <c r="M13">
        <v>25702</v>
      </c>
      <c r="N13">
        <v>2909</v>
      </c>
      <c r="O13">
        <v>36083</v>
      </c>
      <c r="P13">
        <v>20555</v>
      </c>
      <c r="Q13">
        <v>51070</v>
      </c>
      <c r="R13">
        <v>37182</v>
      </c>
      <c r="S13">
        <v>55217</v>
      </c>
      <c r="T13">
        <v>3526</v>
      </c>
      <c r="U13">
        <v>180172</v>
      </c>
      <c r="V13">
        <v>111540</v>
      </c>
      <c r="W13">
        <v>144187</v>
      </c>
      <c r="X13">
        <v>187169</v>
      </c>
      <c r="Y13">
        <v>160463</v>
      </c>
      <c r="Z13">
        <v>13195</v>
      </c>
      <c r="AA13">
        <v>2954</v>
      </c>
      <c r="AB13">
        <v>23326</v>
      </c>
      <c r="AC13">
        <v>29683</v>
      </c>
      <c r="AD13">
        <v>3849</v>
      </c>
      <c r="AE13">
        <v>43306</v>
      </c>
      <c r="AF13">
        <v>623</v>
      </c>
      <c r="AG13">
        <v>997900</v>
      </c>
      <c r="AH13">
        <v>27635</v>
      </c>
      <c r="AI13">
        <v>93939</v>
      </c>
      <c r="AJ13">
        <v>946608</v>
      </c>
      <c r="AK13">
        <v>100356</v>
      </c>
      <c r="AL13">
        <v>58636</v>
      </c>
      <c r="AM13">
        <v>21923</v>
      </c>
      <c r="AN13">
        <v>1915</v>
      </c>
      <c r="AO13">
        <v>2830</v>
      </c>
      <c r="AP13">
        <v>7396</v>
      </c>
      <c r="AQ13">
        <v>1821</v>
      </c>
      <c r="AR13">
        <v>574</v>
      </c>
      <c r="AS13">
        <v>9833</v>
      </c>
      <c r="AT13">
        <v>12788</v>
      </c>
      <c r="AU13">
        <v>17033</v>
      </c>
      <c r="AV13">
        <v>14666</v>
      </c>
      <c r="AW13">
        <v>25517</v>
      </c>
      <c r="AX13">
        <v>6233</v>
      </c>
      <c r="AY13">
        <v>505982</v>
      </c>
      <c r="AZ13">
        <v>47835</v>
      </c>
      <c r="BA13">
        <v>559109</v>
      </c>
      <c r="BB13">
        <v>26819</v>
      </c>
    </row>
    <row r="14" spans="1:54" x14ac:dyDescent="0.4">
      <c r="A14" s="1" t="s">
        <v>16</v>
      </c>
      <c r="B14" s="1" t="s">
        <v>17</v>
      </c>
      <c r="C14">
        <v>82030</v>
      </c>
      <c r="D14">
        <v>29430</v>
      </c>
      <c r="E14">
        <v>26014</v>
      </c>
      <c r="F14">
        <v>101735</v>
      </c>
      <c r="G14">
        <v>32355</v>
      </c>
      <c r="H14">
        <v>127797</v>
      </c>
      <c r="I14">
        <v>4736</v>
      </c>
      <c r="J14">
        <v>789</v>
      </c>
      <c r="K14">
        <v>1704</v>
      </c>
      <c r="L14">
        <v>4867</v>
      </c>
      <c r="M14">
        <v>2234</v>
      </c>
      <c r="N14">
        <v>2831</v>
      </c>
      <c r="O14">
        <v>2902</v>
      </c>
      <c r="P14">
        <v>1725</v>
      </c>
      <c r="Q14">
        <v>4155</v>
      </c>
      <c r="R14">
        <v>3119</v>
      </c>
      <c r="S14">
        <v>4482</v>
      </c>
      <c r="T14">
        <v>5387</v>
      </c>
      <c r="U14">
        <v>14471</v>
      </c>
      <c r="V14">
        <v>9499</v>
      </c>
      <c r="W14">
        <v>11086</v>
      </c>
      <c r="X14">
        <v>16137</v>
      </c>
      <c r="Y14">
        <v>13483</v>
      </c>
      <c r="Z14">
        <v>13060</v>
      </c>
      <c r="AA14">
        <v>229</v>
      </c>
      <c r="AB14">
        <v>1886</v>
      </c>
      <c r="AC14">
        <v>1957</v>
      </c>
      <c r="AD14">
        <v>273</v>
      </c>
      <c r="AE14">
        <v>2962</v>
      </c>
      <c r="AF14">
        <v>498</v>
      </c>
      <c r="AG14">
        <v>85344</v>
      </c>
      <c r="AH14">
        <v>2443</v>
      </c>
      <c r="AI14">
        <v>7505</v>
      </c>
      <c r="AJ14">
        <v>82049</v>
      </c>
      <c r="AK14">
        <v>8463</v>
      </c>
      <c r="AL14">
        <v>63944</v>
      </c>
      <c r="AM14">
        <v>1817</v>
      </c>
      <c r="AN14">
        <v>175</v>
      </c>
      <c r="AO14">
        <v>211</v>
      </c>
      <c r="AP14">
        <v>576</v>
      </c>
      <c r="AQ14">
        <v>149</v>
      </c>
      <c r="AR14">
        <v>814</v>
      </c>
      <c r="AS14">
        <v>1166</v>
      </c>
      <c r="AT14">
        <v>1595</v>
      </c>
      <c r="AU14">
        <v>1449</v>
      </c>
      <c r="AV14">
        <v>1546</v>
      </c>
      <c r="AW14">
        <v>2555</v>
      </c>
      <c r="AX14">
        <v>7005</v>
      </c>
      <c r="AY14">
        <v>39275</v>
      </c>
      <c r="AZ14">
        <v>4139</v>
      </c>
      <c r="BA14">
        <v>74498</v>
      </c>
      <c r="BB14">
        <v>2948</v>
      </c>
    </row>
    <row r="15" spans="1:54" x14ac:dyDescent="0.4">
      <c r="A15" s="1" t="s">
        <v>18</v>
      </c>
      <c r="B15" s="1" t="s">
        <v>19</v>
      </c>
      <c r="C15">
        <v>80827</v>
      </c>
      <c r="D15">
        <v>31955</v>
      </c>
      <c r="E15">
        <v>27086</v>
      </c>
      <c r="F15">
        <v>92621</v>
      </c>
      <c r="G15">
        <v>31602</v>
      </c>
      <c r="H15">
        <v>131368</v>
      </c>
      <c r="I15">
        <v>4682</v>
      </c>
      <c r="J15">
        <v>786</v>
      </c>
      <c r="K15">
        <v>1759</v>
      </c>
      <c r="L15">
        <v>4985</v>
      </c>
      <c r="M15">
        <v>2287</v>
      </c>
      <c r="N15">
        <v>2843</v>
      </c>
      <c r="O15">
        <v>2572</v>
      </c>
      <c r="P15">
        <v>1807</v>
      </c>
      <c r="Q15">
        <v>4141</v>
      </c>
      <c r="R15">
        <v>3158</v>
      </c>
      <c r="S15">
        <v>4518</v>
      </c>
      <c r="T15">
        <v>4895</v>
      </c>
      <c r="U15">
        <v>14704</v>
      </c>
      <c r="V15">
        <v>8929</v>
      </c>
      <c r="W15">
        <v>11461</v>
      </c>
      <c r="X15">
        <v>15499</v>
      </c>
      <c r="Y15">
        <v>13146</v>
      </c>
      <c r="Z15">
        <v>13077</v>
      </c>
      <c r="AA15">
        <v>240</v>
      </c>
      <c r="AB15">
        <v>1867</v>
      </c>
      <c r="AC15">
        <v>2415</v>
      </c>
      <c r="AD15">
        <v>307</v>
      </c>
      <c r="AE15">
        <v>3340</v>
      </c>
      <c r="AF15">
        <v>510</v>
      </c>
      <c r="AG15">
        <v>87511</v>
      </c>
      <c r="AH15">
        <v>2496</v>
      </c>
      <c r="AI15">
        <v>7728</v>
      </c>
      <c r="AJ15">
        <v>84427</v>
      </c>
      <c r="AK15">
        <v>8378</v>
      </c>
      <c r="AL15">
        <v>62122</v>
      </c>
      <c r="AM15">
        <v>1633</v>
      </c>
      <c r="AN15">
        <v>154</v>
      </c>
      <c r="AO15">
        <v>212</v>
      </c>
      <c r="AP15">
        <v>489</v>
      </c>
      <c r="AQ15">
        <v>139</v>
      </c>
      <c r="AR15">
        <v>867</v>
      </c>
      <c r="AS15">
        <v>834</v>
      </c>
      <c r="AT15">
        <v>1189</v>
      </c>
      <c r="AU15">
        <v>1363</v>
      </c>
      <c r="AV15">
        <v>1605</v>
      </c>
      <c r="AW15">
        <v>2711</v>
      </c>
      <c r="AX15">
        <v>6756</v>
      </c>
      <c r="AY15">
        <v>38939</v>
      </c>
      <c r="AZ15">
        <v>4272</v>
      </c>
      <c r="BA15">
        <v>73695</v>
      </c>
      <c r="BB15">
        <v>2943</v>
      </c>
    </row>
    <row r="16" spans="1:54" x14ac:dyDescent="0.4">
      <c r="A16" s="1" t="s">
        <v>20</v>
      </c>
      <c r="B16" s="1" t="s">
        <v>21</v>
      </c>
      <c r="C16">
        <v>78266</v>
      </c>
      <c r="D16">
        <v>31776</v>
      </c>
      <c r="E16">
        <v>26749</v>
      </c>
      <c r="F16">
        <v>94053</v>
      </c>
      <c r="G16">
        <v>30701</v>
      </c>
      <c r="H16">
        <v>132243</v>
      </c>
      <c r="I16">
        <v>4347</v>
      </c>
      <c r="J16">
        <v>758</v>
      </c>
      <c r="K16">
        <v>1635</v>
      </c>
      <c r="L16">
        <v>4654</v>
      </c>
      <c r="M16">
        <v>2085</v>
      </c>
      <c r="N16">
        <v>2822</v>
      </c>
      <c r="O16">
        <v>2720</v>
      </c>
      <c r="P16">
        <v>1783</v>
      </c>
      <c r="Q16">
        <v>4191</v>
      </c>
      <c r="R16">
        <v>2817</v>
      </c>
      <c r="S16">
        <v>4155</v>
      </c>
      <c r="T16">
        <v>4534</v>
      </c>
      <c r="U16">
        <v>14165</v>
      </c>
      <c r="V16">
        <v>8749</v>
      </c>
      <c r="W16">
        <v>11246</v>
      </c>
      <c r="X16">
        <v>14803</v>
      </c>
      <c r="Y16">
        <v>12635</v>
      </c>
      <c r="Z16">
        <v>13223</v>
      </c>
      <c r="AA16">
        <v>254</v>
      </c>
      <c r="AB16">
        <v>2157</v>
      </c>
      <c r="AC16">
        <v>2513</v>
      </c>
      <c r="AD16">
        <v>295</v>
      </c>
      <c r="AE16">
        <v>3461</v>
      </c>
      <c r="AF16">
        <v>551</v>
      </c>
      <c r="AG16">
        <v>84027</v>
      </c>
      <c r="AH16">
        <v>2404</v>
      </c>
      <c r="AI16">
        <v>7389</v>
      </c>
      <c r="AJ16">
        <v>75858</v>
      </c>
      <c r="AK16">
        <v>7879</v>
      </c>
      <c r="AL16">
        <v>65958</v>
      </c>
      <c r="AM16">
        <v>1636</v>
      </c>
      <c r="AN16">
        <v>145</v>
      </c>
      <c r="AO16">
        <v>206</v>
      </c>
      <c r="AP16">
        <v>526</v>
      </c>
      <c r="AQ16">
        <v>141</v>
      </c>
      <c r="AR16">
        <v>902</v>
      </c>
      <c r="AS16">
        <v>768</v>
      </c>
      <c r="AT16">
        <v>1089</v>
      </c>
      <c r="AU16">
        <v>1282</v>
      </c>
      <c r="AV16">
        <v>1257</v>
      </c>
      <c r="AW16">
        <v>2204</v>
      </c>
      <c r="AX16">
        <v>6684</v>
      </c>
      <c r="AY16">
        <v>38847</v>
      </c>
      <c r="AZ16">
        <v>4324</v>
      </c>
      <c r="BA16">
        <v>72103</v>
      </c>
      <c r="BB16">
        <v>2878</v>
      </c>
    </row>
    <row r="17" spans="1:54" x14ac:dyDescent="0.4">
      <c r="A17" s="1" t="s">
        <v>22</v>
      </c>
      <c r="B17" s="1" t="s">
        <v>23</v>
      </c>
      <c r="C17">
        <v>81463</v>
      </c>
      <c r="D17">
        <v>35371</v>
      </c>
      <c r="E17">
        <v>28101</v>
      </c>
      <c r="F17">
        <v>99699</v>
      </c>
      <c r="G17">
        <v>32908</v>
      </c>
      <c r="H17">
        <v>129076</v>
      </c>
      <c r="I17">
        <v>4138</v>
      </c>
      <c r="J17">
        <v>760</v>
      </c>
      <c r="K17">
        <v>1715</v>
      </c>
      <c r="L17">
        <v>4395</v>
      </c>
      <c r="M17">
        <v>2151</v>
      </c>
      <c r="N17">
        <v>2859</v>
      </c>
      <c r="O17">
        <v>2608</v>
      </c>
      <c r="P17">
        <v>1655</v>
      </c>
      <c r="Q17">
        <v>3904</v>
      </c>
      <c r="R17">
        <v>2868</v>
      </c>
      <c r="S17">
        <v>4306</v>
      </c>
      <c r="T17">
        <v>4400</v>
      </c>
      <c r="U17">
        <v>14692</v>
      </c>
      <c r="V17">
        <v>9298</v>
      </c>
      <c r="W17">
        <v>11691</v>
      </c>
      <c r="X17">
        <v>15807</v>
      </c>
      <c r="Y17">
        <v>13280</v>
      </c>
      <c r="Z17">
        <v>12818</v>
      </c>
      <c r="AA17">
        <v>241</v>
      </c>
      <c r="AB17">
        <v>1835</v>
      </c>
      <c r="AC17">
        <v>2201</v>
      </c>
      <c r="AD17">
        <v>306</v>
      </c>
      <c r="AE17">
        <v>3312</v>
      </c>
      <c r="AF17">
        <v>562</v>
      </c>
      <c r="AG17">
        <v>86251</v>
      </c>
      <c r="AH17">
        <v>2473</v>
      </c>
      <c r="AI17">
        <v>7551</v>
      </c>
      <c r="AJ17">
        <v>81727</v>
      </c>
      <c r="AK17">
        <v>8318</v>
      </c>
      <c r="AL17">
        <v>65400</v>
      </c>
      <c r="AM17">
        <v>1732</v>
      </c>
      <c r="AN17">
        <v>152</v>
      </c>
      <c r="AO17">
        <v>214</v>
      </c>
      <c r="AP17">
        <v>607</v>
      </c>
      <c r="AQ17">
        <v>149</v>
      </c>
      <c r="AR17">
        <v>842</v>
      </c>
      <c r="AS17">
        <v>865</v>
      </c>
      <c r="AT17">
        <v>1198</v>
      </c>
      <c r="AU17">
        <v>1450</v>
      </c>
      <c r="AV17">
        <v>1385</v>
      </c>
      <c r="AW17">
        <v>2488</v>
      </c>
      <c r="AX17">
        <v>6734</v>
      </c>
      <c r="AY17">
        <v>39559</v>
      </c>
      <c r="AZ17">
        <v>4444</v>
      </c>
      <c r="BA17">
        <v>72486</v>
      </c>
      <c r="BB17">
        <v>2896</v>
      </c>
    </row>
    <row r="18" spans="1:54" x14ac:dyDescent="0.4">
      <c r="A18" s="1" t="s">
        <v>24</v>
      </c>
      <c r="B18" s="1" t="s">
        <v>25</v>
      </c>
      <c r="C18">
        <v>90723</v>
      </c>
      <c r="D18">
        <v>37296</v>
      </c>
      <c r="E18">
        <v>31415</v>
      </c>
      <c r="F18">
        <v>108656</v>
      </c>
      <c r="G18">
        <v>36483</v>
      </c>
      <c r="H18">
        <v>127174</v>
      </c>
      <c r="I18">
        <v>4388</v>
      </c>
      <c r="J18">
        <v>920</v>
      </c>
      <c r="K18">
        <v>1906</v>
      </c>
      <c r="L18">
        <v>4577</v>
      </c>
      <c r="M18">
        <v>2338</v>
      </c>
      <c r="N18">
        <v>2970</v>
      </c>
      <c r="O18">
        <v>2935</v>
      </c>
      <c r="P18">
        <v>1883</v>
      </c>
      <c r="Q18">
        <v>4506</v>
      </c>
      <c r="R18">
        <v>3434</v>
      </c>
      <c r="S18">
        <v>4724</v>
      </c>
      <c r="T18">
        <v>3962</v>
      </c>
      <c r="U18">
        <v>16602</v>
      </c>
      <c r="V18">
        <v>10134</v>
      </c>
      <c r="W18">
        <v>13224</v>
      </c>
      <c r="X18">
        <v>17233</v>
      </c>
      <c r="Y18">
        <v>14337</v>
      </c>
      <c r="Z18">
        <v>13001</v>
      </c>
      <c r="AA18">
        <v>277</v>
      </c>
      <c r="AB18">
        <v>2194</v>
      </c>
      <c r="AC18">
        <v>2526</v>
      </c>
      <c r="AD18">
        <v>354</v>
      </c>
      <c r="AE18">
        <v>3336</v>
      </c>
      <c r="AF18">
        <v>572</v>
      </c>
      <c r="AG18">
        <v>96810</v>
      </c>
      <c r="AH18">
        <v>2714</v>
      </c>
      <c r="AI18">
        <v>8515</v>
      </c>
      <c r="AJ18">
        <v>89841</v>
      </c>
      <c r="AK18">
        <v>9082</v>
      </c>
      <c r="AL18">
        <v>65795</v>
      </c>
      <c r="AM18">
        <v>2043</v>
      </c>
      <c r="AN18">
        <v>181</v>
      </c>
      <c r="AO18">
        <v>252</v>
      </c>
      <c r="AP18">
        <v>596</v>
      </c>
      <c r="AQ18">
        <v>162</v>
      </c>
      <c r="AR18">
        <v>815</v>
      </c>
      <c r="AS18">
        <v>880</v>
      </c>
      <c r="AT18">
        <v>1117</v>
      </c>
      <c r="AU18">
        <v>1450</v>
      </c>
      <c r="AV18">
        <v>1491</v>
      </c>
      <c r="AW18">
        <v>2480</v>
      </c>
      <c r="AX18">
        <v>6702</v>
      </c>
      <c r="AY18">
        <v>41845</v>
      </c>
      <c r="AZ18">
        <v>4677</v>
      </c>
      <c r="BA18">
        <v>77329</v>
      </c>
      <c r="BB18">
        <v>3149</v>
      </c>
    </row>
    <row r="19" spans="1:54" x14ac:dyDescent="0.4">
      <c r="A19" s="1" t="s">
        <v>26</v>
      </c>
      <c r="B19" s="1" t="s">
        <v>27</v>
      </c>
      <c r="C19">
        <v>72803</v>
      </c>
      <c r="D19">
        <v>30011</v>
      </c>
      <c r="E19">
        <v>24096</v>
      </c>
      <c r="F19">
        <v>93580</v>
      </c>
      <c r="G19">
        <v>28877</v>
      </c>
      <c r="H19">
        <v>122459</v>
      </c>
      <c r="I19">
        <v>3657</v>
      </c>
      <c r="J19">
        <v>672</v>
      </c>
      <c r="K19">
        <v>1487</v>
      </c>
      <c r="L19">
        <v>3838</v>
      </c>
      <c r="M19">
        <v>1905</v>
      </c>
      <c r="N19">
        <v>2906</v>
      </c>
      <c r="O19">
        <v>2400</v>
      </c>
      <c r="P19">
        <v>1478</v>
      </c>
      <c r="Q19">
        <v>3461</v>
      </c>
      <c r="R19">
        <v>2536</v>
      </c>
      <c r="S19">
        <v>3843</v>
      </c>
      <c r="T19">
        <v>3938</v>
      </c>
      <c r="U19">
        <v>12544</v>
      </c>
      <c r="V19">
        <v>7650</v>
      </c>
      <c r="W19">
        <v>9531</v>
      </c>
      <c r="X19">
        <v>13646</v>
      </c>
      <c r="Y19">
        <v>11415</v>
      </c>
      <c r="Z19">
        <v>12531</v>
      </c>
      <c r="AA19">
        <v>212</v>
      </c>
      <c r="AB19">
        <v>1608</v>
      </c>
      <c r="AC19">
        <v>2003</v>
      </c>
      <c r="AD19">
        <v>307</v>
      </c>
      <c r="AE19">
        <v>3080</v>
      </c>
      <c r="AF19">
        <v>558</v>
      </c>
      <c r="AG19">
        <v>71680</v>
      </c>
      <c r="AH19">
        <v>1988</v>
      </c>
      <c r="AI19">
        <v>6327</v>
      </c>
      <c r="AJ19">
        <v>69067</v>
      </c>
      <c r="AK19">
        <v>6981</v>
      </c>
      <c r="AL19">
        <v>64042</v>
      </c>
      <c r="AM19">
        <v>1426</v>
      </c>
      <c r="AN19">
        <v>142</v>
      </c>
      <c r="AO19">
        <v>186</v>
      </c>
      <c r="AP19">
        <v>528</v>
      </c>
      <c r="AQ19">
        <v>140</v>
      </c>
      <c r="AR19">
        <v>772</v>
      </c>
      <c r="AS19">
        <v>634</v>
      </c>
      <c r="AT19">
        <v>891</v>
      </c>
      <c r="AU19">
        <v>1151</v>
      </c>
      <c r="AV19">
        <v>1177</v>
      </c>
      <c r="AW19">
        <v>2008</v>
      </c>
      <c r="AX19">
        <v>6543</v>
      </c>
      <c r="AY19">
        <v>35695</v>
      </c>
      <c r="AZ19">
        <v>4017</v>
      </c>
      <c r="BA19">
        <v>69528</v>
      </c>
      <c r="BB19">
        <v>2663</v>
      </c>
    </row>
    <row r="20" spans="1:54" x14ac:dyDescent="0.4">
      <c r="A20" s="1" t="s">
        <v>28</v>
      </c>
      <c r="B20" s="1" t="s">
        <v>29</v>
      </c>
      <c r="C20">
        <v>83015</v>
      </c>
      <c r="D20">
        <v>33893</v>
      </c>
      <c r="E20">
        <v>28569</v>
      </c>
      <c r="F20">
        <v>97264</v>
      </c>
      <c r="G20">
        <v>33329</v>
      </c>
      <c r="H20">
        <v>123997</v>
      </c>
      <c r="I20">
        <v>4017</v>
      </c>
      <c r="J20">
        <v>807</v>
      </c>
      <c r="K20">
        <v>1709</v>
      </c>
      <c r="L20">
        <v>4025</v>
      </c>
      <c r="M20">
        <v>2110</v>
      </c>
      <c r="N20">
        <v>2876</v>
      </c>
      <c r="O20">
        <v>2746</v>
      </c>
      <c r="P20">
        <v>1734</v>
      </c>
      <c r="Q20">
        <v>4284</v>
      </c>
      <c r="R20">
        <v>2840</v>
      </c>
      <c r="S20">
        <v>4648</v>
      </c>
      <c r="T20">
        <v>3972</v>
      </c>
      <c r="U20">
        <v>14697</v>
      </c>
      <c r="V20">
        <v>9164</v>
      </c>
      <c r="W20">
        <v>11864</v>
      </c>
      <c r="X20">
        <v>15083</v>
      </c>
      <c r="Y20">
        <v>13007</v>
      </c>
      <c r="Z20">
        <v>12838</v>
      </c>
      <c r="AA20">
        <v>258</v>
      </c>
      <c r="AB20">
        <v>2040</v>
      </c>
      <c r="AC20">
        <v>2320</v>
      </c>
      <c r="AD20">
        <v>343</v>
      </c>
      <c r="AE20">
        <v>3547</v>
      </c>
      <c r="AF20">
        <v>571</v>
      </c>
      <c r="AG20">
        <v>83530</v>
      </c>
      <c r="AH20">
        <v>2331</v>
      </c>
      <c r="AI20">
        <v>7277</v>
      </c>
      <c r="AJ20">
        <v>79895</v>
      </c>
      <c r="AK20">
        <v>8186</v>
      </c>
      <c r="AL20">
        <v>62887</v>
      </c>
      <c r="AM20">
        <v>1680</v>
      </c>
      <c r="AN20">
        <v>164</v>
      </c>
      <c r="AO20">
        <v>218</v>
      </c>
      <c r="AP20">
        <v>589</v>
      </c>
      <c r="AQ20">
        <v>166</v>
      </c>
      <c r="AR20">
        <v>653</v>
      </c>
      <c r="AS20">
        <v>835</v>
      </c>
      <c r="AT20">
        <v>1142</v>
      </c>
      <c r="AU20">
        <v>1386</v>
      </c>
      <c r="AV20">
        <v>1423</v>
      </c>
      <c r="AW20">
        <v>2465</v>
      </c>
      <c r="AX20">
        <v>6568</v>
      </c>
      <c r="AY20">
        <v>37765</v>
      </c>
      <c r="AZ20">
        <v>4367</v>
      </c>
      <c r="BA20">
        <v>75118</v>
      </c>
      <c r="BB20">
        <v>2914</v>
      </c>
    </row>
    <row r="21" spans="1:54" x14ac:dyDescent="0.4">
      <c r="A21" s="1" t="s">
        <v>30</v>
      </c>
      <c r="B21" s="1" t="s">
        <v>31</v>
      </c>
      <c r="C21">
        <v>92402</v>
      </c>
      <c r="D21">
        <v>39532</v>
      </c>
      <c r="E21">
        <v>31746</v>
      </c>
      <c r="F21">
        <v>108169</v>
      </c>
      <c r="G21">
        <v>37363</v>
      </c>
      <c r="H21">
        <v>125799</v>
      </c>
      <c r="I21">
        <v>4454</v>
      </c>
      <c r="J21">
        <v>882</v>
      </c>
      <c r="K21">
        <v>1867</v>
      </c>
      <c r="L21">
        <v>4769</v>
      </c>
      <c r="M21">
        <v>2430</v>
      </c>
      <c r="N21">
        <v>2844</v>
      </c>
      <c r="O21">
        <v>2962</v>
      </c>
      <c r="P21">
        <v>1920</v>
      </c>
      <c r="Q21">
        <v>4528</v>
      </c>
      <c r="R21">
        <v>3190</v>
      </c>
      <c r="S21">
        <v>4913</v>
      </c>
      <c r="T21">
        <v>3903</v>
      </c>
      <c r="U21">
        <v>15576</v>
      </c>
      <c r="V21">
        <v>9401</v>
      </c>
      <c r="W21">
        <v>12132</v>
      </c>
      <c r="X21">
        <v>16617</v>
      </c>
      <c r="Y21">
        <v>14094</v>
      </c>
      <c r="Z21">
        <v>12621</v>
      </c>
      <c r="AA21">
        <v>291</v>
      </c>
      <c r="AB21">
        <v>2282</v>
      </c>
      <c r="AC21">
        <v>2708</v>
      </c>
      <c r="AD21">
        <v>375</v>
      </c>
      <c r="AE21">
        <v>3801</v>
      </c>
      <c r="AF21">
        <v>590</v>
      </c>
      <c r="AG21">
        <v>92064</v>
      </c>
      <c r="AH21">
        <v>2438</v>
      </c>
      <c r="AI21">
        <v>8344</v>
      </c>
      <c r="AJ21">
        <v>84508</v>
      </c>
      <c r="AK21">
        <v>8878</v>
      </c>
      <c r="AL21">
        <v>64410</v>
      </c>
      <c r="AM21">
        <v>1861</v>
      </c>
      <c r="AN21">
        <v>183</v>
      </c>
      <c r="AO21">
        <v>256</v>
      </c>
      <c r="AP21">
        <v>539</v>
      </c>
      <c r="AQ21">
        <v>166</v>
      </c>
      <c r="AR21">
        <v>669</v>
      </c>
      <c r="AS21">
        <v>928</v>
      </c>
      <c r="AT21">
        <v>1314</v>
      </c>
      <c r="AU21">
        <v>1576</v>
      </c>
      <c r="AV21">
        <v>1308</v>
      </c>
      <c r="AW21">
        <v>2256</v>
      </c>
      <c r="AX21">
        <v>6507</v>
      </c>
      <c r="AY21">
        <v>40855</v>
      </c>
      <c r="AZ21">
        <v>4633</v>
      </c>
      <c r="BA21">
        <v>76901</v>
      </c>
      <c r="BB21">
        <v>3005</v>
      </c>
    </row>
    <row r="22" spans="1:54" x14ac:dyDescent="0.4">
      <c r="A22" s="1" t="s">
        <v>32</v>
      </c>
      <c r="B22" s="1" t="s">
        <v>33</v>
      </c>
      <c r="C22">
        <v>85507</v>
      </c>
      <c r="D22">
        <v>34244</v>
      </c>
      <c r="E22">
        <v>29555</v>
      </c>
      <c r="F22">
        <v>98009</v>
      </c>
      <c r="G22">
        <v>32956</v>
      </c>
      <c r="H22">
        <v>132259</v>
      </c>
      <c r="I22">
        <v>4126</v>
      </c>
      <c r="J22">
        <v>806</v>
      </c>
      <c r="K22">
        <v>1794</v>
      </c>
      <c r="L22">
        <v>4170</v>
      </c>
      <c r="M22">
        <v>2162</v>
      </c>
      <c r="N22">
        <v>3065</v>
      </c>
      <c r="O22">
        <v>2721</v>
      </c>
      <c r="P22">
        <v>1865</v>
      </c>
      <c r="Q22">
        <v>4285</v>
      </c>
      <c r="R22">
        <v>2959</v>
      </c>
      <c r="S22">
        <v>4673</v>
      </c>
      <c r="T22">
        <v>3738</v>
      </c>
      <c r="U22">
        <v>14962</v>
      </c>
      <c r="V22">
        <v>9190</v>
      </c>
      <c r="W22">
        <v>11707</v>
      </c>
      <c r="X22">
        <v>15227</v>
      </c>
      <c r="Y22">
        <v>12630</v>
      </c>
      <c r="Z22">
        <v>13137</v>
      </c>
      <c r="AA22">
        <v>268</v>
      </c>
      <c r="AB22">
        <v>2054</v>
      </c>
      <c r="AC22">
        <v>2412</v>
      </c>
      <c r="AD22">
        <v>349</v>
      </c>
      <c r="AE22">
        <v>3616</v>
      </c>
      <c r="AF22">
        <v>609</v>
      </c>
      <c r="AG22">
        <v>88527</v>
      </c>
      <c r="AH22">
        <v>2474</v>
      </c>
      <c r="AI22">
        <v>8715</v>
      </c>
      <c r="AJ22">
        <v>80998</v>
      </c>
      <c r="AK22">
        <v>8376</v>
      </c>
      <c r="AL22">
        <v>67289</v>
      </c>
      <c r="AM22">
        <v>1683</v>
      </c>
      <c r="AN22">
        <v>161</v>
      </c>
      <c r="AO22">
        <v>231</v>
      </c>
      <c r="AP22">
        <v>532</v>
      </c>
      <c r="AQ22">
        <v>156</v>
      </c>
      <c r="AR22">
        <v>632</v>
      </c>
      <c r="AS22">
        <v>770</v>
      </c>
      <c r="AT22">
        <v>1128</v>
      </c>
      <c r="AU22">
        <v>1394</v>
      </c>
      <c r="AV22">
        <v>1241</v>
      </c>
      <c r="AW22">
        <v>2203</v>
      </c>
      <c r="AX22">
        <v>6364</v>
      </c>
      <c r="AY22">
        <v>38640</v>
      </c>
      <c r="AZ22">
        <v>4525</v>
      </c>
      <c r="BA22">
        <v>74771</v>
      </c>
      <c r="BB22">
        <v>2887</v>
      </c>
    </row>
    <row r="23" spans="1:54" x14ac:dyDescent="0.4">
      <c r="A23" s="1" t="s">
        <v>34</v>
      </c>
      <c r="B23" s="1" t="s">
        <v>35</v>
      </c>
      <c r="C23">
        <v>80556</v>
      </c>
      <c r="D23">
        <v>32028</v>
      </c>
      <c r="E23">
        <v>27578</v>
      </c>
      <c r="F23">
        <v>96724</v>
      </c>
      <c r="G23">
        <v>32990</v>
      </c>
      <c r="H23">
        <v>130894</v>
      </c>
      <c r="I23">
        <v>4164</v>
      </c>
      <c r="J23">
        <v>770</v>
      </c>
      <c r="K23">
        <v>1698</v>
      </c>
      <c r="L23">
        <v>4403</v>
      </c>
      <c r="M23">
        <v>2162</v>
      </c>
      <c r="N23">
        <v>2987</v>
      </c>
      <c r="O23">
        <v>2632</v>
      </c>
      <c r="P23">
        <v>1682</v>
      </c>
      <c r="Q23">
        <v>4157</v>
      </c>
      <c r="R23">
        <v>2866</v>
      </c>
      <c r="S23">
        <v>4589</v>
      </c>
      <c r="T23">
        <v>3655</v>
      </c>
      <c r="U23">
        <v>13705</v>
      </c>
      <c r="V23">
        <v>8523</v>
      </c>
      <c r="W23">
        <v>10996</v>
      </c>
      <c r="X23">
        <v>15463</v>
      </c>
      <c r="Y23">
        <v>12870</v>
      </c>
      <c r="Z23">
        <v>12092</v>
      </c>
      <c r="AA23">
        <v>243</v>
      </c>
      <c r="AB23">
        <v>1886</v>
      </c>
      <c r="AC23">
        <v>2224</v>
      </c>
      <c r="AD23">
        <v>353</v>
      </c>
      <c r="AE23">
        <v>3574</v>
      </c>
      <c r="AF23">
        <v>579</v>
      </c>
      <c r="AG23">
        <v>81590</v>
      </c>
      <c r="AH23">
        <v>2343</v>
      </c>
      <c r="AI23">
        <v>8929</v>
      </c>
      <c r="AJ23">
        <v>78452</v>
      </c>
      <c r="AK23">
        <v>8052</v>
      </c>
      <c r="AL23">
        <v>66109</v>
      </c>
      <c r="AM23">
        <v>1593</v>
      </c>
      <c r="AN23">
        <v>148</v>
      </c>
      <c r="AO23">
        <v>217</v>
      </c>
      <c r="AP23">
        <v>520</v>
      </c>
      <c r="AQ23">
        <v>139</v>
      </c>
      <c r="AR23">
        <v>613</v>
      </c>
      <c r="AS23">
        <v>784</v>
      </c>
      <c r="AT23">
        <v>1159</v>
      </c>
      <c r="AU23">
        <v>1387</v>
      </c>
      <c r="AV23">
        <v>1414</v>
      </c>
      <c r="AW23">
        <v>2328</v>
      </c>
      <c r="AX23">
        <v>6296</v>
      </c>
      <c r="AY23">
        <v>38202</v>
      </c>
      <c r="AZ23">
        <v>4651</v>
      </c>
      <c r="BA23">
        <v>72350</v>
      </c>
      <c r="BB23">
        <v>2866</v>
      </c>
    </row>
    <row r="24" spans="1:54" x14ac:dyDescent="0.4">
      <c r="A24" s="1" t="s">
        <v>36</v>
      </c>
      <c r="B24" s="1" t="s">
        <v>37</v>
      </c>
      <c r="C24">
        <v>77998</v>
      </c>
      <c r="D24">
        <v>31939</v>
      </c>
      <c r="E24">
        <v>27924</v>
      </c>
      <c r="F24">
        <v>90881</v>
      </c>
      <c r="G24">
        <v>30949</v>
      </c>
      <c r="H24">
        <v>133936</v>
      </c>
      <c r="I24">
        <v>3922</v>
      </c>
      <c r="J24">
        <v>759</v>
      </c>
      <c r="K24">
        <v>1648</v>
      </c>
      <c r="L24">
        <v>3980</v>
      </c>
      <c r="M24">
        <v>2005</v>
      </c>
      <c r="N24">
        <v>3158</v>
      </c>
      <c r="O24">
        <v>2628</v>
      </c>
      <c r="P24">
        <v>1694</v>
      </c>
      <c r="Q24">
        <v>3989</v>
      </c>
      <c r="R24">
        <v>2614</v>
      </c>
      <c r="S24">
        <v>3969</v>
      </c>
      <c r="T24">
        <v>3790</v>
      </c>
      <c r="U24">
        <v>13983</v>
      </c>
      <c r="V24">
        <v>8837</v>
      </c>
      <c r="W24">
        <v>11325</v>
      </c>
      <c r="X24">
        <v>13693</v>
      </c>
      <c r="Y24">
        <v>11705</v>
      </c>
      <c r="Z24">
        <v>12931</v>
      </c>
      <c r="AA24">
        <v>245</v>
      </c>
      <c r="AB24">
        <v>1967</v>
      </c>
      <c r="AC24">
        <v>2432</v>
      </c>
      <c r="AD24">
        <v>286</v>
      </c>
      <c r="AE24">
        <v>3369</v>
      </c>
      <c r="AF24">
        <v>610</v>
      </c>
      <c r="AG24">
        <v>84800</v>
      </c>
      <c r="AH24">
        <v>2416</v>
      </c>
      <c r="AI24">
        <v>8119</v>
      </c>
      <c r="AJ24">
        <v>78444</v>
      </c>
      <c r="AK24">
        <v>7954</v>
      </c>
      <c r="AL24">
        <v>65539</v>
      </c>
      <c r="AM24">
        <v>1700</v>
      </c>
      <c r="AN24">
        <v>149</v>
      </c>
      <c r="AO24">
        <v>224</v>
      </c>
      <c r="AP24">
        <v>487</v>
      </c>
      <c r="AQ24">
        <v>133</v>
      </c>
      <c r="AR24">
        <v>706</v>
      </c>
      <c r="AS24">
        <v>780</v>
      </c>
      <c r="AT24">
        <v>1128</v>
      </c>
      <c r="AU24">
        <v>1541</v>
      </c>
      <c r="AV24">
        <v>1034</v>
      </c>
      <c r="AW24">
        <v>1938</v>
      </c>
      <c r="AX24">
        <v>6366</v>
      </c>
      <c r="AY24">
        <v>41635</v>
      </c>
      <c r="AZ24">
        <v>3849</v>
      </c>
      <c r="BA24">
        <v>47143</v>
      </c>
      <c r="BB24">
        <v>2110</v>
      </c>
    </row>
    <row r="25" spans="1:54" x14ac:dyDescent="0.4">
      <c r="A25" s="1" t="s">
        <v>38</v>
      </c>
      <c r="B25" s="1" t="s">
        <v>39</v>
      </c>
      <c r="C25">
        <v>78712</v>
      </c>
      <c r="D25">
        <v>31960</v>
      </c>
      <c r="E25">
        <v>28068</v>
      </c>
      <c r="F25">
        <v>95159</v>
      </c>
      <c r="G25">
        <v>32810</v>
      </c>
      <c r="H25">
        <v>132270</v>
      </c>
      <c r="I25">
        <v>4009</v>
      </c>
      <c r="J25">
        <v>768</v>
      </c>
      <c r="K25">
        <v>1614</v>
      </c>
      <c r="L25">
        <v>4310</v>
      </c>
      <c r="M25">
        <v>2149</v>
      </c>
      <c r="N25">
        <v>3075</v>
      </c>
      <c r="O25">
        <v>2663</v>
      </c>
      <c r="P25">
        <v>1628</v>
      </c>
      <c r="Q25">
        <v>3936</v>
      </c>
      <c r="R25">
        <v>2889</v>
      </c>
      <c r="S25">
        <v>4349</v>
      </c>
      <c r="T25">
        <v>3679</v>
      </c>
      <c r="U25">
        <v>14168</v>
      </c>
      <c r="V25">
        <v>8768</v>
      </c>
      <c r="W25">
        <v>11001</v>
      </c>
      <c r="X25">
        <v>15060</v>
      </c>
      <c r="Y25">
        <v>12946</v>
      </c>
      <c r="Z25">
        <v>12769</v>
      </c>
      <c r="AA25">
        <v>245</v>
      </c>
      <c r="AB25">
        <v>1892</v>
      </c>
      <c r="AC25">
        <v>2482</v>
      </c>
      <c r="AD25">
        <v>304</v>
      </c>
      <c r="AE25">
        <v>3640</v>
      </c>
      <c r="AF25">
        <v>629</v>
      </c>
      <c r="AG25">
        <v>83929</v>
      </c>
      <c r="AH25">
        <v>2454</v>
      </c>
      <c r="AI25">
        <v>8114</v>
      </c>
      <c r="AJ25">
        <v>79293</v>
      </c>
      <c r="AK25">
        <v>8076</v>
      </c>
      <c r="AL25">
        <v>65852</v>
      </c>
      <c r="AM25">
        <v>1732</v>
      </c>
      <c r="AN25">
        <v>147</v>
      </c>
      <c r="AO25">
        <v>227</v>
      </c>
      <c r="AP25">
        <v>621</v>
      </c>
      <c r="AQ25">
        <v>152</v>
      </c>
      <c r="AR25">
        <v>628</v>
      </c>
      <c r="AS25">
        <v>779</v>
      </c>
      <c r="AT25">
        <v>1112</v>
      </c>
      <c r="AU25">
        <v>1409</v>
      </c>
      <c r="AV25">
        <v>1249</v>
      </c>
      <c r="AW25">
        <v>2214</v>
      </c>
      <c r="AX25">
        <v>6332</v>
      </c>
      <c r="AY25">
        <v>44464</v>
      </c>
      <c r="AZ25">
        <v>3861</v>
      </c>
      <c r="BA25">
        <v>45704</v>
      </c>
      <c r="BB25">
        <v>2119</v>
      </c>
    </row>
    <row r="26" spans="1:54" x14ac:dyDescent="0.4">
      <c r="A26" s="1" t="s">
        <v>40</v>
      </c>
      <c r="B26" s="1" t="s">
        <v>41</v>
      </c>
      <c r="C26">
        <v>81072</v>
      </c>
      <c r="D26">
        <v>30146</v>
      </c>
      <c r="E26">
        <v>28285</v>
      </c>
      <c r="F26">
        <v>99565</v>
      </c>
      <c r="G26">
        <v>34082</v>
      </c>
      <c r="H26">
        <v>129437</v>
      </c>
      <c r="I26">
        <v>4320</v>
      </c>
      <c r="J26">
        <v>799</v>
      </c>
      <c r="K26">
        <v>1752</v>
      </c>
      <c r="L26">
        <v>4409</v>
      </c>
      <c r="M26">
        <v>2119</v>
      </c>
      <c r="N26">
        <v>3202</v>
      </c>
      <c r="O26">
        <v>2763</v>
      </c>
      <c r="P26">
        <v>1660</v>
      </c>
      <c r="Q26">
        <v>4202</v>
      </c>
      <c r="R26">
        <v>2861</v>
      </c>
      <c r="S26">
        <v>4574</v>
      </c>
      <c r="T26">
        <v>3670</v>
      </c>
      <c r="U26">
        <v>14429</v>
      </c>
      <c r="V26">
        <v>9068</v>
      </c>
      <c r="W26">
        <v>11359</v>
      </c>
      <c r="X26">
        <v>15479</v>
      </c>
      <c r="Y26">
        <v>13200</v>
      </c>
      <c r="Z26">
        <v>12472</v>
      </c>
      <c r="AA26">
        <v>255</v>
      </c>
      <c r="AB26">
        <v>2071</v>
      </c>
      <c r="AC26">
        <v>2346</v>
      </c>
      <c r="AD26">
        <v>327</v>
      </c>
      <c r="AE26">
        <v>3567</v>
      </c>
      <c r="AF26">
        <v>637</v>
      </c>
      <c r="AG26">
        <v>83295</v>
      </c>
      <c r="AH26">
        <v>2375</v>
      </c>
      <c r="AI26">
        <v>8164</v>
      </c>
      <c r="AJ26">
        <v>81624</v>
      </c>
      <c r="AK26">
        <v>8468</v>
      </c>
      <c r="AL26">
        <v>62375</v>
      </c>
      <c r="AM26">
        <v>1751</v>
      </c>
      <c r="AN26">
        <v>145</v>
      </c>
      <c r="AO26">
        <v>227</v>
      </c>
      <c r="AP26">
        <v>588</v>
      </c>
      <c r="AQ26">
        <v>141</v>
      </c>
      <c r="AR26">
        <v>589</v>
      </c>
      <c r="AS26">
        <v>734</v>
      </c>
      <c r="AT26">
        <v>1078</v>
      </c>
      <c r="AU26">
        <v>1325</v>
      </c>
      <c r="AV26">
        <v>1276</v>
      </c>
      <c r="AW26">
        <v>2193</v>
      </c>
      <c r="AX26">
        <v>6169</v>
      </c>
      <c r="AY26">
        <v>44234</v>
      </c>
      <c r="AZ26">
        <v>3987</v>
      </c>
      <c r="BA26">
        <v>46654</v>
      </c>
      <c r="BB26">
        <v>2198</v>
      </c>
    </row>
    <row r="27" spans="1:54" x14ac:dyDescent="0.4">
      <c r="A27" s="1" t="s">
        <v>42</v>
      </c>
      <c r="B27" s="1" t="s">
        <v>43</v>
      </c>
      <c r="C27">
        <v>80129</v>
      </c>
      <c r="D27">
        <v>32567</v>
      </c>
      <c r="E27">
        <v>27882</v>
      </c>
      <c r="F27">
        <v>100645</v>
      </c>
      <c r="G27">
        <v>33379</v>
      </c>
      <c r="H27">
        <v>127997</v>
      </c>
      <c r="I27">
        <v>4535</v>
      </c>
      <c r="J27">
        <v>783</v>
      </c>
      <c r="K27">
        <v>1686</v>
      </c>
      <c r="L27">
        <v>4681</v>
      </c>
      <c r="M27">
        <v>2141</v>
      </c>
      <c r="N27">
        <v>3136</v>
      </c>
      <c r="O27">
        <v>2633</v>
      </c>
      <c r="P27">
        <v>1601</v>
      </c>
      <c r="Q27">
        <v>3984</v>
      </c>
      <c r="R27">
        <v>2580</v>
      </c>
      <c r="S27">
        <v>4488</v>
      </c>
      <c r="T27">
        <v>3801</v>
      </c>
      <c r="U27">
        <v>14297</v>
      </c>
      <c r="V27">
        <v>8673</v>
      </c>
      <c r="W27">
        <v>11173</v>
      </c>
      <c r="X27">
        <v>15513</v>
      </c>
      <c r="Y27">
        <v>13023</v>
      </c>
      <c r="Z27">
        <v>11991</v>
      </c>
      <c r="AA27">
        <v>238</v>
      </c>
      <c r="AB27">
        <v>1841</v>
      </c>
      <c r="AC27">
        <v>2441</v>
      </c>
      <c r="AD27">
        <v>367</v>
      </c>
      <c r="AE27">
        <v>3849</v>
      </c>
      <c r="AF27">
        <v>587</v>
      </c>
      <c r="AG27">
        <v>81565</v>
      </c>
      <c r="AH27">
        <v>2315</v>
      </c>
      <c r="AI27">
        <v>7689</v>
      </c>
      <c r="AJ27">
        <v>78079</v>
      </c>
      <c r="AK27">
        <v>8324</v>
      </c>
      <c r="AL27">
        <v>61582</v>
      </c>
      <c r="AM27">
        <v>1660</v>
      </c>
      <c r="AN27">
        <v>151</v>
      </c>
      <c r="AO27">
        <v>226</v>
      </c>
      <c r="AP27">
        <v>587</v>
      </c>
      <c r="AQ27">
        <v>145</v>
      </c>
      <c r="AR27">
        <v>598</v>
      </c>
      <c r="AS27">
        <v>698</v>
      </c>
      <c r="AT27">
        <v>1062</v>
      </c>
      <c r="AU27">
        <v>1345</v>
      </c>
      <c r="AV27">
        <v>1253</v>
      </c>
      <c r="AW27">
        <v>2286</v>
      </c>
      <c r="AX27">
        <v>6013</v>
      </c>
      <c r="AY27">
        <v>40232</v>
      </c>
      <c r="AZ27">
        <v>3817</v>
      </c>
      <c r="BA27">
        <v>47295</v>
      </c>
      <c r="BB27">
        <v>2222</v>
      </c>
    </row>
    <row r="28" spans="1:54" x14ac:dyDescent="0.4">
      <c r="A28" s="1" t="s">
        <v>44</v>
      </c>
      <c r="B28" s="1" t="s">
        <v>45</v>
      </c>
      <c r="C28">
        <v>79108</v>
      </c>
      <c r="D28">
        <v>30289</v>
      </c>
      <c r="E28">
        <v>27010</v>
      </c>
      <c r="F28">
        <v>100885</v>
      </c>
      <c r="G28">
        <v>31725</v>
      </c>
      <c r="H28">
        <v>130659</v>
      </c>
      <c r="I28">
        <v>4348</v>
      </c>
      <c r="J28">
        <v>767</v>
      </c>
      <c r="K28">
        <v>1652</v>
      </c>
      <c r="L28">
        <v>4485</v>
      </c>
      <c r="M28">
        <v>2058</v>
      </c>
      <c r="N28">
        <v>3176</v>
      </c>
      <c r="O28">
        <v>2337</v>
      </c>
      <c r="P28">
        <v>1604</v>
      </c>
      <c r="Q28">
        <v>3972</v>
      </c>
      <c r="R28">
        <v>2668</v>
      </c>
      <c r="S28">
        <v>4306</v>
      </c>
      <c r="T28">
        <v>3375</v>
      </c>
      <c r="U28">
        <v>14170</v>
      </c>
      <c r="V28">
        <v>8855</v>
      </c>
      <c r="W28">
        <v>11242</v>
      </c>
      <c r="X28">
        <v>14548</v>
      </c>
      <c r="Y28">
        <v>12238</v>
      </c>
      <c r="Z28">
        <v>12183</v>
      </c>
      <c r="AA28">
        <v>217</v>
      </c>
      <c r="AB28">
        <v>1766</v>
      </c>
      <c r="AC28">
        <v>2287</v>
      </c>
      <c r="AD28">
        <v>315</v>
      </c>
      <c r="AE28">
        <v>3683</v>
      </c>
      <c r="AF28">
        <v>558</v>
      </c>
      <c r="AG28">
        <v>79994</v>
      </c>
      <c r="AH28">
        <v>2162</v>
      </c>
      <c r="AI28">
        <v>7394</v>
      </c>
      <c r="AJ28">
        <v>73898</v>
      </c>
      <c r="AK28">
        <v>7872</v>
      </c>
      <c r="AL28">
        <v>63524</v>
      </c>
      <c r="AM28">
        <v>1697</v>
      </c>
      <c r="AN28">
        <v>155</v>
      </c>
      <c r="AO28">
        <v>225</v>
      </c>
      <c r="AP28">
        <v>583</v>
      </c>
      <c r="AQ28">
        <v>153</v>
      </c>
      <c r="AR28">
        <v>570</v>
      </c>
      <c r="AS28">
        <v>689</v>
      </c>
      <c r="AT28">
        <v>910</v>
      </c>
      <c r="AU28">
        <v>1237</v>
      </c>
      <c r="AV28">
        <v>1082</v>
      </c>
      <c r="AW28">
        <v>1875</v>
      </c>
      <c r="AX28">
        <v>5976</v>
      </c>
      <c r="AY28">
        <v>37376</v>
      </c>
      <c r="AZ28">
        <v>3686</v>
      </c>
      <c r="BA28">
        <v>43755</v>
      </c>
      <c r="BB28">
        <v>2095</v>
      </c>
    </row>
    <row r="29" spans="1:54" x14ac:dyDescent="0.4">
      <c r="A29" s="1" t="s">
        <v>46</v>
      </c>
      <c r="B29" s="1" t="s">
        <v>47</v>
      </c>
      <c r="C29">
        <v>90158</v>
      </c>
      <c r="D29">
        <v>33448</v>
      </c>
      <c r="E29">
        <v>29841</v>
      </c>
      <c r="F29">
        <v>104475</v>
      </c>
      <c r="G29">
        <v>35514</v>
      </c>
      <c r="H29">
        <v>133511</v>
      </c>
      <c r="I29">
        <v>4769</v>
      </c>
      <c r="J29">
        <v>825</v>
      </c>
      <c r="K29">
        <v>1769</v>
      </c>
      <c r="L29">
        <v>4763</v>
      </c>
      <c r="M29">
        <v>2190</v>
      </c>
      <c r="N29">
        <v>3251</v>
      </c>
      <c r="O29">
        <v>3059</v>
      </c>
      <c r="P29">
        <v>1730</v>
      </c>
      <c r="Q29">
        <v>4354</v>
      </c>
      <c r="R29">
        <v>2914</v>
      </c>
      <c r="S29">
        <v>4561</v>
      </c>
      <c r="T29">
        <v>3631</v>
      </c>
      <c r="U29">
        <v>15868</v>
      </c>
      <c r="V29">
        <v>9546</v>
      </c>
      <c r="W29">
        <v>12496</v>
      </c>
      <c r="X29">
        <v>16325</v>
      </c>
      <c r="Y29">
        <v>13692</v>
      </c>
      <c r="Z29">
        <v>12502</v>
      </c>
      <c r="AA29">
        <v>245</v>
      </c>
      <c r="AB29">
        <v>1954</v>
      </c>
      <c r="AC29">
        <v>2496</v>
      </c>
      <c r="AD29">
        <v>310</v>
      </c>
      <c r="AE29">
        <v>3615</v>
      </c>
      <c r="AF29">
        <v>567</v>
      </c>
      <c r="AG29">
        <v>89123</v>
      </c>
      <c r="AH29">
        <v>2339</v>
      </c>
      <c r="AI29">
        <v>8107</v>
      </c>
      <c r="AJ29">
        <v>83116</v>
      </c>
      <c r="AK29">
        <v>8807</v>
      </c>
      <c r="AL29">
        <v>64436</v>
      </c>
      <c r="AM29">
        <v>1837</v>
      </c>
      <c r="AN29">
        <v>159</v>
      </c>
      <c r="AO29">
        <v>232</v>
      </c>
      <c r="AP29">
        <v>593</v>
      </c>
      <c r="AQ29">
        <v>148</v>
      </c>
      <c r="AR29">
        <v>540</v>
      </c>
      <c r="AS29">
        <v>836</v>
      </c>
      <c r="AT29">
        <v>1116</v>
      </c>
      <c r="AU29">
        <v>1487</v>
      </c>
      <c r="AV29">
        <v>1205</v>
      </c>
      <c r="AW29">
        <v>2178</v>
      </c>
      <c r="AX29">
        <v>5956</v>
      </c>
      <c r="AY29">
        <v>44276</v>
      </c>
      <c r="AZ29">
        <v>4148</v>
      </c>
      <c r="BA29">
        <v>47673</v>
      </c>
      <c r="BB29">
        <v>2359</v>
      </c>
    </row>
    <row r="30" spans="1:54" x14ac:dyDescent="0.4">
      <c r="A30" s="1" t="s">
        <v>48</v>
      </c>
      <c r="B30" s="1" t="s">
        <v>49</v>
      </c>
      <c r="C30">
        <v>96669</v>
      </c>
      <c r="D30">
        <v>34122</v>
      </c>
      <c r="E30">
        <v>31739</v>
      </c>
      <c r="F30">
        <v>112324</v>
      </c>
      <c r="G30">
        <v>36981</v>
      </c>
      <c r="H30">
        <v>137090</v>
      </c>
      <c r="I30">
        <v>4794</v>
      </c>
      <c r="J30">
        <v>890</v>
      </c>
      <c r="K30">
        <v>1881</v>
      </c>
      <c r="L30">
        <v>4861</v>
      </c>
      <c r="M30">
        <v>2277</v>
      </c>
      <c r="N30">
        <v>3330</v>
      </c>
      <c r="O30">
        <v>3336</v>
      </c>
      <c r="P30">
        <v>1930</v>
      </c>
      <c r="Q30">
        <v>4881</v>
      </c>
      <c r="R30">
        <v>3624</v>
      </c>
      <c r="S30">
        <v>5064</v>
      </c>
      <c r="T30">
        <v>3504</v>
      </c>
      <c r="U30">
        <v>17663</v>
      </c>
      <c r="V30">
        <v>10744</v>
      </c>
      <c r="W30">
        <v>14086</v>
      </c>
      <c r="X30">
        <v>17896</v>
      </c>
      <c r="Y30">
        <v>15088</v>
      </c>
      <c r="Z30">
        <v>12959</v>
      </c>
      <c r="AA30">
        <v>270</v>
      </c>
      <c r="AB30">
        <v>2170</v>
      </c>
      <c r="AC30">
        <v>2706</v>
      </c>
      <c r="AD30">
        <v>370</v>
      </c>
      <c r="AE30">
        <v>4116</v>
      </c>
      <c r="AF30">
        <v>559</v>
      </c>
      <c r="AG30">
        <v>96330</v>
      </c>
      <c r="AH30">
        <v>2499</v>
      </c>
      <c r="AI30">
        <v>8657</v>
      </c>
      <c r="AJ30">
        <v>87463</v>
      </c>
      <c r="AK30">
        <v>9256</v>
      </c>
      <c r="AL30">
        <v>67535</v>
      </c>
      <c r="AM30">
        <v>2599</v>
      </c>
      <c r="AN30">
        <v>229</v>
      </c>
      <c r="AO30">
        <v>288</v>
      </c>
      <c r="AP30">
        <v>1191</v>
      </c>
      <c r="AQ30">
        <v>187</v>
      </c>
      <c r="AR30">
        <v>580</v>
      </c>
      <c r="AS30">
        <v>882</v>
      </c>
      <c r="AT30">
        <v>1190</v>
      </c>
      <c r="AU30">
        <v>1580</v>
      </c>
      <c r="AV30">
        <v>1231</v>
      </c>
      <c r="AW30">
        <v>2209</v>
      </c>
      <c r="AX30">
        <v>5939</v>
      </c>
      <c r="AY30">
        <v>47156</v>
      </c>
      <c r="AZ30">
        <v>4378</v>
      </c>
      <c r="BA30">
        <v>52010</v>
      </c>
      <c r="BB30">
        <v>2549</v>
      </c>
    </row>
    <row r="31" spans="1:54" x14ac:dyDescent="0.4">
      <c r="A31" s="1" t="s">
        <v>50</v>
      </c>
      <c r="B31" s="1" t="s">
        <v>51</v>
      </c>
      <c r="C31">
        <v>70187</v>
      </c>
      <c r="D31">
        <v>25536</v>
      </c>
      <c r="E31">
        <v>23697</v>
      </c>
      <c r="F31">
        <v>93874</v>
      </c>
      <c r="G31">
        <v>29344</v>
      </c>
      <c r="H31">
        <v>130678</v>
      </c>
      <c r="I31">
        <v>4103</v>
      </c>
      <c r="J31">
        <v>677</v>
      </c>
      <c r="K31">
        <v>1477</v>
      </c>
      <c r="L31">
        <v>4398</v>
      </c>
      <c r="M31">
        <v>1917</v>
      </c>
      <c r="N31">
        <v>3111</v>
      </c>
      <c r="O31">
        <v>2822</v>
      </c>
      <c r="P31">
        <v>1430</v>
      </c>
      <c r="Q31">
        <v>3633</v>
      </c>
      <c r="R31">
        <v>2653</v>
      </c>
      <c r="S31">
        <v>4206</v>
      </c>
      <c r="T31">
        <v>3771</v>
      </c>
      <c r="U31">
        <v>12453</v>
      </c>
      <c r="V31">
        <v>7636</v>
      </c>
      <c r="W31">
        <v>9922</v>
      </c>
      <c r="X31">
        <v>14442</v>
      </c>
      <c r="Y31">
        <v>11980</v>
      </c>
      <c r="Z31">
        <v>11571</v>
      </c>
      <c r="AA31">
        <v>191</v>
      </c>
      <c r="AB31">
        <v>1474</v>
      </c>
      <c r="AC31">
        <v>1973</v>
      </c>
      <c r="AD31">
        <v>272</v>
      </c>
      <c r="AE31">
        <v>3149</v>
      </c>
      <c r="AF31">
        <v>534</v>
      </c>
      <c r="AG31">
        <v>65473</v>
      </c>
      <c r="AH31">
        <v>1854</v>
      </c>
      <c r="AI31">
        <v>6275</v>
      </c>
      <c r="AJ31">
        <v>65920</v>
      </c>
      <c r="AK31">
        <v>6966</v>
      </c>
      <c r="AL31">
        <v>63255</v>
      </c>
      <c r="AM31">
        <v>1438</v>
      </c>
      <c r="AN31">
        <v>119</v>
      </c>
      <c r="AO31">
        <v>183</v>
      </c>
      <c r="AP31">
        <v>475</v>
      </c>
      <c r="AQ31">
        <v>124</v>
      </c>
      <c r="AR31">
        <v>582</v>
      </c>
      <c r="AS31">
        <v>679</v>
      </c>
      <c r="AT31">
        <v>891</v>
      </c>
      <c r="AU31">
        <v>1230</v>
      </c>
      <c r="AV31">
        <v>1080</v>
      </c>
      <c r="AW31">
        <v>1880</v>
      </c>
      <c r="AX31">
        <v>5904</v>
      </c>
      <c r="AY31">
        <v>32489</v>
      </c>
      <c r="AZ31">
        <v>3174</v>
      </c>
      <c r="BA31">
        <v>37449</v>
      </c>
      <c r="BB31">
        <v>1848</v>
      </c>
    </row>
    <row r="32" spans="1:54" x14ac:dyDescent="0.4">
      <c r="A32" s="1" t="s">
        <v>52</v>
      </c>
      <c r="B32" s="1" t="s">
        <v>53</v>
      </c>
      <c r="C32">
        <v>89596</v>
      </c>
      <c r="D32">
        <v>32630</v>
      </c>
      <c r="E32">
        <v>30566</v>
      </c>
      <c r="F32">
        <v>106572</v>
      </c>
      <c r="G32">
        <v>35980</v>
      </c>
      <c r="H32">
        <v>130326</v>
      </c>
      <c r="I32">
        <v>4454</v>
      </c>
      <c r="J32">
        <v>858</v>
      </c>
      <c r="K32">
        <v>1746</v>
      </c>
      <c r="L32">
        <v>4855</v>
      </c>
      <c r="M32">
        <v>2149</v>
      </c>
      <c r="N32">
        <v>2968</v>
      </c>
      <c r="O32">
        <v>3192</v>
      </c>
      <c r="P32">
        <v>1836</v>
      </c>
      <c r="Q32">
        <v>4531</v>
      </c>
      <c r="R32">
        <v>3261</v>
      </c>
      <c r="S32">
        <v>4645</v>
      </c>
      <c r="T32">
        <v>3725</v>
      </c>
      <c r="U32">
        <v>16656</v>
      </c>
      <c r="V32">
        <v>10382</v>
      </c>
      <c r="W32">
        <v>13372</v>
      </c>
      <c r="X32">
        <v>16601</v>
      </c>
      <c r="Y32">
        <v>14477</v>
      </c>
      <c r="Z32">
        <v>12346</v>
      </c>
      <c r="AA32">
        <v>267</v>
      </c>
      <c r="AB32">
        <v>2066</v>
      </c>
      <c r="AC32">
        <v>2594</v>
      </c>
      <c r="AD32">
        <v>316</v>
      </c>
      <c r="AE32">
        <v>3527</v>
      </c>
      <c r="AF32">
        <v>566</v>
      </c>
      <c r="AG32">
        <v>84962</v>
      </c>
      <c r="AH32">
        <v>2378</v>
      </c>
      <c r="AI32">
        <v>7977</v>
      </c>
      <c r="AJ32">
        <v>82845</v>
      </c>
      <c r="AK32">
        <v>8925</v>
      </c>
      <c r="AL32">
        <v>59920</v>
      </c>
      <c r="AM32">
        <v>1914</v>
      </c>
      <c r="AN32">
        <v>163</v>
      </c>
      <c r="AO32">
        <v>247</v>
      </c>
      <c r="AP32">
        <v>575</v>
      </c>
      <c r="AQ32">
        <v>159</v>
      </c>
      <c r="AR32">
        <v>583</v>
      </c>
      <c r="AS32">
        <v>951</v>
      </c>
      <c r="AT32">
        <v>1198</v>
      </c>
      <c r="AU32">
        <v>1527</v>
      </c>
      <c r="AV32">
        <v>1284</v>
      </c>
      <c r="AW32">
        <v>2218</v>
      </c>
      <c r="AX32">
        <v>6050</v>
      </c>
      <c r="AY32">
        <v>45222</v>
      </c>
      <c r="AZ32">
        <v>4268</v>
      </c>
      <c r="BA32">
        <v>49990</v>
      </c>
      <c r="BB32">
        <v>2394</v>
      </c>
    </row>
    <row r="33" spans="1:54" x14ac:dyDescent="0.4">
      <c r="A33" s="1" t="s">
        <v>54</v>
      </c>
      <c r="B33" s="1" t="s">
        <v>55</v>
      </c>
      <c r="C33">
        <v>93637</v>
      </c>
      <c r="D33">
        <v>36167</v>
      </c>
      <c r="E33">
        <v>32617</v>
      </c>
      <c r="F33">
        <v>110311</v>
      </c>
      <c r="G33">
        <v>37327</v>
      </c>
      <c r="H33">
        <v>130587</v>
      </c>
      <c r="I33">
        <v>4654</v>
      </c>
      <c r="J33">
        <v>895</v>
      </c>
      <c r="K33">
        <v>1827</v>
      </c>
      <c r="L33">
        <v>5237</v>
      </c>
      <c r="M33">
        <v>2421</v>
      </c>
      <c r="N33">
        <v>2689</v>
      </c>
      <c r="O33">
        <v>3683</v>
      </c>
      <c r="P33">
        <v>1947</v>
      </c>
      <c r="Q33">
        <v>4868</v>
      </c>
      <c r="R33">
        <v>3665</v>
      </c>
      <c r="S33">
        <v>5308</v>
      </c>
      <c r="T33">
        <v>3812</v>
      </c>
      <c r="U33">
        <v>16705</v>
      </c>
      <c r="V33">
        <v>10391</v>
      </c>
      <c r="W33">
        <v>13538</v>
      </c>
      <c r="X33">
        <v>16905</v>
      </c>
      <c r="Y33">
        <v>14773</v>
      </c>
      <c r="Z33">
        <v>12960</v>
      </c>
      <c r="AA33">
        <v>289</v>
      </c>
      <c r="AB33">
        <v>2214</v>
      </c>
      <c r="AC33">
        <v>2803</v>
      </c>
      <c r="AD33">
        <v>359</v>
      </c>
      <c r="AE33">
        <v>3812</v>
      </c>
      <c r="AF33">
        <v>589</v>
      </c>
      <c r="AG33">
        <v>89829</v>
      </c>
      <c r="AH33">
        <v>2482</v>
      </c>
      <c r="AI33">
        <v>8406</v>
      </c>
      <c r="AJ33">
        <v>84198</v>
      </c>
      <c r="AK33">
        <v>9061</v>
      </c>
      <c r="AL33">
        <v>59792</v>
      </c>
      <c r="AM33">
        <v>2025</v>
      </c>
      <c r="AN33">
        <v>193</v>
      </c>
      <c r="AO33">
        <v>273</v>
      </c>
      <c r="AP33">
        <v>597</v>
      </c>
      <c r="AQ33">
        <v>176</v>
      </c>
      <c r="AR33">
        <v>550</v>
      </c>
      <c r="AS33">
        <v>971</v>
      </c>
      <c r="AT33">
        <v>1083</v>
      </c>
      <c r="AU33">
        <v>1512</v>
      </c>
      <c r="AV33">
        <v>1268</v>
      </c>
      <c r="AW33">
        <v>2102</v>
      </c>
      <c r="AX33">
        <v>6138</v>
      </c>
      <c r="AY33">
        <v>47479</v>
      </c>
      <c r="AZ33">
        <v>4537</v>
      </c>
      <c r="BA33">
        <v>51079</v>
      </c>
      <c r="BB33">
        <v>2475</v>
      </c>
    </row>
    <row r="34" spans="1:54" x14ac:dyDescent="0.4">
      <c r="A34" s="1" t="s">
        <v>56</v>
      </c>
      <c r="B34" s="1" t="s">
        <v>57</v>
      </c>
      <c r="C34">
        <v>85535</v>
      </c>
      <c r="D34">
        <v>30545</v>
      </c>
      <c r="E34">
        <v>28985</v>
      </c>
      <c r="F34">
        <v>104726</v>
      </c>
      <c r="G34">
        <v>33765</v>
      </c>
      <c r="H34">
        <v>133694</v>
      </c>
      <c r="I34">
        <v>4369</v>
      </c>
      <c r="J34">
        <v>792</v>
      </c>
      <c r="K34">
        <v>1675</v>
      </c>
      <c r="L34">
        <v>4207</v>
      </c>
      <c r="M34">
        <v>2002</v>
      </c>
      <c r="N34">
        <v>2995</v>
      </c>
      <c r="O34">
        <v>3391</v>
      </c>
      <c r="P34">
        <v>1779</v>
      </c>
      <c r="Q34">
        <v>4226</v>
      </c>
      <c r="R34">
        <v>3626</v>
      </c>
      <c r="S34">
        <v>4681</v>
      </c>
      <c r="T34">
        <v>3694</v>
      </c>
      <c r="U34">
        <v>15030</v>
      </c>
      <c r="V34">
        <v>9364</v>
      </c>
      <c r="W34">
        <v>12320</v>
      </c>
      <c r="X34">
        <v>15184</v>
      </c>
      <c r="Y34">
        <v>13296</v>
      </c>
      <c r="Z34">
        <v>13428</v>
      </c>
      <c r="AA34">
        <v>247</v>
      </c>
      <c r="AB34">
        <v>2085</v>
      </c>
      <c r="AC34">
        <v>2638</v>
      </c>
      <c r="AD34">
        <v>307</v>
      </c>
      <c r="AE34">
        <v>3352</v>
      </c>
      <c r="AF34">
        <v>609</v>
      </c>
      <c r="AG34">
        <v>78611</v>
      </c>
      <c r="AH34">
        <v>2173</v>
      </c>
      <c r="AI34">
        <v>7477</v>
      </c>
      <c r="AJ34">
        <v>76066</v>
      </c>
      <c r="AK34">
        <v>8305</v>
      </c>
      <c r="AL34">
        <v>58353</v>
      </c>
      <c r="AM34">
        <v>1731</v>
      </c>
      <c r="AN34">
        <v>154</v>
      </c>
      <c r="AO34">
        <v>238</v>
      </c>
      <c r="AP34">
        <v>514</v>
      </c>
      <c r="AQ34">
        <v>150</v>
      </c>
      <c r="AR34">
        <v>608</v>
      </c>
      <c r="AS34">
        <v>978</v>
      </c>
      <c r="AT34">
        <v>1011</v>
      </c>
      <c r="AU34">
        <v>1399</v>
      </c>
      <c r="AV34">
        <v>1287</v>
      </c>
      <c r="AW34">
        <v>2081</v>
      </c>
      <c r="AX34">
        <v>6295</v>
      </c>
      <c r="AY34">
        <v>40138</v>
      </c>
      <c r="AZ34">
        <v>3980</v>
      </c>
      <c r="BA34">
        <v>44066</v>
      </c>
      <c r="BB34">
        <v>2207</v>
      </c>
    </row>
    <row r="35" spans="1:54" x14ac:dyDescent="0.4">
      <c r="A35" s="1" t="s">
        <v>58</v>
      </c>
      <c r="B35" s="1" t="s">
        <v>59</v>
      </c>
      <c r="C35">
        <v>86090</v>
      </c>
      <c r="D35">
        <v>30692</v>
      </c>
      <c r="E35">
        <v>28897</v>
      </c>
      <c r="F35">
        <v>107018</v>
      </c>
      <c r="G35">
        <v>36033</v>
      </c>
      <c r="H35">
        <v>131046</v>
      </c>
      <c r="I35">
        <v>4484</v>
      </c>
      <c r="J35">
        <v>808</v>
      </c>
      <c r="K35">
        <v>1757</v>
      </c>
      <c r="L35">
        <v>4683</v>
      </c>
      <c r="M35">
        <v>2274</v>
      </c>
      <c r="N35">
        <v>2909</v>
      </c>
      <c r="O35">
        <v>3576</v>
      </c>
      <c r="P35">
        <v>1716</v>
      </c>
      <c r="Q35">
        <v>4494</v>
      </c>
      <c r="R35">
        <v>3827</v>
      </c>
      <c r="S35">
        <v>5066</v>
      </c>
      <c r="T35">
        <v>3526</v>
      </c>
      <c r="U35">
        <v>14750</v>
      </c>
      <c r="V35">
        <v>9276</v>
      </c>
      <c r="W35">
        <v>12353</v>
      </c>
      <c r="X35">
        <v>15523</v>
      </c>
      <c r="Y35">
        <v>14045</v>
      </c>
      <c r="Z35">
        <v>13195</v>
      </c>
      <c r="AA35">
        <v>245</v>
      </c>
      <c r="AB35">
        <v>1826</v>
      </c>
      <c r="AC35">
        <v>2485</v>
      </c>
      <c r="AD35">
        <v>316</v>
      </c>
      <c r="AE35">
        <v>3627</v>
      </c>
      <c r="AF35">
        <v>623</v>
      </c>
      <c r="AG35">
        <v>79989</v>
      </c>
      <c r="AH35">
        <v>2188</v>
      </c>
      <c r="AI35">
        <v>7560</v>
      </c>
      <c r="AJ35">
        <v>75662</v>
      </c>
      <c r="AK35">
        <v>8342</v>
      </c>
      <c r="AL35">
        <v>58636</v>
      </c>
      <c r="AM35">
        <v>1839</v>
      </c>
      <c r="AN35">
        <v>151</v>
      </c>
      <c r="AO35">
        <v>240</v>
      </c>
      <c r="AP35">
        <v>585</v>
      </c>
      <c r="AQ35">
        <v>153</v>
      </c>
      <c r="AR35">
        <v>574</v>
      </c>
      <c r="AS35">
        <v>856</v>
      </c>
      <c r="AT35">
        <v>1009</v>
      </c>
      <c r="AU35">
        <v>1441</v>
      </c>
      <c r="AV35">
        <v>1417</v>
      </c>
      <c r="AW35">
        <v>2343</v>
      </c>
      <c r="AX35">
        <v>6233</v>
      </c>
      <c r="AY35">
        <v>41281</v>
      </c>
      <c r="AZ35">
        <v>4150</v>
      </c>
      <c r="BA35">
        <v>46291</v>
      </c>
      <c r="BB35">
        <v>2243</v>
      </c>
    </row>
    <row r="36" spans="1:54" x14ac:dyDescent="0.4">
      <c r="A36" s="1" t="s">
        <v>60</v>
      </c>
      <c r="B36" s="1" t="s">
        <v>61</v>
      </c>
      <c r="C36">
        <v>79404</v>
      </c>
      <c r="D36">
        <v>28982</v>
      </c>
      <c r="E36">
        <v>28260</v>
      </c>
      <c r="F36">
        <v>103284</v>
      </c>
      <c r="G36">
        <v>32972</v>
      </c>
      <c r="H36">
        <v>127546</v>
      </c>
      <c r="I36">
        <v>4178</v>
      </c>
      <c r="J36">
        <v>773</v>
      </c>
      <c r="K36">
        <v>1626</v>
      </c>
      <c r="L36">
        <v>4238</v>
      </c>
      <c r="M36">
        <v>2007</v>
      </c>
      <c r="N36">
        <v>2939</v>
      </c>
      <c r="O36">
        <v>3277</v>
      </c>
      <c r="P36">
        <v>1741</v>
      </c>
      <c r="Q36">
        <v>4350</v>
      </c>
      <c r="R36">
        <v>3128</v>
      </c>
      <c r="S36">
        <v>4431</v>
      </c>
      <c r="T36">
        <v>3781</v>
      </c>
      <c r="U36">
        <v>13817</v>
      </c>
      <c r="V36">
        <v>8979</v>
      </c>
      <c r="W36">
        <v>11852</v>
      </c>
      <c r="X36">
        <v>14010</v>
      </c>
      <c r="Y36">
        <v>12647</v>
      </c>
      <c r="Z36">
        <v>13570</v>
      </c>
      <c r="AA36">
        <v>239</v>
      </c>
      <c r="AB36">
        <v>1849</v>
      </c>
      <c r="AC36">
        <v>2325</v>
      </c>
      <c r="AD36">
        <v>312</v>
      </c>
      <c r="AE36">
        <v>3472</v>
      </c>
      <c r="AF36">
        <v>630</v>
      </c>
      <c r="AG36">
        <v>74496</v>
      </c>
      <c r="AH36">
        <v>2116</v>
      </c>
      <c r="AI36">
        <v>7258</v>
      </c>
      <c r="AJ36">
        <v>70144</v>
      </c>
      <c r="AK36">
        <v>7958</v>
      </c>
      <c r="AL36">
        <v>58636</v>
      </c>
      <c r="AM36">
        <v>1550</v>
      </c>
      <c r="AN36">
        <v>135</v>
      </c>
      <c r="AO36">
        <v>213</v>
      </c>
      <c r="AP36">
        <v>532</v>
      </c>
      <c r="AQ36">
        <v>143</v>
      </c>
      <c r="AR36">
        <v>499</v>
      </c>
      <c r="AS36">
        <v>848</v>
      </c>
      <c r="AT36">
        <v>971</v>
      </c>
      <c r="AU36">
        <v>1449</v>
      </c>
      <c r="AV36">
        <v>1295</v>
      </c>
      <c r="AW36">
        <v>2142</v>
      </c>
      <c r="AX36">
        <v>6270</v>
      </c>
      <c r="AY36">
        <v>40136</v>
      </c>
      <c r="AZ36">
        <v>3999</v>
      </c>
      <c r="BA36">
        <v>45164</v>
      </c>
      <c r="BB36">
        <v>2221</v>
      </c>
    </row>
    <row r="37" spans="1:54" x14ac:dyDescent="0.4">
      <c r="A37" s="1" t="s">
        <v>62</v>
      </c>
      <c r="B37" s="1" t="s">
        <v>63</v>
      </c>
      <c r="C37">
        <v>84773</v>
      </c>
      <c r="D37">
        <v>29864</v>
      </c>
      <c r="E37">
        <v>28984</v>
      </c>
      <c r="F37">
        <v>102648</v>
      </c>
      <c r="G37">
        <v>35069</v>
      </c>
      <c r="H37">
        <v>124959</v>
      </c>
      <c r="I37">
        <v>4567</v>
      </c>
      <c r="J37">
        <v>801</v>
      </c>
      <c r="K37">
        <v>1710</v>
      </c>
      <c r="L37">
        <v>4484</v>
      </c>
      <c r="M37">
        <v>2157</v>
      </c>
      <c r="N37">
        <v>3006</v>
      </c>
      <c r="O37">
        <v>3297</v>
      </c>
      <c r="P37">
        <v>1805</v>
      </c>
      <c r="Q37">
        <v>4417</v>
      </c>
      <c r="R37">
        <v>3460</v>
      </c>
      <c r="S37">
        <v>4919</v>
      </c>
      <c r="T37">
        <v>3693</v>
      </c>
      <c r="U37">
        <v>14898</v>
      </c>
      <c r="V37">
        <v>9488</v>
      </c>
      <c r="W37">
        <v>12320</v>
      </c>
      <c r="X37">
        <v>15769</v>
      </c>
      <c r="Y37">
        <v>13834</v>
      </c>
      <c r="Z37">
        <v>13396</v>
      </c>
      <c r="AA37">
        <v>231</v>
      </c>
      <c r="AB37">
        <v>1779</v>
      </c>
      <c r="AC37">
        <v>2465</v>
      </c>
      <c r="AD37">
        <v>315</v>
      </c>
      <c r="AE37">
        <v>3455</v>
      </c>
      <c r="AF37">
        <v>631</v>
      </c>
      <c r="AG37">
        <v>77306</v>
      </c>
      <c r="AH37">
        <v>2167</v>
      </c>
      <c r="AI37">
        <v>7540</v>
      </c>
      <c r="AJ37">
        <v>74787</v>
      </c>
      <c r="AK37">
        <v>8437</v>
      </c>
      <c r="AL37">
        <v>56670</v>
      </c>
      <c r="AM37">
        <v>1699</v>
      </c>
      <c r="AN37">
        <v>143</v>
      </c>
      <c r="AO37">
        <v>226</v>
      </c>
      <c r="AP37">
        <v>506</v>
      </c>
      <c r="AQ37">
        <v>132</v>
      </c>
      <c r="AR37">
        <v>496</v>
      </c>
      <c r="AS37">
        <v>773</v>
      </c>
      <c r="AT37">
        <v>988</v>
      </c>
      <c r="AU37">
        <v>1442</v>
      </c>
      <c r="AV37">
        <v>1271</v>
      </c>
      <c r="AW37">
        <v>2249</v>
      </c>
      <c r="AX37">
        <v>6238</v>
      </c>
      <c r="AY37">
        <v>41862</v>
      </c>
      <c r="AZ37">
        <v>4181</v>
      </c>
      <c r="BA37">
        <v>46684</v>
      </c>
      <c r="BB37">
        <v>2282</v>
      </c>
    </row>
    <row r="38" spans="1:54" x14ac:dyDescent="0.4">
      <c r="A38" s="1" t="s">
        <v>64</v>
      </c>
      <c r="B38" s="1" t="s">
        <v>65</v>
      </c>
      <c r="C38">
        <v>87718</v>
      </c>
      <c r="D38">
        <v>31577</v>
      </c>
      <c r="E38">
        <v>30233</v>
      </c>
      <c r="F38">
        <v>105783</v>
      </c>
      <c r="G38">
        <v>38023</v>
      </c>
      <c r="H38">
        <v>123332</v>
      </c>
      <c r="I38">
        <v>4610</v>
      </c>
      <c r="J38">
        <v>858</v>
      </c>
      <c r="K38">
        <v>1865</v>
      </c>
      <c r="L38">
        <v>4608</v>
      </c>
      <c r="M38">
        <v>2310</v>
      </c>
      <c r="N38">
        <v>3135</v>
      </c>
      <c r="O38">
        <v>3685</v>
      </c>
      <c r="P38">
        <v>1967</v>
      </c>
      <c r="Q38">
        <v>4783</v>
      </c>
      <c r="R38">
        <v>3736</v>
      </c>
      <c r="S38">
        <v>5373</v>
      </c>
      <c r="T38">
        <v>3756</v>
      </c>
      <c r="U38">
        <v>15759</v>
      </c>
      <c r="V38">
        <v>10128</v>
      </c>
      <c r="W38">
        <v>13638</v>
      </c>
      <c r="X38">
        <v>16570</v>
      </c>
      <c r="Y38">
        <v>14839</v>
      </c>
      <c r="Z38">
        <v>13289</v>
      </c>
      <c r="AA38">
        <v>261</v>
      </c>
      <c r="AB38">
        <v>2009</v>
      </c>
      <c r="AC38">
        <v>2615</v>
      </c>
      <c r="AD38">
        <v>338</v>
      </c>
      <c r="AE38">
        <v>3965</v>
      </c>
      <c r="AF38">
        <v>646</v>
      </c>
      <c r="AG38">
        <v>83660</v>
      </c>
      <c r="AH38">
        <v>2352</v>
      </c>
      <c r="AI38">
        <v>7988</v>
      </c>
      <c r="AJ38">
        <v>82336</v>
      </c>
      <c r="AK38">
        <v>9236</v>
      </c>
      <c r="AL38">
        <v>52692</v>
      </c>
      <c r="AM38">
        <v>1819</v>
      </c>
      <c r="AN38">
        <v>160</v>
      </c>
      <c r="AO38">
        <v>247</v>
      </c>
      <c r="AP38">
        <v>480</v>
      </c>
      <c r="AQ38">
        <v>142</v>
      </c>
      <c r="AR38">
        <v>460</v>
      </c>
      <c r="AS38">
        <v>807</v>
      </c>
      <c r="AT38">
        <v>1100</v>
      </c>
      <c r="AU38">
        <v>1606</v>
      </c>
      <c r="AV38">
        <v>1273</v>
      </c>
      <c r="AW38">
        <v>2326</v>
      </c>
      <c r="AX38">
        <v>6132</v>
      </c>
      <c r="AY38">
        <v>41949</v>
      </c>
      <c r="AZ38">
        <v>4378</v>
      </c>
      <c r="BA38">
        <v>46842</v>
      </c>
      <c r="BB38">
        <v>2328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60B4-BA09-400A-93DD-9E4446A92644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764</v>
      </c>
      <c r="D3" t="s">
        <v>764</v>
      </c>
      <c r="E3" t="s">
        <v>766</v>
      </c>
      <c r="F3" t="s">
        <v>766</v>
      </c>
      <c r="G3" t="s">
        <v>768</v>
      </c>
      <c r="H3" t="s">
        <v>768</v>
      </c>
      <c r="I3" t="s">
        <v>770</v>
      </c>
      <c r="J3" t="s">
        <v>770</v>
      </c>
      <c r="K3" t="s">
        <v>772</v>
      </c>
      <c r="L3" t="s">
        <v>772</v>
      </c>
      <c r="M3" t="s">
        <v>774</v>
      </c>
      <c r="N3" t="s">
        <v>774</v>
      </c>
      <c r="O3" t="s">
        <v>776</v>
      </c>
      <c r="P3" t="s">
        <v>776</v>
      </c>
      <c r="Q3" t="s">
        <v>778</v>
      </c>
      <c r="R3" t="s">
        <v>778</v>
      </c>
      <c r="S3" t="s">
        <v>780</v>
      </c>
      <c r="T3" t="s">
        <v>780</v>
      </c>
    </row>
    <row r="4" spans="1:20" x14ac:dyDescent="0.4">
      <c r="A4" s="1"/>
      <c r="B4" s="2" t="s">
        <v>1</v>
      </c>
      <c r="C4" t="s">
        <v>765</v>
      </c>
      <c r="D4" t="s">
        <v>765</v>
      </c>
      <c r="E4" t="s">
        <v>767</v>
      </c>
      <c r="F4" t="s">
        <v>767</v>
      </c>
      <c r="G4" t="s">
        <v>769</v>
      </c>
      <c r="H4" t="s">
        <v>769</v>
      </c>
      <c r="I4" t="s">
        <v>771</v>
      </c>
      <c r="J4" t="s">
        <v>771</v>
      </c>
      <c r="K4" t="s">
        <v>773</v>
      </c>
      <c r="L4" t="s">
        <v>773</v>
      </c>
      <c r="M4" t="s">
        <v>775</v>
      </c>
      <c r="N4" t="s">
        <v>775</v>
      </c>
      <c r="O4" t="s">
        <v>777</v>
      </c>
      <c r="P4" t="s">
        <v>777</v>
      </c>
      <c r="Q4" t="s">
        <v>779</v>
      </c>
      <c r="R4" t="s">
        <v>779</v>
      </c>
      <c r="S4" t="s">
        <v>781</v>
      </c>
      <c r="T4" t="s">
        <v>781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</row>
    <row r="7" spans="1:2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</row>
    <row r="8" spans="1:2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</row>
    <row r="9" spans="1:20" x14ac:dyDescent="0.4">
      <c r="A9" s="1" t="s">
        <v>6</v>
      </c>
      <c r="B9" s="3" t="s">
        <v>7</v>
      </c>
      <c r="C9">
        <v>1030486</v>
      </c>
      <c r="D9">
        <v>238156</v>
      </c>
      <c r="E9">
        <v>177291</v>
      </c>
      <c r="F9">
        <v>43074</v>
      </c>
      <c r="G9">
        <v>193916</v>
      </c>
      <c r="H9">
        <v>155228</v>
      </c>
      <c r="I9">
        <v>36202</v>
      </c>
      <c r="J9">
        <v>15111</v>
      </c>
      <c r="K9">
        <v>23367</v>
      </c>
      <c r="L9">
        <v>24670</v>
      </c>
      <c r="M9">
        <v>21963</v>
      </c>
      <c r="N9">
        <v>11279</v>
      </c>
      <c r="O9">
        <v>6907</v>
      </c>
      <c r="P9">
        <v>4930</v>
      </c>
      <c r="Q9">
        <v>52950</v>
      </c>
      <c r="R9">
        <v>22228</v>
      </c>
      <c r="S9">
        <v>56982</v>
      </c>
      <c r="T9">
        <v>15118</v>
      </c>
    </row>
    <row r="10" spans="1:20" x14ac:dyDescent="0.4">
      <c r="A10" s="1" t="s">
        <v>8</v>
      </c>
      <c r="B10" s="3" t="s">
        <v>9</v>
      </c>
      <c r="C10">
        <v>1068044</v>
      </c>
      <c r="D10">
        <v>265921</v>
      </c>
      <c r="E10">
        <v>179416</v>
      </c>
      <c r="F10">
        <v>48522</v>
      </c>
      <c r="G10">
        <v>169753</v>
      </c>
      <c r="H10">
        <v>141247</v>
      </c>
      <c r="I10">
        <v>36695</v>
      </c>
      <c r="J10">
        <v>15680</v>
      </c>
      <c r="K10">
        <v>26819</v>
      </c>
      <c r="L10">
        <v>26369</v>
      </c>
      <c r="M10">
        <v>16078</v>
      </c>
      <c r="N10">
        <v>6283</v>
      </c>
      <c r="O10">
        <v>7707</v>
      </c>
      <c r="P10">
        <v>5106</v>
      </c>
      <c r="Q10">
        <v>50909</v>
      </c>
      <c r="R10">
        <v>22322</v>
      </c>
      <c r="S10">
        <v>51650</v>
      </c>
      <c r="T10">
        <v>16051</v>
      </c>
    </row>
    <row r="11" spans="1:20" x14ac:dyDescent="0.4">
      <c r="A11" s="1" t="s">
        <v>10</v>
      </c>
      <c r="B11" s="3" t="s">
        <v>11</v>
      </c>
      <c r="C11">
        <v>1030779</v>
      </c>
      <c r="D11">
        <v>278343</v>
      </c>
      <c r="E11">
        <v>162601</v>
      </c>
      <c r="F11">
        <v>48071</v>
      </c>
      <c r="G11">
        <v>215057</v>
      </c>
      <c r="H11">
        <v>174658</v>
      </c>
      <c r="I11">
        <v>39718</v>
      </c>
      <c r="J11">
        <v>15648</v>
      </c>
      <c r="K11">
        <v>22838</v>
      </c>
      <c r="L11">
        <v>22288</v>
      </c>
      <c r="M11">
        <v>34534</v>
      </c>
      <c r="N11">
        <v>17191</v>
      </c>
      <c r="O11">
        <v>7287</v>
      </c>
      <c r="P11">
        <v>5833</v>
      </c>
      <c r="Q11">
        <v>52160</v>
      </c>
      <c r="R11">
        <v>24224</v>
      </c>
      <c r="S11">
        <v>52706</v>
      </c>
      <c r="T11">
        <v>16432</v>
      </c>
    </row>
    <row r="12" spans="1:20" x14ac:dyDescent="0.4">
      <c r="A12" s="1" t="s">
        <v>12</v>
      </c>
      <c r="B12" s="3" t="s">
        <v>13</v>
      </c>
      <c r="C12">
        <v>974528</v>
      </c>
      <c r="D12">
        <v>264678</v>
      </c>
      <c r="E12">
        <v>144737</v>
      </c>
      <c r="F12">
        <v>44582</v>
      </c>
      <c r="G12">
        <v>215847</v>
      </c>
      <c r="H12">
        <v>209989</v>
      </c>
      <c r="I12">
        <v>46579</v>
      </c>
      <c r="J12">
        <v>17541</v>
      </c>
      <c r="K12">
        <v>22749</v>
      </c>
      <c r="L12">
        <v>23461</v>
      </c>
      <c r="M12">
        <v>21079</v>
      </c>
      <c r="N12">
        <v>6777</v>
      </c>
      <c r="O12">
        <v>7082</v>
      </c>
      <c r="P12">
        <v>6463</v>
      </c>
      <c r="Q12">
        <v>53232</v>
      </c>
      <c r="R12">
        <v>24573</v>
      </c>
      <c r="S12">
        <v>54483</v>
      </c>
      <c r="T12">
        <v>17791</v>
      </c>
    </row>
    <row r="13" spans="1:20" x14ac:dyDescent="0.4">
      <c r="A13" s="1" t="s">
        <v>14</v>
      </c>
      <c r="B13" s="3" t="s">
        <v>15</v>
      </c>
      <c r="C13">
        <v>888322</v>
      </c>
      <c r="D13">
        <v>250331</v>
      </c>
      <c r="E13">
        <v>135187</v>
      </c>
      <c r="F13">
        <v>44710</v>
      </c>
      <c r="G13">
        <v>161995</v>
      </c>
      <c r="H13">
        <v>160855</v>
      </c>
      <c r="I13">
        <v>48138</v>
      </c>
      <c r="J13">
        <v>18764</v>
      </c>
      <c r="K13">
        <v>23586</v>
      </c>
      <c r="L13">
        <v>27238</v>
      </c>
      <c r="M13">
        <v>41173</v>
      </c>
      <c r="N13">
        <v>20177</v>
      </c>
      <c r="O13">
        <v>8098</v>
      </c>
      <c r="P13">
        <v>7880</v>
      </c>
      <c r="Q13">
        <v>53412</v>
      </c>
      <c r="R13">
        <v>25133</v>
      </c>
      <c r="S13">
        <v>50427</v>
      </c>
      <c r="T13">
        <v>19596</v>
      </c>
    </row>
    <row r="14" spans="1:20" x14ac:dyDescent="0.4">
      <c r="A14" s="1" t="s">
        <v>16</v>
      </c>
      <c r="B14" s="1" t="s">
        <v>17</v>
      </c>
      <c r="C14">
        <v>86909</v>
      </c>
      <c r="D14">
        <v>24671</v>
      </c>
      <c r="E14">
        <v>12253</v>
      </c>
      <c r="F14">
        <v>3546</v>
      </c>
      <c r="G14">
        <v>17942</v>
      </c>
      <c r="H14">
        <v>21715</v>
      </c>
      <c r="I14">
        <v>3616</v>
      </c>
      <c r="J14">
        <v>1548</v>
      </c>
      <c r="K14">
        <v>3808</v>
      </c>
      <c r="L14">
        <v>4623</v>
      </c>
      <c r="M14">
        <v>3577</v>
      </c>
      <c r="N14">
        <v>1140</v>
      </c>
      <c r="O14">
        <v>1029</v>
      </c>
      <c r="P14">
        <v>860</v>
      </c>
      <c r="Q14">
        <v>4597</v>
      </c>
      <c r="R14">
        <v>2070</v>
      </c>
      <c r="S14">
        <v>4759</v>
      </c>
      <c r="T14">
        <v>1674</v>
      </c>
    </row>
    <row r="15" spans="1:20" x14ac:dyDescent="0.4">
      <c r="A15" s="1" t="s">
        <v>18</v>
      </c>
      <c r="B15" s="1" t="s">
        <v>19</v>
      </c>
      <c r="C15">
        <v>84813</v>
      </c>
      <c r="D15">
        <v>22991</v>
      </c>
      <c r="E15">
        <v>11783</v>
      </c>
      <c r="F15">
        <v>3624</v>
      </c>
      <c r="G15">
        <v>25027</v>
      </c>
      <c r="H15">
        <v>22466</v>
      </c>
      <c r="I15">
        <v>3862</v>
      </c>
      <c r="J15">
        <v>1245</v>
      </c>
      <c r="K15">
        <v>1754</v>
      </c>
      <c r="L15">
        <v>1746</v>
      </c>
      <c r="M15">
        <v>1263</v>
      </c>
      <c r="N15">
        <v>498</v>
      </c>
      <c r="O15">
        <v>372</v>
      </c>
      <c r="P15">
        <v>458</v>
      </c>
      <c r="Q15">
        <v>4539</v>
      </c>
      <c r="R15">
        <v>2104</v>
      </c>
      <c r="S15">
        <v>4730</v>
      </c>
      <c r="T15">
        <v>1602</v>
      </c>
    </row>
    <row r="16" spans="1:20" x14ac:dyDescent="0.4">
      <c r="A16" s="1" t="s">
        <v>20</v>
      </c>
      <c r="B16" s="1" t="s">
        <v>21</v>
      </c>
      <c r="C16">
        <v>83155</v>
      </c>
      <c r="D16">
        <v>22142</v>
      </c>
      <c r="E16">
        <v>11919</v>
      </c>
      <c r="F16">
        <v>3684</v>
      </c>
      <c r="G16">
        <v>14397</v>
      </c>
      <c r="H16">
        <v>12826</v>
      </c>
      <c r="I16">
        <v>3545</v>
      </c>
      <c r="J16">
        <v>1218</v>
      </c>
      <c r="K16">
        <v>1516</v>
      </c>
      <c r="L16">
        <v>1510</v>
      </c>
      <c r="M16">
        <v>978</v>
      </c>
      <c r="N16">
        <v>262</v>
      </c>
      <c r="O16">
        <v>565</v>
      </c>
      <c r="P16">
        <v>456</v>
      </c>
      <c r="Q16">
        <v>4754</v>
      </c>
      <c r="R16">
        <v>2116</v>
      </c>
      <c r="S16">
        <v>4988</v>
      </c>
      <c r="T16">
        <v>1652</v>
      </c>
    </row>
    <row r="17" spans="1:20" x14ac:dyDescent="0.4">
      <c r="A17" s="1" t="s">
        <v>22</v>
      </c>
      <c r="B17" s="1" t="s">
        <v>23</v>
      </c>
      <c r="C17">
        <v>84204</v>
      </c>
      <c r="D17">
        <v>22370</v>
      </c>
      <c r="E17">
        <v>13084</v>
      </c>
      <c r="F17">
        <v>3930</v>
      </c>
      <c r="G17">
        <v>11975</v>
      </c>
      <c r="H17">
        <v>12349</v>
      </c>
      <c r="I17">
        <v>3572</v>
      </c>
      <c r="J17">
        <v>1342</v>
      </c>
      <c r="K17">
        <v>1643</v>
      </c>
      <c r="L17">
        <v>1764</v>
      </c>
      <c r="M17">
        <v>2046</v>
      </c>
      <c r="N17">
        <v>607</v>
      </c>
      <c r="O17">
        <v>648</v>
      </c>
      <c r="P17">
        <v>425</v>
      </c>
      <c r="Q17">
        <v>4185</v>
      </c>
      <c r="R17">
        <v>2119</v>
      </c>
      <c r="S17">
        <v>4378</v>
      </c>
      <c r="T17">
        <v>1624</v>
      </c>
    </row>
    <row r="18" spans="1:20" x14ac:dyDescent="0.4">
      <c r="A18" s="1" t="s">
        <v>24</v>
      </c>
      <c r="B18" s="1" t="s">
        <v>25</v>
      </c>
      <c r="C18">
        <v>82483</v>
      </c>
      <c r="D18">
        <v>21674</v>
      </c>
      <c r="E18">
        <v>14735</v>
      </c>
      <c r="F18">
        <v>4463</v>
      </c>
      <c r="G18">
        <v>30206</v>
      </c>
      <c r="H18">
        <v>25067</v>
      </c>
      <c r="I18">
        <v>4050</v>
      </c>
      <c r="J18">
        <v>1382</v>
      </c>
      <c r="K18">
        <v>1020</v>
      </c>
      <c r="L18">
        <v>1102</v>
      </c>
      <c r="M18">
        <v>1648</v>
      </c>
      <c r="N18">
        <v>433</v>
      </c>
      <c r="O18">
        <v>772</v>
      </c>
      <c r="P18">
        <v>490</v>
      </c>
      <c r="Q18">
        <v>4808</v>
      </c>
      <c r="R18">
        <v>2148</v>
      </c>
      <c r="S18">
        <v>4324</v>
      </c>
      <c r="T18">
        <v>1526</v>
      </c>
    </row>
    <row r="19" spans="1:20" x14ac:dyDescent="0.4">
      <c r="A19" s="1" t="s">
        <v>26</v>
      </c>
      <c r="B19" s="1" t="s">
        <v>27</v>
      </c>
      <c r="C19">
        <v>81244</v>
      </c>
      <c r="D19">
        <v>20831</v>
      </c>
      <c r="E19">
        <v>11256</v>
      </c>
      <c r="F19">
        <v>3427</v>
      </c>
      <c r="G19">
        <v>16605</v>
      </c>
      <c r="H19">
        <v>18966</v>
      </c>
      <c r="I19">
        <v>3738</v>
      </c>
      <c r="J19">
        <v>1348</v>
      </c>
      <c r="K19">
        <v>1701</v>
      </c>
      <c r="L19">
        <v>1188</v>
      </c>
      <c r="M19">
        <v>1193</v>
      </c>
      <c r="N19">
        <v>312</v>
      </c>
      <c r="O19">
        <v>500</v>
      </c>
      <c r="P19">
        <v>488</v>
      </c>
      <c r="Q19">
        <v>3649</v>
      </c>
      <c r="R19">
        <v>1880</v>
      </c>
      <c r="S19">
        <v>3814</v>
      </c>
      <c r="T19">
        <v>1476</v>
      </c>
    </row>
    <row r="20" spans="1:20" x14ac:dyDescent="0.4">
      <c r="A20" s="1" t="s">
        <v>28</v>
      </c>
      <c r="B20" s="1" t="s">
        <v>29</v>
      </c>
      <c r="C20">
        <v>83784</v>
      </c>
      <c r="D20">
        <v>21973</v>
      </c>
      <c r="E20">
        <v>12927</v>
      </c>
      <c r="F20">
        <v>3907</v>
      </c>
      <c r="G20">
        <v>11728</v>
      </c>
      <c r="H20">
        <v>12288</v>
      </c>
      <c r="I20">
        <v>4943</v>
      </c>
      <c r="J20">
        <v>2120</v>
      </c>
      <c r="K20">
        <v>1859</v>
      </c>
      <c r="L20">
        <v>1704</v>
      </c>
      <c r="M20">
        <v>2097</v>
      </c>
      <c r="N20">
        <v>601</v>
      </c>
      <c r="O20">
        <v>501</v>
      </c>
      <c r="P20">
        <v>692</v>
      </c>
      <c r="Q20">
        <v>3983</v>
      </c>
      <c r="R20">
        <v>2074</v>
      </c>
      <c r="S20">
        <v>5129</v>
      </c>
      <c r="T20">
        <v>1666</v>
      </c>
    </row>
    <row r="21" spans="1:20" x14ac:dyDescent="0.4">
      <c r="A21" s="1" t="s">
        <v>30</v>
      </c>
      <c r="B21" s="1" t="s">
        <v>31</v>
      </c>
      <c r="C21">
        <v>80412</v>
      </c>
      <c r="D21">
        <v>24342</v>
      </c>
      <c r="E21">
        <v>13672</v>
      </c>
      <c r="F21">
        <v>4370</v>
      </c>
      <c r="G21">
        <v>26034</v>
      </c>
      <c r="H21">
        <v>25752</v>
      </c>
      <c r="I21">
        <v>4242</v>
      </c>
      <c r="J21">
        <v>1630</v>
      </c>
      <c r="K21">
        <v>2080</v>
      </c>
      <c r="L21">
        <v>1698</v>
      </c>
      <c r="M21">
        <v>1730</v>
      </c>
      <c r="N21">
        <v>543</v>
      </c>
      <c r="O21">
        <v>541</v>
      </c>
      <c r="P21">
        <v>589</v>
      </c>
      <c r="Q21">
        <v>5068</v>
      </c>
      <c r="R21">
        <v>2050</v>
      </c>
      <c r="S21">
        <v>4605</v>
      </c>
      <c r="T21">
        <v>1493</v>
      </c>
    </row>
    <row r="22" spans="1:20" x14ac:dyDescent="0.4">
      <c r="A22" s="1" t="s">
        <v>32</v>
      </c>
      <c r="B22" s="1" t="s">
        <v>33</v>
      </c>
      <c r="C22">
        <v>73194</v>
      </c>
      <c r="D22">
        <v>20317</v>
      </c>
      <c r="E22">
        <v>11322</v>
      </c>
      <c r="F22">
        <v>3709</v>
      </c>
      <c r="G22">
        <v>15738</v>
      </c>
      <c r="H22">
        <v>13745</v>
      </c>
      <c r="I22">
        <v>3974</v>
      </c>
      <c r="J22">
        <v>1383</v>
      </c>
      <c r="K22">
        <v>1409</v>
      </c>
      <c r="L22">
        <v>1768</v>
      </c>
      <c r="M22">
        <v>1592</v>
      </c>
      <c r="N22">
        <v>729</v>
      </c>
      <c r="O22">
        <v>468</v>
      </c>
      <c r="P22">
        <v>625</v>
      </c>
      <c r="Q22">
        <v>4889</v>
      </c>
      <c r="R22">
        <v>1989</v>
      </c>
      <c r="S22">
        <v>4546</v>
      </c>
      <c r="T22">
        <v>1509</v>
      </c>
    </row>
    <row r="23" spans="1:20" x14ac:dyDescent="0.4">
      <c r="A23" s="1" t="s">
        <v>34</v>
      </c>
      <c r="B23" s="1" t="s">
        <v>35</v>
      </c>
      <c r="C23">
        <v>72297</v>
      </c>
      <c r="D23">
        <v>19919</v>
      </c>
      <c r="E23">
        <v>11091</v>
      </c>
      <c r="F23">
        <v>3638</v>
      </c>
      <c r="G23">
        <v>17471</v>
      </c>
      <c r="H23">
        <v>20077</v>
      </c>
      <c r="I23">
        <v>3854</v>
      </c>
      <c r="J23">
        <v>1406</v>
      </c>
      <c r="K23">
        <v>1929</v>
      </c>
      <c r="L23">
        <v>2339</v>
      </c>
      <c r="M23">
        <v>906</v>
      </c>
      <c r="N23">
        <v>394</v>
      </c>
      <c r="O23">
        <v>761</v>
      </c>
      <c r="P23">
        <v>556</v>
      </c>
      <c r="Q23">
        <v>4195</v>
      </c>
      <c r="R23">
        <v>1964</v>
      </c>
      <c r="S23">
        <v>3770</v>
      </c>
      <c r="T23">
        <v>1204</v>
      </c>
    </row>
    <row r="24" spans="1:20" x14ac:dyDescent="0.4">
      <c r="A24" s="1" t="s">
        <v>36</v>
      </c>
      <c r="B24" s="1" t="s">
        <v>37</v>
      </c>
      <c r="C24">
        <v>72697</v>
      </c>
      <c r="D24">
        <v>20894</v>
      </c>
      <c r="E24">
        <v>10530</v>
      </c>
      <c r="F24">
        <v>3452</v>
      </c>
      <c r="G24">
        <v>9949</v>
      </c>
      <c r="H24">
        <v>10360</v>
      </c>
      <c r="I24">
        <v>3972</v>
      </c>
      <c r="J24">
        <v>1390</v>
      </c>
      <c r="K24">
        <v>1960</v>
      </c>
      <c r="L24">
        <v>2157</v>
      </c>
      <c r="M24">
        <v>23460</v>
      </c>
      <c r="N24">
        <v>14040</v>
      </c>
      <c r="O24">
        <v>560</v>
      </c>
      <c r="P24">
        <v>570</v>
      </c>
      <c r="Q24">
        <v>4256</v>
      </c>
      <c r="R24">
        <v>2007</v>
      </c>
      <c r="S24">
        <v>3512</v>
      </c>
      <c r="T24">
        <v>1214</v>
      </c>
    </row>
    <row r="25" spans="1:20" x14ac:dyDescent="0.4">
      <c r="A25" s="1" t="s">
        <v>38</v>
      </c>
      <c r="B25" s="1" t="s">
        <v>39</v>
      </c>
      <c r="C25">
        <v>70246</v>
      </c>
      <c r="D25">
        <v>19748</v>
      </c>
      <c r="E25">
        <v>10145</v>
      </c>
      <c r="F25">
        <v>3208</v>
      </c>
      <c r="G25">
        <v>17726</v>
      </c>
      <c r="H25">
        <v>14630</v>
      </c>
      <c r="I25">
        <v>3742</v>
      </c>
      <c r="J25">
        <v>1479</v>
      </c>
      <c r="K25">
        <v>1901</v>
      </c>
      <c r="L25">
        <v>2208</v>
      </c>
      <c r="M25">
        <v>1152</v>
      </c>
      <c r="N25">
        <v>396</v>
      </c>
      <c r="O25">
        <v>695</v>
      </c>
      <c r="P25">
        <v>692</v>
      </c>
      <c r="Q25">
        <v>4139</v>
      </c>
      <c r="R25">
        <v>2083</v>
      </c>
      <c r="S25">
        <v>4011</v>
      </c>
      <c r="T25">
        <v>1288</v>
      </c>
    </row>
    <row r="26" spans="1:20" x14ac:dyDescent="0.4">
      <c r="A26" s="1" t="s">
        <v>40</v>
      </c>
      <c r="B26" s="1" t="s">
        <v>41</v>
      </c>
      <c r="C26">
        <v>81841</v>
      </c>
      <c r="D26">
        <v>22920</v>
      </c>
      <c r="E26">
        <v>11736</v>
      </c>
      <c r="F26">
        <v>3673</v>
      </c>
      <c r="G26">
        <v>22667</v>
      </c>
      <c r="H26">
        <v>28597</v>
      </c>
      <c r="I26">
        <v>4542</v>
      </c>
      <c r="J26">
        <v>2306</v>
      </c>
      <c r="K26">
        <v>4388</v>
      </c>
      <c r="L26">
        <v>5485</v>
      </c>
      <c r="M26">
        <v>3189</v>
      </c>
      <c r="N26">
        <v>1070</v>
      </c>
      <c r="O26">
        <v>1237</v>
      </c>
      <c r="P26">
        <v>967</v>
      </c>
      <c r="Q26">
        <v>4083</v>
      </c>
      <c r="R26">
        <v>2059</v>
      </c>
      <c r="S26">
        <v>4651</v>
      </c>
      <c r="T26">
        <v>1993</v>
      </c>
    </row>
    <row r="27" spans="1:20" x14ac:dyDescent="0.4">
      <c r="A27" s="1" t="s">
        <v>42</v>
      </c>
      <c r="B27" s="1" t="s">
        <v>43</v>
      </c>
      <c r="C27">
        <v>77007</v>
      </c>
      <c r="D27">
        <v>20463</v>
      </c>
      <c r="E27">
        <v>12639</v>
      </c>
      <c r="F27">
        <v>3797</v>
      </c>
      <c r="G27">
        <v>10524</v>
      </c>
      <c r="H27">
        <v>10549</v>
      </c>
      <c r="I27">
        <v>3296</v>
      </c>
      <c r="J27">
        <v>1171</v>
      </c>
      <c r="K27">
        <v>2266</v>
      </c>
      <c r="L27">
        <v>2365</v>
      </c>
      <c r="M27">
        <v>1265</v>
      </c>
      <c r="N27">
        <v>302</v>
      </c>
      <c r="O27">
        <v>455</v>
      </c>
      <c r="P27">
        <v>708</v>
      </c>
      <c r="Q27">
        <v>4647</v>
      </c>
      <c r="R27">
        <v>2177</v>
      </c>
      <c r="S27">
        <v>3866</v>
      </c>
      <c r="T27">
        <v>1605</v>
      </c>
    </row>
    <row r="28" spans="1:20" x14ac:dyDescent="0.4">
      <c r="A28" s="1" t="s">
        <v>44</v>
      </c>
      <c r="B28" s="1" t="s">
        <v>45</v>
      </c>
      <c r="C28">
        <v>75209</v>
      </c>
      <c r="D28">
        <v>20278</v>
      </c>
      <c r="E28">
        <v>11401</v>
      </c>
      <c r="F28">
        <v>3783</v>
      </c>
      <c r="G28">
        <v>10433</v>
      </c>
      <c r="H28">
        <v>9399</v>
      </c>
      <c r="I28">
        <v>3822</v>
      </c>
      <c r="J28">
        <v>1333</v>
      </c>
      <c r="K28">
        <v>1476</v>
      </c>
      <c r="L28">
        <v>1767</v>
      </c>
      <c r="M28">
        <v>1349</v>
      </c>
      <c r="N28">
        <v>335</v>
      </c>
      <c r="O28">
        <v>423</v>
      </c>
      <c r="P28">
        <v>593</v>
      </c>
      <c r="Q28">
        <v>4924</v>
      </c>
      <c r="R28">
        <v>2010</v>
      </c>
      <c r="S28">
        <v>4202</v>
      </c>
      <c r="T28">
        <v>1659</v>
      </c>
    </row>
    <row r="29" spans="1:20" x14ac:dyDescent="0.4">
      <c r="A29" s="1" t="s">
        <v>46</v>
      </c>
      <c r="B29" s="1" t="s">
        <v>47</v>
      </c>
      <c r="C29">
        <v>75332</v>
      </c>
      <c r="D29">
        <v>22031</v>
      </c>
      <c r="E29">
        <v>12888</v>
      </c>
      <c r="F29">
        <v>4271</v>
      </c>
      <c r="G29">
        <v>20346</v>
      </c>
      <c r="H29">
        <v>17059</v>
      </c>
      <c r="I29">
        <v>4087</v>
      </c>
      <c r="J29">
        <v>1538</v>
      </c>
      <c r="K29">
        <v>2663</v>
      </c>
      <c r="L29">
        <v>2774</v>
      </c>
      <c r="M29">
        <v>2192</v>
      </c>
      <c r="N29">
        <v>593</v>
      </c>
      <c r="O29">
        <v>901</v>
      </c>
      <c r="P29">
        <v>677</v>
      </c>
      <c r="Q29">
        <v>4485</v>
      </c>
      <c r="R29">
        <v>2159</v>
      </c>
      <c r="S29">
        <v>4534</v>
      </c>
      <c r="T29">
        <v>1825</v>
      </c>
    </row>
    <row r="30" spans="1:20" x14ac:dyDescent="0.4">
      <c r="A30" s="1" t="s">
        <v>48</v>
      </c>
      <c r="B30" s="1" t="s">
        <v>49</v>
      </c>
      <c r="C30">
        <v>76897</v>
      </c>
      <c r="D30">
        <v>21770</v>
      </c>
      <c r="E30">
        <v>13277</v>
      </c>
      <c r="F30">
        <v>4399</v>
      </c>
      <c r="G30">
        <v>14547</v>
      </c>
      <c r="H30">
        <v>12510</v>
      </c>
      <c r="I30">
        <v>4193</v>
      </c>
      <c r="J30">
        <v>1546</v>
      </c>
      <c r="K30">
        <v>976</v>
      </c>
      <c r="L30">
        <v>1173</v>
      </c>
      <c r="M30">
        <v>1572</v>
      </c>
      <c r="N30">
        <v>476</v>
      </c>
      <c r="O30">
        <v>738</v>
      </c>
      <c r="P30">
        <v>674</v>
      </c>
      <c r="Q30">
        <v>4877</v>
      </c>
      <c r="R30">
        <v>2183</v>
      </c>
      <c r="S30">
        <v>5072</v>
      </c>
      <c r="T30">
        <v>1580</v>
      </c>
    </row>
    <row r="31" spans="1:20" x14ac:dyDescent="0.4">
      <c r="A31" s="1" t="s">
        <v>50</v>
      </c>
      <c r="B31" s="1" t="s">
        <v>51</v>
      </c>
      <c r="C31">
        <v>61426</v>
      </c>
      <c r="D31">
        <v>18402</v>
      </c>
      <c r="E31">
        <v>9917</v>
      </c>
      <c r="F31">
        <v>3216</v>
      </c>
      <c r="G31">
        <v>9095</v>
      </c>
      <c r="H31">
        <v>7943</v>
      </c>
      <c r="I31">
        <v>3539</v>
      </c>
      <c r="J31">
        <v>1521</v>
      </c>
      <c r="K31">
        <v>1827</v>
      </c>
      <c r="L31">
        <v>1524</v>
      </c>
      <c r="M31">
        <v>927</v>
      </c>
      <c r="N31">
        <v>352</v>
      </c>
      <c r="O31">
        <v>460</v>
      </c>
      <c r="P31">
        <v>673</v>
      </c>
      <c r="Q31">
        <v>3996</v>
      </c>
      <c r="R31">
        <v>1870</v>
      </c>
      <c r="S31">
        <v>4210</v>
      </c>
      <c r="T31">
        <v>1615</v>
      </c>
    </row>
    <row r="32" spans="1:20" x14ac:dyDescent="0.4">
      <c r="A32" s="1" t="s">
        <v>52</v>
      </c>
      <c r="B32" s="1" t="s">
        <v>53</v>
      </c>
      <c r="C32">
        <v>75362</v>
      </c>
      <c r="D32">
        <v>21236</v>
      </c>
      <c r="E32">
        <v>10976</v>
      </c>
      <c r="F32">
        <v>3800</v>
      </c>
      <c r="G32">
        <v>12610</v>
      </c>
      <c r="H32">
        <v>13622</v>
      </c>
      <c r="I32">
        <v>4436</v>
      </c>
      <c r="J32">
        <v>1759</v>
      </c>
      <c r="K32">
        <v>1089</v>
      </c>
      <c r="L32">
        <v>1302</v>
      </c>
      <c r="M32">
        <v>2238</v>
      </c>
      <c r="N32">
        <v>1268</v>
      </c>
      <c r="O32">
        <v>872</v>
      </c>
      <c r="P32">
        <v>831</v>
      </c>
      <c r="Q32">
        <v>4596</v>
      </c>
      <c r="R32">
        <v>2056</v>
      </c>
      <c r="S32">
        <v>3971</v>
      </c>
      <c r="T32">
        <v>1758</v>
      </c>
    </row>
    <row r="33" spans="1:20" x14ac:dyDescent="0.4">
      <c r="A33" s="1" t="s">
        <v>54</v>
      </c>
      <c r="B33" s="1" t="s">
        <v>55</v>
      </c>
      <c r="C33">
        <v>75587</v>
      </c>
      <c r="D33">
        <v>21192</v>
      </c>
      <c r="E33">
        <v>11517</v>
      </c>
      <c r="F33">
        <v>4133</v>
      </c>
      <c r="G33">
        <v>13703</v>
      </c>
      <c r="H33">
        <v>14535</v>
      </c>
      <c r="I33">
        <v>4981</v>
      </c>
      <c r="J33">
        <v>1848</v>
      </c>
      <c r="K33">
        <v>1388</v>
      </c>
      <c r="L33">
        <v>1965</v>
      </c>
      <c r="M33">
        <v>1116</v>
      </c>
      <c r="N33">
        <v>341</v>
      </c>
      <c r="O33">
        <v>790</v>
      </c>
      <c r="P33">
        <v>634</v>
      </c>
      <c r="Q33">
        <v>4945</v>
      </c>
      <c r="R33">
        <v>2262</v>
      </c>
      <c r="S33">
        <v>4088</v>
      </c>
      <c r="T33">
        <v>1654</v>
      </c>
    </row>
    <row r="34" spans="1:20" x14ac:dyDescent="0.4">
      <c r="A34" s="1" t="s">
        <v>56</v>
      </c>
      <c r="B34" s="1" t="s">
        <v>57</v>
      </c>
      <c r="C34">
        <v>73178</v>
      </c>
      <c r="D34">
        <v>20952</v>
      </c>
      <c r="E34">
        <v>9640</v>
      </c>
      <c r="F34">
        <v>3344</v>
      </c>
      <c r="G34">
        <v>9148</v>
      </c>
      <c r="H34">
        <v>9457</v>
      </c>
      <c r="I34">
        <v>3954</v>
      </c>
      <c r="J34">
        <v>1533</v>
      </c>
      <c r="K34">
        <v>1327</v>
      </c>
      <c r="L34">
        <v>1780</v>
      </c>
      <c r="M34">
        <v>1277</v>
      </c>
      <c r="N34">
        <v>556</v>
      </c>
      <c r="O34">
        <v>620</v>
      </c>
      <c r="P34">
        <v>398</v>
      </c>
      <c r="Q34">
        <v>4319</v>
      </c>
      <c r="R34">
        <v>2089</v>
      </c>
      <c r="S34">
        <v>4085</v>
      </c>
      <c r="T34">
        <v>1624</v>
      </c>
    </row>
    <row r="35" spans="1:20" x14ac:dyDescent="0.4">
      <c r="A35" s="1" t="s">
        <v>58</v>
      </c>
      <c r="B35" s="1" t="s">
        <v>59</v>
      </c>
      <c r="C35">
        <v>73540</v>
      </c>
      <c r="D35">
        <v>20445</v>
      </c>
      <c r="E35">
        <v>10521</v>
      </c>
      <c r="F35">
        <v>3634</v>
      </c>
      <c r="G35">
        <v>11247</v>
      </c>
      <c r="H35">
        <v>12194</v>
      </c>
      <c r="I35">
        <v>3574</v>
      </c>
      <c r="J35">
        <v>1340</v>
      </c>
      <c r="K35">
        <v>2325</v>
      </c>
      <c r="L35">
        <v>2738</v>
      </c>
      <c r="M35">
        <v>1436</v>
      </c>
      <c r="N35">
        <v>448</v>
      </c>
      <c r="O35">
        <v>347</v>
      </c>
      <c r="P35">
        <v>463</v>
      </c>
      <c r="Q35">
        <v>4145</v>
      </c>
      <c r="R35">
        <v>2178</v>
      </c>
      <c r="S35">
        <v>4225</v>
      </c>
      <c r="T35">
        <v>1781</v>
      </c>
    </row>
    <row r="36" spans="1:20" x14ac:dyDescent="0.4">
      <c r="A36" s="1" t="s">
        <v>60</v>
      </c>
      <c r="B36" s="1" t="s">
        <v>61</v>
      </c>
      <c r="C36">
        <v>68971</v>
      </c>
      <c r="D36">
        <v>19125</v>
      </c>
      <c r="E36">
        <v>9578</v>
      </c>
      <c r="F36">
        <v>3387</v>
      </c>
      <c r="G36">
        <v>9610</v>
      </c>
      <c r="H36">
        <v>10222</v>
      </c>
      <c r="I36">
        <v>3384</v>
      </c>
      <c r="J36">
        <v>1297</v>
      </c>
      <c r="K36">
        <v>2132</v>
      </c>
      <c r="L36">
        <v>2755</v>
      </c>
      <c r="M36">
        <v>1569</v>
      </c>
      <c r="N36">
        <v>520</v>
      </c>
      <c r="O36">
        <v>516</v>
      </c>
      <c r="P36">
        <v>458</v>
      </c>
      <c r="Q36">
        <v>4048</v>
      </c>
      <c r="R36">
        <v>2011</v>
      </c>
      <c r="S36">
        <v>4572</v>
      </c>
      <c r="T36">
        <v>1962</v>
      </c>
    </row>
    <row r="37" spans="1:20" x14ac:dyDescent="0.4">
      <c r="A37" s="1" t="s">
        <v>62</v>
      </c>
      <c r="B37" s="1" t="s">
        <v>63</v>
      </c>
      <c r="C37">
        <v>73633</v>
      </c>
      <c r="D37">
        <v>20596</v>
      </c>
      <c r="E37">
        <v>8221</v>
      </c>
      <c r="F37">
        <v>2876</v>
      </c>
      <c r="G37">
        <v>9701</v>
      </c>
      <c r="H37">
        <v>10132</v>
      </c>
      <c r="I37">
        <v>3578</v>
      </c>
      <c r="J37">
        <v>1568</v>
      </c>
      <c r="K37">
        <v>2261</v>
      </c>
      <c r="L37">
        <v>2636</v>
      </c>
      <c r="M37">
        <v>1648</v>
      </c>
      <c r="N37">
        <v>475</v>
      </c>
      <c r="O37">
        <v>655</v>
      </c>
      <c r="P37">
        <v>544</v>
      </c>
      <c r="Q37">
        <v>4101</v>
      </c>
      <c r="R37">
        <v>2017</v>
      </c>
      <c r="S37">
        <v>4425</v>
      </c>
      <c r="T37">
        <v>1737</v>
      </c>
    </row>
    <row r="38" spans="1:20" x14ac:dyDescent="0.4">
      <c r="A38" s="1" t="s">
        <v>64</v>
      </c>
      <c r="B38" s="1" t="s">
        <v>65</v>
      </c>
      <c r="C38">
        <v>74318</v>
      </c>
      <c r="D38">
        <v>22323</v>
      </c>
      <c r="E38">
        <v>10375</v>
      </c>
      <c r="F38">
        <v>3459</v>
      </c>
      <c r="G38">
        <v>11732</v>
      </c>
      <c r="H38">
        <v>15046</v>
      </c>
      <c r="I38">
        <v>3524</v>
      </c>
      <c r="J38">
        <v>1773</v>
      </c>
      <c r="K38">
        <v>4065</v>
      </c>
      <c r="L38">
        <v>5434</v>
      </c>
      <c r="M38">
        <v>3307</v>
      </c>
      <c r="N38">
        <v>1748</v>
      </c>
      <c r="O38">
        <v>758</v>
      </c>
      <c r="P38">
        <v>784</v>
      </c>
      <c r="Q38">
        <v>4737</v>
      </c>
      <c r="R38">
        <v>2252</v>
      </c>
      <c r="S38">
        <v>6221</v>
      </c>
      <c r="T38">
        <v>3655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4D226-D330-40D3-BA16-04EBA053F840}">
  <dimension ref="A1:AK40"/>
  <sheetViews>
    <sheetView workbookViewId="0">
      <selection activeCell="C9" sqref="C9"/>
    </sheetView>
  </sheetViews>
  <sheetFormatPr defaultColWidth="15.62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782</v>
      </c>
      <c r="D3" t="s">
        <v>782</v>
      </c>
      <c r="E3" t="s">
        <v>782</v>
      </c>
      <c r="F3" t="s">
        <v>782</v>
      </c>
      <c r="G3" t="s">
        <v>782</v>
      </c>
      <c r="H3" t="s">
        <v>784</v>
      </c>
      <c r="I3" t="s">
        <v>784</v>
      </c>
      <c r="J3" t="s">
        <v>784</v>
      </c>
      <c r="K3" t="s">
        <v>784</v>
      </c>
      <c r="L3" t="s">
        <v>784</v>
      </c>
      <c r="M3" t="s">
        <v>786</v>
      </c>
      <c r="N3" t="s">
        <v>786</v>
      </c>
      <c r="O3" t="s">
        <v>786</v>
      </c>
      <c r="P3" t="s">
        <v>786</v>
      </c>
      <c r="Q3" t="s">
        <v>786</v>
      </c>
      <c r="R3" t="s">
        <v>788</v>
      </c>
      <c r="S3" t="s">
        <v>788</v>
      </c>
      <c r="T3" t="s">
        <v>788</v>
      </c>
      <c r="U3" t="s">
        <v>788</v>
      </c>
      <c r="V3" t="s">
        <v>788</v>
      </c>
      <c r="W3" t="s">
        <v>790</v>
      </c>
      <c r="X3" t="s">
        <v>790</v>
      </c>
      <c r="Y3" t="s">
        <v>790</v>
      </c>
      <c r="Z3" t="s">
        <v>790</v>
      </c>
      <c r="AA3" t="s">
        <v>790</v>
      </c>
      <c r="AB3" t="s">
        <v>792</v>
      </c>
      <c r="AC3" t="s">
        <v>792</v>
      </c>
      <c r="AD3" t="s">
        <v>792</v>
      </c>
      <c r="AE3" t="s">
        <v>792</v>
      </c>
      <c r="AF3" t="s">
        <v>792</v>
      </c>
      <c r="AG3" t="s">
        <v>794</v>
      </c>
      <c r="AH3" t="s">
        <v>794</v>
      </c>
      <c r="AI3" t="s">
        <v>794</v>
      </c>
      <c r="AJ3" t="s">
        <v>794</v>
      </c>
      <c r="AK3" t="s">
        <v>794</v>
      </c>
    </row>
    <row r="4" spans="1:37" x14ac:dyDescent="0.4">
      <c r="A4" s="1"/>
      <c r="B4" s="2" t="s">
        <v>1</v>
      </c>
      <c r="C4" t="s">
        <v>783</v>
      </c>
      <c r="D4" t="s">
        <v>783</v>
      </c>
      <c r="E4" t="s">
        <v>783</v>
      </c>
      <c r="F4" t="s">
        <v>783</v>
      </c>
      <c r="G4" t="s">
        <v>783</v>
      </c>
      <c r="H4" t="s">
        <v>785</v>
      </c>
      <c r="I4" t="s">
        <v>785</v>
      </c>
      <c r="J4" t="s">
        <v>785</v>
      </c>
      <c r="K4" t="s">
        <v>785</v>
      </c>
      <c r="L4" t="s">
        <v>785</v>
      </c>
      <c r="M4" t="s">
        <v>787</v>
      </c>
      <c r="N4" t="s">
        <v>787</v>
      </c>
      <c r="O4" t="s">
        <v>787</v>
      </c>
      <c r="P4" t="s">
        <v>787</v>
      </c>
      <c r="Q4" t="s">
        <v>787</v>
      </c>
      <c r="R4" t="s">
        <v>789</v>
      </c>
      <c r="S4" t="s">
        <v>789</v>
      </c>
      <c r="T4" t="s">
        <v>789</v>
      </c>
      <c r="U4" t="s">
        <v>789</v>
      </c>
      <c r="V4" t="s">
        <v>789</v>
      </c>
      <c r="W4" t="s">
        <v>791</v>
      </c>
      <c r="X4" t="s">
        <v>791</v>
      </c>
      <c r="Y4" t="s">
        <v>791</v>
      </c>
      <c r="Z4" t="s">
        <v>791</v>
      </c>
      <c r="AA4" t="s">
        <v>791</v>
      </c>
      <c r="AB4" t="s">
        <v>793</v>
      </c>
      <c r="AC4" t="s">
        <v>793</v>
      </c>
      <c r="AD4" t="s">
        <v>793</v>
      </c>
      <c r="AE4" t="s">
        <v>793</v>
      </c>
      <c r="AF4" t="s">
        <v>793</v>
      </c>
      <c r="AG4" t="s">
        <v>795</v>
      </c>
      <c r="AH4" t="s">
        <v>795</v>
      </c>
      <c r="AI4" t="s">
        <v>795</v>
      </c>
      <c r="AJ4" t="s">
        <v>795</v>
      </c>
      <c r="AK4" t="s">
        <v>795</v>
      </c>
    </row>
    <row r="5" spans="1:37" x14ac:dyDescent="0.4">
      <c r="A5" s="1"/>
      <c r="B5" s="2" t="s">
        <v>2</v>
      </c>
      <c r="C5" t="s">
        <v>338</v>
      </c>
      <c r="D5" t="s">
        <v>257</v>
      </c>
      <c r="E5" t="s">
        <v>398</v>
      </c>
      <c r="F5" t="s">
        <v>263</v>
      </c>
      <c r="G5" t="s">
        <v>400</v>
      </c>
      <c r="H5" t="s">
        <v>338</v>
      </c>
      <c r="I5" t="s">
        <v>257</v>
      </c>
      <c r="J5" t="s">
        <v>398</v>
      </c>
      <c r="K5" t="s">
        <v>263</v>
      </c>
      <c r="L5" t="s">
        <v>400</v>
      </c>
      <c r="M5" t="s">
        <v>338</v>
      </c>
      <c r="N5" t="s">
        <v>257</v>
      </c>
      <c r="O5" t="s">
        <v>398</v>
      </c>
      <c r="P5" t="s">
        <v>263</v>
      </c>
      <c r="Q5" t="s">
        <v>400</v>
      </c>
      <c r="R5" t="s">
        <v>338</v>
      </c>
      <c r="S5" t="s">
        <v>257</v>
      </c>
      <c r="T5" t="s">
        <v>398</v>
      </c>
      <c r="U5" t="s">
        <v>263</v>
      </c>
      <c r="V5" t="s">
        <v>400</v>
      </c>
      <c r="W5" t="s">
        <v>338</v>
      </c>
      <c r="X5" t="s">
        <v>257</v>
      </c>
      <c r="Y5" t="s">
        <v>398</v>
      </c>
      <c r="Z5" t="s">
        <v>263</v>
      </c>
      <c r="AA5" t="s">
        <v>400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</row>
    <row r="6" spans="1:37" x14ac:dyDescent="0.4">
      <c r="A6" s="1"/>
      <c r="B6" s="2" t="s">
        <v>3</v>
      </c>
      <c r="C6" t="s">
        <v>340</v>
      </c>
      <c r="D6" t="s">
        <v>259</v>
      </c>
      <c r="E6" t="s">
        <v>399</v>
      </c>
      <c r="F6" t="s">
        <v>264</v>
      </c>
      <c r="G6" t="s">
        <v>401</v>
      </c>
      <c r="H6" t="s">
        <v>340</v>
      </c>
      <c r="I6" t="s">
        <v>259</v>
      </c>
      <c r="J6" t="s">
        <v>399</v>
      </c>
      <c r="K6" t="s">
        <v>264</v>
      </c>
      <c r="L6" t="s">
        <v>401</v>
      </c>
      <c r="M6" t="s">
        <v>340</v>
      </c>
      <c r="N6" t="s">
        <v>259</v>
      </c>
      <c r="O6" t="s">
        <v>399</v>
      </c>
      <c r="P6" t="s">
        <v>264</v>
      </c>
      <c r="Q6" t="s">
        <v>401</v>
      </c>
      <c r="R6" t="s">
        <v>340</v>
      </c>
      <c r="S6" t="s">
        <v>259</v>
      </c>
      <c r="T6" t="s">
        <v>399</v>
      </c>
      <c r="U6" t="s">
        <v>264</v>
      </c>
      <c r="V6" t="s">
        <v>401</v>
      </c>
      <c r="W6" t="s">
        <v>340</v>
      </c>
      <c r="X6" t="s">
        <v>259</v>
      </c>
      <c r="Y6" t="s">
        <v>399</v>
      </c>
      <c r="Z6" t="s">
        <v>264</v>
      </c>
      <c r="AA6" t="s">
        <v>401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</row>
    <row r="7" spans="1:37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339</v>
      </c>
      <c r="I7" t="s">
        <v>341</v>
      </c>
      <c r="J7" t="s">
        <v>339</v>
      </c>
      <c r="K7" t="s">
        <v>341</v>
      </c>
      <c r="L7" t="s">
        <v>339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339</v>
      </c>
      <c r="S7" t="s">
        <v>341</v>
      </c>
      <c r="T7" t="s">
        <v>339</v>
      </c>
      <c r="U7" t="s">
        <v>341</v>
      </c>
      <c r="V7" t="s">
        <v>339</v>
      </c>
      <c r="W7" t="s">
        <v>339</v>
      </c>
      <c r="X7" t="s">
        <v>341</v>
      </c>
      <c r="Y7" t="s">
        <v>339</v>
      </c>
      <c r="Z7" t="s">
        <v>341</v>
      </c>
      <c r="AA7" t="s">
        <v>339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</row>
    <row r="8" spans="1:37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339</v>
      </c>
      <c r="I8" t="s">
        <v>342</v>
      </c>
      <c r="J8" t="s">
        <v>339</v>
      </c>
      <c r="K8" t="s">
        <v>342</v>
      </c>
      <c r="L8" t="s">
        <v>339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339</v>
      </c>
      <c r="S8" t="s">
        <v>342</v>
      </c>
      <c r="T8" t="s">
        <v>339</v>
      </c>
      <c r="U8" t="s">
        <v>342</v>
      </c>
      <c r="V8" t="s">
        <v>339</v>
      </c>
      <c r="W8" t="s">
        <v>339</v>
      </c>
      <c r="X8" t="s">
        <v>342</v>
      </c>
      <c r="Y8" t="s">
        <v>339</v>
      </c>
      <c r="Z8" t="s">
        <v>342</v>
      </c>
      <c r="AA8" t="s">
        <v>339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</row>
    <row r="9" spans="1:37" x14ac:dyDescent="0.4">
      <c r="A9" s="1" t="s">
        <v>6</v>
      </c>
      <c r="B9" s="3" t="s">
        <v>7</v>
      </c>
      <c r="C9">
        <v>67027644</v>
      </c>
      <c r="D9">
        <v>23668603</v>
      </c>
      <c r="E9">
        <v>88563358</v>
      </c>
      <c r="F9">
        <v>28020935</v>
      </c>
      <c r="G9">
        <v>7885564</v>
      </c>
      <c r="H9">
        <v>74659910</v>
      </c>
      <c r="I9">
        <v>18748215</v>
      </c>
      <c r="J9">
        <v>73995977</v>
      </c>
      <c r="K9">
        <v>18717261</v>
      </c>
      <c r="L9">
        <v>2734263</v>
      </c>
      <c r="M9">
        <v>53724946</v>
      </c>
      <c r="N9">
        <v>21575355</v>
      </c>
      <c r="O9">
        <v>53731141</v>
      </c>
      <c r="P9">
        <v>24596695</v>
      </c>
      <c r="Q9">
        <v>4308267</v>
      </c>
      <c r="R9">
        <v>57130995</v>
      </c>
      <c r="S9">
        <v>58454561</v>
      </c>
      <c r="T9">
        <v>58425362</v>
      </c>
      <c r="U9">
        <v>63430517</v>
      </c>
      <c r="V9">
        <v>2087740</v>
      </c>
      <c r="W9">
        <v>29775711</v>
      </c>
      <c r="X9">
        <v>39948881</v>
      </c>
      <c r="Y9">
        <v>32468454</v>
      </c>
      <c r="Z9">
        <v>44829541</v>
      </c>
      <c r="AA9">
        <v>584573</v>
      </c>
      <c r="AB9">
        <v>91925794</v>
      </c>
      <c r="AC9">
        <v>147481712</v>
      </c>
      <c r="AD9">
        <v>95668026</v>
      </c>
      <c r="AE9">
        <v>154447049</v>
      </c>
      <c r="AF9">
        <v>3170297</v>
      </c>
      <c r="AG9">
        <v>9245053</v>
      </c>
      <c r="AH9">
        <v>4188542</v>
      </c>
      <c r="AI9">
        <v>9057387</v>
      </c>
      <c r="AJ9">
        <v>4338823</v>
      </c>
      <c r="AK9">
        <v>407660</v>
      </c>
    </row>
    <row r="10" spans="1:37" x14ac:dyDescent="0.4">
      <c r="A10" s="1" t="s">
        <v>8</v>
      </c>
      <c r="B10" s="3" t="s">
        <v>9</v>
      </c>
      <c r="C10">
        <v>65512064</v>
      </c>
      <c r="D10">
        <v>26302082</v>
      </c>
      <c r="E10">
        <v>85987781</v>
      </c>
      <c r="F10">
        <v>31250977</v>
      </c>
      <c r="G10">
        <v>8834683</v>
      </c>
      <c r="H10">
        <v>75145618</v>
      </c>
      <c r="I10">
        <v>21952491</v>
      </c>
      <c r="J10">
        <v>73837540</v>
      </c>
      <c r="K10">
        <v>21751115</v>
      </c>
      <c r="L10">
        <v>3484514</v>
      </c>
      <c r="M10">
        <v>54537158</v>
      </c>
      <c r="N10">
        <v>24364736</v>
      </c>
      <c r="O10">
        <v>54641837</v>
      </c>
      <c r="P10">
        <v>27924581</v>
      </c>
      <c r="Q10">
        <v>4370227</v>
      </c>
      <c r="R10">
        <v>53082512</v>
      </c>
      <c r="S10">
        <v>56805369</v>
      </c>
      <c r="T10">
        <v>54926770</v>
      </c>
      <c r="U10">
        <v>62269389</v>
      </c>
      <c r="V10">
        <v>2191959</v>
      </c>
      <c r="W10">
        <v>28188634</v>
      </c>
      <c r="X10">
        <v>39632171</v>
      </c>
      <c r="Y10">
        <v>31185536</v>
      </c>
      <c r="Z10">
        <v>44655225</v>
      </c>
      <c r="AA10">
        <v>595410</v>
      </c>
      <c r="AB10">
        <v>89126546</v>
      </c>
      <c r="AC10">
        <v>146429637</v>
      </c>
      <c r="AD10">
        <v>93661939</v>
      </c>
      <c r="AE10">
        <v>154124481</v>
      </c>
      <c r="AF10">
        <v>3088994</v>
      </c>
      <c r="AG10">
        <v>8607522</v>
      </c>
      <c r="AH10">
        <v>4044381</v>
      </c>
      <c r="AI10">
        <v>8519431</v>
      </c>
      <c r="AJ10">
        <v>4393693</v>
      </c>
      <c r="AK10">
        <v>389922</v>
      </c>
    </row>
    <row r="11" spans="1:37" x14ac:dyDescent="0.4">
      <c r="A11" s="1" t="s">
        <v>10</v>
      </c>
      <c r="B11" s="3" t="s">
        <v>11</v>
      </c>
      <c r="C11">
        <v>78334060</v>
      </c>
      <c r="D11">
        <v>29116408</v>
      </c>
      <c r="E11">
        <v>101873797</v>
      </c>
      <c r="F11">
        <v>35759738</v>
      </c>
      <c r="G11">
        <v>8724553</v>
      </c>
      <c r="H11">
        <v>81339909</v>
      </c>
      <c r="I11">
        <v>22632945</v>
      </c>
      <c r="J11">
        <v>81122473</v>
      </c>
      <c r="K11">
        <v>22776883</v>
      </c>
      <c r="L11">
        <v>3104869</v>
      </c>
      <c r="M11">
        <v>63662363</v>
      </c>
      <c r="N11">
        <v>27463890</v>
      </c>
      <c r="O11">
        <v>64486417</v>
      </c>
      <c r="P11">
        <v>32036787</v>
      </c>
      <c r="Q11">
        <v>4293638</v>
      </c>
      <c r="R11">
        <v>58904064</v>
      </c>
      <c r="S11">
        <v>54588674</v>
      </c>
      <c r="T11">
        <v>60832958</v>
      </c>
      <c r="U11">
        <v>60312161</v>
      </c>
      <c r="V11">
        <v>2114215</v>
      </c>
      <c r="W11">
        <v>30150031</v>
      </c>
      <c r="X11">
        <v>41770677</v>
      </c>
      <c r="Y11">
        <v>33573797</v>
      </c>
      <c r="Z11">
        <v>46995115</v>
      </c>
      <c r="AA11">
        <v>466728</v>
      </c>
      <c r="AB11">
        <v>93804310</v>
      </c>
      <c r="AC11">
        <v>122471774</v>
      </c>
      <c r="AD11">
        <v>99240369</v>
      </c>
      <c r="AE11">
        <v>133354866</v>
      </c>
      <c r="AF11">
        <v>2716184</v>
      </c>
      <c r="AG11">
        <v>8525408</v>
      </c>
      <c r="AH11">
        <v>4247203</v>
      </c>
      <c r="AI11">
        <v>8064375</v>
      </c>
      <c r="AJ11">
        <v>4697415</v>
      </c>
      <c r="AK11">
        <v>436882</v>
      </c>
    </row>
    <row r="12" spans="1:37" x14ac:dyDescent="0.4">
      <c r="A12" s="1" t="s">
        <v>12</v>
      </c>
      <c r="B12" s="3" t="s">
        <v>13</v>
      </c>
      <c r="C12">
        <v>77622368</v>
      </c>
      <c r="D12">
        <v>29118895</v>
      </c>
      <c r="E12">
        <v>95731565</v>
      </c>
      <c r="F12">
        <v>34340978</v>
      </c>
      <c r="G12">
        <v>8172108</v>
      </c>
      <c r="H12">
        <v>76133787</v>
      </c>
      <c r="I12">
        <v>22720150</v>
      </c>
      <c r="J12">
        <v>75871609</v>
      </c>
      <c r="K12">
        <v>22877498</v>
      </c>
      <c r="L12">
        <v>2819691</v>
      </c>
      <c r="M12">
        <v>59895161</v>
      </c>
      <c r="N12">
        <v>34528906</v>
      </c>
      <c r="O12">
        <v>60464703</v>
      </c>
      <c r="P12">
        <v>38725291</v>
      </c>
      <c r="Q12">
        <v>4349258</v>
      </c>
      <c r="R12">
        <v>56519082</v>
      </c>
      <c r="S12">
        <v>52601823</v>
      </c>
      <c r="T12">
        <v>58088339</v>
      </c>
      <c r="U12">
        <v>57781933</v>
      </c>
      <c r="V12">
        <v>2104834</v>
      </c>
      <c r="W12">
        <v>32515249</v>
      </c>
      <c r="X12">
        <v>43267845</v>
      </c>
      <c r="Y12">
        <v>35115225</v>
      </c>
      <c r="Z12">
        <v>47852382</v>
      </c>
      <c r="AA12">
        <v>417640</v>
      </c>
      <c r="AB12">
        <v>93037696</v>
      </c>
      <c r="AC12">
        <v>128965751</v>
      </c>
      <c r="AD12">
        <v>96422591</v>
      </c>
      <c r="AE12">
        <v>138693320</v>
      </c>
      <c r="AF12">
        <v>3595811</v>
      </c>
      <c r="AG12">
        <v>7949982</v>
      </c>
      <c r="AH12">
        <v>4098034</v>
      </c>
      <c r="AI12">
        <v>7424443</v>
      </c>
      <c r="AJ12">
        <v>4576095</v>
      </c>
      <c r="AK12">
        <v>336923</v>
      </c>
    </row>
    <row r="13" spans="1:37" x14ac:dyDescent="0.4">
      <c r="A13" s="1" t="s">
        <v>14</v>
      </c>
      <c r="B13" s="3" t="s">
        <v>15</v>
      </c>
      <c r="C13">
        <v>76011162</v>
      </c>
      <c r="D13">
        <v>28969225</v>
      </c>
      <c r="E13">
        <v>97687462</v>
      </c>
      <c r="F13">
        <v>35007063</v>
      </c>
      <c r="G13">
        <v>8092736</v>
      </c>
      <c r="H13">
        <v>79702794</v>
      </c>
      <c r="I13">
        <v>24236064</v>
      </c>
      <c r="J13">
        <v>79319694</v>
      </c>
      <c r="K13">
        <v>24250038</v>
      </c>
      <c r="L13">
        <v>2793571</v>
      </c>
      <c r="M13">
        <v>61800424</v>
      </c>
      <c r="N13">
        <v>37043618</v>
      </c>
      <c r="O13">
        <v>62673808</v>
      </c>
      <c r="P13">
        <v>41030366</v>
      </c>
      <c r="Q13">
        <v>4175495</v>
      </c>
      <c r="R13">
        <v>54910054</v>
      </c>
      <c r="S13">
        <v>52831212</v>
      </c>
      <c r="T13">
        <v>56654479</v>
      </c>
      <c r="U13">
        <v>58685722</v>
      </c>
      <c r="V13">
        <v>2034165</v>
      </c>
      <c r="W13">
        <v>33527211</v>
      </c>
      <c r="X13">
        <v>45926078</v>
      </c>
      <c r="Y13">
        <v>34763086</v>
      </c>
      <c r="Z13">
        <v>49827450</v>
      </c>
      <c r="AA13">
        <v>455852</v>
      </c>
      <c r="AB13">
        <v>96201417</v>
      </c>
      <c r="AC13">
        <v>134091524</v>
      </c>
      <c r="AD13">
        <v>98321834</v>
      </c>
      <c r="AE13">
        <v>142326116</v>
      </c>
      <c r="AF13">
        <v>4187742</v>
      </c>
      <c r="AG13">
        <v>7697281</v>
      </c>
      <c r="AH13">
        <v>3924107</v>
      </c>
      <c r="AI13">
        <v>7223855</v>
      </c>
      <c r="AJ13">
        <v>4562147</v>
      </c>
      <c r="AK13">
        <v>259404</v>
      </c>
    </row>
    <row r="14" spans="1:37" x14ac:dyDescent="0.4">
      <c r="A14" s="1" t="s">
        <v>16</v>
      </c>
      <c r="B14" s="1" t="s">
        <v>17</v>
      </c>
      <c r="C14">
        <v>5873014</v>
      </c>
      <c r="D14">
        <v>2545546</v>
      </c>
      <c r="E14">
        <v>7979807</v>
      </c>
      <c r="F14">
        <v>3238677</v>
      </c>
      <c r="G14">
        <v>9024908</v>
      </c>
      <c r="H14">
        <v>6097223</v>
      </c>
      <c r="I14">
        <v>1873392</v>
      </c>
      <c r="J14">
        <v>6209553</v>
      </c>
      <c r="K14">
        <v>1913005</v>
      </c>
      <c r="L14">
        <v>3112016</v>
      </c>
      <c r="M14">
        <v>4904617</v>
      </c>
      <c r="N14">
        <v>2964526</v>
      </c>
      <c r="O14">
        <v>5155354</v>
      </c>
      <c r="P14">
        <v>3406877</v>
      </c>
      <c r="Q14">
        <v>4354811</v>
      </c>
      <c r="R14">
        <v>4706126</v>
      </c>
      <c r="S14">
        <v>4394484</v>
      </c>
      <c r="T14">
        <v>4802753</v>
      </c>
      <c r="U14">
        <v>4798728</v>
      </c>
      <c r="V14">
        <v>2174571</v>
      </c>
      <c r="W14">
        <v>2794129</v>
      </c>
      <c r="X14">
        <v>3673923</v>
      </c>
      <c r="Y14">
        <v>3122024</v>
      </c>
      <c r="Z14">
        <v>4123066</v>
      </c>
      <c r="AA14">
        <v>432470</v>
      </c>
      <c r="AB14">
        <v>7832007</v>
      </c>
      <c r="AC14">
        <v>10929500</v>
      </c>
      <c r="AD14">
        <v>8142625</v>
      </c>
      <c r="AE14">
        <v>12518917</v>
      </c>
      <c r="AF14">
        <v>3037149</v>
      </c>
      <c r="AG14">
        <v>643159</v>
      </c>
      <c r="AH14">
        <v>321626</v>
      </c>
      <c r="AI14">
        <v>631633</v>
      </c>
      <c r="AJ14">
        <v>372487</v>
      </c>
      <c r="AK14">
        <v>334099</v>
      </c>
    </row>
    <row r="15" spans="1:37" x14ac:dyDescent="0.4">
      <c r="A15" s="1" t="s">
        <v>18</v>
      </c>
      <c r="B15" s="1" t="s">
        <v>19</v>
      </c>
      <c r="C15">
        <v>6800020</v>
      </c>
      <c r="D15">
        <v>2488499</v>
      </c>
      <c r="E15">
        <v>8564586</v>
      </c>
      <c r="F15">
        <v>2999339</v>
      </c>
      <c r="G15">
        <v>8482003</v>
      </c>
      <c r="H15">
        <v>6081101</v>
      </c>
      <c r="I15">
        <v>1727955</v>
      </c>
      <c r="J15">
        <v>6035740</v>
      </c>
      <c r="K15">
        <v>1743209</v>
      </c>
      <c r="L15">
        <v>3103956</v>
      </c>
      <c r="M15">
        <v>5011459</v>
      </c>
      <c r="N15">
        <v>2853011</v>
      </c>
      <c r="O15">
        <v>4943950</v>
      </c>
      <c r="P15">
        <v>3160281</v>
      </c>
      <c r="Q15">
        <v>4470310</v>
      </c>
      <c r="R15">
        <v>4657595</v>
      </c>
      <c r="S15">
        <v>4337786</v>
      </c>
      <c r="T15">
        <v>4823374</v>
      </c>
      <c r="U15">
        <v>4792867</v>
      </c>
      <c r="V15">
        <v>2132271</v>
      </c>
      <c r="W15">
        <v>2762188</v>
      </c>
      <c r="X15">
        <v>3633019</v>
      </c>
      <c r="Y15">
        <v>3034064</v>
      </c>
      <c r="Z15">
        <v>4020994</v>
      </c>
      <c r="AA15">
        <v>432014</v>
      </c>
      <c r="AB15">
        <v>7718264</v>
      </c>
      <c r="AC15">
        <v>10680853</v>
      </c>
      <c r="AD15">
        <v>8046076</v>
      </c>
      <c r="AE15">
        <v>11491826</v>
      </c>
      <c r="AF15">
        <v>3122801</v>
      </c>
      <c r="AG15">
        <v>659495</v>
      </c>
      <c r="AH15">
        <v>328389</v>
      </c>
      <c r="AI15">
        <v>627801</v>
      </c>
      <c r="AJ15">
        <v>374754</v>
      </c>
      <c r="AK15">
        <v>299950</v>
      </c>
    </row>
    <row r="16" spans="1:37" x14ac:dyDescent="0.4">
      <c r="A16" s="1" t="s">
        <v>20</v>
      </c>
      <c r="B16" s="1" t="s">
        <v>21</v>
      </c>
      <c r="C16">
        <v>7107646</v>
      </c>
      <c r="D16">
        <v>2553628</v>
      </c>
      <c r="E16">
        <v>8335311</v>
      </c>
      <c r="F16">
        <v>2876852</v>
      </c>
      <c r="G16">
        <v>8389812</v>
      </c>
      <c r="H16">
        <v>6126470</v>
      </c>
      <c r="I16">
        <v>1804792</v>
      </c>
      <c r="J16">
        <v>6140840</v>
      </c>
      <c r="K16">
        <v>1826602</v>
      </c>
      <c r="L16">
        <v>3045445</v>
      </c>
      <c r="M16">
        <v>4888411</v>
      </c>
      <c r="N16">
        <v>2704428</v>
      </c>
      <c r="O16">
        <v>4910155</v>
      </c>
      <c r="P16">
        <v>3010493</v>
      </c>
      <c r="Q16">
        <v>4498751</v>
      </c>
      <c r="R16">
        <v>4440220</v>
      </c>
      <c r="S16">
        <v>4140288</v>
      </c>
      <c r="T16">
        <v>4653466</v>
      </c>
      <c r="U16">
        <v>4636032</v>
      </c>
      <c r="V16">
        <v>2059580</v>
      </c>
      <c r="W16">
        <v>2563220</v>
      </c>
      <c r="X16">
        <v>3480278</v>
      </c>
      <c r="Y16">
        <v>2809069</v>
      </c>
      <c r="Z16">
        <v>3872799</v>
      </c>
      <c r="AA16">
        <v>429379</v>
      </c>
      <c r="AB16">
        <v>7408124</v>
      </c>
      <c r="AC16">
        <v>10113102</v>
      </c>
      <c r="AD16">
        <v>7659582</v>
      </c>
      <c r="AE16">
        <v>10958784</v>
      </c>
      <c r="AF16">
        <v>3217514</v>
      </c>
      <c r="AG16">
        <v>674568</v>
      </c>
      <c r="AH16">
        <v>328390</v>
      </c>
      <c r="AI16">
        <v>625405</v>
      </c>
      <c r="AJ16">
        <v>375359</v>
      </c>
      <c r="AK16">
        <v>292206</v>
      </c>
    </row>
    <row r="17" spans="1:37" x14ac:dyDescent="0.4">
      <c r="A17" s="1" t="s">
        <v>22</v>
      </c>
      <c r="B17" s="1" t="s">
        <v>23</v>
      </c>
      <c r="C17">
        <v>7234643</v>
      </c>
      <c r="D17">
        <v>2562612</v>
      </c>
      <c r="E17">
        <v>8411937</v>
      </c>
      <c r="F17">
        <v>2918775</v>
      </c>
      <c r="G17">
        <v>8742189</v>
      </c>
      <c r="H17">
        <v>6194840</v>
      </c>
      <c r="I17">
        <v>1834319</v>
      </c>
      <c r="J17">
        <v>6221741</v>
      </c>
      <c r="K17">
        <v>1868617</v>
      </c>
      <c r="L17">
        <v>2974106</v>
      </c>
      <c r="M17">
        <v>4966566</v>
      </c>
      <c r="N17">
        <v>2932678</v>
      </c>
      <c r="O17">
        <v>4998736</v>
      </c>
      <c r="P17">
        <v>3261848</v>
      </c>
      <c r="Q17">
        <v>4511211</v>
      </c>
      <c r="R17">
        <v>4590883</v>
      </c>
      <c r="S17">
        <v>4194107</v>
      </c>
      <c r="T17">
        <v>4679240</v>
      </c>
      <c r="U17">
        <v>4641438</v>
      </c>
      <c r="V17">
        <v>2107705</v>
      </c>
      <c r="W17">
        <v>2914923</v>
      </c>
      <c r="X17">
        <v>3760097</v>
      </c>
      <c r="Y17">
        <v>3075283</v>
      </c>
      <c r="Z17">
        <v>4090826</v>
      </c>
      <c r="AA17">
        <v>449463</v>
      </c>
      <c r="AB17">
        <v>7810377</v>
      </c>
      <c r="AC17">
        <v>11017311</v>
      </c>
      <c r="AD17">
        <v>8048452</v>
      </c>
      <c r="AE17">
        <v>11589667</v>
      </c>
      <c r="AF17">
        <v>3327044</v>
      </c>
      <c r="AG17">
        <v>692933</v>
      </c>
      <c r="AH17">
        <v>356967</v>
      </c>
      <c r="AI17">
        <v>619309</v>
      </c>
      <c r="AJ17">
        <v>384575</v>
      </c>
      <c r="AK17">
        <v>323387</v>
      </c>
    </row>
    <row r="18" spans="1:37" x14ac:dyDescent="0.4">
      <c r="A18" s="1" t="s">
        <v>24</v>
      </c>
      <c r="B18" s="1" t="s">
        <v>25</v>
      </c>
      <c r="C18">
        <v>7609626</v>
      </c>
      <c r="D18">
        <v>2809885</v>
      </c>
      <c r="E18">
        <v>9139898</v>
      </c>
      <c r="F18">
        <v>3250691</v>
      </c>
      <c r="G18">
        <v>9021323</v>
      </c>
      <c r="H18">
        <v>7148470</v>
      </c>
      <c r="I18">
        <v>2142163</v>
      </c>
      <c r="J18">
        <v>7096243</v>
      </c>
      <c r="K18">
        <v>2138321</v>
      </c>
      <c r="L18">
        <v>2986433</v>
      </c>
      <c r="M18">
        <v>5643178</v>
      </c>
      <c r="N18">
        <v>3302676</v>
      </c>
      <c r="O18">
        <v>5798462</v>
      </c>
      <c r="P18">
        <v>3702910</v>
      </c>
      <c r="Q18">
        <v>4411936</v>
      </c>
      <c r="R18">
        <v>5254317</v>
      </c>
      <c r="S18">
        <v>4875995</v>
      </c>
      <c r="T18">
        <v>5504600</v>
      </c>
      <c r="U18">
        <v>5426625</v>
      </c>
      <c r="V18">
        <v>2013129</v>
      </c>
      <c r="W18">
        <v>3030142</v>
      </c>
      <c r="X18">
        <v>3973153</v>
      </c>
      <c r="Y18">
        <v>3268463</v>
      </c>
      <c r="Z18">
        <v>4415669</v>
      </c>
      <c r="AA18">
        <v>455619</v>
      </c>
      <c r="AB18">
        <v>8685731</v>
      </c>
      <c r="AC18">
        <v>11939824</v>
      </c>
      <c r="AD18">
        <v>9048898</v>
      </c>
      <c r="AE18">
        <v>12929525</v>
      </c>
      <c r="AF18">
        <v>3366326</v>
      </c>
      <c r="AG18">
        <v>750932</v>
      </c>
      <c r="AH18">
        <v>392943</v>
      </c>
      <c r="AI18">
        <v>662168</v>
      </c>
      <c r="AJ18">
        <v>422952</v>
      </c>
      <c r="AK18">
        <v>358039</v>
      </c>
    </row>
    <row r="19" spans="1:37" x14ac:dyDescent="0.4">
      <c r="A19" s="1" t="s">
        <v>26</v>
      </c>
      <c r="B19" s="1" t="s">
        <v>27</v>
      </c>
      <c r="C19">
        <v>5536455</v>
      </c>
      <c r="D19">
        <v>2059184</v>
      </c>
      <c r="E19">
        <v>6787736</v>
      </c>
      <c r="F19">
        <v>2397497</v>
      </c>
      <c r="G19">
        <v>9285567</v>
      </c>
      <c r="H19">
        <v>5270498</v>
      </c>
      <c r="I19">
        <v>1529159</v>
      </c>
      <c r="J19">
        <v>5274107</v>
      </c>
      <c r="K19">
        <v>1552561</v>
      </c>
      <c r="L19">
        <v>2947305</v>
      </c>
      <c r="M19">
        <v>3910467</v>
      </c>
      <c r="N19">
        <v>2472783</v>
      </c>
      <c r="O19">
        <v>3922231</v>
      </c>
      <c r="P19">
        <v>2674369</v>
      </c>
      <c r="Q19">
        <v>4438390</v>
      </c>
      <c r="R19">
        <v>4091703</v>
      </c>
      <c r="S19">
        <v>3757606</v>
      </c>
      <c r="T19">
        <v>4148896</v>
      </c>
      <c r="U19">
        <v>4154013</v>
      </c>
      <c r="V19">
        <v>2049071</v>
      </c>
      <c r="W19">
        <v>2351736</v>
      </c>
      <c r="X19">
        <v>3161409</v>
      </c>
      <c r="Y19">
        <v>2534668</v>
      </c>
      <c r="Z19">
        <v>3545492</v>
      </c>
      <c r="AA19">
        <v>448692</v>
      </c>
      <c r="AB19">
        <v>6744738</v>
      </c>
      <c r="AC19">
        <v>9192920</v>
      </c>
      <c r="AD19">
        <v>7038433</v>
      </c>
      <c r="AE19">
        <v>10596094</v>
      </c>
      <c r="AF19">
        <v>3360370</v>
      </c>
      <c r="AG19">
        <v>580406</v>
      </c>
      <c r="AH19">
        <v>314460</v>
      </c>
      <c r="AI19">
        <v>565131</v>
      </c>
      <c r="AJ19">
        <v>359532</v>
      </c>
      <c r="AK19">
        <v>328447</v>
      </c>
    </row>
    <row r="20" spans="1:37" x14ac:dyDescent="0.4">
      <c r="A20" s="1" t="s">
        <v>28</v>
      </c>
      <c r="B20" s="1" t="s">
        <v>29</v>
      </c>
      <c r="C20">
        <v>6119768</v>
      </c>
      <c r="D20">
        <v>2800970</v>
      </c>
      <c r="E20">
        <v>8422641</v>
      </c>
      <c r="F20">
        <v>3504571</v>
      </c>
      <c r="G20">
        <v>8705050</v>
      </c>
      <c r="H20">
        <v>6520168</v>
      </c>
      <c r="I20">
        <v>2261036</v>
      </c>
      <c r="J20">
        <v>6602957</v>
      </c>
      <c r="K20">
        <v>2308912</v>
      </c>
      <c r="L20">
        <v>2828737</v>
      </c>
      <c r="M20">
        <v>5040342</v>
      </c>
      <c r="N20">
        <v>3621759</v>
      </c>
      <c r="O20">
        <v>5199905</v>
      </c>
      <c r="P20">
        <v>4006327</v>
      </c>
      <c r="Q20">
        <v>4331726</v>
      </c>
      <c r="R20">
        <v>4866544</v>
      </c>
      <c r="S20">
        <v>4568560</v>
      </c>
      <c r="T20">
        <v>5025099</v>
      </c>
      <c r="U20">
        <v>5028590</v>
      </c>
      <c r="V20">
        <v>2024705</v>
      </c>
      <c r="W20">
        <v>2833787</v>
      </c>
      <c r="X20">
        <v>3763151</v>
      </c>
      <c r="Y20">
        <v>3011895</v>
      </c>
      <c r="Z20">
        <v>4142273</v>
      </c>
      <c r="AA20">
        <v>416796</v>
      </c>
      <c r="AB20">
        <v>7576332</v>
      </c>
      <c r="AC20">
        <v>10922181</v>
      </c>
      <c r="AD20">
        <v>8121479</v>
      </c>
      <c r="AE20">
        <v>11900784</v>
      </c>
      <c r="AF20">
        <v>3255496</v>
      </c>
      <c r="AG20">
        <v>649670</v>
      </c>
      <c r="AH20">
        <v>345490</v>
      </c>
      <c r="AI20">
        <v>597969</v>
      </c>
      <c r="AJ20">
        <v>381967</v>
      </c>
      <c r="AK20">
        <v>358380</v>
      </c>
    </row>
    <row r="21" spans="1:37" x14ac:dyDescent="0.4">
      <c r="A21" s="1" t="s">
        <v>30</v>
      </c>
      <c r="B21" s="1" t="s">
        <v>31</v>
      </c>
      <c r="C21">
        <v>6924172</v>
      </c>
      <c r="D21">
        <v>2522888</v>
      </c>
      <c r="E21">
        <v>8776844</v>
      </c>
      <c r="F21">
        <v>3063525</v>
      </c>
      <c r="G21">
        <v>8539589</v>
      </c>
      <c r="H21">
        <v>7803098</v>
      </c>
      <c r="I21">
        <v>2366547</v>
      </c>
      <c r="J21">
        <v>7681926</v>
      </c>
      <c r="K21">
        <v>2345714</v>
      </c>
      <c r="L21">
        <v>2886087</v>
      </c>
      <c r="M21">
        <v>6026250</v>
      </c>
      <c r="N21">
        <v>3470289</v>
      </c>
      <c r="O21">
        <v>6009886</v>
      </c>
      <c r="P21">
        <v>3975973</v>
      </c>
      <c r="Q21">
        <v>4405886</v>
      </c>
      <c r="R21">
        <v>5233889</v>
      </c>
      <c r="S21">
        <v>4988195</v>
      </c>
      <c r="T21">
        <v>5307995</v>
      </c>
      <c r="U21">
        <v>5394481</v>
      </c>
      <c r="V21">
        <v>2115134</v>
      </c>
      <c r="W21">
        <v>3106179</v>
      </c>
      <c r="X21">
        <v>4129736</v>
      </c>
      <c r="Y21">
        <v>3275800</v>
      </c>
      <c r="Z21">
        <v>4492740</v>
      </c>
      <c r="AA21">
        <v>416807</v>
      </c>
      <c r="AB21">
        <v>8730914</v>
      </c>
      <c r="AC21">
        <v>11514148</v>
      </c>
      <c r="AD21">
        <v>8828334</v>
      </c>
      <c r="AE21">
        <v>12006555</v>
      </c>
      <c r="AF21">
        <v>3479369</v>
      </c>
      <c r="AG21">
        <v>696718</v>
      </c>
      <c r="AH21">
        <v>387653</v>
      </c>
      <c r="AI21">
        <v>640688</v>
      </c>
      <c r="AJ21">
        <v>408697</v>
      </c>
      <c r="AK21">
        <v>368519</v>
      </c>
    </row>
    <row r="22" spans="1:37" x14ac:dyDescent="0.4">
      <c r="A22" s="1" t="s">
        <v>32</v>
      </c>
      <c r="B22" s="1" t="s">
        <v>33</v>
      </c>
      <c r="C22">
        <v>6340218</v>
      </c>
      <c r="D22">
        <v>2358461</v>
      </c>
      <c r="E22">
        <v>7618208</v>
      </c>
      <c r="F22">
        <v>2688634</v>
      </c>
      <c r="G22">
        <v>8591113</v>
      </c>
      <c r="H22">
        <v>7188322</v>
      </c>
      <c r="I22">
        <v>2169011</v>
      </c>
      <c r="J22">
        <v>6971098</v>
      </c>
      <c r="K22">
        <v>2119219</v>
      </c>
      <c r="L22">
        <v>3072709</v>
      </c>
      <c r="M22">
        <v>5152915</v>
      </c>
      <c r="N22">
        <v>3108419</v>
      </c>
      <c r="O22">
        <v>5291371</v>
      </c>
      <c r="P22">
        <v>3514701</v>
      </c>
      <c r="Q22">
        <v>4323935</v>
      </c>
      <c r="R22">
        <v>4941889</v>
      </c>
      <c r="S22">
        <v>4557942</v>
      </c>
      <c r="T22">
        <v>5050958</v>
      </c>
      <c r="U22">
        <v>4969427</v>
      </c>
      <c r="V22">
        <v>2091819</v>
      </c>
      <c r="W22">
        <v>2879746</v>
      </c>
      <c r="X22">
        <v>3824989</v>
      </c>
      <c r="Y22">
        <v>3024634</v>
      </c>
      <c r="Z22">
        <v>4154849</v>
      </c>
      <c r="AA22">
        <v>408582</v>
      </c>
      <c r="AB22">
        <v>8040049</v>
      </c>
      <c r="AC22">
        <v>11534059</v>
      </c>
      <c r="AD22">
        <v>8334248</v>
      </c>
      <c r="AE22">
        <v>12182153</v>
      </c>
      <c r="AF22">
        <v>3457035</v>
      </c>
      <c r="AG22">
        <v>652406</v>
      </c>
      <c r="AH22">
        <v>341122</v>
      </c>
      <c r="AI22">
        <v>613227</v>
      </c>
      <c r="AJ22">
        <v>379718</v>
      </c>
      <c r="AK22">
        <v>358490</v>
      </c>
    </row>
    <row r="23" spans="1:37" x14ac:dyDescent="0.4">
      <c r="A23" s="1" t="s">
        <v>34</v>
      </c>
      <c r="B23" s="1" t="s">
        <v>35</v>
      </c>
      <c r="C23">
        <v>5721334</v>
      </c>
      <c r="D23">
        <v>2122136</v>
      </c>
      <c r="E23">
        <v>7357272</v>
      </c>
      <c r="F23">
        <v>2595979</v>
      </c>
      <c r="G23">
        <v>8172108</v>
      </c>
      <c r="H23">
        <v>6381507</v>
      </c>
      <c r="I23">
        <v>1935382</v>
      </c>
      <c r="J23">
        <v>6607470</v>
      </c>
      <c r="K23">
        <v>2023231</v>
      </c>
      <c r="L23">
        <v>2819691</v>
      </c>
      <c r="M23">
        <v>4885607</v>
      </c>
      <c r="N23">
        <v>2812212</v>
      </c>
      <c r="O23">
        <v>4917764</v>
      </c>
      <c r="P23">
        <v>3162117</v>
      </c>
      <c r="Q23">
        <v>4349258</v>
      </c>
      <c r="R23">
        <v>4828923</v>
      </c>
      <c r="S23">
        <v>4399683</v>
      </c>
      <c r="T23">
        <v>4967407</v>
      </c>
      <c r="U23">
        <v>4811982</v>
      </c>
      <c r="V23">
        <v>2104834</v>
      </c>
      <c r="W23">
        <v>2768931</v>
      </c>
      <c r="X23">
        <v>3705627</v>
      </c>
      <c r="Y23">
        <v>2877159</v>
      </c>
      <c r="Z23">
        <v>3992391</v>
      </c>
      <c r="AA23">
        <v>417640</v>
      </c>
      <c r="AB23">
        <v>7941649</v>
      </c>
      <c r="AC23">
        <v>11037973</v>
      </c>
      <c r="AD23">
        <v>8080453</v>
      </c>
      <c r="AE23">
        <v>11592698</v>
      </c>
      <c r="AF23">
        <v>3595811</v>
      </c>
      <c r="AG23">
        <v>614403</v>
      </c>
      <c r="AH23">
        <v>328028</v>
      </c>
      <c r="AI23">
        <v>595635</v>
      </c>
      <c r="AJ23">
        <v>377066</v>
      </c>
      <c r="AK23">
        <v>336923</v>
      </c>
    </row>
    <row r="24" spans="1:37" x14ac:dyDescent="0.4">
      <c r="A24" s="1" t="s">
        <v>36</v>
      </c>
      <c r="B24" s="1" t="s">
        <v>37</v>
      </c>
      <c r="C24">
        <v>6232234</v>
      </c>
      <c r="D24">
        <v>2491465</v>
      </c>
      <c r="E24">
        <v>7837754</v>
      </c>
      <c r="F24">
        <v>2942926</v>
      </c>
      <c r="G24">
        <v>7985789</v>
      </c>
      <c r="H24">
        <v>6676718</v>
      </c>
      <c r="I24">
        <v>2006451</v>
      </c>
      <c r="J24">
        <v>6515884</v>
      </c>
      <c r="K24">
        <v>1983916</v>
      </c>
      <c r="L24">
        <v>2945835</v>
      </c>
      <c r="M24">
        <v>4925464</v>
      </c>
      <c r="N24">
        <v>2850791</v>
      </c>
      <c r="O24">
        <v>5074339</v>
      </c>
      <c r="P24">
        <v>3253673</v>
      </c>
      <c r="Q24">
        <v>4291388</v>
      </c>
      <c r="R24">
        <v>4471675</v>
      </c>
      <c r="S24">
        <v>4347916</v>
      </c>
      <c r="T24">
        <v>4607894</v>
      </c>
      <c r="U24">
        <v>4818890</v>
      </c>
      <c r="V24">
        <v>1980198</v>
      </c>
      <c r="W24">
        <v>2710883</v>
      </c>
      <c r="X24">
        <v>3707466</v>
      </c>
      <c r="Y24">
        <v>2801056</v>
      </c>
      <c r="Z24">
        <v>4027961</v>
      </c>
      <c r="AA24">
        <v>449972</v>
      </c>
      <c r="AB24">
        <v>7499884</v>
      </c>
      <c r="AC24">
        <v>10082191</v>
      </c>
      <c r="AD24">
        <v>7743495</v>
      </c>
      <c r="AE24">
        <v>10651375</v>
      </c>
      <c r="AF24">
        <v>3533147</v>
      </c>
      <c r="AG24">
        <v>640344</v>
      </c>
      <c r="AH24">
        <v>330651</v>
      </c>
      <c r="AI24">
        <v>588133</v>
      </c>
      <c r="AJ24">
        <v>368412</v>
      </c>
      <c r="AK24">
        <v>337570</v>
      </c>
    </row>
    <row r="25" spans="1:37" x14ac:dyDescent="0.4">
      <c r="A25" s="1" t="s">
        <v>38</v>
      </c>
      <c r="B25" s="1" t="s">
        <v>39</v>
      </c>
      <c r="C25">
        <v>6283157</v>
      </c>
      <c r="D25">
        <v>2466913</v>
      </c>
      <c r="E25">
        <v>7902544</v>
      </c>
      <c r="F25">
        <v>2917490</v>
      </c>
      <c r="G25">
        <v>7919169</v>
      </c>
      <c r="H25">
        <v>6465442</v>
      </c>
      <c r="I25">
        <v>2024535</v>
      </c>
      <c r="J25">
        <v>6451738</v>
      </c>
      <c r="K25">
        <v>2042680</v>
      </c>
      <c r="L25">
        <v>2940340</v>
      </c>
      <c r="M25">
        <v>5243268</v>
      </c>
      <c r="N25">
        <v>2938227</v>
      </c>
      <c r="O25">
        <v>5250669</v>
      </c>
      <c r="P25">
        <v>3257148</v>
      </c>
      <c r="Q25">
        <v>4337762</v>
      </c>
      <c r="R25">
        <v>4763462</v>
      </c>
      <c r="S25">
        <v>4523701</v>
      </c>
      <c r="T25">
        <v>4798522</v>
      </c>
      <c r="U25">
        <v>4891987</v>
      </c>
      <c r="V25">
        <v>2038675</v>
      </c>
      <c r="W25">
        <v>2796700</v>
      </c>
      <c r="X25">
        <v>3857449</v>
      </c>
      <c r="Y25">
        <v>2859857</v>
      </c>
      <c r="Z25">
        <v>4132567</v>
      </c>
      <c r="AA25">
        <v>468260</v>
      </c>
      <c r="AB25">
        <v>7890175</v>
      </c>
      <c r="AC25">
        <v>11387942</v>
      </c>
      <c r="AD25">
        <v>7968609</v>
      </c>
      <c r="AE25">
        <v>12113937</v>
      </c>
      <c r="AF25">
        <v>3669419</v>
      </c>
      <c r="AG25">
        <v>632386</v>
      </c>
      <c r="AH25">
        <v>331227</v>
      </c>
      <c r="AI25">
        <v>611971</v>
      </c>
      <c r="AJ25">
        <v>384067</v>
      </c>
      <c r="AK25">
        <v>319435</v>
      </c>
    </row>
    <row r="26" spans="1:37" x14ac:dyDescent="0.4">
      <c r="A26" s="1" t="s">
        <v>40</v>
      </c>
      <c r="B26" s="1" t="s">
        <v>41</v>
      </c>
      <c r="C26">
        <v>6642721</v>
      </c>
      <c r="D26">
        <v>2702944</v>
      </c>
      <c r="E26">
        <v>8298004</v>
      </c>
      <c r="F26">
        <v>3166253</v>
      </c>
      <c r="G26">
        <v>8096486</v>
      </c>
      <c r="H26">
        <v>6899556</v>
      </c>
      <c r="I26">
        <v>2276899</v>
      </c>
      <c r="J26">
        <v>6828954</v>
      </c>
      <c r="K26">
        <v>2243016</v>
      </c>
      <c r="L26">
        <v>2971813</v>
      </c>
      <c r="M26">
        <v>5246102</v>
      </c>
      <c r="N26">
        <v>3581560</v>
      </c>
      <c r="O26">
        <v>5486512</v>
      </c>
      <c r="P26">
        <v>3928691</v>
      </c>
      <c r="Q26">
        <v>4175307</v>
      </c>
      <c r="R26">
        <v>4692541</v>
      </c>
      <c r="S26">
        <v>4490858</v>
      </c>
      <c r="T26">
        <v>4832284</v>
      </c>
      <c r="U26">
        <v>4967225</v>
      </c>
      <c r="V26">
        <v>1999583</v>
      </c>
      <c r="W26">
        <v>2898269</v>
      </c>
      <c r="X26">
        <v>3926272</v>
      </c>
      <c r="Y26">
        <v>3018167</v>
      </c>
      <c r="Z26">
        <v>4235834</v>
      </c>
      <c r="AA26">
        <v>448755</v>
      </c>
      <c r="AB26">
        <v>7935613</v>
      </c>
      <c r="AC26">
        <v>11539951</v>
      </c>
      <c r="AD26">
        <v>8312387</v>
      </c>
      <c r="AE26">
        <v>12593865</v>
      </c>
      <c r="AF26">
        <v>3649771</v>
      </c>
      <c r="AG26">
        <v>642399</v>
      </c>
      <c r="AH26">
        <v>335771</v>
      </c>
      <c r="AI26">
        <v>624266</v>
      </c>
      <c r="AJ26">
        <v>397943</v>
      </c>
      <c r="AK26">
        <v>308013</v>
      </c>
    </row>
    <row r="27" spans="1:37" x14ac:dyDescent="0.4">
      <c r="A27" s="1" t="s">
        <v>42</v>
      </c>
      <c r="B27" s="1" t="s">
        <v>43</v>
      </c>
      <c r="C27">
        <v>6107589</v>
      </c>
      <c r="D27">
        <v>2249899</v>
      </c>
      <c r="E27">
        <v>7968807</v>
      </c>
      <c r="F27">
        <v>2771770</v>
      </c>
      <c r="G27">
        <v>7829576</v>
      </c>
      <c r="H27">
        <v>6602024</v>
      </c>
      <c r="I27">
        <v>2026412</v>
      </c>
      <c r="J27">
        <v>6558375</v>
      </c>
      <c r="K27">
        <v>1984593</v>
      </c>
      <c r="L27">
        <v>2988188</v>
      </c>
      <c r="M27">
        <v>4822721</v>
      </c>
      <c r="N27">
        <v>2889474</v>
      </c>
      <c r="O27">
        <v>4782845</v>
      </c>
      <c r="P27">
        <v>3234647</v>
      </c>
      <c r="Q27">
        <v>4275134</v>
      </c>
      <c r="R27">
        <v>4376360</v>
      </c>
      <c r="S27">
        <v>4288381</v>
      </c>
      <c r="T27">
        <v>4767652</v>
      </c>
      <c r="U27">
        <v>4877819</v>
      </c>
      <c r="V27">
        <v>1975751</v>
      </c>
      <c r="W27">
        <v>2713552</v>
      </c>
      <c r="X27">
        <v>3748664</v>
      </c>
      <c r="Y27">
        <v>2861293</v>
      </c>
      <c r="Z27">
        <v>4100474</v>
      </c>
      <c r="AA27">
        <v>441015</v>
      </c>
      <c r="AB27">
        <v>8140736</v>
      </c>
      <c r="AC27">
        <v>10812903</v>
      </c>
      <c r="AD27">
        <v>8108418</v>
      </c>
      <c r="AE27">
        <v>11354808</v>
      </c>
      <c r="AF27">
        <v>3682552</v>
      </c>
      <c r="AG27">
        <v>609267</v>
      </c>
      <c r="AH27">
        <v>350403</v>
      </c>
      <c r="AI27">
        <v>625773</v>
      </c>
      <c r="AJ27">
        <v>430754</v>
      </c>
      <c r="AK27">
        <v>245229</v>
      </c>
    </row>
    <row r="28" spans="1:37" x14ac:dyDescent="0.4">
      <c r="A28" s="1" t="s">
        <v>44</v>
      </c>
      <c r="B28" s="1" t="s">
        <v>45</v>
      </c>
      <c r="C28">
        <v>5980064</v>
      </c>
      <c r="D28">
        <v>2192743</v>
      </c>
      <c r="E28">
        <v>7888500</v>
      </c>
      <c r="F28">
        <v>2713385</v>
      </c>
      <c r="G28">
        <v>7628809</v>
      </c>
      <c r="H28">
        <v>5950743</v>
      </c>
      <c r="I28">
        <v>1895463</v>
      </c>
      <c r="J28">
        <v>6062581</v>
      </c>
      <c r="K28">
        <v>1929227</v>
      </c>
      <c r="L28">
        <v>2835041</v>
      </c>
      <c r="M28">
        <v>4773583</v>
      </c>
      <c r="N28">
        <v>2807987</v>
      </c>
      <c r="O28">
        <v>4746384</v>
      </c>
      <c r="P28">
        <v>3111201</v>
      </c>
      <c r="Q28">
        <v>4360357</v>
      </c>
      <c r="R28">
        <v>4276925</v>
      </c>
      <c r="S28">
        <v>4145143</v>
      </c>
      <c r="T28">
        <v>4369268</v>
      </c>
      <c r="U28">
        <v>4571280</v>
      </c>
      <c r="V28">
        <v>1988987</v>
      </c>
      <c r="W28">
        <v>2545978</v>
      </c>
      <c r="X28">
        <v>3543791</v>
      </c>
      <c r="Y28">
        <v>2650864</v>
      </c>
      <c r="Z28">
        <v>3875103</v>
      </c>
      <c r="AA28">
        <v>442967</v>
      </c>
      <c r="AB28">
        <v>7414810</v>
      </c>
      <c r="AC28">
        <v>10177371</v>
      </c>
      <c r="AD28">
        <v>7615145</v>
      </c>
      <c r="AE28">
        <v>11010193</v>
      </c>
      <c r="AF28">
        <v>3680699</v>
      </c>
      <c r="AG28">
        <v>629898</v>
      </c>
      <c r="AH28">
        <v>316676</v>
      </c>
      <c r="AI28">
        <v>584347</v>
      </c>
      <c r="AJ28">
        <v>370719</v>
      </c>
      <c r="AK28">
        <v>254078</v>
      </c>
    </row>
    <row r="29" spans="1:37" x14ac:dyDescent="0.4">
      <c r="A29" s="1" t="s">
        <v>46</v>
      </c>
      <c r="B29" s="1" t="s">
        <v>47</v>
      </c>
      <c r="C29">
        <v>6360865</v>
      </c>
      <c r="D29">
        <v>2423687</v>
      </c>
      <c r="E29">
        <v>8399536</v>
      </c>
      <c r="F29">
        <v>2976325</v>
      </c>
      <c r="G29">
        <v>7617886</v>
      </c>
      <c r="H29">
        <v>6946597</v>
      </c>
      <c r="I29">
        <v>2075415</v>
      </c>
      <c r="J29">
        <v>6989911</v>
      </c>
      <c r="K29">
        <v>2114937</v>
      </c>
      <c r="L29">
        <v>2748479</v>
      </c>
      <c r="M29">
        <v>5338805</v>
      </c>
      <c r="N29">
        <v>3154136</v>
      </c>
      <c r="O29">
        <v>5474794</v>
      </c>
      <c r="P29">
        <v>3484648</v>
      </c>
      <c r="Q29">
        <v>4280667</v>
      </c>
      <c r="R29">
        <v>4720779</v>
      </c>
      <c r="S29">
        <v>4453151</v>
      </c>
      <c r="T29">
        <v>4780951</v>
      </c>
      <c r="U29">
        <v>4887623</v>
      </c>
      <c r="V29">
        <v>2058006</v>
      </c>
      <c r="W29">
        <v>2920591</v>
      </c>
      <c r="X29">
        <v>3951957</v>
      </c>
      <c r="Y29">
        <v>3047793</v>
      </c>
      <c r="Z29">
        <v>4321407</v>
      </c>
      <c r="AA29">
        <v>458628</v>
      </c>
      <c r="AB29">
        <v>8258749</v>
      </c>
      <c r="AC29">
        <v>11535195</v>
      </c>
      <c r="AD29">
        <v>8485495</v>
      </c>
      <c r="AE29">
        <v>12350811</v>
      </c>
      <c r="AF29">
        <v>3762533</v>
      </c>
      <c r="AG29">
        <v>655729</v>
      </c>
      <c r="AH29">
        <v>325231</v>
      </c>
      <c r="AI29">
        <v>605420</v>
      </c>
      <c r="AJ29">
        <v>375424</v>
      </c>
      <c r="AK29">
        <v>254085</v>
      </c>
    </row>
    <row r="30" spans="1:37" x14ac:dyDescent="0.4">
      <c r="A30" s="1" t="s">
        <v>48</v>
      </c>
      <c r="B30" s="1" t="s">
        <v>49</v>
      </c>
      <c r="C30">
        <v>7323760</v>
      </c>
      <c r="D30">
        <v>2693413</v>
      </c>
      <c r="E30">
        <v>9278832</v>
      </c>
      <c r="F30">
        <v>3220303</v>
      </c>
      <c r="G30">
        <v>7147209</v>
      </c>
      <c r="H30">
        <v>7521153</v>
      </c>
      <c r="I30">
        <v>2211623</v>
      </c>
      <c r="J30">
        <v>7477198</v>
      </c>
      <c r="K30">
        <v>2218549</v>
      </c>
      <c r="L30">
        <v>2763524</v>
      </c>
      <c r="M30">
        <v>5909102</v>
      </c>
      <c r="N30">
        <v>3339816</v>
      </c>
      <c r="O30">
        <v>5895827</v>
      </c>
      <c r="P30">
        <v>3629328</v>
      </c>
      <c r="Q30">
        <v>4346520</v>
      </c>
      <c r="R30">
        <v>5245409</v>
      </c>
      <c r="S30">
        <v>4969573</v>
      </c>
      <c r="T30">
        <v>5358252</v>
      </c>
      <c r="U30">
        <v>5472165</v>
      </c>
      <c r="V30">
        <v>2115309</v>
      </c>
      <c r="W30">
        <v>2997462</v>
      </c>
      <c r="X30">
        <v>4124686</v>
      </c>
      <c r="Y30">
        <v>3079333</v>
      </c>
      <c r="Z30">
        <v>4424947</v>
      </c>
      <c r="AA30">
        <v>494371</v>
      </c>
      <c r="AB30">
        <v>8977526</v>
      </c>
      <c r="AC30">
        <v>12074657</v>
      </c>
      <c r="AD30">
        <v>9190411</v>
      </c>
      <c r="AE30">
        <v>12749245</v>
      </c>
      <c r="AF30">
        <v>3854253</v>
      </c>
      <c r="AG30">
        <v>701774</v>
      </c>
      <c r="AH30">
        <v>348863</v>
      </c>
      <c r="AI30">
        <v>621001</v>
      </c>
      <c r="AJ30">
        <v>386910</v>
      </c>
      <c r="AK30">
        <v>268606</v>
      </c>
    </row>
    <row r="31" spans="1:37" x14ac:dyDescent="0.4">
      <c r="A31" s="1" t="s">
        <v>50</v>
      </c>
      <c r="B31" s="1" t="s">
        <v>51</v>
      </c>
      <c r="C31">
        <v>5076872</v>
      </c>
      <c r="D31">
        <v>2147796</v>
      </c>
      <c r="E31">
        <v>6207271</v>
      </c>
      <c r="F31">
        <v>2448876</v>
      </c>
      <c r="G31">
        <v>7884439</v>
      </c>
      <c r="H31">
        <v>5098172</v>
      </c>
      <c r="I31">
        <v>1559064</v>
      </c>
      <c r="J31">
        <v>5082907</v>
      </c>
      <c r="K31">
        <v>1575770</v>
      </c>
      <c r="L31">
        <v>2757269</v>
      </c>
      <c r="M31">
        <v>3889179</v>
      </c>
      <c r="N31">
        <v>2376093</v>
      </c>
      <c r="O31">
        <v>4016095</v>
      </c>
      <c r="P31">
        <v>2673277</v>
      </c>
      <c r="Q31">
        <v>4259241</v>
      </c>
      <c r="R31">
        <v>3698874</v>
      </c>
      <c r="S31">
        <v>3607682</v>
      </c>
      <c r="T31">
        <v>3813276</v>
      </c>
      <c r="U31">
        <v>4063152</v>
      </c>
      <c r="V31">
        <v>2132031</v>
      </c>
      <c r="W31">
        <v>2364383</v>
      </c>
      <c r="X31">
        <v>3273514</v>
      </c>
      <c r="Y31">
        <v>2445999</v>
      </c>
      <c r="Z31">
        <v>3584782</v>
      </c>
      <c r="AA31">
        <v>477876</v>
      </c>
      <c r="AB31">
        <v>6726749</v>
      </c>
      <c r="AC31">
        <v>9316864</v>
      </c>
      <c r="AD31">
        <v>6926465</v>
      </c>
      <c r="AE31">
        <v>10107637</v>
      </c>
      <c r="AF31">
        <v>3844819</v>
      </c>
      <c r="AG31">
        <v>540845</v>
      </c>
      <c r="AH31">
        <v>260898</v>
      </c>
      <c r="AI31">
        <v>522324</v>
      </c>
      <c r="AJ31">
        <v>317279</v>
      </c>
      <c r="AK31">
        <v>260358</v>
      </c>
    </row>
    <row r="32" spans="1:37" x14ac:dyDescent="0.4">
      <c r="A32" s="1" t="s">
        <v>52</v>
      </c>
      <c r="B32" s="1" t="s">
        <v>53</v>
      </c>
      <c r="C32">
        <v>6773855</v>
      </c>
      <c r="D32">
        <v>2571861</v>
      </c>
      <c r="E32">
        <v>8853961</v>
      </c>
      <c r="F32">
        <v>3159786</v>
      </c>
      <c r="G32">
        <v>7790828</v>
      </c>
      <c r="H32">
        <v>7179363</v>
      </c>
      <c r="I32">
        <v>2114174</v>
      </c>
      <c r="J32">
        <v>7170897</v>
      </c>
      <c r="K32">
        <v>2123092</v>
      </c>
      <c r="L32">
        <v>2708652</v>
      </c>
      <c r="M32">
        <v>5479530</v>
      </c>
      <c r="N32">
        <v>3561457</v>
      </c>
      <c r="O32">
        <v>5705858</v>
      </c>
      <c r="P32">
        <v>3900932</v>
      </c>
      <c r="Q32">
        <v>4079800</v>
      </c>
      <c r="R32">
        <v>4820606</v>
      </c>
      <c r="S32">
        <v>4646483</v>
      </c>
      <c r="T32">
        <v>5019841</v>
      </c>
      <c r="U32">
        <v>5169652</v>
      </c>
      <c r="V32">
        <v>2078411</v>
      </c>
      <c r="W32">
        <v>3031651</v>
      </c>
      <c r="X32">
        <v>4066770</v>
      </c>
      <c r="Y32">
        <v>3128825</v>
      </c>
      <c r="Z32">
        <v>4400100</v>
      </c>
      <c r="AA32">
        <v>458778</v>
      </c>
      <c r="AB32">
        <v>8554435</v>
      </c>
      <c r="AC32">
        <v>12019438</v>
      </c>
      <c r="AD32">
        <v>8867536</v>
      </c>
      <c r="AE32">
        <v>12783113</v>
      </c>
      <c r="AF32">
        <v>3698476</v>
      </c>
      <c r="AG32">
        <v>641035</v>
      </c>
      <c r="AH32">
        <v>323804</v>
      </c>
      <c r="AI32">
        <v>595871</v>
      </c>
      <c r="AJ32">
        <v>373739</v>
      </c>
      <c r="AK32">
        <v>257421</v>
      </c>
    </row>
    <row r="33" spans="1:37" x14ac:dyDescent="0.4">
      <c r="A33" s="1" t="s">
        <v>54</v>
      </c>
      <c r="B33" s="1" t="s">
        <v>55</v>
      </c>
      <c r="C33">
        <v>6847593</v>
      </c>
      <c r="D33">
        <v>2495597</v>
      </c>
      <c r="E33">
        <v>9115700</v>
      </c>
      <c r="F33">
        <v>3141210</v>
      </c>
      <c r="G33">
        <v>7829489</v>
      </c>
      <c r="H33">
        <v>7727157</v>
      </c>
      <c r="I33">
        <v>2239966</v>
      </c>
      <c r="J33">
        <v>7707380</v>
      </c>
      <c r="K33">
        <v>2262837</v>
      </c>
      <c r="L33">
        <v>2696828</v>
      </c>
      <c r="M33">
        <v>6196413</v>
      </c>
      <c r="N33">
        <v>3578895</v>
      </c>
      <c r="O33">
        <v>6129902</v>
      </c>
      <c r="P33">
        <v>3951082</v>
      </c>
      <c r="Q33">
        <v>4200144</v>
      </c>
      <c r="R33">
        <v>4960305</v>
      </c>
      <c r="S33">
        <v>4840733</v>
      </c>
      <c r="T33">
        <v>5136830</v>
      </c>
      <c r="U33">
        <v>5353104</v>
      </c>
      <c r="V33">
        <v>2050739</v>
      </c>
      <c r="W33">
        <v>3142531</v>
      </c>
      <c r="X33">
        <v>4264800</v>
      </c>
      <c r="Y33">
        <v>3236299</v>
      </c>
      <c r="Z33">
        <v>4569616</v>
      </c>
      <c r="AA33">
        <v>465341</v>
      </c>
      <c r="AB33">
        <v>9187181</v>
      </c>
      <c r="AC33">
        <v>12438347</v>
      </c>
      <c r="AD33">
        <v>9186524</v>
      </c>
      <c r="AE33">
        <v>12871239</v>
      </c>
      <c r="AF33">
        <v>3943272</v>
      </c>
      <c r="AG33">
        <v>708197</v>
      </c>
      <c r="AH33">
        <v>359492</v>
      </c>
      <c r="AI33">
        <v>632122</v>
      </c>
      <c r="AJ33">
        <v>401959</v>
      </c>
      <c r="AK33">
        <v>264660</v>
      </c>
    </row>
    <row r="34" spans="1:37" x14ac:dyDescent="0.4">
      <c r="A34" s="1" t="s">
        <v>56</v>
      </c>
      <c r="B34" s="1" t="s">
        <v>57</v>
      </c>
      <c r="C34">
        <v>6183556</v>
      </c>
      <c r="D34">
        <v>2177059</v>
      </c>
      <c r="E34">
        <v>8168140</v>
      </c>
      <c r="F34">
        <v>2767280</v>
      </c>
      <c r="G34">
        <v>7478592</v>
      </c>
      <c r="H34">
        <v>6213548</v>
      </c>
      <c r="I34">
        <v>1877649</v>
      </c>
      <c r="J34">
        <v>6078123</v>
      </c>
      <c r="K34">
        <v>1842933</v>
      </c>
      <c r="L34">
        <v>2793325</v>
      </c>
      <c r="M34">
        <v>4887598</v>
      </c>
      <c r="N34">
        <v>2839464</v>
      </c>
      <c r="O34">
        <v>5024688</v>
      </c>
      <c r="P34">
        <v>3193065</v>
      </c>
      <c r="Q34">
        <v>4111127</v>
      </c>
      <c r="R34">
        <v>4461694</v>
      </c>
      <c r="S34">
        <v>4242248</v>
      </c>
      <c r="T34">
        <v>4610512</v>
      </c>
      <c r="U34">
        <v>4818770</v>
      </c>
      <c r="V34">
        <v>2033336</v>
      </c>
      <c r="W34">
        <v>2668572</v>
      </c>
      <c r="X34">
        <v>3680447</v>
      </c>
      <c r="Y34">
        <v>2787008</v>
      </c>
      <c r="Z34">
        <v>4033297</v>
      </c>
      <c r="AA34">
        <v>450675</v>
      </c>
      <c r="AB34">
        <v>7745605</v>
      </c>
      <c r="AC34">
        <v>11484064</v>
      </c>
      <c r="AD34">
        <v>7892814</v>
      </c>
      <c r="AE34">
        <v>11767887</v>
      </c>
      <c r="AF34">
        <v>4092164</v>
      </c>
      <c r="AG34">
        <v>633549</v>
      </c>
      <c r="AH34">
        <v>312267</v>
      </c>
      <c r="AI34">
        <v>595591</v>
      </c>
      <c r="AJ34">
        <v>368274</v>
      </c>
      <c r="AK34">
        <v>264662</v>
      </c>
    </row>
    <row r="35" spans="1:37" x14ac:dyDescent="0.4">
      <c r="A35" s="1" t="s">
        <v>58</v>
      </c>
      <c r="B35" s="1" t="s">
        <v>59</v>
      </c>
      <c r="C35">
        <v>6198896</v>
      </c>
      <c r="D35">
        <v>2355848</v>
      </c>
      <c r="E35">
        <v>7768413</v>
      </c>
      <c r="F35">
        <v>2781459</v>
      </c>
      <c r="G35">
        <v>8092736</v>
      </c>
      <c r="H35">
        <v>6422321</v>
      </c>
      <c r="I35">
        <v>1928413</v>
      </c>
      <c r="J35">
        <v>6395746</v>
      </c>
      <c r="K35">
        <v>1928488</v>
      </c>
      <c r="L35">
        <v>2793571</v>
      </c>
      <c r="M35">
        <v>5088659</v>
      </c>
      <c r="N35">
        <v>3125718</v>
      </c>
      <c r="O35">
        <v>5085895</v>
      </c>
      <c r="P35">
        <v>3412674</v>
      </c>
      <c r="Q35">
        <v>4175495</v>
      </c>
      <c r="R35">
        <v>4421424</v>
      </c>
      <c r="S35">
        <v>4275343</v>
      </c>
      <c r="T35">
        <v>4559197</v>
      </c>
      <c r="U35">
        <v>4794055</v>
      </c>
      <c r="V35">
        <v>2034165</v>
      </c>
      <c r="W35">
        <v>2736639</v>
      </c>
      <c r="X35">
        <v>3780262</v>
      </c>
      <c r="Y35">
        <v>2846592</v>
      </c>
      <c r="Z35">
        <v>4121362</v>
      </c>
      <c r="AA35">
        <v>455852</v>
      </c>
      <c r="AB35">
        <v>7869954</v>
      </c>
      <c r="AC35">
        <v>11222601</v>
      </c>
      <c r="AD35">
        <v>8024535</v>
      </c>
      <c r="AE35">
        <v>11972006</v>
      </c>
      <c r="AF35">
        <v>4187742</v>
      </c>
      <c r="AG35">
        <v>661858</v>
      </c>
      <c r="AH35">
        <v>328824</v>
      </c>
      <c r="AI35">
        <v>617036</v>
      </c>
      <c r="AJ35">
        <v>386667</v>
      </c>
      <c r="AK35">
        <v>259404</v>
      </c>
    </row>
    <row r="36" spans="1:37" x14ac:dyDescent="0.4">
      <c r="A36" s="1" t="s">
        <v>60</v>
      </c>
      <c r="B36" s="1" t="s">
        <v>61</v>
      </c>
      <c r="C36">
        <v>6080455</v>
      </c>
      <c r="D36">
        <v>2351802</v>
      </c>
      <c r="E36">
        <v>7695745</v>
      </c>
      <c r="F36">
        <v>2811886</v>
      </c>
      <c r="G36">
        <v>8168658</v>
      </c>
      <c r="H36">
        <v>6302256</v>
      </c>
      <c r="I36">
        <v>1917205</v>
      </c>
      <c r="J36">
        <v>6277517</v>
      </c>
      <c r="K36">
        <v>1929601</v>
      </c>
      <c r="L36">
        <v>2785844</v>
      </c>
      <c r="M36">
        <v>5105936</v>
      </c>
      <c r="N36">
        <v>3026245</v>
      </c>
      <c r="O36">
        <v>5081581</v>
      </c>
      <c r="P36">
        <v>3298724</v>
      </c>
      <c r="Q36">
        <v>4257200</v>
      </c>
      <c r="R36">
        <v>4175977</v>
      </c>
      <c r="S36">
        <v>4186818</v>
      </c>
      <c r="T36">
        <v>4299708</v>
      </c>
      <c r="U36">
        <v>4618875</v>
      </c>
      <c r="V36">
        <v>1987175</v>
      </c>
      <c r="W36">
        <v>2756666</v>
      </c>
      <c r="X36">
        <v>3809120</v>
      </c>
      <c r="Y36">
        <v>2776624</v>
      </c>
      <c r="Z36">
        <v>4033775</v>
      </c>
      <c r="AA36">
        <v>448015</v>
      </c>
      <c r="AB36">
        <v>7525265</v>
      </c>
      <c r="AC36">
        <v>10832850</v>
      </c>
      <c r="AD36">
        <v>7714907</v>
      </c>
      <c r="AE36">
        <v>11618865</v>
      </c>
      <c r="AF36">
        <v>4310195</v>
      </c>
      <c r="AG36">
        <v>640346</v>
      </c>
      <c r="AH36">
        <v>326128</v>
      </c>
      <c r="AI36">
        <v>578198</v>
      </c>
      <c r="AJ36">
        <v>367643</v>
      </c>
      <c r="AK36">
        <v>275767</v>
      </c>
    </row>
    <row r="37" spans="1:37" x14ac:dyDescent="0.4">
      <c r="A37" s="1" t="s">
        <v>62</v>
      </c>
      <c r="B37" s="1" t="s">
        <v>63</v>
      </c>
      <c r="C37">
        <v>6252737</v>
      </c>
      <c r="D37">
        <v>2402564</v>
      </c>
      <c r="E37">
        <v>8213187</v>
      </c>
      <c r="F37">
        <v>2925682</v>
      </c>
      <c r="G37">
        <v>7987311</v>
      </c>
      <c r="H37">
        <v>6749260</v>
      </c>
      <c r="I37">
        <v>2014601</v>
      </c>
      <c r="J37">
        <v>6731405</v>
      </c>
      <c r="K37">
        <v>2034796</v>
      </c>
      <c r="L37">
        <v>2763380</v>
      </c>
      <c r="M37">
        <v>5573338</v>
      </c>
      <c r="N37">
        <v>3304920</v>
      </c>
      <c r="O37">
        <v>5597280</v>
      </c>
      <c r="P37">
        <v>3687648</v>
      </c>
      <c r="Q37">
        <v>4292850</v>
      </c>
      <c r="R37">
        <v>4514967</v>
      </c>
      <c r="S37">
        <v>4461748</v>
      </c>
      <c r="T37">
        <v>4601996</v>
      </c>
      <c r="U37">
        <v>4838369</v>
      </c>
      <c r="V37">
        <v>1984530</v>
      </c>
      <c r="W37">
        <v>2910052</v>
      </c>
      <c r="X37">
        <v>3929890</v>
      </c>
      <c r="Y37">
        <v>2946007</v>
      </c>
      <c r="Z37">
        <v>4184243</v>
      </c>
      <c r="AA37">
        <v>449629</v>
      </c>
      <c r="AB37">
        <v>7814891</v>
      </c>
      <c r="AC37">
        <v>11187565</v>
      </c>
      <c r="AD37">
        <v>8158500</v>
      </c>
      <c r="AE37">
        <v>12104074</v>
      </c>
      <c r="AF37">
        <v>4255307</v>
      </c>
      <c r="AG37">
        <v>657584</v>
      </c>
      <c r="AH37">
        <v>313703</v>
      </c>
      <c r="AI37">
        <v>586459</v>
      </c>
      <c r="AJ37">
        <v>362765</v>
      </c>
      <c r="AK37">
        <v>281732</v>
      </c>
    </row>
    <row r="38" spans="1:37" x14ac:dyDescent="0.4">
      <c r="A38" s="1" t="s">
        <v>64</v>
      </c>
      <c r="B38" s="1" t="s">
        <v>65</v>
      </c>
      <c r="C38">
        <v>6861844</v>
      </c>
      <c r="D38">
        <v>2704054</v>
      </c>
      <c r="E38">
        <v>9161439</v>
      </c>
      <c r="F38">
        <v>3340774</v>
      </c>
      <c r="G38">
        <v>7714092</v>
      </c>
      <c r="H38">
        <v>7451089</v>
      </c>
      <c r="I38">
        <v>2236203</v>
      </c>
      <c r="J38">
        <v>7480762</v>
      </c>
      <c r="K38">
        <v>2259860</v>
      </c>
      <c r="L38">
        <v>2688714</v>
      </c>
      <c r="M38">
        <v>5918140</v>
      </c>
      <c r="N38">
        <v>3460881</v>
      </c>
      <c r="O38">
        <v>6042727</v>
      </c>
      <c r="P38">
        <v>3882049</v>
      </c>
      <c r="Q38">
        <v>4227252</v>
      </c>
      <c r="R38">
        <v>4863222</v>
      </c>
      <c r="S38">
        <v>4809804</v>
      </c>
      <c r="T38">
        <v>4969131</v>
      </c>
      <c r="U38">
        <v>5190688</v>
      </c>
      <c r="V38">
        <v>1963883</v>
      </c>
      <c r="W38">
        <v>3019389</v>
      </c>
      <c r="X38">
        <v>4163752</v>
      </c>
      <c r="Y38">
        <v>3075601</v>
      </c>
      <c r="Z38">
        <v>4423661</v>
      </c>
      <c r="AA38">
        <v>450638</v>
      </c>
      <c r="AB38">
        <v>8493524</v>
      </c>
      <c r="AC38">
        <v>12300731</v>
      </c>
      <c r="AD38">
        <v>8816875</v>
      </c>
      <c r="AE38">
        <v>12693584</v>
      </c>
      <c r="AF38">
        <v>4303258</v>
      </c>
      <c r="AG38">
        <v>740196</v>
      </c>
      <c r="AH38">
        <v>376249</v>
      </c>
      <c r="AI38">
        <v>659310</v>
      </c>
      <c r="AJ38">
        <v>426407</v>
      </c>
      <c r="AK38">
        <v>299380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2DEE-C81E-4797-92C8-C9BB760B8E33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796</v>
      </c>
      <c r="D3" t="s">
        <v>796</v>
      </c>
      <c r="E3" t="s">
        <v>796</v>
      </c>
      <c r="F3" t="s">
        <v>800</v>
      </c>
      <c r="G3" t="s">
        <v>800</v>
      </c>
      <c r="H3" t="s">
        <v>800</v>
      </c>
      <c r="I3" t="s">
        <v>802</v>
      </c>
      <c r="J3" t="s">
        <v>802</v>
      </c>
      <c r="K3" t="s">
        <v>802</v>
      </c>
      <c r="L3" t="s">
        <v>804</v>
      </c>
      <c r="M3" t="s">
        <v>804</v>
      </c>
      <c r="N3" t="s">
        <v>804</v>
      </c>
      <c r="O3" t="s">
        <v>806</v>
      </c>
      <c r="P3" t="s">
        <v>806</v>
      </c>
      <c r="Q3" t="s">
        <v>806</v>
      </c>
      <c r="R3" t="s">
        <v>808</v>
      </c>
      <c r="S3" t="s">
        <v>808</v>
      </c>
      <c r="T3" t="s">
        <v>808</v>
      </c>
      <c r="U3" t="s">
        <v>810</v>
      </c>
      <c r="V3" t="s">
        <v>810</v>
      </c>
      <c r="W3" t="s">
        <v>810</v>
      </c>
      <c r="X3" t="s">
        <v>812</v>
      </c>
      <c r="Y3" t="s">
        <v>812</v>
      </c>
      <c r="Z3" t="s">
        <v>812</v>
      </c>
    </row>
    <row r="4" spans="1:26" x14ac:dyDescent="0.4">
      <c r="A4" s="1"/>
      <c r="B4" s="2" t="s">
        <v>1</v>
      </c>
      <c r="C4" t="s">
        <v>798</v>
      </c>
      <c r="D4" t="s">
        <v>798</v>
      </c>
      <c r="E4" t="s">
        <v>798</v>
      </c>
      <c r="F4" t="s">
        <v>801</v>
      </c>
      <c r="G4" t="s">
        <v>801</v>
      </c>
      <c r="H4" t="s">
        <v>801</v>
      </c>
      <c r="I4" t="s">
        <v>803</v>
      </c>
      <c r="J4" t="s">
        <v>803</v>
      </c>
      <c r="K4" t="s">
        <v>803</v>
      </c>
      <c r="L4" t="s">
        <v>805</v>
      </c>
      <c r="M4" t="s">
        <v>805</v>
      </c>
      <c r="N4" t="s">
        <v>805</v>
      </c>
      <c r="O4" t="s">
        <v>807</v>
      </c>
      <c r="P4" t="s">
        <v>807</v>
      </c>
      <c r="Q4" t="s">
        <v>807</v>
      </c>
      <c r="R4" t="s">
        <v>809</v>
      </c>
      <c r="S4" t="s">
        <v>809</v>
      </c>
      <c r="T4" t="s">
        <v>809</v>
      </c>
      <c r="U4" t="s">
        <v>811</v>
      </c>
      <c r="V4" t="s">
        <v>811</v>
      </c>
      <c r="W4" t="s">
        <v>811</v>
      </c>
      <c r="X4" t="s">
        <v>813</v>
      </c>
      <c r="Y4" t="s">
        <v>813</v>
      </c>
      <c r="Z4" t="s">
        <v>813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</row>
    <row r="7" spans="1:26" x14ac:dyDescent="0.4">
      <c r="A7" s="1"/>
      <c r="B7" s="2" t="s">
        <v>4</v>
      </c>
      <c r="C7" t="s">
        <v>797</v>
      </c>
      <c r="D7" t="s">
        <v>339</v>
      </c>
      <c r="E7" t="s">
        <v>341</v>
      </c>
      <c r="F7" t="s">
        <v>797</v>
      </c>
      <c r="G7" t="s">
        <v>339</v>
      </c>
      <c r="H7" t="s">
        <v>341</v>
      </c>
      <c r="I7" t="s">
        <v>797</v>
      </c>
      <c r="J7" t="s">
        <v>339</v>
      </c>
      <c r="K7" t="s">
        <v>341</v>
      </c>
      <c r="L7" t="s">
        <v>797</v>
      </c>
      <c r="M7" t="s">
        <v>339</v>
      </c>
      <c r="N7" t="s">
        <v>341</v>
      </c>
      <c r="O7" t="s">
        <v>797</v>
      </c>
      <c r="P7" t="s">
        <v>339</v>
      </c>
      <c r="Q7" t="s">
        <v>341</v>
      </c>
      <c r="R7" t="s">
        <v>797</v>
      </c>
      <c r="S7" t="s">
        <v>339</v>
      </c>
      <c r="T7" t="s">
        <v>341</v>
      </c>
      <c r="U7" t="s">
        <v>797</v>
      </c>
      <c r="V7" t="s">
        <v>339</v>
      </c>
      <c r="W7" t="s">
        <v>341</v>
      </c>
      <c r="X7" t="s">
        <v>797</v>
      </c>
      <c r="Y7" t="s">
        <v>339</v>
      </c>
      <c r="Z7" t="s">
        <v>341</v>
      </c>
    </row>
    <row r="8" spans="1:26" x14ac:dyDescent="0.4">
      <c r="A8" s="1" t="s">
        <v>67</v>
      </c>
      <c r="B8" s="2" t="s">
        <v>5</v>
      </c>
      <c r="C8" t="s">
        <v>799</v>
      </c>
      <c r="D8" t="s">
        <v>339</v>
      </c>
      <c r="E8" t="s">
        <v>342</v>
      </c>
      <c r="F8" t="s">
        <v>799</v>
      </c>
      <c r="G8" t="s">
        <v>339</v>
      </c>
      <c r="H8" t="s">
        <v>342</v>
      </c>
      <c r="I8" t="s">
        <v>799</v>
      </c>
      <c r="J8" t="s">
        <v>339</v>
      </c>
      <c r="K8" t="s">
        <v>342</v>
      </c>
      <c r="L8" t="s">
        <v>799</v>
      </c>
      <c r="M8" t="s">
        <v>339</v>
      </c>
      <c r="N8" t="s">
        <v>342</v>
      </c>
      <c r="O8" t="s">
        <v>799</v>
      </c>
      <c r="P8" t="s">
        <v>339</v>
      </c>
      <c r="Q8" t="s">
        <v>342</v>
      </c>
      <c r="R8" t="s">
        <v>799</v>
      </c>
      <c r="S8" t="s">
        <v>339</v>
      </c>
      <c r="T8" t="s">
        <v>342</v>
      </c>
      <c r="U8" t="s">
        <v>799</v>
      </c>
      <c r="V8" t="s">
        <v>339</v>
      </c>
      <c r="W8" t="s">
        <v>342</v>
      </c>
      <c r="X8" t="s">
        <v>799</v>
      </c>
      <c r="Y8" t="s">
        <v>339</v>
      </c>
      <c r="Z8" t="s">
        <v>342</v>
      </c>
    </row>
    <row r="9" spans="1:26" x14ac:dyDescent="0.4">
      <c r="A9" s="1" t="s">
        <v>6</v>
      </c>
      <c r="B9" s="3" t="s">
        <v>7</v>
      </c>
      <c r="C9">
        <v>84538</v>
      </c>
      <c r="D9">
        <v>76191098</v>
      </c>
      <c r="E9">
        <v>139359696</v>
      </c>
      <c r="F9">
        <v>111374</v>
      </c>
      <c r="G9">
        <v>10149986</v>
      </c>
      <c r="H9">
        <v>20796841</v>
      </c>
      <c r="I9">
        <v>3992</v>
      </c>
      <c r="J9">
        <v>2414268</v>
      </c>
      <c r="K9">
        <v>5882692</v>
      </c>
      <c r="L9">
        <v>7311</v>
      </c>
      <c r="M9">
        <v>15639768</v>
      </c>
      <c r="N9">
        <v>39756021</v>
      </c>
      <c r="O9">
        <v>28523</v>
      </c>
      <c r="P9">
        <v>29843151</v>
      </c>
      <c r="Q9">
        <v>122692567</v>
      </c>
      <c r="R9">
        <v>191538</v>
      </c>
      <c r="S9">
        <v>1363612</v>
      </c>
      <c r="T9">
        <v>2512275</v>
      </c>
      <c r="U9">
        <v>12688</v>
      </c>
      <c r="V9">
        <v>950987</v>
      </c>
      <c r="W9">
        <v>7748734</v>
      </c>
      <c r="X9">
        <v>44313</v>
      </c>
      <c r="Y9">
        <v>468367</v>
      </c>
      <c r="Z9">
        <v>5490593</v>
      </c>
    </row>
    <row r="10" spans="1:26" x14ac:dyDescent="0.4">
      <c r="A10" s="1" t="s">
        <v>8</v>
      </c>
      <c r="B10" s="3" t="s">
        <v>9</v>
      </c>
      <c r="C10">
        <v>89722</v>
      </c>
      <c r="D10">
        <v>80423455</v>
      </c>
      <c r="E10">
        <v>148731741</v>
      </c>
      <c r="F10">
        <v>111131</v>
      </c>
      <c r="G10">
        <v>10610102</v>
      </c>
      <c r="H10">
        <v>19403783</v>
      </c>
      <c r="I10">
        <v>3589</v>
      </c>
      <c r="J10">
        <v>1787925</v>
      </c>
      <c r="K10">
        <v>4541083</v>
      </c>
      <c r="L10">
        <v>7153</v>
      </c>
      <c r="M10">
        <v>14784123</v>
      </c>
      <c r="N10">
        <v>37405207</v>
      </c>
      <c r="O10">
        <v>27679</v>
      </c>
      <c r="P10">
        <v>32087670</v>
      </c>
      <c r="Q10">
        <v>131163630</v>
      </c>
      <c r="R10">
        <v>183533</v>
      </c>
      <c r="S10">
        <v>1309798</v>
      </c>
      <c r="T10">
        <v>2536239</v>
      </c>
      <c r="U10">
        <v>12353</v>
      </c>
      <c r="V10">
        <v>906459</v>
      </c>
      <c r="W10">
        <v>7407179</v>
      </c>
      <c r="X10">
        <v>32927</v>
      </c>
      <c r="Y10">
        <v>379862</v>
      </c>
      <c r="Z10">
        <v>4431502</v>
      </c>
    </row>
    <row r="11" spans="1:26" x14ac:dyDescent="0.4">
      <c r="A11" s="1" t="s">
        <v>10</v>
      </c>
      <c r="B11" s="3" t="s">
        <v>11</v>
      </c>
      <c r="C11">
        <v>64308</v>
      </c>
      <c r="D11">
        <v>67862840</v>
      </c>
      <c r="E11">
        <v>127643690</v>
      </c>
      <c r="F11">
        <v>114657</v>
      </c>
      <c r="G11">
        <v>11466690</v>
      </c>
      <c r="H11">
        <v>20725442</v>
      </c>
      <c r="I11">
        <v>3551</v>
      </c>
      <c r="J11">
        <v>1905227</v>
      </c>
      <c r="K11">
        <v>5285462</v>
      </c>
      <c r="L11">
        <v>6391</v>
      </c>
      <c r="M11">
        <v>15736643</v>
      </c>
      <c r="N11">
        <v>38745363</v>
      </c>
      <c r="O11">
        <v>26335</v>
      </c>
      <c r="P11">
        <v>28032067</v>
      </c>
      <c r="Q11">
        <v>117464014</v>
      </c>
      <c r="R11">
        <v>191643</v>
      </c>
      <c r="S11">
        <v>1397625</v>
      </c>
      <c r="T11">
        <v>2638946</v>
      </c>
      <c r="U11">
        <v>11082</v>
      </c>
      <c r="V11">
        <v>925839</v>
      </c>
      <c r="W11">
        <v>7693387</v>
      </c>
      <c r="X11">
        <v>31466</v>
      </c>
      <c r="Y11">
        <v>362159</v>
      </c>
      <c r="Z11">
        <v>4158410</v>
      </c>
    </row>
    <row r="12" spans="1:26" x14ac:dyDescent="0.4">
      <c r="A12" s="1" t="s">
        <v>12</v>
      </c>
      <c r="B12" s="3" t="s">
        <v>13</v>
      </c>
      <c r="C12">
        <v>54539</v>
      </c>
      <c r="D12">
        <v>65015583</v>
      </c>
      <c r="E12">
        <v>117391860</v>
      </c>
      <c r="F12">
        <v>112478</v>
      </c>
      <c r="G12">
        <v>10953833</v>
      </c>
      <c r="H12">
        <v>20097503</v>
      </c>
      <c r="I12">
        <v>3208</v>
      </c>
      <c r="J12">
        <v>1943514</v>
      </c>
      <c r="K12">
        <v>5184883</v>
      </c>
      <c r="L12">
        <v>5599</v>
      </c>
      <c r="M12">
        <v>16797316</v>
      </c>
      <c r="N12">
        <v>39248454</v>
      </c>
      <c r="O12">
        <v>25896</v>
      </c>
      <c r="P12">
        <v>28980699</v>
      </c>
      <c r="Q12">
        <v>122917670</v>
      </c>
      <c r="R12">
        <v>183250</v>
      </c>
      <c r="S12">
        <v>1349043</v>
      </c>
      <c r="T12">
        <v>2681801</v>
      </c>
      <c r="U12">
        <v>10226</v>
      </c>
      <c r="V12">
        <v>879831</v>
      </c>
      <c r="W12">
        <v>7946666</v>
      </c>
      <c r="X12">
        <v>30100</v>
      </c>
      <c r="Y12">
        <v>364093</v>
      </c>
      <c r="Z12">
        <v>4322283</v>
      </c>
    </row>
    <row r="13" spans="1:26" x14ac:dyDescent="0.4">
      <c r="A13" s="1" t="s">
        <v>14</v>
      </c>
      <c r="B13" s="3" t="s">
        <v>15</v>
      </c>
      <c r="C13">
        <v>47054</v>
      </c>
      <c r="D13">
        <v>61273388</v>
      </c>
      <c r="E13">
        <v>120138192</v>
      </c>
      <c r="F13">
        <v>107621</v>
      </c>
      <c r="G13">
        <v>10861086</v>
      </c>
      <c r="H13">
        <v>20228527</v>
      </c>
      <c r="I13">
        <v>3187</v>
      </c>
      <c r="J13">
        <v>1770879</v>
      </c>
      <c r="K13">
        <v>5538329</v>
      </c>
      <c r="L13">
        <v>5338</v>
      </c>
      <c r="M13">
        <v>15374630</v>
      </c>
      <c r="N13">
        <v>37718509</v>
      </c>
      <c r="O13">
        <v>23508</v>
      </c>
      <c r="P13">
        <v>25318198</v>
      </c>
      <c r="Q13">
        <v>107717937</v>
      </c>
      <c r="R13">
        <v>151858</v>
      </c>
      <c r="S13">
        <v>1355743</v>
      </c>
      <c r="T13">
        <v>2669096</v>
      </c>
      <c r="U13">
        <v>10820</v>
      </c>
      <c r="V13">
        <v>820241</v>
      </c>
      <c r="W13">
        <v>7441658</v>
      </c>
      <c r="X13">
        <v>29337</v>
      </c>
      <c r="Y13">
        <v>351858</v>
      </c>
      <c r="Z13">
        <v>4112689</v>
      </c>
    </row>
    <row r="14" spans="1:26" x14ac:dyDescent="0.4">
      <c r="A14" s="1" t="s">
        <v>16</v>
      </c>
      <c r="B14" s="1" t="s">
        <v>17</v>
      </c>
      <c r="C14">
        <v>5090</v>
      </c>
      <c r="D14">
        <v>6892966</v>
      </c>
      <c r="E14">
        <v>14209138</v>
      </c>
      <c r="F14">
        <v>10608</v>
      </c>
      <c r="G14">
        <v>973193</v>
      </c>
      <c r="H14">
        <v>1828015</v>
      </c>
      <c r="I14">
        <v>329</v>
      </c>
      <c r="J14">
        <v>204446</v>
      </c>
      <c r="K14">
        <v>584909</v>
      </c>
      <c r="L14">
        <v>530</v>
      </c>
      <c r="M14">
        <v>1627906</v>
      </c>
      <c r="N14">
        <v>4214399</v>
      </c>
      <c r="O14">
        <v>2726</v>
      </c>
      <c r="P14">
        <v>2857400</v>
      </c>
      <c r="Q14">
        <v>12678593</v>
      </c>
      <c r="R14">
        <v>22472</v>
      </c>
      <c r="S14">
        <v>118174</v>
      </c>
      <c r="T14">
        <v>236661</v>
      </c>
      <c r="U14">
        <v>955</v>
      </c>
      <c r="V14">
        <v>72183</v>
      </c>
      <c r="W14">
        <v>681107</v>
      </c>
      <c r="X14">
        <v>2438</v>
      </c>
      <c r="Y14">
        <v>30891</v>
      </c>
      <c r="Z14">
        <v>357834</v>
      </c>
    </row>
    <row r="15" spans="1:26" x14ac:dyDescent="0.4">
      <c r="A15" s="1" t="s">
        <v>18</v>
      </c>
      <c r="B15" s="1" t="s">
        <v>19</v>
      </c>
      <c r="C15">
        <v>4361</v>
      </c>
      <c r="D15">
        <v>5647639</v>
      </c>
      <c r="E15">
        <v>9727717</v>
      </c>
      <c r="F15">
        <v>8720</v>
      </c>
      <c r="G15">
        <v>922070</v>
      </c>
      <c r="H15">
        <v>1616876</v>
      </c>
      <c r="I15">
        <v>227</v>
      </c>
      <c r="J15">
        <v>156963</v>
      </c>
      <c r="K15">
        <v>423487</v>
      </c>
      <c r="L15">
        <v>445</v>
      </c>
      <c r="M15">
        <v>1955663</v>
      </c>
      <c r="N15">
        <v>2978863</v>
      </c>
      <c r="O15">
        <v>2010</v>
      </c>
      <c r="P15">
        <v>1850640</v>
      </c>
      <c r="Q15">
        <v>8876710</v>
      </c>
      <c r="R15">
        <v>18772</v>
      </c>
      <c r="S15">
        <v>120313</v>
      </c>
      <c r="T15">
        <v>239684</v>
      </c>
      <c r="U15">
        <v>718</v>
      </c>
      <c r="V15">
        <v>59559</v>
      </c>
      <c r="W15">
        <v>553956</v>
      </c>
      <c r="X15">
        <v>2358</v>
      </c>
      <c r="Y15">
        <v>30110</v>
      </c>
      <c r="Z15">
        <v>354861</v>
      </c>
    </row>
    <row r="16" spans="1:26" x14ac:dyDescent="0.4">
      <c r="A16" s="1" t="s">
        <v>20</v>
      </c>
      <c r="B16" s="1" t="s">
        <v>21</v>
      </c>
      <c r="C16">
        <v>4233</v>
      </c>
      <c r="D16">
        <v>4249098</v>
      </c>
      <c r="E16">
        <v>8523413</v>
      </c>
      <c r="F16">
        <v>8861</v>
      </c>
      <c r="G16">
        <v>866058</v>
      </c>
      <c r="H16">
        <v>1567838</v>
      </c>
      <c r="I16">
        <v>247</v>
      </c>
      <c r="J16">
        <v>181588</v>
      </c>
      <c r="K16">
        <v>336903</v>
      </c>
      <c r="L16">
        <v>462</v>
      </c>
      <c r="M16">
        <v>1215648</v>
      </c>
      <c r="N16">
        <v>3056129</v>
      </c>
      <c r="O16">
        <v>1949</v>
      </c>
      <c r="P16">
        <v>1731875</v>
      </c>
      <c r="Q16">
        <v>9727902</v>
      </c>
      <c r="R16">
        <v>14676</v>
      </c>
      <c r="S16">
        <v>108803</v>
      </c>
      <c r="T16">
        <v>197814</v>
      </c>
      <c r="U16">
        <v>890</v>
      </c>
      <c r="V16">
        <v>72224</v>
      </c>
      <c r="W16">
        <v>622294</v>
      </c>
      <c r="X16">
        <v>2543</v>
      </c>
      <c r="Y16">
        <v>30949</v>
      </c>
      <c r="Z16">
        <v>364641</v>
      </c>
    </row>
    <row r="17" spans="1:26" x14ac:dyDescent="0.4">
      <c r="A17" s="1" t="s">
        <v>22</v>
      </c>
      <c r="B17" s="1" t="s">
        <v>23</v>
      </c>
      <c r="C17">
        <v>4667</v>
      </c>
      <c r="D17">
        <v>5517925</v>
      </c>
      <c r="E17">
        <v>9233853</v>
      </c>
      <c r="F17">
        <v>9785</v>
      </c>
      <c r="G17">
        <v>885785</v>
      </c>
      <c r="H17">
        <v>1632239</v>
      </c>
      <c r="I17">
        <v>253</v>
      </c>
      <c r="J17">
        <v>203694</v>
      </c>
      <c r="K17">
        <v>465351</v>
      </c>
      <c r="L17">
        <v>430</v>
      </c>
      <c r="M17">
        <v>1158808</v>
      </c>
      <c r="N17">
        <v>2688970</v>
      </c>
      <c r="O17">
        <v>1886</v>
      </c>
      <c r="P17">
        <v>1924244</v>
      </c>
      <c r="Q17">
        <v>9467196</v>
      </c>
      <c r="R17">
        <v>12301</v>
      </c>
      <c r="S17">
        <v>120138</v>
      </c>
      <c r="T17">
        <v>248587</v>
      </c>
      <c r="U17">
        <v>851</v>
      </c>
      <c r="V17">
        <v>87475</v>
      </c>
      <c r="W17">
        <v>791783</v>
      </c>
      <c r="X17">
        <v>2731</v>
      </c>
      <c r="Y17">
        <v>31802</v>
      </c>
      <c r="Z17">
        <v>369486</v>
      </c>
    </row>
    <row r="18" spans="1:26" x14ac:dyDescent="0.4">
      <c r="A18" s="1" t="s">
        <v>24</v>
      </c>
      <c r="B18" s="1" t="s">
        <v>25</v>
      </c>
      <c r="C18">
        <v>4515</v>
      </c>
      <c r="D18">
        <v>5330750</v>
      </c>
      <c r="E18">
        <v>8896282</v>
      </c>
      <c r="F18">
        <v>9953</v>
      </c>
      <c r="G18">
        <v>1031759</v>
      </c>
      <c r="H18">
        <v>1814352</v>
      </c>
      <c r="I18">
        <v>237</v>
      </c>
      <c r="J18">
        <v>198535</v>
      </c>
      <c r="K18">
        <v>436557</v>
      </c>
      <c r="L18">
        <v>496</v>
      </c>
      <c r="M18">
        <v>1390025</v>
      </c>
      <c r="N18">
        <v>3651694</v>
      </c>
      <c r="O18">
        <v>1942</v>
      </c>
      <c r="P18">
        <v>1950155</v>
      </c>
      <c r="Q18">
        <v>8348858</v>
      </c>
      <c r="R18">
        <v>17495</v>
      </c>
      <c r="S18">
        <v>117346</v>
      </c>
      <c r="T18">
        <v>211841</v>
      </c>
      <c r="U18">
        <v>950</v>
      </c>
      <c r="V18">
        <v>83248</v>
      </c>
      <c r="W18">
        <v>762351</v>
      </c>
      <c r="X18">
        <v>2666</v>
      </c>
      <c r="Y18">
        <v>31304</v>
      </c>
      <c r="Z18">
        <v>379989</v>
      </c>
    </row>
    <row r="19" spans="1:26" x14ac:dyDescent="0.4">
      <c r="A19" s="1" t="s">
        <v>26</v>
      </c>
      <c r="B19" s="1" t="s">
        <v>27</v>
      </c>
      <c r="C19">
        <v>4038</v>
      </c>
      <c r="D19">
        <v>4391265</v>
      </c>
      <c r="E19">
        <v>7180978</v>
      </c>
      <c r="F19">
        <v>8604</v>
      </c>
      <c r="G19">
        <v>776284</v>
      </c>
      <c r="H19">
        <v>1416360</v>
      </c>
      <c r="I19">
        <v>199</v>
      </c>
      <c r="J19">
        <v>136879</v>
      </c>
      <c r="K19">
        <v>339069</v>
      </c>
      <c r="L19">
        <v>404</v>
      </c>
      <c r="M19">
        <v>1150595</v>
      </c>
      <c r="N19">
        <v>2779191</v>
      </c>
      <c r="O19">
        <v>2017</v>
      </c>
      <c r="P19">
        <v>2648004</v>
      </c>
      <c r="Q19">
        <v>10137133</v>
      </c>
      <c r="R19">
        <v>12089</v>
      </c>
      <c r="S19">
        <v>100959</v>
      </c>
      <c r="T19">
        <v>210227</v>
      </c>
      <c r="U19">
        <v>816</v>
      </c>
      <c r="V19">
        <v>61146</v>
      </c>
      <c r="W19">
        <v>622808</v>
      </c>
      <c r="X19">
        <v>2443</v>
      </c>
      <c r="Y19">
        <v>29447</v>
      </c>
      <c r="Z19">
        <v>355622</v>
      </c>
    </row>
    <row r="20" spans="1:26" x14ac:dyDescent="0.4">
      <c r="A20" s="1" t="s">
        <v>28</v>
      </c>
      <c r="B20" s="1" t="s">
        <v>29</v>
      </c>
      <c r="C20">
        <v>4429</v>
      </c>
      <c r="D20">
        <v>7007921</v>
      </c>
      <c r="E20">
        <v>11672792</v>
      </c>
      <c r="F20">
        <v>9005</v>
      </c>
      <c r="G20">
        <v>873475</v>
      </c>
      <c r="H20">
        <v>1669104</v>
      </c>
      <c r="I20">
        <v>265</v>
      </c>
      <c r="J20">
        <v>125024</v>
      </c>
      <c r="K20">
        <v>387718</v>
      </c>
      <c r="L20">
        <v>452</v>
      </c>
      <c r="M20">
        <v>1303160</v>
      </c>
      <c r="N20">
        <v>3174614</v>
      </c>
      <c r="O20">
        <v>2250</v>
      </c>
      <c r="P20">
        <v>2309798</v>
      </c>
      <c r="Q20">
        <v>11197376</v>
      </c>
      <c r="R20">
        <v>15156</v>
      </c>
      <c r="S20">
        <v>113961</v>
      </c>
      <c r="T20">
        <v>227936</v>
      </c>
      <c r="U20">
        <v>763</v>
      </c>
      <c r="V20">
        <v>74863</v>
      </c>
      <c r="W20">
        <v>696449</v>
      </c>
      <c r="X20">
        <v>2525</v>
      </c>
      <c r="Y20">
        <v>30024</v>
      </c>
      <c r="Z20">
        <v>371206</v>
      </c>
    </row>
    <row r="21" spans="1:26" x14ac:dyDescent="0.4">
      <c r="A21" s="1" t="s">
        <v>30</v>
      </c>
      <c r="B21" s="1" t="s">
        <v>31</v>
      </c>
      <c r="C21">
        <v>4570</v>
      </c>
      <c r="D21">
        <v>6315195</v>
      </c>
      <c r="E21">
        <v>11612501</v>
      </c>
      <c r="F21">
        <v>9794</v>
      </c>
      <c r="G21">
        <v>1002442</v>
      </c>
      <c r="H21">
        <v>1849951</v>
      </c>
      <c r="I21">
        <v>274</v>
      </c>
      <c r="J21">
        <v>149529</v>
      </c>
      <c r="K21">
        <v>398375</v>
      </c>
      <c r="L21">
        <v>480</v>
      </c>
      <c r="M21">
        <v>1550502</v>
      </c>
      <c r="N21">
        <v>3669611</v>
      </c>
      <c r="O21">
        <v>2217</v>
      </c>
      <c r="P21">
        <v>3076836</v>
      </c>
      <c r="Q21">
        <v>10850526</v>
      </c>
      <c r="R21">
        <v>18169</v>
      </c>
      <c r="S21">
        <v>123288</v>
      </c>
      <c r="T21">
        <v>251128</v>
      </c>
      <c r="U21">
        <v>802</v>
      </c>
      <c r="V21">
        <v>73110</v>
      </c>
      <c r="W21">
        <v>650068</v>
      </c>
      <c r="X21">
        <v>2797</v>
      </c>
      <c r="Y21">
        <v>32221</v>
      </c>
      <c r="Z21">
        <v>392173</v>
      </c>
    </row>
    <row r="22" spans="1:26" x14ac:dyDescent="0.4">
      <c r="A22" s="1" t="s">
        <v>32</v>
      </c>
      <c r="B22" s="1" t="s">
        <v>33</v>
      </c>
      <c r="C22">
        <v>4446</v>
      </c>
      <c r="D22">
        <v>5313932</v>
      </c>
      <c r="E22">
        <v>9139285</v>
      </c>
      <c r="F22">
        <v>10173</v>
      </c>
      <c r="G22">
        <v>952312</v>
      </c>
      <c r="H22">
        <v>1783109</v>
      </c>
      <c r="I22">
        <v>245</v>
      </c>
      <c r="J22">
        <v>99648</v>
      </c>
      <c r="K22">
        <v>337398</v>
      </c>
      <c r="L22">
        <v>453</v>
      </c>
      <c r="M22">
        <v>1351199</v>
      </c>
      <c r="N22">
        <v>3098500</v>
      </c>
      <c r="O22">
        <v>2290</v>
      </c>
      <c r="P22">
        <v>2883549</v>
      </c>
      <c r="Q22">
        <v>10801679</v>
      </c>
      <c r="R22">
        <v>17662</v>
      </c>
      <c r="S22">
        <v>112268</v>
      </c>
      <c r="T22">
        <v>218072</v>
      </c>
      <c r="U22">
        <v>939</v>
      </c>
      <c r="V22">
        <v>79560</v>
      </c>
      <c r="W22">
        <v>663668</v>
      </c>
      <c r="X22">
        <v>2473</v>
      </c>
      <c r="Y22">
        <v>30426</v>
      </c>
      <c r="Z22">
        <v>362770</v>
      </c>
    </row>
    <row r="23" spans="1:26" x14ac:dyDescent="0.4">
      <c r="A23" s="1" t="s">
        <v>34</v>
      </c>
      <c r="B23" s="1" t="s">
        <v>35</v>
      </c>
      <c r="C23">
        <v>4467</v>
      </c>
      <c r="D23">
        <v>5165944</v>
      </c>
      <c r="E23">
        <v>10125268</v>
      </c>
      <c r="F23">
        <v>9155</v>
      </c>
      <c r="G23">
        <v>902362</v>
      </c>
      <c r="H23">
        <v>1642226</v>
      </c>
      <c r="I23">
        <v>290</v>
      </c>
      <c r="J23">
        <v>185730</v>
      </c>
      <c r="K23">
        <v>561270</v>
      </c>
      <c r="L23">
        <v>460</v>
      </c>
      <c r="M23">
        <v>1435376</v>
      </c>
      <c r="N23">
        <v>3663804</v>
      </c>
      <c r="O23">
        <v>2527</v>
      </c>
      <c r="P23">
        <v>3134922</v>
      </c>
      <c r="Q23">
        <v>11870800</v>
      </c>
      <c r="R23">
        <v>12187</v>
      </c>
      <c r="S23">
        <v>99477</v>
      </c>
      <c r="T23">
        <v>203771</v>
      </c>
      <c r="U23">
        <v>770</v>
      </c>
      <c r="V23">
        <v>71048</v>
      </c>
      <c r="W23">
        <v>659615</v>
      </c>
      <c r="X23">
        <v>2260</v>
      </c>
      <c r="Y23">
        <v>28245</v>
      </c>
      <c r="Z23">
        <v>327871</v>
      </c>
    </row>
    <row r="24" spans="1:26" x14ac:dyDescent="0.4">
      <c r="A24" s="1" t="s">
        <v>36</v>
      </c>
      <c r="B24" s="1" t="s">
        <v>37</v>
      </c>
      <c r="C24">
        <v>3457</v>
      </c>
      <c r="D24">
        <v>4063888</v>
      </c>
      <c r="E24">
        <v>7290005</v>
      </c>
      <c r="F24">
        <v>9144</v>
      </c>
      <c r="G24">
        <v>894695</v>
      </c>
      <c r="H24">
        <v>1594228</v>
      </c>
      <c r="I24">
        <v>284</v>
      </c>
      <c r="J24">
        <v>120133</v>
      </c>
      <c r="K24">
        <v>387033</v>
      </c>
      <c r="L24">
        <v>428</v>
      </c>
      <c r="M24">
        <v>1415480</v>
      </c>
      <c r="N24">
        <v>2875593</v>
      </c>
      <c r="O24">
        <v>1942</v>
      </c>
      <c r="P24">
        <v>2315496</v>
      </c>
      <c r="Q24">
        <v>8954027</v>
      </c>
      <c r="R24">
        <v>9419</v>
      </c>
      <c r="S24">
        <v>107365</v>
      </c>
      <c r="T24">
        <v>207901</v>
      </c>
      <c r="U24">
        <v>959</v>
      </c>
      <c r="V24">
        <v>64233</v>
      </c>
      <c r="W24">
        <v>568866</v>
      </c>
      <c r="X24">
        <v>2329</v>
      </c>
      <c r="Y24">
        <v>26606</v>
      </c>
      <c r="Z24">
        <v>312905</v>
      </c>
    </row>
    <row r="25" spans="1:26" x14ac:dyDescent="0.4">
      <c r="A25" s="1" t="s">
        <v>38</v>
      </c>
      <c r="B25" s="1" t="s">
        <v>39</v>
      </c>
      <c r="C25">
        <v>3672</v>
      </c>
      <c r="D25">
        <v>5190779</v>
      </c>
      <c r="E25">
        <v>9602204</v>
      </c>
      <c r="F25">
        <v>10232</v>
      </c>
      <c r="G25">
        <v>934829</v>
      </c>
      <c r="H25">
        <v>1707709</v>
      </c>
      <c r="I25">
        <v>305</v>
      </c>
      <c r="J25">
        <v>129645</v>
      </c>
      <c r="K25">
        <v>484971</v>
      </c>
      <c r="L25">
        <v>467</v>
      </c>
      <c r="M25">
        <v>1388764</v>
      </c>
      <c r="N25">
        <v>3427216</v>
      </c>
      <c r="O25">
        <v>1926</v>
      </c>
      <c r="P25">
        <v>2047852</v>
      </c>
      <c r="Q25">
        <v>8241265</v>
      </c>
      <c r="R25">
        <v>15444</v>
      </c>
      <c r="S25">
        <v>112971</v>
      </c>
      <c r="T25">
        <v>213741</v>
      </c>
      <c r="U25">
        <v>894</v>
      </c>
      <c r="V25">
        <v>68435</v>
      </c>
      <c r="W25">
        <v>612598</v>
      </c>
      <c r="X25">
        <v>2370</v>
      </c>
      <c r="Y25">
        <v>30414</v>
      </c>
      <c r="Z25">
        <v>351310</v>
      </c>
    </row>
    <row r="26" spans="1:26" x14ac:dyDescent="0.4">
      <c r="A26" s="1" t="s">
        <v>40</v>
      </c>
      <c r="B26" s="1" t="s">
        <v>41</v>
      </c>
      <c r="C26">
        <v>4323</v>
      </c>
      <c r="D26">
        <v>7119335</v>
      </c>
      <c r="E26">
        <v>14127694</v>
      </c>
      <c r="F26">
        <v>10021</v>
      </c>
      <c r="G26">
        <v>1010187</v>
      </c>
      <c r="H26">
        <v>1899138</v>
      </c>
      <c r="I26">
        <v>285</v>
      </c>
      <c r="J26">
        <v>130523</v>
      </c>
      <c r="K26">
        <v>526843</v>
      </c>
      <c r="L26">
        <v>505</v>
      </c>
      <c r="M26">
        <v>1406377</v>
      </c>
      <c r="N26">
        <v>3524640</v>
      </c>
      <c r="O26">
        <v>2383</v>
      </c>
      <c r="P26">
        <v>3122516</v>
      </c>
      <c r="Q26">
        <v>12242887</v>
      </c>
      <c r="R26">
        <v>12421</v>
      </c>
      <c r="S26">
        <v>120418</v>
      </c>
      <c r="T26">
        <v>262567</v>
      </c>
      <c r="U26">
        <v>892</v>
      </c>
      <c r="V26">
        <v>60694</v>
      </c>
      <c r="W26">
        <v>603579</v>
      </c>
      <c r="X26">
        <v>2390</v>
      </c>
      <c r="Y26">
        <v>30254</v>
      </c>
      <c r="Z26">
        <v>354760</v>
      </c>
    </row>
    <row r="27" spans="1:26" x14ac:dyDescent="0.4">
      <c r="A27" s="1" t="s">
        <v>42</v>
      </c>
      <c r="B27" s="1" t="s">
        <v>43</v>
      </c>
      <c r="C27">
        <v>3611</v>
      </c>
      <c r="D27">
        <v>4517142</v>
      </c>
      <c r="E27">
        <v>8952148</v>
      </c>
      <c r="F27">
        <v>9433</v>
      </c>
      <c r="G27">
        <v>942568</v>
      </c>
      <c r="H27">
        <v>1712295</v>
      </c>
      <c r="I27">
        <v>238</v>
      </c>
      <c r="J27">
        <v>117793</v>
      </c>
      <c r="K27">
        <v>297442</v>
      </c>
      <c r="L27">
        <v>490</v>
      </c>
      <c r="M27">
        <v>1422379</v>
      </c>
      <c r="N27">
        <v>3247936</v>
      </c>
      <c r="O27">
        <v>1947</v>
      </c>
      <c r="P27">
        <v>1813897</v>
      </c>
      <c r="Q27">
        <v>7883661</v>
      </c>
      <c r="R27">
        <v>12735</v>
      </c>
      <c r="S27">
        <v>115947</v>
      </c>
      <c r="T27">
        <v>226355</v>
      </c>
      <c r="U27">
        <v>837</v>
      </c>
      <c r="V27">
        <v>70671</v>
      </c>
      <c r="W27">
        <v>637480</v>
      </c>
      <c r="X27">
        <v>2107</v>
      </c>
      <c r="Y27">
        <v>28645</v>
      </c>
      <c r="Z27">
        <v>322961</v>
      </c>
    </row>
    <row r="28" spans="1:26" x14ac:dyDescent="0.4">
      <c r="A28" s="1" t="s">
        <v>44</v>
      </c>
      <c r="B28" s="1" t="s">
        <v>45</v>
      </c>
      <c r="C28">
        <v>4027</v>
      </c>
      <c r="D28">
        <v>7219584</v>
      </c>
      <c r="E28">
        <v>14710866</v>
      </c>
      <c r="F28">
        <v>8702</v>
      </c>
      <c r="G28">
        <v>843726</v>
      </c>
      <c r="H28">
        <v>1598359</v>
      </c>
      <c r="I28">
        <v>272</v>
      </c>
      <c r="J28">
        <v>152237</v>
      </c>
      <c r="K28">
        <v>588989</v>
      </c>
      <c r="L28">
        <v>428</v>
      </c>
      <c r="M28">
        <v>1219517</v>
      </c>
      <c r="N28">
        <v>2912050</v>
      </c>
      <c r="O28">
        <v>1770</v>
      </c>
      <c r="P28">
        <v>2034598</v>
      </c>
      <c r="Q28">
        <v>8552457</v>
      </c>
      <c r="R28">
        <v>16128</v>
      </c>
      <c r="S28">
        <v>103609</v>
      </c>
      <c r="T28">
        <v>210864</v>
      </c>
      <c r="U28">
        <v>855</v>
      </c>
      <c r="V28">
        <v>82363</v>
      </c>
      <c r="W28">
        <v>637771</v>
      </c>
      <c r="X28">
        <v>2551</v>
      </c>
      <c r="Y28">
        <v>29566</v>
      </c>
      <c r="Z28">
        <v>346069</v>
      </c>
    </row>
    <row r="29" spans="1:26" x14ac:dyDescent="0.4">
      <c r="A29" s="1" t="s">
        <v>46</v>
      </c>
      <c r="B29" s="1" t="s">
        <v>47</v>
      </c>
      <c r="C29">
        <v>3918</v>
      </c>
      <c r="D29">
        <v>4344036</v>
      </c>
      <c r="E29">
        <v>8298025</v>
      </c>
      <c r="F29">
        <v>9122</v>
      </c>
      <c r="G29">
        <v>927203</v>
      </c>
      <c r="H29">
        <v>1775980</v>
      </c>
      <c r="I29">
        <v>271</v>
      </c>
      <c r="J29">
        <v>167804</v>
      </c>
      <c r="K29">
        <v>441143</v>
      </c>
      <c r="L29">
        <v>466</v>
      </c>
      <c r="M29">
        <v>1382633</v>
      </c>
      <c r="N29">
        <v>3290854</v>
      </c>
      <c r="O29">
        <v>1917</v>
      </c>
      <c r="P29">
        <v>2300620</v>
      </c>
      <c r="Q29">
        <v>9804946</v>
      </c>
      <c r="R29">
        <v>11221</v>
      </c>
      <c r="S29">
        <v>116096</v>
      </c>
      <c r="T29">
        <v>225528</v>
      </c>
      <c r="U29">
        <v>759</v>
      </c>
      <c r="V29">
        <v>70302</v>
      </c>
      <c r="W29">
        <v>599530</v>
      </c>
      <c r="X29">
        <v>2713</v>
      </c>
      <c r="Y29">
        <v>30299</v>
      </c>
      <c r="Z29">
        <v>364364</v>
      </c>
    </row>
    <row r="30" spans="1:26" x14ac:dyDescent="0.4">
      <c r="A30" s="1" t="s">
        <v>48</v>
      </c>
      <c r="B30" s="1" t="s">
        <v>49</v>
      </c>
      <c r="C30">
        <v>4228</v>
      </c>
      <c r="D30">
        <v>5154603</v>
      </c>
      <c r="E30">
        <v>9810301</v>
      </c>
      <c r="F30">
        <v>9212</v>
      </c>
      <c r="G30">
        <v>1030513</v>
      </c>
      <c r="H30">
        <v>1835628</v>
      </c>
      <c r="I30">
        <v>273</v>
      </c>
      <c r="J30">
        <v>149899</v>
      </c>
      <c r="K30">
        <v>467687</v>
      </c>
      <c r="L30">
        <v>465</v>
      </c>
      <c r="M30">
        <v>1317721</v>
      </c>
      <c r="N30">
        <v>3231997</v>
      </c>
      <c r="O30">
        <v>1959</v>
      </c>
      <c r="P30">
        <v>1911973</v>
      </c>
      <c r="Q30">
        <v>8274833</v>
      </c>
      <c r="R30">
        <v>12447</v>
      </c>
      <c r="S30">
        <v>128793</v>
      </c>
      <c r="T30">
        <v>239269</v>
      </c>
      <c r="U30">
        <v>741</v>
      </c>
      <c r="V30">
        <v>72616</v>
      </c>
      <c r="W30">
        <v>684460</v>
      </c>
      <c r="X30">
        <v>2512</v>
      </c>
      <c r="Y30">
        <v>29981</v>
      </c>
      <c r="Z30">
        <v>355436</v>
      </c>
    </row>
    <row r="31" spans="1:26" x14ac:dyDescent="0.4">
      <c r="A31" s="1" t="s">
        <v>50</v>
      </c>
      <c r="B31" s="1" t="s">
        <v>51</v>
      </c>
      <c r="C31">
        <v>3555</v>
      </c>
      <c r="D31">
        <v>5113397</v>
      </c>
      <c r="E31">
        <v>8209690</v>
      </c>
      <c r="F31">
        <v>6722</v>
      </c>
      <c r="G31">
        <v>705980</v>
      </c>
      <c r="H31">
        <v>1299752</v>
      </c>
      <c r="I31">
        <v>194</v>
      </c>
      <c r="J31">
        <v>157596</v>
      </c>
      <c r="K31">
        <v>585635</v>
      </c>
      <c r="L31">
        <v>362</v>
      </c>
      <c r="M31">
        <v>816056</v>
      </c>
      <c r="N31">
        <v>2310601</v>
      </c>
      <c r="O31">
        <v>1649</v>
      </c>
      <c r="P31">
        <v>1749812</v>
      </c>
      <c r="Q31">
        <v>8428245</v>
      </c>
      <c r="R31">
        <v>9857</v>
      </c>
      <c r="S31">
        <v>112609</v>
      </c>
      <c r="T31">
        <v>205710</v>
      </c>
      <c r="U31">
        <v>805</v>
      </c>
      <c r="V31">
        <v>55330</v>
      </c>
      <c r="W31">
        <v>492383</v>
      </c>
      <c r="X31">
        <v>2135</v>
      </c>
      <c r="Y31">
        <v>24793</v>
      </c>
      <c r="Z31">
        <v>287587</v>
      </c>
    </row>
    <row r="32" spans="1:26" x14ac:dyDescent="0.4">
      <c r="A32" s="1" t="s">
        <v>52</v>
      </c>
      <c r="B32" s="1" t="s">
        <v>53</v>
      </c>
      <c r="C32">
        <v>4105</v>
      </c>
      <c r="D32">
        <v>4919102</v>
      </c>
      <c r="E32">
        <v>10330107</v>
      </c>
      <c r="F32">
        <v>8217</v>
      </c>
      <c r="G32">
        <v>831481</v>
      </c>
      <c r="H32">
        <v>1589565</v>
      </c>
      <c r="I32">
        <v>288</v>
      </c>
      <c r="J32">
        <v>186969</v>
      </c>
      <c r="K32">
        <v>484244</v>
      </c>
      <c r="L32">
        <v>413</v>
      </c>
      <c r="M32">
        <v>1128320</v>
      </c>
      <c r="N32">
        <v>3067515</v>
      </c>
      <c r="O32">
        <v>2289</v>
      </c>
      <c r="P32">
        <v>2257975</v>
      </c>
      <c r="Q32">
        <v>9425916</v>
      </c>
      <c r="R32">
        <v>12374</v>
      </c>
      <c r="S32">
        <v>130997</v>
      </c>
      <c r="T32">
        <v>223052</v>
      </c>
      <c r="U32">
        <v>1077</v>
      </c>
      <c r="V32">
        <v>74768</v>
      </c>
      <c r="W32">
        <v>713812</v>
      </c>
      <c r="X32">
        <v>2536</v>
      </c>
      <c r="Y32">
        <v>30486</v>
      </c>
      <c r="Z32">
        <v>359823</v>
      </c>
    </row>
    <row r="33" spans="1:26" x14ac:dyDescent="0.4">
      <c r="A33" s="1" t="s">
        <v>54</v>
      </c>
      <c r="B33" s="1" t="s">
        <v>55</v>
      </c>
      <c r="C33">
        <v>4083</v>
      </c>
      <c r="D33">
        <v>4383265</v>
      </c>
      <c r="E33">
        <v>9077786</v>
      </c>
      <c r="F33">
        <v>10368</v>
      </c>
      <c r="G33">
        <v>987518</v>
      </c>
      <c r="H33">
        <v>1846171</v>
      </c>
      <c r="I33">
        <v>262</v>
      </c>
      <c r="J33">
        <v>129631</v>
      </c>
      <c r="K33">
        <v>311048</v>
      </c>
      <c r="L33">
        <v>463</v>
      </c>
      <c r="M33">
        <v>1584205</v>
      </c>
      <c r="N33">
        <v>3862862</v>
      </c>
      <c r="O33">
        <v>1914</v>
      </c>
      <c r="P33">
        <v>1812649</v>
      </c>
      <c r="Q33">
        <v>8135332</v>
      </c>
      <c r="R33">
        <v>14817</v>
      </c>
      <c r="S33">
        <v>102269</v>
      </c>
      <c r="T33">
        <v>216787</v>
      </c>
      <c r="U33">
        <v>1051</v>
      </c>
      <c r="V33">
        <v>74051</v>
      </c>
      <c r="W33">
        <v>657295</v>
      </c>
      <c r="X33">
        <v>2437</v>
      </c>
      <c r="Y33">
        <v>24427</v>
      </c>
      <c r="Z33">
        <v>288792</v>
      </c>
    </row>
    <row r="34" spans="1:26" x14ac:dyDescent="0.4">
      <c r="A34" s="1" t="s">
        <v>56</v>
      </c>
      <c r="B34" s="1" t="s">
        <v>57</v>
      </c>
      <c r="C34">
        <v>3538</v>
      </c>
      <c r="D34">
        <v>3962647</v>
      </c>
      <c r="E34">
        <v>7671957</v>
      </c>
      <c r="F34">
        <v>8028</v>
      </c>
      <c r="G34">
        <v>893357</v>
      </c>
      <c r="H34">
        <v>1644229</v>
      </c>
      <c r="I34">
        <v>265</v>
      </c>
      <c r="J34">
        <v>155806</v>
      </c>
      <c r="K34">
        <v>463719</v>
      </c>
      <c r="L34">
        <v>429</v>
      </c>
      <c r="M34">
        <v>1109220</v>
      </c>
      <c r="N34">
        <v>2829366</v>
      </c>
      <c r="O34">
        <v>1817</v>
      </c>
      <c r="P34">
        <v>1590491</v>
      </c>
      <c r="Q34">
        <v>7011961</v>
      </c>
      <c r="R34">
        <v>9688</v>
      </c>
      <c r="S34">
        <v>94045</v>
      </c>
      <c r="T34">
        <v>194345</v>
      </c>
      <c r="U34">
        <v>971</v>
      </c>
      <c r="V34">
        <v>69770</v>
      </c>
      <c r="W34">
        <v>672899</v>
      </c>
      <c r="X34">
        <v>2624</v>
      </c>
      <c r="Y34">
        <v>32636</v>
      </c>
      <c r="Z34">
        <v>377566</v>
      </c>
    </row>
    <row r="35" spans="1:26" x14ac:dyDescent="0.4">
      <c r="A35" s="1" t="s">
        <v>58</v>
      </c>
      <c r="B35" s="1" t="s">
        <v>59</v>
      </c>
      <c r="C35">
        <v>4537</v>
      </c>
      <c r="D35">
        <v>5285610</v>
      </c>
      <c r="E35">
        <v>12057409</v>
      </c>
      <c r="F35">
        <v>8420</v>
      </c>
      <c r="G35">
        <v>859029</v>
      </c>
      <c r="H35">
        <v>1725473</v>
      </c>
      <c r="I35">
        <v>250</v>
      </c>
      <c r="J35">
        <v>172843</v>
      </c>
      <c r="K35">
        <v>499575</v>
      </c>
      <c r="L35">
        <v>422</v>
      </c>
      <c r="M35">
        <v>1183958</v>
      </c>
      <c r="N35">
        <v>3137879</v>
      </c>
      <c r="O35">
        <v>1995</v>
      </c>
      <c r="P35">
        <v>2360319</v>
      </c>
      <c r="Q35">
        <v>10762407</v>
      </c>
      <c r="R35">
        <v>15307</v>
      </c>
      <c r="S35">
        <v>110624</v>
      </c>
      <c r="T35">
        <v>242977</v>
      </c>
      <c r="U35">
        <v>979</v>
      </c>
      <c r="V35">
        <v>57008</v>
      </c>
      <c r="W35">
        <v>560985</v>
      </c>
      <c r="X35">
        <v>2633</v>
      </c>
      <c r="Y35">
        <v>33751</v>
      </c>
      <c r="Z35">
        <v>391116</v>
      </c>
    </row>
    <row r="36" spans="1:26" x14ac:dyDescent="0.4">
      <c r="A36" s="1" t="s">
        <v>60</v>
      </c>
      <c r="B36" s="1" t="s">
        <v>61</v>
      </c>
      <c r="C36">
        <v>4128</v>
      </c>
      <c r="D36">
        <v>4548682</v>
      </c>
      <c r="E36">
        <v>10248836</v>
      </c>
      <c r="F36">
        <v>7348</v>
      </c>
      <c r="G36">
        <v>908267</v>
      </c>
      <c r="H36">
        <v>1665964</v>
      </c>
      <c r="I36">
        <v>225</v>
      </c>
      <c r="J36">
        <v>138542</v>
      </c>
      <c r="K36">
        <v>329287</v>
      </c>
      <c r="L36">
        <v>430</v>
      </c>
      <c r="M36">
        <v>1157367</v>
      </c>
      <c r="N36">
        <v>3033794</v>
      </c>
      <c r="O36">
        <v>1871</v>
      </c>
      <c r="P36">
        <v>1806961</v>
      </c>
      <c r="Q36">
        <v>7903232</v>
      </c>
      <c r="R36">
        <v>18547</v>
      </c>
      <c r="S36">
        <v>110657</v>
      </c>
      <c r="T36">
        <v>225262</v>
      </c>
      <c r="U36">
        <v>846</v>
      </c>
      <c r="V36">
        <v>55356</v>
      </c>
      <c r="W36">
        <v>506343</v>
      </c>
      <c r="X36">
        <v>2423</v>
      </c>
      <c r="Y36">
        <v>31688</v>
      </c>
      <c r="Z36">
        <v>363977</v>
      </c>
    </row>
    <row r="37" spans="1:26" x14ac:dyDescent="0.4">
      <c r="A37" s="1" t="s">
        <v>62</v>
      </c>
      <c r="B37" s="1" t="s">
        <v>63</v>
      </c>
      <c r="C37">
        <v>3776</v>
      </c>
      <c r="D37">
        <v>7165791</v>
      </c>
      <c r="E37">
        <v>11952324</v>
      </c>
      <c r="F37">
        <v>8351</v>
      </c>
      <c r="G37">
        <v>886846</v>
      </c>
      <c r="H37">
        <v>1664867</v>
      </c>
      <c r="I37">
        <v>202</v>
      </c>
      <c r="J37">
        <v>170516</v>
      </c>
      <c r="K37">
        <v>480924</v>
      </c>
      <c r="L37">
        <v>458</v>
      </c>
      <c r="M37">
        <v>1214550</v>
      </c>
      <c r="N37">
        <v>3210567</v>
      </c>
      <c r="O37">
        <v>1960</v>
      </c>
      <c r="P37">
        <v>2367945</v>
      </c>
      <c r="Q37">
        <v>9409222</v>
      </c>
      <c r="R37">
        <v>9493</v>
      </c>
      <c r="S37">
        <v>94933</v>
      </c>
      <c r="T37">
        <v>207085</v>
      </c>
      <c r="U37">
        <v>863</v>
      </c>
      <c r="V37">
        <v>50643</v>
      </c>
      <c r="W37">
        <v>555164</v>
      </c>
      <c r="X37">
        <v>2750</v>
      </c>
      <c r="Y37">
        <v>33248</v>
      </c>
      <c r="Z37">
        <v>393227</v>
      </c>
    </row>
    <row r="38" spans="1:26" x14ac:dyDescent="0.4">
      <c r="A38" s="1" t="s">
        <v>64</v>
      </c>
      <c r="B38" s="1" t="s">
        <v>65</v>
      </c>
      <c r="C38">
        <v>5902</v>
      </c>
      <c r="D38">
        <v>8598619</v>
      </c>
      <c r="E38">
        <v>19541693</v>
      </c>
      <c r="F38">
        <v>8881</v>
      </c>
      <c r="G38">
        <v>948957</v>
      </c>
      <c r="H38">
        <v>1843168</v>
      </c>
      <c r="I38">
        <v>279</v>
      </c>
      <c r="J38">
        <v>149602</v>
      </c>
      <c r="K38">
        <v>583861</v>
      </c>
      <c r="L38">
        <v>482</v>
      </c>
      <c r="M38">
        <v>1487547</v>
      </c>
      <c r="N38">
        <v>3869770</v>
      </c>
      <c r="O38">
        <v>2108</v>
      </c>
      <c r="P38">
        <v>2294668</v>
      </c>
      <c r="Q38">
        <v>9775309</v>
      </c>
      <c r="R38">
        <v>10083</v>
      </c>
      <c r="S38">
        <v>108084</v>
      </c>
      <c r="T38">
        <v>195870</v>
      </c>
      <c r="U38">
        <v>954</v>
      </c>
      <c r="V38">
        <v>62535</v>
      </c>
      <c r="W38">
        <v>582258</v>
      </c>
      <c r="X38">
        <v>2680</v>
      </c>
      <c r="Y38">
        <v>34715</v>
      </c>
      <c r="Z38">
        <v>397579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15725-B29F-4BD9-8D8A-841B4776A526}">
  <dimension ref="A1:DB40"/>
  <sheetViews>
    <sheetView workbookViewId="0">
      <selection activeCell="C9" sqref="C9"/>
    </sheetView>
  </sheetViews>
  <sheetFormatPr defaultColWidth="15.62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814</v>
      </c>
      <c r="D3" t="s">
        <v>814</v>
      </c>
      <c r="E3" t="s">
        <v>814</v>
      </c>
      <c r="F3" t="s">
        <v>814</v>
      </c>
      <c r="G3" t="s">
        <v>814</v>
      </c>
      <c r="H3" t="s">
        <v>816</v>
      </c>
      <c r="I3" t="s">
        <v>816</v>
      </c>
      <c r="J3" t="s">
        <v>816</v>
      </c>
      <c r="K3" t="s">
        <v>816</v>
      </c>
      <c r="L3" t="s">
        <v>816</v>
      </c>
      <c r="M3" t="s">
        <v>818</v>
      </c>
      <c r="N3" t="s">
        <v>818</v>
      </c>
      <c r="O3" t="s">
        <v>818</v>
      </c>
      <c r="P3" t="s">
        <v>818</v>
      </c>
      <c r="Q3" t="s">
        <v>818</v>
      </c>
      <c r="R3" t="s">
        <v>820</v>
      </c>
      <c r="S3" t="s">
        <v>820</v>
      </c>
      <c r="T3" t="s">
        <v>820</v>
      </c>
      <c r="U3" t="s">
        <v>820</v>
      </c>
      <c r="V3" t="s">
        <v>820</v>
      </c>
      <c r="W3" t="s">
        <v>822</v>
      </c>
      <c r="X3" t="s">
        <v>822</v>
      </c>
      <c r="Y3" t="s">
        <v>822</v>
      </c>
      <c r="Z3" t="s">
        <v>822</v>
      </c>
      <c r="AA3" t="s">
        <v>822</v>
      </c>
      <c r="AB3" t="s">
        <v>824</v>
      </c>
      <c r="AC3" t="s">
        <v>824</v>
      </c>
      <c r="AD3" t="s">
        <v>824</v>
      </c>
      <c r="AE3" t="s">
        <v>824</v>
      </c>
      <c r="AF3" t="s">
        <v>824</v>
      </c>
      <c r="AG3" t="s">
        <v>826</v>
      </c>
      <c r="AH3" t="s">
        <v>826</v>
      </c>
      <c r="AI3" t="s">
        <v>826</v>
      </c>
      <c r="AJ3" t="s">
        <v>826</v>
      </c>
      <c r="AK3" t="s">
        <v>826</v>
      </c>
      <c r="AL3" t="s">
        <v>828</v>
      </c>
      <c r="AM3" t="s">
        <v>828</v>
      </c>
      <c r="AN3" t="s">
        <v>828</v>
      </c>
      <c r="AO3" t="s">
        <v>828</v>
      </c>
      <c r="AP3" t="s">
        <v>828</v>
      </c>
      <c r="AQ3" t="s">
        <v>830</v>
      </c>
      <c r="AR3" t="s">
        <v>830</v>
      </c>
      <c r="AS3" t="s">
        <v>830</v>
      </c>
      <c r="AT3" t="s">
        <v>830</v>
      </c>
      <c r="AU3" t="s">
        <v>830</v>
      </c>
      <c r="AV3" t="s">
        <v>832</v>
      </c>
      <c r="AW3" t="s">
        <v>832</v>
      </c>
      <c r="AX3" t="s">
        <v>832</v>
      </c>
      <c r="AY3" t="s">
        <v>832</v>
      </c>
      <c r="AZ3" t="s">
        <v>832</v>
      </c>
      <c r="BA3" t="s">
        <v>834</v>
      </c>
      <c r="BB3" t="s">
        <v>834</v>
      </c>
      <c r="BC3" t="s">
        <v>834</v>
      </c>
      <c r="BD3" t="s">
        <v>834</v>
      </c>
      <c r="BE3" t="s">
        <v>834</v>
      </c>
      <c r="BF3" t="s">
        <v>836</v>
      </c>
      <c r="BG3" t="s">
        <v>836</v>
      </c>
      <c r="BH3" t="s">
        <v>836</v>
      </c>
      <c r="BI3" t="s">
        <v>836</v>
      </c>
      <c r="BJ3" t="s">
        <v>836</v>
      </c>
      <c r="BK3" t="s">
        <v>838</v>
      </c>
      <c r="BL3" t="s">
        <v>838</v>
      </c>
      <c r="BM3" t="s">
        <v>838</v>
      </c>
      <c r="BN3" t="s">
        <v>838</v>
      </c>
      <c r="BO3" t="s">
        <v>838</v>
      </c>
      <c r="BP3" t="s">
        <v>840</v>
      </c>
      <c r="BQ3" t="s">
        <v>840</v>
      </c>
      <c r="BR3" t="s">
        <v>840</v>
      </c>
      <c r="BS3" t="s">
        <v>840</v>
      </c>
      <c r="BT3" t="s">
        <v>840</v>
      </c>
      <c r="BU3" t="s">
        <v>842</v>
      </c>
      <c r="BV3" t="s">
        <v>842</v>
      </c>
      <c r="BW3" t="s">
        <v>842</v>
      </c>
      <c r="BX3" t="s">
        <v>842</v>
      </c>
      <c r="BY3" t="s">
        <v>842</v>
      </c>
      <c r="BZ3" t="s">
        <v>844</v>
      </c>
      <c r="CA3" t="s">
        <v>844</v>
      </c>
      <c r="CB3" t="s">
        <v>844</v>
      </c>
      <c r="CC3" t="s">
        <v>844</v>
      </c>
      <c r="CD3" t="s">
        <v>844</v>
      </c>
      <c r="CE3" t="s">
        <v>846</v>
      </c>
      <c r="CF3" t="s">
        <v>846</v>
      </c>
      <c r="CG3" t="s">
        <v>846</v>
      </c>
      <c r="CH3" t="s">
        <v>846</v>
      </c>
      <c r="CI3" t="s">
        <v>846</v>
      </c>
      <c r="CJ3" t="s">
        <v>848</v>
      </c>
      <c r="CK3" t="s">
        <v>848</v>
      </c>
      <c r="CL3" t="s">
        <v>848</v>
      </c>
      <c r="CM3" t="s">
        <v>848</v>
      </c>
      <c r="CN3" t="s">
        <v>848</v>
      </c>
      <c r="CO3" t="s">
        <v>850</v>
      </c>
      <c r="CP3" t="s">
        <v>850</v>
      </c>
      <c r="CQ3" t="s">
        <v>850</v>
      </c>
      <c r="CR3" t="s">
        <v>850</v>
      </c>
      <c r="CS3" t="s">
        <v>850</v>
      </c>
      <c r="CT3" t="s">
        <v>850</v>
      </c>
      <c r="CU3" t="s">
        <v>850</v>
      </c>
      <c r="CV3" t="s">
        <v>852</v>
      </c>
      <c r="CW3" t="s">
        <v>852</v>
      </c>
      <c r="CX3" t="s">
        <v>852</v>
      </c>
      <c r="CY3" t="s">
        <v>852</v>
      </c>
      <c r="CZ3" t="s">
        <v>852</v>
      </c>
      <c r="DA3" t="s">
        <v>852</v>
      </c>
      <c r="DB3" t="s">
        <v>852</v>
      </c>
    </row>
    <row r="4" spans="1:106" x14ac:dyDescent="0.4">
      <c r="A4" s="1"/>
      <c r="B4" s="2" t="s">
        <v>1</v>
      </c>
      <c r="C4" t="s">
        <v>815</v>
      </c>
      <c r="D4" t="s">
        <v>815</v>
      </c>
      <c r="E4" t="s">
        <v>815</v>
      </c>
      <c r="F4" t="s">
        <v>815</v>
      </c>
      <c r="G4" t="s">
        <v>815</v>
      </c>
      <c r="H4" t="s">
        <v>817</v>
      </c>
      <c r="I4" t="s">
        <v>817</v>
      </c>
      <c r="J4" t="s">
        <v>817</v>
      </c>
      <c r="K4" t="s">
        <v>817</v>
      </c>
      <c r="L4" t="s">
        <v>817</v>
      </c>
      <c r="M4" t="s">
        <v>819</v>
      </c>
      <c r="N4" t="s">
        <v>819</v>
      </c>
      <c r="O4" t="s">
        <v>819</v>
      </c>
      <c r="P4" t="s">
        <v>819</v>
      </c>
      <c r="Q4" t="s">
        <v>819</v>
      </c>
      <c r="R4" t="s">
        <v>821</v>
      </c>
      <c r="S4" t="s">
        <v>821</v>
      </c>
      <c r="T4" t="s">
        <v>821</v>
      </c>
      <c r="U4" t="s">
        <v>821</v>
      </c>
      <c r="V4" t="s">
        <v>821</v>
      </c>
      <c r="W4" t="s">
        <v>823</v>
      </c>
      <c r="X4" t="s">
        <v>823</v>
      </c>
      <c r="Y4" t="s">
        <v>823</v>
      </c>
      <c r="Z4" t="s">
        <v>823</v>
      </c>
      <c r="AA4" t="s">
        <v>823</v>
      </c>
      <c r="AB4" t="s">
        <v>825</v>
      </c>
      <c r="AC4" t="s">
        <v>825</v>
      </c>
      <c r="AD4" t="s">
        <v>825</v>
      </c>
      <c r="AE4" t="s">
        <v>825</v>
      </c>
      <c r="AF4" t="s">
        <v>825</v>
      </c>
      <c r="AG4" t="s">
        <v>827</v>
      </c>
      <c r="AH4" t="s">
        <v>827</v>
      </c>
      <c r="AI4" t="s">
        <v>827</v>
      </c>
      <c r="AJ4" t="s">
        <v>827</v>
      </c>
      <c r="AK4" t="s">
        <v>827</v>
      </c>
      <c r="AL4" t="s">
        <v>829</v>
      </c>
      <c r="AM4" t="s">
        <v>829</v>
      </c>
      <c r="AN4" t="s">
        <v>829</v>
      </c>
      <c r="AO4" t="s">
        <v>829</v>
      </c>
      <c r="AP4" t="s">
        <v>829</v>
      </c>
      <c r="AQ4" t="s">
        <v>831</v>
      </c>
      <c r="AR4" t="s">
        <v>831</v>
      </c>
      <c r="AS4" t="s">
        <v>831</v>
      </c>
      <c r="AT4" t="s">
        <v>831</v>
      </c>
      <c r="AU4" t="s">
        <v>831</v>
      </c>
      <c r="AV4" t="s">
        <v>833</v>
      </c>
      <c r="AW4" t="s">
        <v>833</v>
      </c>
      <c r="AX4" t="s">
        <v>833</v>
      </c>
      <c r="AY4" t="s">
        <v>833</v>
      </c>
      <c r="AZ4" t="s">
        <v>833</v>
      </c>
      <c r="BA4" t="s">
        <v>835</v>
      </c>
      <c r="BB4" t="s">
        <v>835</v>
      </c>
      <c r="BC4" t="s">
        <v>835</v>
      </c>
      <c r="BD4" t="s">
        <v>835</v>
      </c>
      <c r="BE4" t="s">
        <v>835</v>
      </c>
      <c r="BF4" t="s">
        <v>837</v>
      </c>
      <c r="BG4" t="s">
        <v>837</v>
      </c>
      <c r="BH4" t="s">
        <v>837</v>
      </c>
      <c r="BI4" t="s">
        <v>837</v>
      </c>
      <c r="BJ4" t="s">
        <v>837</v>
      </c>
      <c r="BK4" t="s">
        <v>839</v>
      </c>
      <c r="BL4" t="s">
        <v>839</v>
      </c>
      <c r="BM4" t="s">
        <v>839</v>
      </c>
      <c r="BN4" t="s">
        <v>839</v>
      </c>
      <c r="BO4" t="s">
        <v>839</v>
      </c>
      <c r="BP4" t="s">
        <v>841</v>
      </c>
      <c r="BQ4" t="s">
        <v>841</v>
      </c>
      <c r="BR4" t="s">
        <v>841</v>
      </c>
      <c r="BS4" t="s">
        <v>841</v>
      </c>
      <c r="BT4" t="s">
        <v>841</v>
      </c>
      <c r="BU4" t="s">
        <v>843</v>
      </c>
      <c r="BV4" t="s">
        <v>843</v>
      </c>
      <c r="BW4" t="s">
        <v>843</v>
      </c>
      <c r="BX4" t="s">
        <v>843</v>
      </c>
      <c r="BY4" t="s">
        <v>843</v>
      </c>
      <c r="BZ4" t="s">
        <v>845</v>
      </c>
      <c r="CA4" t="s">
        <v>845</v>
      </c>
      <c r="CB4" t="s">
        <v>845</v>
      </c>
      <c r="CC4" t="s">
        <v>845</v>
      </c>
      <c r="CD4" t="s">
        <v>845</v>
      </c>
      <c r="CE4" t="s">
        <v>847</v>
      </c>
      <c r="CF4" t="s">
        <v>847</v>
      </c>
      <c r="CG4" t="s">
        <v>847</v>
      </c>
      <c r="CH4" t="s">
        <v>847</v>
      </c>
      <c r="CI4" t="s">
        <v>847</v>
      </c>
      <c r="CJ4" t="s">
        <v>849</v>
      </c>
      <c r="CK4" t="s">
        <v>849</v>
      </c>
      <c r="CL4" t="s">
        <v>849</v>
      </c>
      <c r="CM4" t="s">
        <v>849</v>
      </c>
      <c r="CN4" t="s">
        <v>849</v>
      </c>
      <c r="CO4" t="s">
        <v>851</v>
      </c>
      <c r="CP4" t="s">
        <v>851</v>
      </c>
      <c r="CQ4" t="s">
        <v>851</v>
      </c>
      <c r="CR4" t="s">
        <v>851</v>
      </c>
      <c r="CS4" t="s">
        <v>851</v>
      </c>
      <c r="CT4" t="s">
        <v>851</v>
      </c>
      <c r="CU4" t="s">
        <v>851</v>
      </c>
      <c r="CV4" t="s">
        <v>853</v>
      </c>
      <c r="CW4" t="s">
        <v>853</v>
      </c>
      <c r="CX4" t="s">
        <v>853</v>
      </c>
      <c r="CY4" t="s">
        <v>853</v>
      </c>
      <c r="CZ4" t="s">
        <v>853</v>
      </c>
      <c r="DA4" t="s">
        <v>853</v>
      </c>
      <c r="DB4" t="s">
        <v>853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338</v>
      </c>
      <c r="CQ5" t="s">
        <v>257</v>
      </c>
      <c r="CR5" t="s">
        <v>74</v>
      </c>
      <c r="CS5" t="s">
        <v>398</v>
      </c>
      <c r="CT5" t="s">
        <v>263</v>
      </c>
      <c r="CU5" t="s">
        <v>76</v>
      </c>
      <c r="CV5" t="s">
        <v>69</v>
      </c>
      <c r="CW5" t="s">
        <v>338</v>
      </c>
      <c r="CX5" t="s">
        <v>257</v>
      </c>
      <c r="CY5" t="s">
        <v>74</v>
      </c>
      <c r="CZ5" t="s">
        <v>398</v>
      </c>
      <c r="DA5" t="s">
        <v>263</v>
      </c>
      <c r="DB5" t="s">
        <v>76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340</v>
      </c>
      <c r="CQ6" t="s">
        <v>259</v>
      </c>
      <c r="CR6" t="s">
        <v>75</v>
      </c>
      <c r="CS6" t="s">
        <v>399</v>
      </c>
      <c r="CT6" t="s">
        <v>264</v>
      </c>
      <c r="CU6" t="s">
        <v>77</v>
      </c>
      <c r="CV6" t="s">
        <v>72</v>
      </c>
      <c r="CW6" t="s">
        <v>340</v>
      </c>
      <c r="CX6" t="s">
        <v>259</v>
      </c>
      <c r="CY6" t="s">
        <v>75</v>
      </c>
      <c r="CZ6" t="s">
        <v>399</v>
      </c>
      <c r="DA6" t="s">
        <v>264</v>
      </c>
      <c r="DB6" t="s">
        <v>77</v>
      </c>
    </row>
    <row r="7" spans="1:106" x14ac:dyDescent="0.4">
      <c r="A7" s="1"/>
      <c r="B7" s="2" t="s">
        <v>4</v>
      </c>
      <c r="C7" t="s">
        <v>502</v>
      </c>
      <c r="D7" t="s">
        <v>341</v>
      </c>
      <c r="E7" t="s">
        <v>502</v>
      </c>
      <c r="F7" t="s">
        <v>341</v>
      </c>
      <c r="G7" t="s">
        <v>502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502</v>
      </c>
      <c r="AC7" t="s">
        <v>341</v>
      </c>
      <c r="AD7" t="s">
        <v>502</v>
      </c>
      <c r="AE7" t="s">
        <v>341</v>
      </c>
      <c r="AF7" t="s">
        <v>502</v>
      </c>
      <c r="AG7" t="s">
        <v>502</v>
      </c>
      <c r="AH7" t="s">
        <v>341</v>
      </c>
      <c r="AI7" t="s">
        <v>502</v>
      </c>
      <c r="AJ7" t="s">
        <v>341</v>
      </c>
      <c r="AK7" t="s">
        <v>502</v>
      </c>
      <c r="AL7" t="s">
        <v>502</v>
      </c>
      <c r="AM7" t="s">
        <v>341</v>
      </c>
      <c r="AN7" t="s">
        <v>502</v>
      </c>
      <c r="AO7" t="s">
        <v>341</v>
      </c>
      <c r="AP7" t="s">
        <v>502</v>
      </c>
      <c r="AQ7" t="s">
        <v>502</v>
      </c>
      <c r="AR7" t="s">
        <v>341</v>
      </c>
      <c r="AS7" t="s">
        <v>502</v>
      </c>
      <c r="AT7" t="s">
        <v>341</v>
      </c>
      <c r="AU7" t="s">
        <v>502</v>
      </c>
      <c r="AV7" t="s">
        <v>502</v>
      </c>
      <c r="AW7" t="s">
        <v>341</v>
      </c>
      <c r="AX7" t="s">
        <v>502</v>
      </c>
      <c r="AY7" t="s">
        <v>341</v>
      </c>
      <c r="AZ7" t="s">
        <v>502</v>
      </c>
      <c r="BA7" t="s">
        <v>502</v>
      </c>
      <c r="BB7" t="s">
        <v>341</v>
      </c>
      <c r="BC7" t="s">
        <v>502</v>
      </c>
      <c r="BD7" t="s">
        <v>341</v>
      </c>
      <c r="BE7" t="s">
        <v>502</v>
      </c>
      <c r="BF7" t="s">
        <v>502</v>
      </c>
      <c r="BG7" t="s">
        <v>341</v>
      </c>
      <c r="BH7" t="s">
        <v>502</v>
      </c>
      <c r="BI7" t="s">
        <v>341</v>
      </c>
      <c r="BJ7" t="s">
        <v>502</v>
      </c>
      <c r="BK7" t="s">
        <v>502</v>
      </c>
      <c r="BL7" t="s">
        <v>341</v>
      </c>
      <c r="BM7" t="s">
        <v>502</v>
      </c>
      <c r="BN7" t="s">
        <v>341</v>
      </c>
      <c r="BO7" t="s">
        <v>502</v>
      </c>
      <c r="BP7" t="s">
        <v>502</v>
      </c>
      <c r="BQ7" t="s">
        <v>341</v>
      </c>
      <c r="BR7" t="s">
        <v>502</v>
      </c>
      <c r="BS7" t="s">
        <v>341</v>
      </c>
      <c r="BT7" t="s">
        <v>502</v>
      </c>
      <c r="BU7" t="s">
        <v>502</v>
      </c>
      <c r="BV7" t="s">
        <v>341</v>
      </c>
      <c r="BW7" t="s">
        <v>502</v>
      </c>
      <c r="BX7" t="s">
        <v>341</v>
      </c>
      <c r="BY7" t="s">
        <v>502</v>
      </c>
      <c r="BZ7" t="s">
        <v>502</v>
      </c>
      <c r="CA7" t="s">
        <v>341</v>
      </c>
      <c r="CB7" t="s">
        <v>502</v>
      </c>
      <c r="CC7" t="s">
        <v>341</v>
      </c>
      <c r="CD7" t="s">
        <v>502</v>
      </c>
      <c r="CE7" t="s">
        <v>502</v>
      </c>
      <c r="CF7" t="s">
        <v>341</v>
      </c>
      <c r="CG7" t="s">
        <v>502</v>
      </c>
      <c r="CH7" t="s">
        <v>341</v>
      </c>
      <c r="CI7" t="s">
        <v>502</v>
      </c>
      <c r="CJ7" t="s">
        <v>502</v>
      </c>
      <c r="CK7" t="s">
        <v>341</v>
      </c>
      <c r="CL7" t="s">
        <v>502</v>
      </c>
      <c r="CM7" t="s">
        <v>341</v>
      </c>
      <c r="CN7" t="s">
        <v>502</v>
      </c>
      <c r="CO7" t="s">
        <v>502</v>
      </c>
      <c r="CP7" t="s">
        <v>339</v>
      </c>
      <c r="CQ7" t="s">
        <v>341</v>
      </c>
      <c r="CR7" t="s">
        <v>502</v>
      </c>
      <c r="CS7" t="s">
        <v>339</v>
      </c>
      <c r="CT7" t="s">
        <v>341</v>
      </c>
      <c r="CU7" t="s">
        <v>502</v>
      </c>
      <c r="CV7" t="s">
        <v>502</v>
      </c>
      <c r="CW7" t="s">
        <v>339</v>
      </c>
      <c r="CX7" t="s">
        <v>341</v>
      </c>
      <c r="CY7" t="s">
        <v>502</v>
      </c>
      <c r="CZ7" t="s">
        <v>339</v>
      </c>
      <c r="DA7" t="s">
        <v>341</v>
      </c>
      <c r="DB7" t="s">
        <v>502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253</v>
      </c>
      <c r="AC8" t="s">
        <v>342</v>
      </c>
      <c r="AD8" t="s">
        <v>253</v>
      </c>
      <c r="AE8" t="s">
        <v>342</v>
      </c>
      <c r="AF8" t="s">
        <v>253</v>
      </c>
      <c r="AG8" t="s">
        <v>253</v>
      </c>
      <c r="AH8" t="s">
        <v>342</v>
      </c>
      <c r="AI8" t="s">
        <v>253</v>
      </c>
      <c r="AJ8" t="s">
        <v>342</v>
      </c>
      <c r="AK8" t="s">
        <v>253</v>
      </c>
      <c r="AL8" t="s">
        <v>253</v>
      </c>
      <c r="AM8" t="s">
        <v>342</v>
      </c>
      <c r="AN8" t="s">
        <v>253</v>
      </c>
      <c r="AO8" t="s">
        <v>342</v>
      </c>
      <c r="AP8" t="s">
        <v>253</v>
      </c>
      <c r="AQ8" t="s">
        <v>253</v>
      </c>
      <c r="AR8" t="s">
        <v>342</v>
      </c>
      <c r="AS8" t="s">
        <v>253</v>
      </c>
      <c r="AT8" t="s">
        <v>342</v>
      </c>
      <c r="AU8" t="s">
        <v>253</v>
      </c>
      <c r="AV8" t="s">
        <v>253</v>
      </c>
      <c r="AW8" t="s">
        <v>342</v>
      </c>
      <c r="AX8" t="s">
        <v>253</v>
      </c>
      <c r="AY8" t="s">
        <v>342</v>
      </c>
      <c r="AZ8" t="s">
        <v>253</v>
      </c>
      <c r="BA8" t="s">
        <v>253</v>
      </c>
      <c r="BB8" t="s">
        <v>342</v>
      </c>
      <c r="BC8" t="s">
        <v>253</v>
      </c>
      <c r="BD8" t="s">
        <v>342</v>
      </c>
      <c r="BE8" t="s">
        <v>253</v>
      </c>
      <c r="BF8" t="s">
        <v>253</v>
      </c>
      <c r="BG8" t="s">
        <v>342</v>
      </c>
      <c r="BH8" t="s">
        <v>253</v>
      </c>
      <c r="BI8" t="s">
        <v>342</v>
      </c>
      <c r="BJ8" t="s">
        <v>253</v>
      </c>
      <c r="BK8" t="s">
        <v>253</v>
      </c>
      <c r="BL8" t="s">
        <v>342</v>
      </c>
      <c r="BM8" t="s">
        <v>253</v>
      </c>
      <c r="BN8" t="s">
        <v>342</v>
      </c>
      <c r="BO8" t="s">
        <v>253</v>
      </c>
      <c r="BP8" t="s">
        <v>253</v>
      </c>
      <c r="BQ8" t="s">
        <v>342</v>
      </c>
      <c r="BR8" t="s">
        <v>253</v>
      </c>
      <c r="BS8" t="s">
        <v>342</v>
      </c>
      <c r="BT8" t="s">
        <v>253</v>
      </c>
      <c r="BU8" t="s">
        <v>253</v>
      </c>
      <c r="BV8" t="s">
        <v>342</v>
      </c>
      <c r="BW8" t="s">
        <v>253</v>
      </c>
      <c r="BX8" t="s">
        <v>342</v>
      </c>
      <c r="BY8" t="s">
        <v>253</v>
      </c>
      <c r="BZ8" t="s">
        <v>253</v>
      </c>
      <c r="CA8" t="s">
        <v>342</v>
      </c>
      <c r="CB8" t="s">
        <v>253</v>
      </c>
      <c r="CC8" t="s">
        <v>342</v>
      </c>
      <c r="CD8" t="s">
        <v>253</v>
      </c>
      <c r="CE8" t="s">
        <v>253</v>
      </c>
      <c r="CF8" t="s">
        <v>342</v>
      </c>
      <c r="CG8" t="s">
        <v>253</v>
      </c>
      <c r="CH8" t="s">
        <v>342</v>
      </c>
      <c r="CI8" t="s">
        <v>253</v>
      </c>
      <c r="CJ8" t="s">
        <v>253</v>
      </c>
      <c r="CK8" t="s">
        <v>342</v>
      </c>
      <c r="CL8" t="s">
        <v>253</v>
      </c>
      <c r="CM8" t="s">
        <v>342</v>
      </c>
      <c r="CN8" t="s">
        <v>253</v>
      </c>
      <c r="CO8" t="s">
        <v>253</v>
      </c>
      <c r="CP8" t="s">
        <v>339</v>
      </c>
      <c r="CQ8" t="s">
        <v>342</v>
      </c>
      <c r="CR8" t="s">
        <v>253</v>
      </c>
      <c r="CS8" t="s">
        <v>339</v>
      </c>
      <c r="CT8" t="s">
        <v>342</v>
      </c>
      <c r="CU8" t="s">
        <v>253</v>
      </c>
      <c r="CV8" t="s">
        <v>253</v>
      </c>
      <c r="CW8" t="s">
        <v>339</v>
      </c>
      <c r="CX8" t="s">
        <v>342</v>
      </c>
      <c r="CY8" t="s">
        <v>253</v>
      </c>
      <c r="CZ8" t="s">
        <v>339</v>
      </c>
      <c r="DA8" t="s">
        <v>342</v>
      </c>
      <c r="DB8" t="s">
        <v>253</v>
      </c>
    </row>
    <row r="9" spans="1:106" x14ac:dyDescent="0.4">
      <c r="A9" s="1" t="s">
        <v>6</v>
      </c>
      <c r="B9" s="3" t="s">
        <v>7</v>
      </c>
      <c r="C9">
        <v>27602611</v>
      </c>
      <c r="D9">
        <v>15699934</v>
      </c>
      <c r="E9">
        <v>29777538</v>
      </c>
      <c r="F9">
        <v>17070114</v>
      </c>
      <c r="G9">
        <v>5988806</v>
      </c>
      <c r="H9">
        <v>1706403</v>
      </c>
      <c r="I9">
        <v>5877992</v>
      </c>
      <c r="J9">
        <v>1853871</v>
      </c>
      <c r="K9">
        <v>6411532</v>
      </c>
      <c r="L9">
        <v>408093</v>
      </c>
      <c r="M9">
        <v>127801</v>
      </c>
      <c r="N9">
        <v>8454957</v>
      </c>
      <c r="O9">
        <v>128417</v>
      </c>
      <c r="P9">
        <v>8347529</v>
      </c>
      <c r="Q9">
        <v>3792</v>
      </c>
      <c r="R9">
        <v>46235</v>
      </c>
      <c r="S9">
        <v>10668018</v>
      </c>
      <c r="T9">
        <v>46222</v>
      </c>
      <c r="U9">
        <v>10132801</v>
      </c>
      <c r="V9">
        <v>1412</v>
      </c>
      <c r="W9">
        <v>31788275</v>
      </c>
      <c r="X9">
        <v>32653034</v>
      </c>
      <c r="Y9">
        <v>32068449</v>
      </c>
      <c r="Z9">
        <v>33746193</v>
      </c>
      <c r="AA9">
        <v>10349621</v>
      </c>
      <c r="AB9">
        <v>688818</v>
      </c>
      <c r="AC9">
        <v>2819329</v>
      </c>
      <c r="AD9">
        <v>709284</v>
      </c>
      <c r="AE9">
        <v>3022390</v>
      </c>
      <c r="AF9">
        <v>73690</v>
      </c>
      <c r="AG9">
        <v>324743</v>
      </c>
      <c r="AH9">
        <v>5192507</v>
      </c>
      <c r="AI9">
        <v>333982</v>
      </c>
      <c r="AJ9">
        <v>6297911</v>
      </c>
      <c r="AK9">
        <v>23529</v>
      </c>
      <c r="AL9">
        <v>1968934</v>
      </c>
      <c r="AM9">
        <v>26893377</v>
      </c>
      <c r="AN9">
        <v>1995099</v>
      </c>
      <c r="AO9">
        <v>28911042</v>
      </c>
      <c r="AP9">
        <v>139789</v>
      </c>
      <c r="AQ9">
        <v>1335059</v>
      </c>
      <c r="AR9">
        <v>5522366</v>
      </c>
      <c r="AS9">
        <v>1325772</v>
      </c>
      <c r="AT9">
        <v>5842577</v>
      </c>
      <c r="AU9">
        <v>57629</v>
      </c>
      <c r="AV9">
        <v>1250546</v>
      </c>
      <c r="AW9">
        <v>7707960</v>
      </c>
      <c r="AX9">
        <v>1658427</v>
      </c>
      <c r="AY9">
        <v>8896501</v>
      </c>
      <c r="AZ9">
        <v>170164</v>
      </c>
      <c r="BA9">
        <v>1534505</v>
      </c>
      <c r="BB9">
        <v>11516885</v>
      </c>
      <c r="BC9">
        <v>1491211</v>
      </c>
      <c r="BD9">
        <v>11587809</v>
      </c>
      <c r="BE9">
        <v>251450</v>
      </c>
      <c r="BF9">
        <v>1794313</v>
      </c>
      <c r="BG9">
        <v>6021396</v>
      </c>
      <c r="BH9">
        <v>1822401</v>
      </c>
      <c r="BI9">
        <v>8895766</v>
      </c>
      <c r="BJ9">
        <v>83549</v>
      </c>
      <c r="BK9">
        <v>17996932</v>
      </c>
      <c r="BL9">
        <v>27359544</v>
      </c>
      <c r="BM9">
        <v>17808283</v>
      </c>
      <c r="BN9">
        <v>28758432</v>
      </c>
      <c r="BO9">
        <v>1894368</v>
      </c>
      <c r="BP9">
        <v>1033760</v>
      </c>
      <c r="BQ9">
        <v>4756552</v>
      </c>
      <c r="BR9">
        <v>1237164</v>
      </c>
      <c r="BS9">
        <v>6219524</v>
      </c>
      <c r="BT9">
        <v>620452</v>
      </c>
      <c r="BU9">
        <v>357038</v>
      </c>
      <c r="BV9">
        <v>7981388</v>
      </c>
      <c r="BW9">
        <v>379768</v>
      </c>
      <c r="BX9">
        <v>9432157</v>
      </c>
      <c r="BY9">
        <v>245936</v>
      </c>
      <c r="BZ9">
        <v>613648584</v>
      </c>
      <c r="CA9">
        <v>38229555</v>
      </c>
      <c r="CB9">
        <v>615418840</v>
      </c>
      <c r="CC9">
        <v>47071470</v>
      </c>
      <c r="CD9">
        <v>15279364</v>
      </c>
      <c r="CE9">
        <v>14947056</v>
      </c>
      <c r="CF9">
        <v>50999602</v>
      </c>
      <c r="CG9">
        <v>11492700</v>
      </c>
      <c r="CH9">
        <v>42837017</v>
      </c>
      <c r="CI9">
        <v>5337624</v>
      </c>
      <c r="CJ9">
        <v>37698206</v>
      </c>
      <c r="CK9">
        <v>33767478</v>
      </c>
      <c r="CL9">
        <v>40604808</v>
      </c>
      <c r="CM9">
        <v>42172183</v>
      </c>
      <c r="CN9">
        <v>8757497</v>
      </c>
      <c r="CO9">
        <v>516184939</v>
      </c>
      <c r="CP9">
        <v>3903844</v>
      </c>
      <c r="CQ9">
        <v>128290866</v>
      </c>
      <c r="CR9">
        <v>505058537</v>
      </c>
      <c r="CS9">
        <v>3449793</v>
      </c>
      <c r="CT9">
        <v>129049264</v>
      </c>
      <c r="CU9">
        <v>66895485</v>
      </c>
      <c r="CV9">
        <v>170787660</v>
      </c>
      <c r="CW9">
        <v>283783</v>
      </c>
      <c r="CX9">
        <v>16028040</v>
      </c>
      <c r="CY9">
        <v>175990427</v>
      </c>
      <c r="CZ9">
        <v>318365</v>
      </c>
      <c r="DA9">
        <v>17048665</v>
      </c>
      <c r="DB9">
        <v>7654966</v>
      </c>
    </row>
    <row r="10" spans="1:106" x14ac:dyDescent="0.4">
      <c r="A10" s="1" t="s">
        <v>8</v>
      </c>
      <c r="B10" s="3" t="s">
        <v>9</v>
      </c>
      <c r="C10">
        <v>31830901</v>
      </c>
      <c r="D10">
        <v>18636381</v>
      </c>
      <c r="E10">
        <v>30807024</v>
      </c>
      <c r="F10">
        <v>18215595</v>
      </c>
      <c r="G10">
        <v>7062760</v>
      </c>
      <c r="H10">
        <v>1842002</v>
      </c>
      <c r="I10">
        <v>6615628</v>
      </c>
      <c r="J10">
        <v>1836282</v>
      </c>
      <c r="K10">
        <v>6795148</v>
      </c>
      <c r="L10">
        <v>381324</v>
      </c>
      <c r="M10">
        <v>118189</v>
      </c>
      <c r="N10">
        <v>8244840</v>
      </c>
      <c r="O10">
        <v>118836</v>
      </c>
      <c r="P10">
        <v>8184404</v>
      </c>
      <c r="Q10">
        <v>4761</v>
      </c>
      <c r="R10">
        <v>43516</v>
      </c>
      <c r="S10">
        <v>10299691</v>
      </c>
      <c r="T10">
        <v>43838</v>
      </c>
      <c r="U10">
        <v>9685085</v>
      </c>
      <c r="V10">
        <v>1090</v>
      </c>
      <c r="W10">
        <v>34608689</v>
      </c>
      <c r="X10">
        <v>36066706</v>
      </c>
      <c r="Y10">
        <v>33897473</v>
      </c>
      <c r="Z10">
        <v>36521257</v>
      </c>
      <c r="AA10">
        <v>11082105</v>
      </c>
      <c r="AB10">
        <v>719067</v>
      </c>
      <c r="AC10">
        <v>2746563</v>
      </c>
      <c r="AD10">
        <v>712796</v>
      </c>
      <c r="AE10">
        <v>2873151</v>
      </c>
      <c r="AF10">
        <v>79664</v>
      </c>
      <c r="AG10">
        <v>317492</v>
      </c>
      <c r="AH10">
        <v>5016948</v>
      </c>
      <c r="AI10">
        <v>320232</v>
      </c>
      <c r="AJ10">
        <v>6123247</v>
      </c>
      <c r="AK10">
        <v>26263</v>
      </c>
      <c r="AL10">
        <v>2043039</v>
      </c>
      <c r="AM10">
        <v>29416222</v>
      </c>
      <c r="AN10">
        <v>2032184</v>
      </c>
      <c r="AO10">
        <v>31225030</v>
      </c>
      <c r="AP10">
        <v>153732</v>
      </c>
      <c r="AQ10">
        <v>1173134</v>
      </c>
      <c r="AR10">
        <v>5198679</v>
      </c>
      <c r="AS10">
        <v>1173241</v>
      </c>
      <c r="AT10">
        <v>5438731</v>
      </c>
      <c r="AU10">
        <v>57053</v>
      </c>
      <c r="AV10">
        <v>1109972</v>
      </c>
      <c r="AW10">
        <v>8014497</v>
      </c>
      <c r="AX10">
        <v>1398383</v>
      </c>
      <c r="AY10">
        <v>9208203</v>
      </c>
      <c r="AZ10">
        <v>146920</v>
      </c>
      <c r="BA10">
        <v>1672701</v>
      </c>
      <c r="BB10">
        <v>11608689</v>
      </c>
      <c r="BC10">
        <v>1517055</v>
      </c>
      <c r="BD10">
        <v>11705569</v>
      </c>
      <c r="BE10">
        <v>247481</v>
      </c>
      <c r="BF10">
        <v>1772351</v>
      </c>
      <c r="BG10">
        <v>6499334</v>
      </c>
      <c r="BH10">
        <v>1774933</v>
      </c>
      <c r="BI10">
        <v>9146154</v>
      </c>
      <c r="BJ10">
        <v>80750</v>
      </c>
      <c r="BK10">
        <v>18802136</v>
      </c>
      <c r="BL10">
        <v>28743171</v>
      </c>
      <c r="BM10">
        <v>17746843</v>
      </c>
      <c r="BN10">
        <v>29630626</v>
      </c>
      <c r="BO10">
        <v>2385157</v>
      </c>
      <c r="BP10">
        <v>1169863</v>
      </c>
      <c r="BQ10">
        <v>5468997</v>
      </c>
      <c r="BR10">
        <v>1360193</v>
      </c>
      <c r="BS10">
        <v>6828466</v>
      </c>
      <c r="BT10">
        <v>599505</v>
      </c>
      <c r="BU10">
        <v>386040</v>
      </c>
      <c r="BV10">
        <v>9368961</v>
      </c>
      <c r="BW10">
        <v>411714</v>
      </c>
      <c r="BX10">
        <v>11063080</v>
      </c>
      <c r="BY10">
        <v>246639</v>
      </c>
      <c r="BZ10">
        <v>525258359</v>
      </c>
      <c r="CA10">
        <v>43637068</v>
      </c>
      <c r="CB10">
        <v>525169771</v>
      </c>
      <c r="CC10">
        <v>50956023</v>
      </c>
      <c r="CD10">
        <v>17111645</v>
      </c>
      <c r="CE10">
        <v>14637209</v>
      </c>
      <c r="CF10">
        <v>53748672</v>
      </c>
      <c r="CG10">
        <v>11403385</v>
      </c>
      <c r="CH10">
        <v>45834797</v>
      </c>
      <c r="CI10">
        <v>5761367</v>
      </c>
      <c r="CJ10">
        <v>33460675</v>
      </c>
      <c r="CK10">
        <v>37086623</v>
      </c>
      <c r="CL10">
        <v>34614995</v>
      </c>
      <c r="CM10">
        <v>44922860</v>
      </c>
      <c r="CN10">
        <v>10384089</v>
      </c>
      <c r="CO10">
        <v>535205525</v>
      </c>
      <c r="CP10">
        <v>3879598</v>
      </c>
      <c r="CQ10">
        <v>140376702</v>
      </c>
      <c r="CR10">
        <v>511065524</v>
      </c>
      <c r="CS10">
        <v>3283625</v>
      </c>
      <c r="CT10">
        <v>138221985</v>
      </c>
      <c r="CU10">
        <v>79123642</v>
      </c>
      <c r="CV10">
        <v>130803864</v>
      </c>
      <c r="CW10">
        <v>260648</v>
      </c>
      <c r="CX10">
        <v>15664025</v>
      </c>
      <c r="CY10">
        <v>132149296</v>
      </c>
      <c r="CZ10">
        <v>278493</v>
      </c>
      <c r="DA10">
        <v>16508819</v>
      </c>
      <c r="DB10">
        <v>8768584</v>
      </c>
    </row>
    <row r="11" spans="1:106" x14ac:dyDescent="0.4">
      <c r="A11" s="1" t="s">
        <v>10</v>
      </c>
      <c r="B11" s="3" t="s">
        <v>11</v>
      </c>
      <c r="C11">
        <v>29261799</v>
      </c>
      <c r="D11">
        <v>18265025</v>
      </c>
      <c r="E11">
        <v>27089976</v>
      </c>
      <c r="F11">
        <v>17319971</v>
      </c>
      <c r="G11">
        <v>8935203</v>
      </c>
      <c r="H11">
        <v>1474368</v>
      </c>
      <c r="I11">
        <v>6218739</v>
      </c>
      <c r="J11">
        <v>1404420</v>
      </c>
      <c r="K11">
        <v>6092684</v>
      </c>
      <c r="L11">
        <v>425817</v>
      </c>
      <c r="M11">
        <v>115775</v>
      </c>
      <c r="N11">
        <v>8332943</v>
      </c>
      <c r="O11">
        <v>116601</v>
      </c>
      <c r="P11">
        <v>8297325</v>
      </c>
      <c r="Q11">
        <v>5872</v>
      </c>
      <c r="R11">
        <v>39838</v>
      </c>
      <c r="S11">
        <v>9979385</v>
      </c>
      <c r="T11">
        <v>40056</v>
      </c>
      <c r="U11">
        <v>9500228</v>
      </c>
      <c r="V11">
        <v>872</v>
      </c>
      <c r="W11">
        <v>30322474</v>
      </c>
      <c r="X11">
        <v>34756258</v>
      </c>
      <c r="Y11">
        <v>28438603</v>
      </c>
      <c r="Z11">
        <v>34684257</v>
      </c>
      <c r="AA11">
        <v>13080114</v>
      </c>
      <c r="AB11">
        <v>620845</v>
      </c>
      <c r="AC11">
        <v>2520771</v>
      </c>
      <c r="AD11">
        <v>631583</v>
      </c>
      <c r="AE11">
        <v>2746202</v>
      </c>
      <c r="AF11">
        <v>71991</v>
      </c>
      <c r="AG11">
        <v>317325</v>
      </c>
      <c r="AH11">
        <v>5001889</v>
      </c>
      <c r="AI11">
        <v>314703</v>
      </c>
      <c r="AJ11">
        <v>6103494</v>
      </c>
      <c r="AK11">
        <v>32297</v>
      </c>
      <c r="AL11">
        <v>1809395</v>
      </c>
      <c r="AM11">
        <v>27389625</v>
      </c>
      <c r="AN11">
        <v>1780123</v>
      </c>
      <c r="AO11">
        <v>29327354</v>
      </c>
      <c r="AP11">
        <v>154618</v>
      </c>
      <c r="AQ11">
        <v>1156666</v>
      </c>
      <c r="AR11">
        <v>5131217</v>
      </c>
      <c r="AS11">
        <v>1171100</v>
      </c>
      <c r="AT11">
        <v>5475822</v>
      </c>
      <c r="AU11">
        <v>49580</v>
      </c>
      <c r="AV11">
        <v>1002907</v>
      </c>
      <c r="AW11">
        <v>7305473</v>
      </c>
      <c r="AX11">
        <v>1113393</v>
      </c>
      <c r="AY11">
        <v>8193155</v>
      </c>
      <c r="AZ11">
        <v>139003</v>
      </c>
      <c r="BA11">
        <v>1328639</v>
      </c>
      <c r="BB11">
        <v>10942031</v>
      </c>
      <c r="BC11">
        <v>1283275</v>
      </c>
      <c r="BD11">
        <v>11252622</v>
      </c>
      <c r="BE11">
        <v>242068</v>
      </c>
      <c r="BF11">
        <v>1570596</v>
      </c>
      <c r="BG11">
        <v>6261655</v>
      </c>
      <c r="BH11">
        <v>1585844</v>
      </c>
      <c r="BI11">
        <v>8762086</v>
      </c>
      <c r="BJ11">
        <v>91913</v>
      </c>
      <c r="BK11">
        <v>14939339</v>
      </c>
      <c r="BL11">
        <v>27634316</v>
      </c>
      <c r="BM11">
        <v>15024963</v>
      </c>
      <c r="BN11">
        <v>30402433</v>
      </c>
      <c r="BO11">
        <v>2179360</v>
      </c>
      <c r="BP11">
        <v>1139345</v>
      </c>
      <c r="BQ11">
        <v>4973166</v>
      </c>
      <c r="BR11">
        <v>1262125</v>
      </c>
      <c r="BS11">
        <v>6873237</v>
      </c>
      <c r="BT11">
        <v>683913</v>
      </c>
      <c r="BU11">
        <v>367496</v>
      </c>
      <c r="BV11">
        <v>9272601</v>
      </c>
      <c r="BW11">
        <v>397522</v>
      </c>
      <c r="BX11">
        <v>11284270</v>
      </c>
      <c r="BY11">
        <v>251064</v>
      </c>
      <c r="BZ11">
        <v>415598361</v>
      </c>
      <c r="CA11">
        <v>41703306</v>
      </c>
      <c r="CB11">
        <v>415561105</v>
      </c>
      <c r="CC11">
        <v>48730038</v>
      </c>
      <c r="CD11">
        <v>18541532</v>
      </c>
      <c r="CE11">
        <v>13037947</v>
      </c>
      <c r="CF11">
        <v>51684588</v>
      </c>
      <c r="CG11">
        <v>10289355</v>
      </c>
      <c r="CH11">
        <v>44557408</v>
      </c>
      <c r="CI11">
        <v>5853149</v>
      </c>
      <c r="CJ11">
        <v>28785412</v>
      </c>
      <c r="CK11">
        <v>35327758</v>
      </c>
      <c r="CL11">
        <v>32855561</v>
      </c>
      <c r="CM11">
        <v>42233205</v>
      </c>
      <c r="CN11">
        <v>9664988</v>
      </c>
      <c r="CO11">
        <v>437139768</v>
      </c>
      <c r="CP11">
        <v>3194976</v>
      </c>
      <c r="CQ11">
        <v>135571316</v>
      </c>
      <c r="CR11">
        <v>423579691</v>
      </c>
      <c r="CS11">
        <v>2745857</v>
      </c>
      <c r="CT11">
        <v>132065598</v>
      </c>
      <c r="CU11">
        <v>89273743</v>
      </c>
      <c r="CV11">
        <v>105485655</v>
      </c>
      <c r="CW11">
        <v>175655</v>
      </c>
      <c r="CX11">
        <v>12618743</v>
      </c>
      <c r="CY11">
        <v>109562254</v>
      </c>
      <c r="CZ11">
        <v>209776</v>
      </c>
      <c r="DA11">
        <v>13798774</v>
      </c>
      <c r="DB11">
        <v>8968784</v>
      </c>
    </row>
    <row r="12" spans="1:106" x14ac:dyDescent="0.4">
      <c r="A12" s="1" t="s">
        <v>12</v>
      </c>
      <c r="B12" s="3" t="s">
        <v>13</v>
      </c>
      <c r="C12">
        <v>20759186</v>
      </c>
      <c r="D12">
        <v>14367192</v>
      </c>
      <c r="E12">
        <v>21872419</v>
      </c>
      <c r="F12">
        <v>15116553</v>
      </c>
      <c r="G12">
        <v>7880110</v>
      </c>
      <c r="H12">
        <v>1340245</v>
      </c>
      <c r="I12">
        <v>5917482</v>
      </c>
      <c r="J12">
        <v>1320602</v>
      </c>
      <c r="K12">
        <v>6005360</v>
      </c>
      <c r="L12">
        <v>367426</v>
      </c>
      <c r="M12">
        <v>110770</v>
      </c>
      <c r="N12">
        <v>8085860</v>
      </c>
      <c r="O12">
        <v>112371</v>
      </c>
      <c r="P12">
        <v>8202052</v>
      </c>
      <c r="Q12">
        <v>6551</v>
      </c>
      <c r="R12">
        <v>37778</v>
      </c>
      <c r="S12">
        <v>10713660</v>
      </c>
      <c r="T12">
        <v>37705</v>
      </c>
      <c r="U12">
        <v>10172322</v>
      </c>
      <c r="V12">
        <v>945</v>
      </c>
      <c r="W12">
        <v>25634482</v>
      </c>
      <c r="X12">
        <v>33200047</v>
      </c>
      <c r="Y12">
        <v>24627303</v>
      </c>
      <c r="Z12">
        <v>34073550</v>
      </c>
      <c r="AA12">
        <v>14112945</v>
      </c>
      <c r="AB12">
        <v>591856</v>
      </c>
      <c r="AC12">
        <v>2354426</v>
      </c>
      <c r="AD12">
        <v>605586</v>
      </c>
      <c r="AE12">
        <v>2665450</v>
      </c>
      <c r="AF12">
        <v>70165</v>
      </c>
      <c r="AG12">
        <v>268712</v>
      </c>
      <c r="AH12">
        <v>4696596</v>
      </c>
      <c r="AI12">
        <v>273776</v>
      </c>
      <c r="AJ12">
        <v>6069720</v>
      </c>
      <c r="AK12">
        <v>29732</v>
      </c>
      <c r="AL12">
        <v>1640563</v>
      </c>
      <c r="AM12">
        <v>26988993</v>
      </c>
      <c r="AN12">
        <v>1644111</v>
      </c>
      <c r="AO12">
        <v>29381044</v>
      </c>
      <c r="AP12">
        <v>147723</v>
      </c>
      <c r="AQ12">
        <v>1321308</v>
      </c>
      <c r="AR12">
        <v>5743752</v>
      </c>
      <c r="AS12">
        <v>1338989</v>
      </c>
      <c r="AT12">
        <v>6150776</v>
      </c>
      <c r="AU12">
        <v>42776</v>
      </c>
      <c r="AV12">
        <v>946912</v>
      </c>
      <c r="AW12">
        <v>6852459</v>
      </c>
      <c r="AX12">
        <v>1146356</v>
      </c>
      <c r="AY12">
        <v>7924872</v>
      </c>
      <c r="AZ12">
        <v>125215</v>
      </c>
      <c r="BA12">
        <v>1337553</v>
      </c>
      <c r="BB12">
        <v>10646257</v>
      </c>
      <c r="BC12">
        <v>1257232</v>
      </c>
      <c r="BD12">
        <v>11212574</v>
      </c>
      <c r="BE12">
        <v>237967</v>
      </c>
      <c r="BF12">
        <v>1555600</v>
      </c>
      <c r="BG12">
        <v>6512627</v>
      </c>
      <c r="BH12">
        <v>1573269</v>
      </c>
      <c r="BI12">
        <v>9345543</v>
      </c>
      <c r="BJ12">
        <v>81443</v>
      </c>
      <c r="BK12">
        <v>13998249</v>
      </c>
      <c r="BL12">
        <v>28425933</v>
      </c>
      <c r="BM12">
        <v>14043951</v>
      </c>
      <c r="BN12">
        <v>30411915</v>
      </c>
      <c r="BO12">
        <v>2069964</v>
      </c>
      <c r="BP12">
        <v>942585</v>
      </c>
      <c r="BQ12">
        <v>5076276</v>
      </c>
      <c r="BR12">
        <v>1165789</v>
      </c>
      <c r="BS12">
        <v>6979947</v>
      </c>
      <c r="BT12">
        <v>649778</v>
      </c>
      <c r="BU12">
        <v>335451</v>
      </c>
      <c r="BV12">
        <v>8918976</v>
      </c>
      <c r="BW12">
        <v>361223</v>
      </c>
      <c r="BX12">
        <v>10528526</v>
      </c>
      <c r="BY12">
        <v>254502</v>
      </c>
      <c r="BZ12">
        <v>675671124</v>
      </c>
      <c r="CA12">
        <v>41282276</v>
      </c>
      <c r="CB12">
        <v>674423569</v>
      </c>
      <c r="CC12">
        <v>54029637</v>
      </c>
      <c r="CD12">
        <v>21334452</v>
      </c>
      <c r="CE12">
        <v>12497333</v>
      </c>
      <c r="CF12">
        <v>51807429</v>
      </c>
      <c r="CG12">
        <v>10470355</v>
      </c>
      <c r="CH12">
        <v>47168668</v>
      </c>
      <c r="CI12">
        <v>5291073</v>
      </c>
      <c r="CJ12">
        <v>25275100</v>
      </c>
      <c r="CK12">
        <v>35687471</v>
      </c>
      <c r="CL12">
        <v>27267887</v>
      </c>
      <c r="CM12">
        <v>41858116</v>
      </c>
      <c r="CN12">
        <v>10478266</v>
      </c>
      <c r="CO12">
        <v>433989179</v>
      </c>
      <c r="CP12">
        <v>3117421</v>
      </c>
      <c r="CQ12">
        <v>134403929</v>
      </c>
      <c r="CR12">
        <v>435781260</v>
      </c>
      <c r="CS12">
        <v>2824552</v>
      </c>
      <c r="CT12">
        <v>138903416</v>
      </c>
      <c r="CU12">
        <v>84648238</v>
      </c>
      <c r="CV12">
        <v>125597004</v>
      </c>
      <c r="CW12">
        <v>181441</v>
      </c>
      <c r="CX12">
        <v>13892044</v>
      </c>
      <c r="CY12">
        <v>129537317</v>
      </c>
      <c r="CZ12">
        <v>210862</v>
      </c>
      <c r="DA12">
        <v>14523375</v>
      </c>
      <c r="DB12">
        <v>8208113</v>
      </c>
    </row>
    <row r="13" spans="1:106" x14ac:dyDescent="0.4">
      <c r="A13" s="1" t="s">
        <v>14</v>
      </c>
      <c r="B13" s="3" t="s">
        <v>15</v>
      </c>
      <c r="C13">
        <v>20978173</v>
      </c>
      <c r="D13">
        <v>14369650</v>
      </c>
      <c r="E13">
        <v>22000563</v>
      </c>
      <c r="F13">
        <v>15551782</v>
      </c>
      <c r="G13">
        <v>6912132</v>
      </c>
      <c r="H13">
        <v>1336640</v>
      </c>
      <c r="I13">
        <v>6142408</v>
      </c>
      <c r="J13">
        <v>1288746</v>
      </c>
      <c r="K13">
        <v>6089011</v>
      </c>
      <c r="L13">
        <v>354161</v>
      </c>
      <c r="M13">
        <v>99593</v>
      </c>
      <c r="N13">
        <v>7271584</v>
      </c>
      <c r="O13">
        <v>102051</v>
      </c>
      <c r="P13">
        <v>7393400</v>
      </c>
      <c r="Q13">
        <v>6373</v>
      </c>
      <c r="R13">
        <v>37390</v>
      </c>
      <c r="S13">
        <v>10515149</v>
      </c>
      <c r="T13">
        <v>37718</v>
      </c>
      <c r="U13">
        <v>10091176</v>
      </c>
      <c r="V13">
        <v>617</v>
      </c>
      <c r="W13">
        <v>24415092</v>
      </c>
      <c r="X13">
        <v>34537201</v>
      </c>
      <c r="Y13">
        <v>25697832</v>
      </c>
      <c r="Z13">
        <v>35970422</v>
      </c>
      <c r="AA13">
        <v>12855187</v>
      </c>
      <c r="AB13">
        <v>562359</v>
      </c>
      <c r="AC13">
        <v>2358790</v>
      </c>
      <c r="AD13">
        <v>571803</v>
      </c>
      <c r="AE13">
        <v>2655763</v>
      </c>
      <c r="AF13">
        <v>62523</v>
      </c>
      <c r="AG13">
        <v>263920</v>
      </c>
      <c r="AH13">
        <v>4495357</v>
      </c>
      <c r="AI13">
        <v>271720</v>
      </c>
      <c r="AJ13">
        <v>5656876</v>
      </c>
      <c r="AK13">
        <v>24328</v>
      </c>
      <c r="AL13">
        <v>1682707</v>
      </c>
      <c r="AM13">
        <v>28176789</v>
      </c>
      <c r="AN13">
        <v>1661051</v>
      </c>
      <c r="AO13">
        <v>30284766</v>
      </c>
      <c r="AP13">
        <v>157960</v>
      </c>
      <c r="AQ13">
        <v>1448544</v>
      </c>
      <c r="AR13">
        <v>6397801</v>
      </c>
      <c r="AS13">
        <v>1443400</v>
      </c>
      <c r="AT13">
        <v>6677191</v>
      </c>
      <c r="AU13">
        <v>58435</v>
      </c>
      <c r="AV13">
        <v>951085</v>
      </c>
      <c r="AW13">
        <v>6675957</v>
      </c>
      <c r="AX13">
        <v>1090819</v>
      </c>
      <c r="AY13">
        <v>7709732</v>
      </c>
      <c r="AZ13">
        <v>140211</v>
      </c>
      <c r="BA13">
        <v>1475836</v>
      </c>
      <c r="BB13">
        <v>11259517</v>
      </c>
      <c r="BC13">
        <v>1353375</v>
      </c>
      <c r="BD13">
        <v>11796882</v>
      </c>
      <c r="BE13">
        <v>250986</v>
      </c>
      <c r="BF13">
        <v>1292651</v>
      </c>
      <c r="BG13">
        <v>6155696</v>
      </c>
      <c r="BH13">
        <v>1310678</v>
      </c>
      <c r="BI13">
        <v>8840287</v>
      </c>
      <c r="BJ13">
        <v>75427</v>
      </c>
      <c r="BK13">
        <v>12487782</v>
      </c>
      <c r="BL13">
        <v>27869488</v>
      </c>
      <c r="BM13">
        <v>12471904</v>
      </c>
      <c r="BN13">
        <v>29591010</v>
      </c>
      <c r="BO13">
        <v>1892605</v>
      </c>
      <c r="BP13">
        <v>979995</v>
      </c>
      <c r="BQ13">
        <v>5010176</v>
      </c>
      <c r="BR13">
        <v>1154962</v>
      </c>
      <c r="BS13">
        <v>6865948</v>
      </c>
      <c r="BT13">
        <v>594233</v>
      </c>
      <c r="BU13">
        <v>304430</v>
      </c>
      <c r="BV13">
        <v>8189902</v>
      </c>
      <c r="BW13">
        <v>343080</v>
      </c>
      <c r="BX13">
        <v>9862207</v>
      </c>
      <c r="BY13">
        <v>128725</v>
      </c>
      <c r="BZ13">
        <v>699159305</v>
      </c>
      <c r="CA13">
        <v>45923194</v>
      </c>
      <c r="CB13">
        <v>707945326</v>
      </c>
      <c r="CC13">
        <v>59047979</v>
      </c>
      <c r="CD13">
        <v>14040949</v>
      </c>
      <c r="CE13">
        <v>11592594</v>
      </c>
      <c r="CF13">
        <v>46966743</v>
      </c>
      <c r="CG13">
        <v>8921315</v>
      </c>
      <c r="CH13">
        <v>40238611</v>
      </c>
      <c r="CI13">
        <v>3959055</v>
      </c>
      <c r="CJ13">
        <v>22011320</v>
      </c>
      <c r="CK13">
        <v>33871929</v>
      </c>
      <c r="CL13">
        <v>26011855</v>
      </c>
      <c r="CM13">
        <v>40245788</v>
      </c>
      <c r="CN13">
        <v>8529347</v>
      </c>
      <c r="CO13">
        <v>424634746</v>
      </c>
      <c r="CP13">
        <v>3237401</v>
      </c>
      <c r="CQ13">
        <v>142519561</v>
      </c>
      <c r="CR13">
        <v>436121807</v>
      </c>
      <c r="CS13">
        <v>3004731</v>
      </c>
      <c r="CT13">
        <v>144869226</v>
      </c>
      <c r="CU13">
        <v>62186504</v>
      </c>
      <c r="CV13">
        <v>131275179</v>
      </c>
      <c r="CW13">
        <v>182931</v>
      </c>
      <c r="CX13">
        <v>13346696</v>
      </c>
      <c r="CY13">
        <v>136214338</v>
      </c>
      <c r="CZ13">
        <v>218974</v>
      </c>
      <c r="DA13">
        <v>14554189</v>
      </c>
      <c r="DB13">
        <v>6980226</v>
      </c>
    </row>
    <row r="14" spans="1:106" x14ac:dyDescent="0.4">
      <c r="A14" s="1" t="s">
        <v>16</v>
      </c>
      <c r="B14" s="1" t="s">
        <v>17</v>
      </c>
      <c r="C14">
        <v>1964467</v>
      </c>
      <c r="D14">
        <v>1384046</v>
      </c>
      <c r="E14">
        <v>1894200</v>
      </c>
      <c r="F14">
        <v>1350547</v>
      </c>
      <c r="G14">
        <v>9476437</v>
      </c>
      <c r="H14">
        <v>112292</v>
      </c>
      <c r="I14">
        <v>479007</v>
      </c>
      <c r="J14">
        <v>117611</v>
      </c>
      <c r="K14">
        <v>527614</v>
      </c>
      <c r="L14">
        <v>417672</v>
      </c>
      <c r="M14">
        <v>9851</v>
      </c>
      <c r="N14">
        <v>781504</v>
      </c>
      <c r="O14">
        <v>9693</v>
      </c>
      <c r="P14">
        <v>763893</v>
      </c>
      <c r="Q14">
        <v>6338</v>
      </c>
      <c r="R14">
        <v>3189</v>
      </c>
      <c r="S14">
        <v>958898</v>
      </c>
      <c r="T14">
        <v>3105</v>
      </c>
      <c r="U14">
        <v>911537</v>
      </c>
      <c r="V14">
        <v>983</v>
      </c>
      <c r="W14">
        <v>2080985</v>
      </c>
      <c r="X14">
        <v>2866973</v>
      </c>
      <c r="Y14">
        <v>2268207</v>
      </c>
      <c r="Z14">
        <v>3328979</v>
      </c>
      <c r="AA14">
        <v>13614034</v>
      </c>
      <c r="AB14">
        <v>50420</v>
      </c>
      <c r="AC14">
        <v>204876</v>
      </c>
      <c r="AD14">
        <v>52571</v>
      </c>
      <c r="AE14">
        <v>230543</v>
      </c>
      <c r="AF14">
        <v>67327</v>
      </c>
      <c r="AG14">
        <v>22681</v>
      </c>
      <c r="AH14">
        <v>391161</v>
      </c>
      <c r="AI14">
        <v>22264</v>
      </c>
      <c r="AJ14">
        <v>506149</v>
      </c>
      <c r="AK14">
        <v>33258</v>
      </c>
      <c r="AL14">
        <v>140886</v>
      </c>
      <c r="AM14">
        <v>2296533</v>
      </c>
      <c r="AN14">
        <v>141818</v>
      </c>
      <c r="AO14">
        <v>2468896</v>
      </c>
      <c r="AP14">
        <v>158574</v>
      </c>
      <c r="AQ14">
        <v>102880</v>
      </c>
      <c r="AR14">
        <v>441566</v>
      </c>
      <c r="AS14">
        <v>95126</v>
      </c>
      <c r="AT14">
        <v>452051</v>
      </c>
      <c r="AU14">
        <v>61270</v>
      </c>
      <c r="AV14">
        <v>81172</v>
      </c>
      <c r="AW14">
        <v>650948</v>
      </c>
      <c r="AX14">
        <v>101994</v>
      </c>
      <c r="AY14">
        <v>729494</v>
      </c>
      <c r="AZ14">
        <v>124848</v>
      </c>
      <c r="BA14">
        <v>117471</v>
      </c>
      <c r="BB14">
        <v>905764</v>
      </c>
      <c r="BC14">
        <v>111625</v>
      </c>
      <c r="BD14">
        <v>994058</v>
      </c>
      <c r="BE14">
        <v>233039</v>
      </c>
      <c r="BF14">
        <v>144046</v>
      </c>
      <c r="BG14">
        <v>546488</v>
      </c>
      <c r="BH14">
        <v>143855</v>
      </c>
      <c r="BI14">
        <v>802190</v>
      </c>
      <c r="BJ14">
        <v>89216</v>
      </c>
      <c r="BK14">
        <v>1088055</v>
      </c>
      <c r="BL14">
        <v>2293116</v>
      </c>
      <c r="BM14">
        <v>1130343</v>
      </c>
      <c r="BN14">
        <v>2592368</v>
      </c>
      <c r="BO14">
        <v>2068516</v>
      </c>
      <c r="BP14">
        <v>70747</v>
      </c>
      <c r="BQ14">
        <v>461660</v>
      </c>
      <c r="BR14">
        <v>117337</v>
      </c>
      <c r="BS14">
        <v>589832</v>
      </c>
      <c r="BT14">
        <v>660736</v>
      </c>
      <c r="BU14">
        <v>30951</v>
      </c>
      <c r="BV14">
        <v>804228</v>
      </c>
      <c r="BW14">
        <v>33947</v>
      </c>
      <c r="BX14">
        <v>945277</v>
      </c>
      <c r="BY14">
        <v>251587</v>
      </c>
      <c r="BZ14">
        <v>59064805</v>
      </c>
      <c r="CA14">
        <v>3415982</v>
      </c>
      <c r="CB14">
        <v>51646663</v>
      </c>
      <c r="CC14">
        <v>4554507</v>
      </c>
      <c r="CD14">
        <v>23647461</v>
      </c>
      <c r="CE14">
        <v>1023510</v>
      </c>
      <c r="CF14">
        <v>4210542</v>
      </c>
      <c r="CG14">
        <v>917998</v>
      </c>
      <c r="CH14">
        <v>3994535</v>
      </c>
      <c r="CI14">
        <v>5681028</v>
      </c>
      <c r="CJ14">
        <v>2368479</v>
      </c>
      <c r="CK14">
        <v>2997234</v>
      </c>
      <c r="CL14">
        <v>2548246</v>
      </c>
      <c r="CM14">
        <v>3536530</v>
      </c>
      <c r="CN14">
        <v>9996143</v>
      </c>
      <c r="CO14">
        <v>34486726</v>
      </c>
      <c r="CP14">
        <v>259457</v>
      </c>
      <c r="CQ14">
        <v>10899970</v>
      </c>
      <c r="CR14">
        <v>35878109</v>
      </c>
      <c r="CS14">
        <v>244448</v>
      </c>
      <c r="CT14">
        <v>11794397</v>
      </c>
      <c r="CU14">
        <v>86998296</v>
      </c>
      <c r="CV14">
        <v>10201612</v>
      </c>
      <c r="CW14">
        <v>16531</v>
      </c>
      <c r="CX14">
        <v>1204638</v>
      </c>
      <c r="CY14">
        <v>10324482</v>
      </c>
      <c r="CZ14">
        <v>18931</v>
      </c>
      <c r="DA14">
        <v>1260242</v>
      </c>
      <c r="DB14">
        <v>9190136</v>
      </c>
    </row>
    <row r="15" spans="1:106" x14ac:dyDescent="0.4">
      <c r="A15" s="1" t="s">
        <v>18</v>
      </c>
      <c r="B15" s="1" t="s">
        <v>19</v>
      </c>
      <c r="C15">
        <v>1696002</v>
      </c>
      <c r="D15">
        <v>1221737</v>
      </c>
      <c r="E15">
        <v>1935469</v>
      </c>
      <c r="F15">
        <v>1302099</v>
      </c>
      <c r="G15">
        <v>9242724</v>
      </c>
      <c r="H15">
        <v>113099</v>
      </c>
      <c r="I15">
        <v>498915</v>
      </c>
      <c r="J15">
        <v>114656</v>
      </c>
      <c r="K15">
        <v>500239</v>
      </c>
      <c r="L15">
        <v>407601</v>
      </c>
      <c r="M15">
        <v>9539</v>
      </c>
      <c r="N15">
        <v>701283</v>
      </c>
      <c r="O15">
        <v>9609</v>
      </c>
      <c r="P15">
        <v>714939</v>
      </c>
      <c r="Q15">
        <v>6458</v>
      </c>
      <c r="R15">
        <v>3207</v>
      </c>
      <c r="S15">
        <v>891085</v>
      </c>
      <c r="T15">
        <v>3135</v>
      </c>
      <c r="U15">
        <v>892155</v>
      </c>
      <c r="V15">
        <v>1055</v>
      </c>
      <c r="W15">
        <v>2226738</v>
      </c>
      <c r="X15">
        <v>3106296</v>
      </c>
      <c r="Y15">
        <v>1925951</v>
      </c>
      <c r="Z15">
        <v>2952881</v>
      </c>
      <c r="AA15">
        <v>13904798</v>
      </c>
      <c r="AB15">
        <v>52880</v>
      </c>
      <c r="AC15">
        <v>203140</v>
      </c>
      <c r="AD15">
        <v>53391</v>
      </c>
      <c r="AE15">
        <v>230206</v>
      </c>
      <c r="AF15">
        <v>68017</v>
      </c>
      <c r="AG15">
        <v>23686</v>
      </c>
      <c r="AH15">
        <v>396730</v>
      </c>
      <c r="AI15">
        <v>23317</v>
      </c>
      <c r="AJ15">
        <v>509174</v>
      </c>
      <c r="AK15">
        <v>33532</v>
      </c>
      <c r="AL15">
        <v>128372</v>
      </c>
      <c r="AM15">
        <v>2276637</v>
      </c>
      <c r="AN15">
        <v>137981</v>
      </c>
      <c r="AO15">
        <v>2473015</v>
      </c>
      <c r="AP15">
        <v>151944</v>
      </c>
      <c r="AQ15">
        <v>101194</v>
      </c>
      <c r="AR15">
        <v>436441</v>
      </c>
      <c r="AS15">
        <v>94550</v>
      </c>
      <c r="AT15">
        <v>446908</v>
      </c>
      <c r="AU15">
        <v>69098</v>
      </c>
      <c r="AV15">
        <v>77265</v>
      </c>
      <c r="AW15">
        <v>515964</v>
      </c>
      <c r="AX15">
        <v>90306</v>
      </c>
      <c r="AY15">
        <v>645091</v>
      </c>
      <c r="AZ15">
        <v>128423</v>
      </c>
      <c r="BA15">
        <v>110873</v>
      </c>
      <c r="BB15">
        <v>856527</v>
      </c>
      <c r="BC15">
        <v>99010</v>
      </c>
      <c r="BD15">
        <v>890079</v>
      </c>
      <c r="BE15">
        <v>241635</v>
      </c>
      <c r="BF15">
        <v>150467</v>
      </c>
      <c r="BG15">
        <v>542645</v>
      </c>
      <c r="BH15">
        <v>147749</v>
      </c>
      <c r="BI15">
        <v>814980</v>
      </c>
      <c r="BJ15">
        <v>89450</v>
      </c>
      <c r="BK15">
        <v>1181658</v>
      </c>
      <c r="BL15">
        <v>2417025</v>
      </c>
      <c r="BM15">
        <v>1265842</v>
      </c>
      <c r="BN15">
        <v>2656727</v>
      </c>
      <c r="BO15">
        <v>1997264</v>
      </c>
      <c r="BP15">
        <v>71643</v>
      </c>
      <c r="BQ15">
        <v>426913</v>
      </c>
      <c r="BR15">
        <v>82447</v>
      </c>
      <c r="BS15">
        <v>605858</v>
      </c>
      <c r="BT15">
        <v>669113</v>
      </c>
      <c r="BU15">
        <v>29334</v>
      </c>
      <c r="BV15">
        <v>775218</v>
      </c>
      <c r="BW15">
        <v>30380</v>
      </c>
      <c r="BX15">
        <v>883835</v>
      </c>
      <c r="BY15">
        <v>253431</v>
      </c>
      <c r="BZ15">
        <v>54290356</v>
      </c>
      <c r="CA15">
        <v>3439432</v>
      </c>
      <c r="CB15">
        <v>62636899</v>
      </c>
      <c r="CC15">
        <v>4495327</v>
      </c>
      <c r="CD15">
        <v>15423694</v>
      </c>
      <c r="CE15">
        <v>1065224</v>
      </c>
      <c r="CF15">
        <v>4361131</v>
      </c>
      <c r="CG15">
        <v>896462</v>
      </c>
      <c r="CH15">
        <v>4151280</v>
      </c>
      <c r="CI15">
        <v>5625206</v>
      </c>
      <c r="CJ15">
        <v>2678751</v>
      </c>
      <c r="CK15">
        <v>2937118</v>
      </c>
      <c r="CL15">
        <v>2672750</v>
      </c>
      <c r="CM15">
        <v>3666996</v>
      </c>
      <c r="CN15">
        <v>10043019</v>
      </c>
      <c r="CO15">
        <v>36666379</v>
      </c>
      <c r="CP15">
        <v>259858</v>
      </c>
      <c r="CQ15">
        <v>11106116</v>
      </c>
      <c r="CR15">
        <v>36339890</v>
      </c>
      <c r="CS15">
        <v>229172</v>
      </c>
      <c r="CT15">
        <v>11190120</v>
      </c>
      <c r="CU15">
        <v>86496554</v>
      </c>
      <c r="CV15">
        <v>12407848</v>
      </c>
      <c r="CW15">
        <v>14616</v>
      </c>
      <c r="CX15">
        <v>1135805</v>
      </c>
      <c r="CY15">
        <v>12786347</v>
      </c>
      <c r="CZ15">
        <v>17164</v>
      </c>
      <c r="DA15">
        <v>1207991</v>
      </c>
      <c r="DB15">
        <v>9146803</v>
      </c>
    </row>
    <row r="16" spans="1:106" x14ac:dyDescent="0.4">
      <c r="A16" s="1" t="s">
        <v>20</v>
      </c>
      <c r="B16" s="1" t="s">
        <v>21</v>
      </c>
      <c r="C16">
        <v>1357053</v>
      </c>
      <c r="D16">
        <v>1097890</v>
      </c>
      <c r="E16">
        <v>1908564</v>
      </c>
      <c r="F16">
        <v>1278073</v>
      </c>
      <c r="G16">
        <v>8695826</v>
      </c>
      <c r="H16">
        <v>106293</v>
      </c>
      <c r="I16">
        <v>454510</v>
      </c>
      <c r="J16">
        <v>100563</v>
      </c>
      <c r="K16">
        <v>457714</v>
      </c>
      <c r="L16">
        <v>404644</v>
      </c>
      <c r="M16">
        <v>9581</v>
      </c>
      <c r="N16">
        <v>697546</v>
      </c>
      <c r="O16">
        <v>9771</v>
      </c>
      <c r="P16">
        <v>709845</v>
      </c>
      <c r="Q16">
        <v>6458</v>
      </c>
      <c r="R16">
        <v>3369</v>
      </c>
      <c r="S16">
        <v>929488</v>
      </c>
      <c r="T16">
        <v>3391</v>
      </c>
      <c r="U16">
        <v>871383</v>
      </c>
      <c r="V16">
        <v>1033</v>
      </c>
      <c r="W16">
        <v>2183264</v>
      </c>
      <c r="X16">
        <v>2787994</v>
      </c>
      <c r="Y16">
        <v>1706787</v>
      </c>
      <c r="Z16">
        <v>2368444</v>
      </c>
      <c r="AA16">
        <v>14380830</v>
      </c>
      <c r="AB16">
        <v>54315</v>
      </c>
      <c r="AC16">
        <v>208024</v>
      </c>
      <c r="AD16">
        <v>54093</v>
      </c>
      <c r="AE16">
        <v>235091</v>
      </c>
      <c r="AF16">
        <v>69577</v>
      </c>
      <c r="AG16">
        <v>20994</v>
      </c>
      <c r="AH16">
        <v>367468</v>
      </c>
      <c r="AI16">
        <v>22059</v>
      </c>
      <c r="AJ16">
        <v>476795</v>
      </c>
      <c r="AK16">
        <v>32538</v>
      </c>
      <c r="AL16">
        <v>131540</v>
      </c>
      <c r="AM16">
        <v>2195612</v>
      </c>
      <c r="AN16">
        <v>125713</v>
      </c>
      <c r="AO16">
        <v>2365270</v>
      </c>
      <c r="AP16">
        <v>156516</v>
      </c>
      <c r="AQ16">
        <v>103456</v>
      </c>
      <c r="AR16">
        <v>452204</v>
      </c>
      <c r="AS16">
        <v>104585</v>
      </c>
      <c r="AT16">
        <v>490144</v>
      </c>
      <c r="AU16">
        <v>69768</v>
      </c>
      <c r="AV16">
        <v>74687</v>
      </c>
      <c r="AW16">
        <v>505954</v>
      </c>
      <c r="AX16">
        <v>89767</v>
      </c>
      <c r="AY16">
        <v>637331</v>
      </c>
      <c r="AZ16">
        <v>133183</v>
      </c>
      <c r="BA16">
        <v>109786</v>
      </c>
      <c r="BB16">
        <v>869999</v>
      </c>
      <c r="BC16">
        <v>104185</v>
      </c>
      <c r="BD16">
        <v>930961</v>
      </c>
      <c r="BE16">
        <v>237834</v>
      </c>
      <c r="BF16">
        <v>161234</v>
      </c>
      <c r="BG16">
        <v>545981</v>
      </c>
      <c r="BH16">
        <v>163708</v>
      </c>
      <c r="BI16">
        <v>762994</v>
      </c>
      <c r="BJ16">
        <v>85985</v>
      </c>
      <c r="BK16">
        <v>1264792</v>
      </c>
      <c r="BL16">
        <v>2403282</v>
      </c>
      <c r="BM16">
        <v>1244930</v>
      </c>
      <c r="BN16">
        <v>2527215</v>
      </c>
      <c r="BO16">
        <v>1979559</v>
      </c>
      <c r="BP16">
        <v>98537</v>
      </c>
      <c r="BQ16">
        <v>455202</v>
      </c>
      <c r="BR16">
        <v>77073</v>
      </c>
      <c r="BS16">
        <v>598921</v>
      </c>
      <c r="BT16">
        <v>707195</v>
      </c>
      <c r="BU16">
        <v>27834</v>
      </c>
      <c r="BV16">
        <v>776529</v>
      </c>
      <c r="BW16">
        <v>30011</v>
      </c>
      <c r="BX16">
        <v>908822</v>
      </c>
      <c r="BY16">
        <v>254061</v>
      </c>
      <c r="BZ16">
        <v>62265958</v>
      </c>
      <c r="CA16">
        <v>3281048</v>
      </c>
      <c r="CB16">
        <v>61541858</v>
      </c>
      <c r="CC16">
        <v>4406273</v>
      </c>
      <c r="CD16">
        <v>16270373</v>
      </c>
      <c r="CE16">
        <v>1027692</v>
      </c>
      <c r="CF16">
        <v>4339584</v>
      </c>
      <c r="CG16">
        <v>845031</v>
      </c>
      <c r="CH16">
        <v>3829527</v>
      </c>
      <c r="CI16">
        <v>5608737</v>
      </c>
      <c r="CJ16">
        <v>2308610</v>
      </c>
      <c r="CK16">
        <v>3056224</v>
      </c>
      <c r="CL16">
        <v>2220737</v>
      </c>
      <c r="CM16">
        <v>3753079</v>
      </c>
      <c r="CN16">
        <v>10463755</v>
      </c>
      <c r="CO16">
        <v>35504072</v>
      </c>
      <c r="CP16">
        <v>250409</v>
      </c>
      <c r="CQ16">
        <v>11150687</v>
      </c>
      <c r="CR16">
        <v>36843321</v>
      </c>
      <c r="CS16">
        <v>237730</v>
      </c>
      <c r="CT16">
        <v>11945086</v>
      </c>
      <c r="CU16">
        <v>85297807</v>
      </c>
      <c r="CV16">
        <v>10946687</v>
      </c>
      <c r="CW16">
        <v>14697</v>
      </c>
      <c r="CX16">
        <v>1137579</v>
      </c>
      <c r="CY16">
        <v>11456756</v>
      </c>
      <c r="CZ16">
        <v>17571</v>
      </c>
      <c r="DA16">
        <v>1232968</v>
      </c>
      <c r="DB16">
        <v>8931451</v>
      </c>
    </row>
    <row r="17" spans="1:106" x14ac:dyDescent="0.4">
      <c r="A17" s="1" t="s">
        <v>22</v>
      </c>
      <c r="B17" s="1" t="s">
        <v>23</v>
      </c>
      <c r="C17">
        <v>1593107</v>
      </c>
      <c r="D17">
        <v>1145557</v>
      </c>
      <c r="E17">
        <v>1657330</v>
      </c>
      <c r="F17">
        <v>1258841</v>
      </c>
      <c r="G17">
        <v>8636477</v>
      </c>
      <c r="H17">
        <v>115584</v>
      </c>
      <c r="I17">
        <v>501567</v>
      </c>
      <c r="J17">
        <v>109903</v>
      </c>
      <c r="K17">
        <v>519804</v>
      </c>
      <c r="L17">
        <v>402456</v>
      </c>
      <c r="M17">
        <v>9511</v>
      </c>
      <c r="N17">
        <v>700196</v>
      </c>
      <c r="O17">
        <v>9740</v>
      </c>
      <c r="P17">
        <v>714116</v>
      </c>
      <c r="Q17">
        <v>6419</v>
      </c>
      <c r="R17">
        <v>2919</v>
      </c>
      <c r="S17">
        <v>879737</v>
      </c>
      <c r="T17">
        <v>3016</v>
      </c>
      <c r="U17">
        <v>883139</v>
      </c>
      <c r="V17">
        <v>936</v>
      </c>
      <c r="W17">
        <v>2187146</v>
      </c>
      <c r="X17">
        <v>2691976</v>
      </c>
      <c r="Y17">
        <v>2076444</v>
      </c>
      <c r="Z17">
        <v>2938762</v>
      </c>
      <c r="AA17">
        <v>14490620</v>
      </c>
      <c r="AB17">
        <v>49274</v>
      </c>
      <c r="AC17">
        <v>196421</v>
      </c>
      <c r="AD17">
        <v>48798</v>
      </c>
      <c r="AE17">
        <v>219425</v>
      </c>
      <c r="AF17">
        <v>70714</v>
      </c>
      <c r="AG17">
        <v>20666</v>
      </c>
      <c r="AH17">
        <v>394988</v>
      </c>
      <c r="AI17">
        <v>22433</v>
      </c>
      <c r="AJ17">
        <v>506951</v>
      </c>
      <c r="AK17">
        <v>31012</v>
      </c>
      <c r="AL17">
        <v>136949</v>
      </c>
      <c r="AM17">
        <v>2237075</v>
      </c>
      <c r="AN17">
        <v>134172</v>
      </c>
      <c r="AO17">
        <v>2374317</v>
      </c>
      <c r="AP17">
        <v>158036</v>
      </c>
      <c r="AQ17">
        <v>112169</v>
      </c>
      <c r="AR17">
        <v>477771</v>
      </c>
      <c r="AS17">
        <v>115735</v>
      </c>
      <c r="AT17">
        <v>517206</v>
      </c>
      <c r="AU17">
        <v>66519</v>
      </c>
      <c r="AV17">
        <v>71414</v>
      </c>
      <c r="AW17">
        <v>550888</v>
      </c>
      <c r="AX17">
        <v>82998</v>
      </c>
      <c r="AY17">
        <v>614645</v>
      </c>
      <c r="AZ17">
        <v>130463</v>
      </c>
      <c r="BA17">
        <v>108968</v>
      </c>
      <c r="BB17">
        <v>874733</v>
      </c>
      <c r="BC17">
        <v>103180</v>
      </c>
      <c r="BD17">
        <v>949545</v>
      </c>
      <c r="BE17">
        <v>234274</v>
      </c>
      <c r="BF17">
        <v>128091</v>
      </c>
      <c r="BG17">
        <v>532817</v>
      </c>
      <c r="BH17">
        <v>138040</v>
      </c>
      <c r="BI17">
        <v>828322</v>
      </c>
      <c r="BJ17">
        <v>78570</v>
      </c>
      <c r="BK17">
        <v>1235019</v>
      </c>
      <c r="BL17">
        <v>2450888</v>
      </c>
      <c r="BM17">
        <v>1177382</v>
      </c>
      <c r="BN17">
        <v>2672132</v>
      </c>
      <c r="BO17">
        <v>2036048</v>
      </c>
      <c r="BP17">
        <v>65973</v>
      </c>
      <c r="BQ17">
        <v>380710</v>
      </c>
      <c r="BR17">
        <v>97121</v>
      </c>
      <c r="BS17">
        <v>584300</v>
      </c>
      <c r="BT17">
        <v>698013</v>
      </c>
      <c r="BU17">
        <v>28519</v>
      </c>
      <c r="BV17">
        <v>742299</v>
      </c>
      <c r="BW17">
        <v>30139</v>
      </c>
      <c r="BX17">
        <v>873042</v>
      </c>
      <c r="BY17">
        <v>253653</v>
      </c>
      <c r="BZ17">
        <v>62290504</v>
      </c>
      <c r="CA17">
        <v>3472934</v>
      </c>
      <c r="CB17">
        <v>60760592</v>
      </c>
      <c r="CC17">
        <v>4488055</v>
      </c>
      <c r="CD17">
        <v>17935436</v>
      </c>
      <c r="CE17">
        <v>1017852</v>
      </c>
      <c r="CF17">
        <v>4313422</v>
      </c>
      <c r="CG17">
        <v>870612</v>
      </c>
      <c r="CH17">
        <v>4023840</v>
      </c>
      <c r="CI17">
        <v>5570088</v>
      </c>
      <c r="CJ17">
        <v>1196820</v>
      </c>
      <c r="CK17">
        <v>2989111</v>
      </c>
      <c r="CL17">
        <v>2105559</v>
      </c>
      <c r="CM17">
        <v>3505230</v>
      </c>
      <c r="CN17">
        <v>9678626</v>
      </c>
      <c r="CO17">
        <v>39178146</v>
      </c>
      <c r="CP17">
        <v>265860</v>
      </c>
      <c r="CQ17">
        <v>11416709</v>
      </c>
      <c r="CR17">
        <v>38889713</v>
      </c>
      <c r="CS17">
        <v>235270</v>
      </c>
      <c r="CT17">
        <v>11812350</v>
      </c>
      <c r="CU17">
        <v>85562949</v>
      </c>
      <c r="CV17">
        <v>9953594</v>
      </c>
      <c r="CW17">
        <v>15582</v>
      </c>
      <c r="CX17">
        <v>1142019</v>
      </c>
      <c r="CY17">
        <v>10272747</v>
      </c>
      <c r="CZ17">
        <v>18895</v>
      </c>
      <c r="DA17">
        <v>1223673</v>
      </c>
      <c r="DB17">
        <v>8885075</v>
      </c>
    </row>
    <row r="18" spans="1:106" x14ac:dyDescent="0.4">
      <c r="A18" s="1" t="s">
        <v>24</v>
      </c>
      <c r="B18" s="1" t="s">
        <v>25</v>
      </c>
      <c r="C18">
        <v>1907891</v>
      </c>
      <c r="D18">
        <v>1283748</v>
      </c>
      <c r="E18">
        <v>1778113</v>
      </c>
      <c r="F18">
        <v>1215153</v>
      </c>
      <c r="G18">
        <v>8770840</v>
      </c>
      <c r="H18">
        <v>117911</v>
      </c>
      <c r="I18">
        <v>537844</v>
      </c>
      <c r="J18">
        <v>112121</v>
      </c>
      <c r="K18">
        <v>511224</v>
      </c>
      <c r="L18">
        <v>399989</v>
      </c>
      <c r="M18">
        <v>9445</v>
      </c>
      <c r="N18">
        <v>675628</v>
      </c>
      <c r="O18">
        <v>9541</v>
      </c>
      <c r="P18">
        <v>685520</v>
      </c>
      <c r="Q18">
        <v>6513</v>
      </c>
      <c r="R18">
        <v>2959</v>
      </c>
      <c r="S18">
        <v>894454</v>
      </c>
      <c r="T18">
        <v>2910</v>
      </c>
      <c r="U18">
        <v>802436</v>
      </c>
      <c r="V18">
        <v>985</v>
      </c>
      <c r="W18">
        <v>2229416</v>
      </c>
      <c r="X18">
        <v>2857210</v>
      </c>
      <c r="Y18">
        <v>2138785</v>
      </c>
      <c r="Z18">
        <v>2797795</v>
      </c>
      <c r="AA18">
        <v>14590332</v>
      </c>
      <c r="AB18">
        <v>52450</v>
      </c>
      <c r="AC18">
        <v>199294</v>
      </c>
      <c r="AD18">
        <v>52558</v>
      </c>
      <c r="AE18">
        <v>224946</v>
      </c>
      <c r="AF18">
        <v>72460</v>
      </c>
      <c r="AG18">
        <v>23982</v>
      </c>
      <c r="AH18">
        <v>459578</v>
      </c>
      <c r="AI18">
        <v>24650</v>
      </c>
      <c r="AJ18">
        <v>599517</v>
      </c>
      <c r="AK18">
        <v>30329</v>
      </c>
      <c r="AL18">
        <v>141361</v>
      </c>
      <c r="AM18">
        <v>2365138</v>
      </c>
      <c r="AN18">
        <v>147986</v>
      </c>
      <c r="AO18">
        <v>2631901</v>
      </c>
      <c r="AP18">
        <v>151544</v>
      </c>
      <c r="AQ18">
        <v>126545</v>
      </c>
      <c r="AR18">
        <v>571034</v>
      </c>
      <c r="AS18">
        <v>128691</v>
      </c>
      <c r="AT18">
        <v>601784</v>
      </c>
      <c r="AU18">
        <v>65754</v>
      </c>
      <c r="AV18">
        <v>70423</v>
      </c>
      <c r="AW18">
        <v>587775</v>
      </c>
      <c r="AX18">
        <v>81479</v>
      </c>
      <c r="AY18">
        <v>651575</v>
      </c>
      <c r="AZ18">
        <v>130820</v>
      </c>
      <c r="BA18">
        <v>113935</v>
      </c>
      <c r="BB18">
        <v>971270</v>
      </c>
      <c r="BC18">
        <v>106006</v>
      </c>
      <c r="BD18">
        <v>970861</v>
      </c>
      <c r="BE18">
        <v>238777</v>
      </c>
      <c r="BF18">
        <v>144241</v>
      </c>
      <c r="BG18">
        <v>597257</v>
      </c>
      <c r="BH18">
        <v>137751</v>
      </c>
      <c r="BI18">
        <v>817937</v>
      </c>
      <c r="BJ18">
        <v>85033</v>
      </c>
      <c r="BK18">
        <v>1262891</v>
      </c>
      <c r="BL18">
        <v>2558837</v>
      </c>
      <c r="BM18">
        <v>1227580</v>
      </c>
      <c r="BN18">
        <v>2632749</v>
      </c>
      <c r="BO18">
        <v>2066840</v>
      </c>
      <c r="BP18">
        <v>58583</v>
      </c>
      <c r="BQ18">
        <v>434438</v>
      </c>
      <c r="BR18">
        <v>132594</v>
      </c>
      <c r="BS18">
        <v>648782</v>
      </c>
      <c r="BT18">
        <v>641489</v>
      </c>
      <c r="BU18">
        <v>28879</v>
      </c>
      <c r="BV18">
        <v>811064</v>
      </c>
      <c r="BW18">
        <v>30136</v>
      </c>
      <c r="BX18">
        <v>971783</v>
      </c>
      <c r="BY18">
        <v>253927</v>
      </c>
      <c r="BZ18">
        <v>64095957</v>
      </c>
      <c r="CA18">
        <v>3688829</v>
      </c>
      <c r="CB18">
        <v>65890054</v>
      </c>
      <c r="CC18">
        <v>5037989</v>
      </c>
      <c r="CD18">
        <v>16272969</v>
      </c>
      <c r="CE18">
        <v>1128760</v>
      </c>
      <c r="CF18">
        <v>4644379</v>
      </c>
      <c r="CG18">
        <v>939383</v>
      </c>
      <c r="CH18">
        <v>4310470</v>
      </c>
      <c r="CI18">
        <v>5535144</v>
      </c>
      <c r="CJ18">
        <v>2447769</v>
      </c>
      <c r="CK18">
        <v>3105550</v>
      </c>
      <c r="CL18">
        <v>2463473</v>
      </c>
      <c r="CM18">
        <v>3809325</v>
      </c>
      <c r="CN18">
        <v>9884140</v>
      </c>
      <c r="CO18">
        <v>39123706</v>
      </c>
      <c r="CP18">
        <v>287385</v>
      </c>
      <c r="CQ18">
        <v>12172425</v>
      </c>
      <c r="CR18">
        <v>38955313</v>
      </c>
      <c r="CS18">
        <v>256960</v>
      </c>
      <c r="CT18">
        <v>12771250</v>
      </c>
      <c r="CU18">
        <v>85457698</v>
      </c>
      <c r="CV18">
        <v>11013716</v>
      </c>
      <c r="CW18">
        <v>15307</v>
      </c>
      <c r="CX18">
        <v>1189397</v>
      </c>
      <c r="CY18">
        <v>11610245</v>
      </c>
      <c r="CZ18">
        <v>19300</v>
      </c>
      <c r="DA18">
        <v>1324578</v>
      </c>
      <c r="DB18">
        <v>8714509</v>
      </c>
    </row>
    <row r="19" spans="1:106" x14ac:dyDescent="0.4">
      <c r="A19" s="1" t="s">
        <v>26</v>
      </c>
      <c r="B19" s="1" t="s">
        <v>27</v>
      </c>
      <c r="C19">
        <v>1532943</v>
      </c>
      <c r="D19">
        <v>1057378</v>
      </c>
      <c r="E19">
        <v>1687770</v>
      </c>
      <c r="F19">
        <v>1164659</v>
      </c>
      <c r="G19">
        <v>8620448</v>
      </c>
      <c r="H19">
        <v>106126</v>
      </c>
      <c r="I19">
        <v>468973</v>
      </c>
      <c r="J19">
        <v>101149</v>
      </c>
      <c r="K19">
        <v>468631</v>
      </c>
      <c r="L19">
        <v>399607</v>
      </c>
      <c r="M19">
        <v>8583</v>
      </c>
      <c r="N19">
        <v>639044</v>
      </c>
      <c r="O19">
        <v>8798</v>
      </c>
      <c r="P19">
        <v>655619</v>
      </c>
      <c r="Q19">
        <v>6488</v>
      </c>
      <c r="R19">
        <v>2898</v>
      </c>
      <c r="S19">
        <v>880582</v>
      </c>
      <c r="T19">
        <v>2803</v>
      </c>
      <c r="U19">
        <v>784340</v>
      </c>
      <c r="V19">
        <v>1080</v>
      </c>
      <c r="W19">
        <v>1753339</v>
      </c>
      <c r="X19">
        <v>2231187</v>
      </c>
      <c r="Y19">
        <v>1921787</v>
      </c>
      <c r="Z19">
        <v>2597307</v>
      </c>
      <c r="AA19">
        <v>14421474</v>
      </c>
      <c r="AB19">
        <v>44955</v>
      </c>
      <c r="AC19">
        <v>178654</v>
      </c>
      <c r="AD19">
        <v>44990</v>
      </c>
      <c r="AE19">
        <v>207529</v>
      </c>
      <c r="AF19">
        <v>73992</v>
      </c>
      <c r="AG19">
        <v>20230</v>
      </c>
      <c r="AH19">
        <v>360263</v>
      </c>
      <c r="AI19">
        <v>19983</v>
      </c>
      <c r="AJ19">
        <v>420030</v>
      </c>
      <c r="AK19">
        <v>30453</v>
      </c>
      <c r="AL19">
        <v>128008</v>
      </c>
      <c r="AM19">
        <v>2218643</v>
      </c>
      <c r="AN19">
        <v>126802</v>
      </c>
      <c r="AO19">
        <v>2395819</v>
      </c>
      <c r="AP19">
        <v>152233</v>
      </c>
      <c r="AQ19">
        <v>110431</v>
      </c>
      <c r="AR19">
        <v>475927</v>
      </c>
      <c r="AS19">
        <v>114622</v>
      </c>
      <c r="AT19">
        <v>508466</v>
      </c>
      <c r="AU19">
        <v>62740</v>
      </c>
      <c r="AV19">
        <v>70308</v>
      </c>
      <c r="AW19">
        <v>530470</v>
      </c>
      <c r="AX19">
        <v>82316</v>
      </c>
      <c r="AY19">
        <v>628755</v>
      </c>
      <c r="AZ19">
        <v>128245</v>
      </c>
      <c r="BA19">
        <v>102276</v>
      </c>
      <c r="BB19">
        <v>807495</v>
      </c>
      <c r="BC19">
        <v>104239</v>
      </c>
      <c r="BD19">
        <v>916371</v>
      </c>
      <c r="BE19">
        <v>233147</v>
      </c>
      <c r="BF19">
        <v>119769</v>
      </c>
      <c r="BG19">
        <v>516471</v>
      </c>
      <c r="BH19">
        <v>121581</v>
      </c>
      <c r="BI19">
        <v>736002</v>
      </c>
      <c r="BJ19">
        <v>85562</v>
      </c>
      <c r="BK19">
        <v>1147652</v>
      </c>
      <c r="BL19">
        <v>2245036</v>
      </c>
      <c r="BM19">
        <v>1095051</v>
      </c>
      <c r="BN19">
        <v>2380414</v>
      </c>
      <c r="BO19">
        <v>2089961</v>
      </c>
      <c r="BP19">
        <v>102739</v>
      </c>
      <c r="BQ19">
        <v>390912</v>
      </c>
      <c r="BR19">
        <v>77631</v>
      </c>
      <c r="BS19">
        <v>526784</v>
      </c>
      <c r="BT19">
        <v>678077</v>
      </c>
      <c r="BU19">
        <v>24932</v>
      </c>
      <c r="BV19">
        <v>671105</v>
      </c>
      <c r="BW19">
        <v>26571</v>
      </c>
      <c r="BX19">
        <v>797934</v>
      </c>
      <c r="BY19">
        <v>254920</v>
      </c>
      <c r="BZ19">
        <v>54052562</v>
      </c>
      <c r="CA19">
        <v>3178195</v>
      </c>
      <c r="CB19">
        <v>54342399</v>
      </c>
      <c r="CC19">
        <v>4187816</v>
      </c>
      <c r="CD19">
        <v>16110971</v>
      </c>
      <c r="CE19">
        <v>957582</v>
      </c>
      <c r="CF19">
        <v>4080108</v>
      </c>
      <c r="CG19">
        <v>791495</v>
      </c>
      <c r="CH19">
        <v>3610964</v>
      </c>
      <c r="CI19">
        <v>5497209</v>
      </c>
      <c r="CJ19">
        <v>2123906</v>
      </c>
      <c r="CK19">
        <v>2801329</v>
      </c>
      <c r="CL19">
        <v>2134204</v>
      </c>
      <c r="CM19">
        <v>3225941</v>
      </c>
      <c r="CN19">
        <v>10043164</v>
      </c>
      <c r="CO19">
        <v>33612078</v>
      </c>
      <c r="CP19">
        <v>224617</v>
      </c>
      <c r="CQ19">
        <v>10344099</v>
      </c>
      <c r="CR19">
        <v>34272744</v>
      </c>
      <c r="CS19">
        <v>206777</v>
      </c>
      <c r="CT19">
        <v>10773041</v>
      </c>
      <c r="CU19">
        <v>84646587</v>
      </c>
      <c r="CV19">
        <v>10090229</v>
      </c>
      <c r="CW19">
        <v>13323</v>
      </c>
      <c r="CX19">
        <v>984343</v>
      </c>
      <c r="CY19">
        <v>10700069</v>
      </c>
      <c r="CZ19">
        <v>15974</v>
      </c>
      <c r="DA19">
        <v>1099624</v>
      </c>
      <c r="DB19">
        <v>8361376</v>
      </c>
    </row>
    <row r="20" spans="1:106" x14ac:dyDescent="0.4">
      <c r="A20" s="1" t="s">
        <v>28</v>
      </c>
      <c r="B20" s="1" t="s">
        <v>29</v>
      </c>
      <c r="C20">
        <v>1653435</v>
      </c>
      <c r="D20">
        <v>1128862</v>
      </c>
      <c r="E20">
        <v>1762684</v>
      </c>
      <c r="F20">
        <v>1252045</v>
      </c>
      <c r="G20">
        <v>8515861</v>
      </c>
      <c r="H20">
        <v>98391</v>
      </c>
      <c r="I20">
        <v>467272</v>
      </c>
      <c r="J20">
        <v>114211</v>
      </c>
      <c r="K20">
        <v>545865</v>
      </c>
      <c r="L20">
        <v>377687</v>
      </c>
      <c r="M20">
        <v>8954</v>
      </c>
      <c r="N20">
        <v>658315</v>
      </c>
      <c r="O20">
        <v>9172</v>
      </c>
      <c r="P20">
        <v>669288</v>
      </c>
      <c r="Q20">
        <v>6460</v>
      </c>
      <c r="R20">
        <v>2970</v>
      </c>
      <c r="S20">
        <v>860494</v>
      </c>
      <c r="T20">
        <v>2974</v>
      </c>
      <c r="U20">
        <v>790938</v>
      </c>
      <c r="V20">
        <v>1076</v>
      </c>
      <c r="W20">
        <v>2132071</v>
      </c>
      <c r="X20">
        <v>2572083</v>
      </c>
      <c r="Y20">
        <v>2257955</v>
      </c>
      <c r="Z20">
        <v>3039561</v>
      </c>
      <c r="AA20">
        <v>14300415</v>
      </c>
      <c r="AB20">
        <v>45743</v>
      </c>
      <c r="AC20">
        <v>196191</v>
      </c>
      <c r="AD20">
        <v>49550</v>
      </c>
      <c r="AE20">
        <v>215426</v>
      </c>
      <c r="AF20">
        <v>71938</v>
      </c>
      <c r="AG20">
        <v>23470</v>
      </c>
      <c r="AH20">
        <v>404129</v>
      </c>
      <c r="AI20">
        <v>23256</v>
      </c>
      <c r="AJ20">
        <v>511015</v>
      </c>
      <c r="AK20">
        <v>30860</v>
      </c>
      <c r="AL20">
        <v>134869</v>
      </c>
      <c r="AM20">
        <v>2279477</v>
      </c>
      <c r="AN20">
        <v>133115</v>
      </c>
      <c r="AO20">
        <v>2502992</v>
      </c>
      <c r="AP20">
        <v>153002</v>
      </c>
      <c r="AQ20">
        <v>117916</v>
      </c>
      <c r="AR20">
        <v>507644</v>
      </c>
      <c r="AS20">
        <v>123554</v>
      </c>
      <c r="AT20">
        <v>547906</v>
      </c>
      <c r="AU20">
        <v>58331</v>
      </c>
      <c r="AV20">
        <v>76750</v>
      </c>
      <c r="AW20">
        <v>565887</v>
      </c>
      <c r="AX20">
        <v>96033</v>
      </c>
      <c r="AY20">
        <v>698475</v>
      </c>
      <c r="AZ20">
        <v>124010</v>
      </c>
      <c r="BA20">
        <v>112756</v>
      </c>
      <c r="BB20">
        <v>945471</v>
      </c>
      <c r="BC20">
        <v>103187</v>
      </c>
      <c r="BD20">
        <v>934160</v>
      </c>
      <c r="BE20">
        <v>234905</v>
      </c>
      <c r="BF20">
        <v>119770</v>
      </c>
      <c r="BG20">
        <v>555878</v>
      </c>
      <c r="BH20">
        <v>122895</v>
      </c>
      <c r="BI20">
        <v>778726</v>
      </c>
      <c r="BJ20">
        <v>81626</v>
      </c>
      <c r="BK20">
        <v>1067271</v>
      </c>
      <c r="BL20">
        <v>2374928</v>
      </c>
      <c r="BM20">
        <v>1095535</v>
      </c>
      <c r="BN20">
        <v>2397880</v>
      </c>
      <c r="BO20">
        <v>2065470</v>
      </c>
      <c r="BP20">
        <v>78433</v>
      </c>
      <c r="BQ20">
        <v>427444</v>
      </c>
      <c r="BR20">
        <v>97339</v>
      </c>
      <c r="BS20">
        <v>550094</v>
      </c>
      <c r="BT20">
        <v>671366</v>
      </c>
      <c r="BU20">
        <v>25963</v>
      </c>
      <c r="BV20">
        <v>731176</v>
      </c>
      <c r="BW20">
        <v>28021</v>
      </c>
      <c r="BX20">
        <v>885511</v>
      </c>
      <c r="BY20">
        <v>255380</v>
      </c>
      <c r="BZ20">
        <v>57468509</v>
      </c>
      <c r="CA20">
        <v>3469677</v>
      </c>
      <c r="CB20">
        <v>49917762</v>
      </c>
      <c r="CC20">
        <v>4455983</v>
      </c>
      <c r="CD20">
        <v>23773046</v>
      </c>
      <c r="CE20">
        <v>1074718</v>
      </c>
      <c r="CF20">
        <v>4269757</v>
      </c>
      <c r="CG20">
        <v>837473</v>
      </c>
      <c r="CH20">
        <v>3708548</v>
      </c>
      <c r="CI20">
        <v>5492347</v>
      </c>
      <c r="CJ20">
        <v>1684769</v>
      </c>
      <c r="CK20">
        <v>3085136</v>
      </c>
      <c r="CL20">
        <v>2040125</v>
      </c>
      <c r="CM20">
        <v>3468483</v>
      </c>
      <c r="CN20">
        <v>10006993</v>
      </c>
      <c r="CO20">
        <v>38407209</v>
      </c>
      <c r="CP20">
        <v>259437</v>
      </c>
      <c r="CQ20">
        <v>11534136</v>
      </c>
      <c r="CR20">
        <v>37198782</v>
      </c>
      <c r="CS20">
        <v>230035</v>
      </c>
      <c r="CT20">
        <v>11458385</v>
      </c>
      <c r="CU20">
        <v>85608531</v>
      </c>
      <c r="CV20">
        <v>9541849</v>
      </c>
      <c r="CW20">
        <v>15068</v>
      </c>
      <c r="CX20">
        <v>1181137</v>
      </c>
      <c r="CY20">
        <v>9678793</v>
      </c>
      <c r="CZ20">
        <v>16727</v>
      </c>
      <c r="DA20">
        <v>1193065</v>
      </c>
      <c r="DB20">
        <v>8580080</v>
      </c>
    </row>
    <row r="21" spans="1:106" x14ac:dyDescent="0.4">
      <c r="A21" s="1" t="s">
        <v>30</v>
      </c>
      <c r="B21" s="1" t="s">
        <v>31</v>
      </c>
      <c r="C21">
        <v>1708151</v>
      </c>
      <c r="D21">
        <v>1139187</v>
      </c>
      <c r="E21">
        <v>1909454</v>
      </c>
      <c r="F21">
        <v>1309804</v>
      </c>
      <c r="G21">
        <v>8319940</v>
      </c>
      <c r="H21">
        <v>117442</v>
      </c>
      <c r="I21">
        <v>534356</v>
      </c>
      <c r="J21">
        <v>126993</v>
      </c>
      <c r="K21">
        <v>585046</v>
      </c>
      <c r="L21">
        <v>362769</v>
      </c>
      <c r="M21">
        <v>9055</v>
      </c>
      <c r="N21">
        <v>607655</v>
      </c>
      <c r="O21">
        <v>9224</v>
      </c>
      <c r="P21">
        <v>620540</v>
      </c>
      <c r="Q21">
        <v>6481</v>
      </c>
      <c r="R21">
        <v>3418</v>
      </c>
      <c r="S21">
        <v>938294</v>
      </c>
      <c r="T21">
        <v>3343</v>
      </c>
      <c r="U21">
        <v>858323</v>
      </c>
      <c r="V21">
        <v>1151</v>
      </c>
      <c r="W21">
        <v>2400667</v>
      </c>
      <c r="X21">
        <v>3029973</v>
      </c>
      <c r="Y21">
        <v>2353052</v>
      </c>
      <c r="Z21">
        <v>3084637</v>
      </c>
      <c r="AA21">
        <v>14349743</v>
      </c>
      <c r="AB21">
        <v>48276</v>
      </c>
      <c r="AC21">
        <v>196760</v>
      </c>
      <c r="AD21">
        <v>50724</v>
      </c>
      <c r="AE21">
        <v>229551</v>
      </c>
      <c r="AF21">
        <v>69895</v>
      </c>
      <c r="AG21">
        <v>22469</v>
      </c>
      <c r="AH21">
        <v>390758</v>
      </c>
      <c r="AI21">
        <v>24427</v>
      </c>
      <c r="AJ21">
        <v>600614</v>
      </c>
      <c r="AK21">
        <v>29999</v>
      </c>
      <c r="AL21">
        <v>143941</v>
      </c>
      <c r="AM21">
        <v>2356994</v>
      </c>
      <c r="AN21">
        <v>143632</v>
      </c>
      <c r="AO21">
        <v>2580792</v>
      </c>
      <c r="AP21">
        <v>152320</v>
      </c>
      <c r="AQ21">
        <v>110378</v>
      </c>
      <c r="AR21">
        <v>488015</v>
      </c>
      <c r="AS21">
        <v>117242</v>
      </c>
      <c r="AT21">
        <v>546295</v>
      </c>
      <c r="AU21">
        <v>52378</v>
      </c>
      <c r="AV21">
        <v>92522</v>
      </c>
      <c r="AW21">
        <v>604950</v>
      </c>
      <c r="AX21">
        <v>121840</v>
      </c>
      <c r="AY21">
        <v>724388</v>
      </c>
      <c r="AZ21">
        <v>126084</v>
      </c>
      <c r="BA21">
        <v>119096</v>
      </c>
      <c r="BB21">
        <v>932074</v>
      </c>
      <c r="BC21">
        <v>111749</v>
      </c>
      <c r="BD21">
        <v>987329</v>
      </c>
      <c r="BE21">
        <v>232245</v>
      </c>
      <c r="BF21">
        <v>106833</v>
      </c>
      <c r="BG21">
        <v>531079</v>
      </c>
      <c r="BH21">
        <v>110462</v>
      </c>
      <c r="BI21">
        <v>778869</v>
      </c>
      <c r="BJ21">
        <v>82769</v>
      </c>
      <c r="BK21">
        <v>1132019</v>
      </c>
      <c r="BL21">
        <v>2395708</v>
      </c>
      <c r="BM21">
        <v>1127874</v>
      </c>
      <c r="BN21">
        <v>2636480</v>
      </c>
      <c r="BO21">
        <v>2025083</v>
      </c>
      <c r="BP21">
        <v>115844</v>
      </c>
      <c r="BQ21">
        <v>487162</v>
      </c>
      <c r="BR21">
        <v>126116</v>
      </c>
      <c r="BS21">
        <v>608132</v>
      </c>
      <c r="BT21">
        <v>674714</v>
      </c>
      <c r="BU21">
        <v>26894</v>
      </c>
      <c r="BV21">
        <v>693610</v>
      </c>
      <c r="BW21">
        <v>31184</v>
      </c>
      <c r="BX21">
        <v>868373</v>
      </c>
      <c r="BY21">
        <v>253191</v>
      </c>
      <c r="BZ21">
        <v>62461517</v>
      </c>
      <c r="CA21">
        <v>3746609</v>
      </c>
      <c r="CB21">
        <v>70575687</v>
      </c>
      <c r="CC21">
        <v>4869767</v>
      </c>
      <c r="CD21">
        <v>15790999</v>
      </c>
      <c r="CE21">
        <v>1152598</v>
      </c>
      <c r="CF21">
        <v>4658182</v>
      </c>
      <c r="CG21">
        <v>926014</v>
      </c>
      <c r="CH21">
        <v>4141602</v>
      </c>
      <c r="CI21">
        <v>5420815</v>
      </c>
      <c r="CJ21">
        <v>2068796</v>
      </c>
      <c r="CK21">
        <v>3107221</v>
      </c>
      <c r="CL21">
        <v>2126925</v>
      </c>
      <c r="CM21">
        <v>3778259</v>
      </c>
      <c r="CN21">
        <v>10348945</v>
      </c>
      <c r="CO21">
        <v>38548712</v>
      </c>
      <c r="CP21">
        <v>275740</v>
      </c>
      <c r="CQ21">
        <v>11965590</v>
      </c>
      <c r="CR21">
        <v>38658472</v>
      </c>
      <c r="CS21">
        <v>252717</v>
      </c>
      <c r="CT21">
        <v>12366316</v>
      </c>
      <c r="CU21">
        <v>85620282</v>
      </c>
      <c r="CV21">
        <v>10705135</v>
      </c>
      <c r="CW21">
        <v>14860</v>
      </c>
      <c r="CX21">
        <v>1203530</v>
      </c>
      <c r="CY21">
        <v>11027696</v>
      </c>
      <c r="CZ21">
        <v>16818</v>
      </c>
      <c r="DA21">
        <v>1225443</v>
      </c>
      <c r="DB21">
        <v>8463104</v>
      </c>
    </row>
    <row r="22" spans="1:106" x14ac:dyDescent="0.4">
      <c r="A22" s="1" t="s">
        <v>32</v>
      </c>
      <c r="B22" s="1" t="s">
        <v>33</v>
      </c>
      <c r="C22">
        <v>1608818</v>
      </c>
      <c r="D22">
        <v>1083153</v>
      </c>
      <c r="E22">
        <v>1785368</v>
      </c>
      <c r="F22">
        <v>1198898</v>
      </c>
      <c r="G22">
        <v>8147785</v>
      </c>
      <c r="H22">
        <v>116077</v>
      </c>
      <c r="I22">
        <v>534479</v>
      </c>
      <c r="J22">
        <v>106960</v>
      </c>
      <c r="K22">
        <v>485612</v>
      </c>
      <c r="L22">
        <v>365350</v>
      </c>
      <c r="M22">
        <v>8898</v>
      </c>
      <c r="N22">
        <v>593655</v>
      </c>
      <c r="O22">
        <v>9024</v>
      </c>
      <c r="P22">
        <v>602166</v>
      </c>
      <c r="Q22">
        <v>6545</v>
      </c>
      <c r="R22">
        <v>3206</v>
      </c>
      <c r="S22">
        <v>913712</v>
      </c>
      <c r="T22">
        <v>3291</v>
      </c>
      <c r="U22">
        <v>838888</v>
      </c>
      <c r="V22">
        <v>1066</v>
      </c>
      <c r="W22">
        <v>2184381</v>
      </c>
      <c r="X22">
        <v>2764271</v>
      </c>
      <c r="Y22">
        <v>2082479</v>
      </c>
      <c r="Z22">
        <v>2763976</v>
      </c>
      <c r="AA22">
        <v>14456907</v>
      </c>
      <c r="AB22">
        <v>48111</v>
      </c>
      <c r="AC22">
        <v>196338</v>
      </c>
      <c r="AD22">
        <v>49134</v>
      </c>
      <c r="AE22">
        <v>219767</v>
      </c>
      <c r="AF22">
        <v>69147</v>
      </c>
      <c r="AG22">
        <v>21246</v>
      </c>
      <c r="AH22">
        <v>384930</v>
      </c>
      <c r="AI22">
        <v>22662</v>
      </c>
      <c r="AJ22">
        <v>474942</v>
      </c>
      <c r="AK22">
        <v>29047</v>
      </c>
      <c r="AL22">
        <v>147698</v>
      </c>
      <c r="AM22">
        <v>2257803</v>
      </c>
      <c r="AN22">
        <v>148795</v>
      </c>
      <c r="AO22">
        <v>2508759</v>
      </c>
      <c r="AP22">
        <v>150584</v>
      </c>
      <c r="AQ22">
        <v>115201</v>
      </c>
      <c r="AR22">
        <v>501650</v>
      </c>
      <c r="AS22">
        <v>117734</v>
      </c>
      <c r="AT22">
        <v>538803</v>
      </c>
      <c r="AU22">
        <v>50212</v>
      </c>
      <c r="AV22">
        <v>93373</v>
      </c>
      <c r="AW22">
        <v>634310</v>
      </c>
      <c r="AX22">
        <v>116016</v>
      </c>
      <c r="AY22">
        <v>720225</v>
      </c>
      <c r="AZ22">
        <v>125229</v>
      </c>
      <c r="BA22">
        <v>122011</v>
      </c>
      <c r="BB22">
        <v>929087</v>
      </c>
      <c r="BC22">
        <v>113705</v>
      </c>
      <c r="BD22">
        <v>950641</v>
      </c>
      <c r="BE22">
        <v>234288</v>
      </c>
      <c r="BF22">
        <v>103595</v>
      </c>
      <c r="BG22">
        <v>546236</v>
      </c>
      <c r="BH22">
        <v>107317</v>
      </c>
      <c r="BI22">
        <v>779435</v>
      </c>
      <c r="BJ22">
        <v>80827</v>
      </c>
      <c r="BK22">
        <v>1176175</v>
      </c>
      <c r="BL22">
        <v>2483049</v>
      </c>
      <c r="BM22">
        <v>1169401</v>
      </c>
      <c r="BN22">
        <v>2519597</v>
      </c>
      <c r="BO22">
        <v>2063000</v>
      </c>
      <c r="BP22">
        <v>54552</v>
      </c>
      <c r="BQ22">
        <v>437304</v>
      </c>
      <c r="BR22">
        <v>85526</v>
      </c>
      <c r="BS22">
        <v>587779</v>
      </c>
      <c r="BT22">
        <v>655230</v>
      </c>
      <c r="BU22">
        <v>28752</v>
      </c>
      <c r="BV22">
        <v>739574</v>
      </c>
      <c r="BW22">
        <v>30618</v>
      </c>
      <c r="BX22">
        <v>822161</v>
      </c>
      <c r="BY22">
        <v>254037</v>
      </c>
      <c r="BZ22">
        <v>56088025</v>
      </c>
      <c r="CA22">
        <v>3537910</v>
      </c>
      <c r="CB22">
        <v>56004421</v>
      </c>
      <c r="CC22">
        <v>4713569</v>
      </c>
      <c r="CD22">
        <v>16009345</v>
      </c>
      <c r="CE22">
        <v>1185507</v>
      </c>
      <c r="CF22">
        <v>4869627</v>
      </c>
      <c r="CG22">
        <v>963072</v>
      </c>
      <c r="CH22">
        <v>4330286</v>
      </c>
      <c r="CI22">
        <v>5360272</v>
      </c>
      <c r="CJ22">
        <v>1917726</v>
      </c>
      <c r="CK22">
        <v>3051766</v>
      </c>
      <c r="CL22">
        <v>2230461</v>
      </c>
      <c r="CM22">
        <v>3520529</v>
      </c>
      <c r="CN22">
        <v>10268040</v>
      </c>
      <c r="CO22">
        <v>33724805</v>
      </c>
      <c r="CP22">
        <v>264918</v>
      </c>
      <c r="CQ22">
        <v>11552093</v>
      </c>
      <c r="CR22">
        <v>33285500</v>
      </c>
      <c r="CS22">
        <v>236581</v>
      </c>
      <c r="CT22">
        <v>11672715</v>
      </c>
      <c r="CU22">
        <v>85750549</v>
      </c>
      <c r="CV22">
        <v>11622982</v>
      </c>
      <c r="CW22">
        <v>16182</v>
      </c>
      <c r="CX22">
        <v>1266358</v>
      </c>
      <c r="CY22">
        <v>11822801</v>
      </c>
      <c r="CZ22">
        <v>17917</v>
      </c>
      <c r="DA22">
        <v>1209502</v>
      </c>
      <c r="DB22">
        <v>8462368</v>
      </c>
    </row>
    <row r="23" spans="1:106" x14ac:dyDescent="0.4">
      <c r="A23" s="1" t="s">
        <v>34</v>
      </c>
      <c r="B23" s="1" t="s">
        <v>35</v>
      </c>
      <c r="C23">
        <v>1562341</v>
      </c>
      <c r="D23">
        <v>1101339</v>
      </c>
      <c r="E23">
        <v>1834935</v>
      </c>
      <c r="F23">
        <v>1250567</v>
      </c>
      <c r="G23">
        <v>7880110</v>
      </c>
      <c r="H23">
        <v>119957</v>
      </c>
      <c r="I23">
        <v>516807</v>
      </c>
      <c r="J23">
        <v>113175</v>
      </c>
      <c r="K23">
        <v>514648</v>
      </c>
      <c r="L23">
        <v>367426</v>
      </c>
      <c r="M23">
        <v>8657</v>
      </c>
      <c r="N23">
        <v>579070</v>
      </c>
      <c r="O23">
        <v>8841</v>
      </c>
      <c r="P23">
        <v>593046</v>
      </c>
      <c r="Q23">
        <v>6551</v>
      </c>
      <c r="R23">
        <v>3099</v>
      </c>
      <c r="S23">
        <v>881079</v>
      </c>
      <c r="T23">
        <v>3220</v>
      </c>
      <c r="U23">
        <v>928432</v>
      </c>
      <c r="V23">
        <v>945</v>
      </c>
      <c r="W23">
        <v>1913197</v>
      </c>
      <c r="X23">
        <v>2681986</v>
      </c>
      <c r="Y23">
        <v>2265331</v>
      </c>
      <c r="Z23">
        <v>2796894</v>
      </c>
      <c r="AA23">
        <v>14112945</v>
      </c>
      <c r="AB23">
        <v>47367</v>
      </c>
      <c r="AC23">
        <v>194125</v>
      </c>
      <c r="AD23">
        <v>47852</v>
      </c>
      <c r="AE23">
        <v>214517</v>
      </c>
      <c r="AF23">
        <v>70165</v>
      </c>
      <c r="AG23">
        <v>21811</v>
      </c>
      <c r="AH23">
        <v>362827</v>
      </c>
      <c r="AI23">
        <v>21256</v>
      </c>
      <c r="AJ23">
        <v>438019</v>
      </c>
      <c r="AK23">
        <v>29732</v>
      </c>
      <c r="AL23">
        <v>142895</v>
      </c>
      <c r="AM23">
        <v>2190211</v>
      </c>
      <c r="AN23">
        <v>144232</v>
      </c>
      <c r="AO23">
        <v>2339252</v>
      </c>
      <c r="AP23">
        <v>147723</v>
      </c>
      <c r="AQ23">
        <v>106385</v>
      </c>
      <c r="AR23">
        <v>467351</v>
      </c>
      <c r="AS23">
        <v>114819</v>
      </c>
      <c r="AT23">
        <v>540734</v>
      </c>
      <c r="AU23">
        <v>42776</v>
      </c>
      <c r="AV23">
        <v>85620</v>
      </c>
      <c r="AW23">
        <v>594207</v>
      </c>
      <c r="AX23">
        <v>103128</v>
      </c>
      <c r="AY23">
        <v>648858</v>
      </c>
      <c r="AZ23">
        <v>125215</v>
      </c>
      <c r="BA23">
        <v>118213</v>
      </c>
      <c r="BB23">
        <v>938306</v>
      </c>
      <c r="BC23">
        <v>104900</v>
      </c>
      <c r="BD23">
        <v>923215</v>
      </c>
      <c r="BE23">
        <v>237967</v>
      </c>
      <c r="BF23">
        <v>101914</v>
      </c>
      <c r="BG23">
        <v>537211</v>
      </c>
      <c r="BH23">
        <v>105913</v>
      </c>
      <c r="BI23">
        <v>717417</v>
      </c>
      <c r="BJ23">
        <v>81443</v>
      </c>
      <c r="BK23">
        <v>1100029</v>
      </c>
      <c r="BL23">
        <v>2302881</v>
      </c>
      <c r="BM23">
        <v>1159704</v>
      </c>
      <c r="BN23">
        <v>2480465</v>
      </c>
      <c r="BO23">
        <v>2069964</v>
      </c>
      <c r="BP23">
        <v>69178</v>
      </c>
      <c r="BQ23">
        <v>391661</v>
      </c>
      <c r="BR23">
        <v>84284</v>
      </c>
      <c r="BS23">
        <v>526787</v>
      </c>
      <c r="BT23">
        <v>649778</v>
      </c>
      <c r="BU23">
        <v>27288</v>
      </c>
      <c r="BV23">
        <v>745187</v>
      </c>
      <c r="BW23">
        <v>29315</v>
      </c>
      <c r="BX23">
        <v>868201</v>
      </c>
      <c r="BY23">
        <v>254502</v>
      </c>
      <c r="BZ23">
        <v>52978589</v>
      </c>
      <c r="CA23">
        <v>3395417</v>
      </c>
      <c r="CB23">
        <v>47787435</v>
      </c>
      <c r="CC23">
        <v>4348579</v>
      </c>
      <c r="CD23">
        <v>21334452</v>
      </c>
      <c r="CE23">
        <v>1015956</v>
      </c>
      <c r="CF23">
        <v>4213820</v>
      </c>
      <c r="CG23">
        <v>863186</v>
      </c>
      <c r="CH23">
        <v>3816879</v>
      </c>
      <c r="CI23">
        <v>5291073</v>
      </c>
      <c r="CJ23">
        <v>2062640</v>
      </c>
      <c r="CK23">
        <v>2944581</v>
      </c>
      <c r="CL23">
        <v>2013673</v>
      </c>
      <c r="CM23">
        <v>3209439</v>
      </c>
      <c r="CN23">
        <v>10478266</v>
      </c>
      <c r="CO23">
        <v>33518343</v>
      </c>
      <c r="CP23">
        <v>260629</v>
      </c>
      <c r="CQ23">
        <v>11210908</v>
      </c>
      <c r="CR23">
        <v>33892333</v>
      </c>
      <c r="CS23">
        <v>237023</v>
      </c>
      <c r="CT23">
        <v>11467227</v>
      </c>
      <c r="CU23">
        <v>84648238</v>
      </c>
      <c r="CV23">
        <v>11020507</v>
      </c>
      <c r="CW23">
        <v>16152</v>
      </c>
      <c r="CX23">
        <v>1228635</v>
      </c>
      <c r="CY23">
        <v>11251724</v>
      </c>
      <c r="CZ23">
        <v>17862</v>
      </c>
      <c r="DA23">
        <v>1246172</v>
      </c>
      <c r="DB23">
        <v>8208113</v>
      </c>
    </row>
    <row r="24" spans="1:106" x14ac:dyDescent="0.4">
      <c r="A24" s="1" t="s">
        <v>36</v>
      </c>
      <c r="B24" s="1" t="s">
        <v>37</v>
      </c>
      <c r="C24">
        <v>1701661</v>
      </c>
      <c r="D24">
        <v>1183964</v>
      </c>
      <c r="E24">
        <v>1625363</v>
      </c>
      <c r="F24">
        <v>1204161</v>
      </c>
      <c r="G24">
        <v>7960979</v>
      </c>
      <c r="H24">
        <v>122009</v>
      </c>
      <c r="I24">
        <v>536976</v>
      </c>
      <c r="J24">
        <v>114394</v>
      </c>
      <c r="K24">
        <v>533498</v>
      </c>
      <c r="L24">
        <v>369651</v>
      </c>
      <c r="M24">
        <v>8786</v>
      </c>
      <c r="N24">
        <v>617803</v>
      </c>
      <c r="O24">
        <v>9109</v>
      </c>
      <c r="P24">
        <v>633835</v>
      </c>
      <c r="Q24">
        <v>6418</v>
      </c>
      <c r="R24">
        <v>2937</v>
      </c>
      <c r="S24">
        <v>816522</v>
      </c>
      <c r="T24">
        <v>2966</v>
      </c>
      <c r="U24">
        <v>773995</v>
      </c>
      <c r="V24">
        <v>916</v>
      </c>
      <c r="W24">
        <v>2098616</v>
      </c>
      <c r="X24">
        <v>2808403</v>
      </c>
      <c r="Y24">
        <v>1846894</v>
      </c>
      <c r="Z24">
        <v>2716481</v>
      </c>
      <c r="AA24">
        <v>14369858</v>
      </c>
      <c r="AB24">
        <v>44810</v>
      </c>
      <c r="AC24">
        <v>194786</v>
      </c>
      <c r="AD24">
        <v>45599</v>
      </c>
      <c r="AE24">
        <v>216791</v>
      </c>
      <c r="AF24">
        <v>69118</v>
      </c>
      <c r="AG24">
        <v>20798</v>
      </c>
      <c r="AH24">
        <v>350662</v>
      </c>
      <c r="AI24">
        <v>21725</v>
      </c>
      <c r="AJ24">
        <v>459351</v>
      </c>
      <c r="AK24">
        <v>28974</v>
      </c>
      <c r="AL24">
        <v>140556</v>
      </c>
      <c r="AM24">
        <v>2157224</v>
      </c>
      <c r="AN24">
        <v>131695</v>
      </c>
      <c r="AO24">
        <v>2281083</v>
      </c>
      <c r="AP24">
        <v>156253</v>
      </c>
      <c r="AQ24">
        <v>109735</v>
      </c>
      <c r="AR24">
        <v>510351</v>
      </c>
      <c r="AS24">
        <v>97169</v>
      </c>
      <c r="AT24">
        <v>493581</v>
      </c>
      <c r="AU24">
        <v>56367</v>
      </c>
      <c r="AV24">
        <v>85890</v>
      </c>
      <c r="AW24">
        <v>536389</v>
      </c>
      <c r="AX24">
        <v>104717</v>
      </c>
      <c r="AY24">
        <v>621164</v>
      </c>
      <c r="AZ24">
        <v>125748</v>
      </c>
      <c r="BA24">
        <v>112950</v>
      </c>
      <c r="BB24">
        <v>922484</v>
      </c>
      <c r="BC24">
        <v>112427</v>
      </c>
      <c r="BD24">
        <v>1011916</v>
      </c>
      <c r="BE24">
        <v>235269</v>
      </c>
      <c r="BF24">
        <v>102746</v>
      </c>
      <c r="BG24">
        <v>502171</v>
      </c>
      <c r="BH24">
        <v>102697</v>
      </c>
      <c r="BI24">
        <v>729030</v>
      </c>
      <c r="BJ24">
        <v>81987</v>
      </c>
      <c r="BK24">
        <v>1094812</v>
      </c>
      <c r="BL24">
        <v>2288124</v>
      </c>
      <c r="BM24">
        <v>962729</v>
      </c>
      <c r="BN24">
        <v>2353749</v>
      </c>
      <c r="BO24">
        <v>2127015</v>
      </c>
      <c r="BP24">
        <v>92508</v>
      </c>
      <c r="BQ24">
        <v>394459</v>
      </c>
      <c r="BR24">
        <v>115177</v>
      </c>
      <c r="BS24">
        <v>577927</v>
      </c>
      <c r="BT24">
        <v>624128</v>
      </c>
      <c r="BU24">
        <v>24283</v>
      </c>
      <c r="BV24">
        <v>619345</v>
      </c>
      <c r="BW24">
        <v>26955</v>
      </c>
      <c r="BX24">
        <v>770027</v>
      </c>
      <c r="BY24">
        <v>143715</v>
      </c>
      <c r="BZ24">
        <v>42907039</v>
      </c>
      <c r="CA24">
        <v>3372600</v>
      </c>
      <c r="CB24">
        <v>46404822</v>
      </c>
      <c r="CC24">
        <v>4554831</v>
      </c>
      <c r="CD24">
        <v>17978691</v>
      </c>
      <c r="CE24">
        <v>915535</v>
      </c>
      <c r="CF24">
        <v>3661890</v>
      </c>
      <c r="CG24">
        <v>702388</v>
      </c>
      <c r="CH24">
        <v>3109585</v>
      </c>
      <c r="CI24">
        <v>4121157</v>
      </c>
      <c r="CJ24">
        <v>2064174</v>
      </c>
      <c r="CK24">
        <v>2853143</v>
      </c>
      <c r="CL24">
        <v>2364322</v>
      </c>
      <c r="CM24">
        <v>3361455</v>
      </c>
      <c r="CN24">
        <v>9477196</v>
      </c>
      <c r="CO24">
        <v>37707849</v>
      </c>
      <c r="CP24">
        <v>251687</v>
      </c>
      <c r="CQ24">
        <v>11455244</v>
      </c>
      <c r="CR24">
        <v>37555453</v>
      </c>
      <c r="CS24">
        <v>228838</v>
      </c>
      <c r="CT24">
        <v>11382895</v>
      </c>
      <c r="CU24">
        <v>77165149</v>
      </c>
      <c r="CV24">
        <v>11400544</v>
      </c>
      <c r="CW24">
        <v>14618</v>
      </c>
      <c r="CX24">
        <v>1209261</v>
      </c>
      <c r="CY24">
        <v>11730526</v>
      </c>
      <c r="CZ24">
        <v>16807</v>
      </c>
      <c r="DA24">
        <v>1186572</v>
      </c>
      <c r="DB24">
        <v>7876708</v>
      </c>
    </row>
    <row r="25" spans="1:106" x14ac:dyDescent="0.4">
      <c r="A25" s="1" t="s">
        <v>38</v>
      </c>
      <c r="B25" s="1" t="s">
        <v>39</v>
      </c>
      <c r="C25">
        <v>1534131</v>
      </c>
      <c r="D25">
        <v>1108013</v>
      </c>
      <c r="E25">
        <v>1769367</v>
      </c>
      <c r="F25">
        <v>1241707</v>
      </c>
      <c r="G25">
        <v>7731053</v>
      </c>
      <c r="H25">
        <v>120678</v>
      </c>
      <c r="I25">
        <v>544179</v>
      </c>
      <c r="J25">
        <v>108015</v>
      </c>
      <c r="K25">
        <v>519720</v>
      </c>
      <c r="L25">
        <v>380365</v>
      </c>
      <c r="M25">
        <v>8473</v>
      </c>
      <c r="N25">
        <v>586743</v>
      </c>
      <c r="O25">
        <v>8757</v>
      </c>
      <c r="P25">
        <v>606667</v>
      </c>
      <c r="Q25">
        <v>6324</v>
      </c>
      <c r="R25">
        <v>2932</v>
      </c>
      <c r="S25">
        <v>824960</v>
      </c>
      <c r="T25">
        <v>2937</v>
      </c>
      <c r="U25">
        <v>775209</v>
      </c>
      <c r="V25">
        <v>911</v>
      </c>
      <c r="W25">
        <v>2050246</v>
      </c>
      <c r="X25">
        <v>2887941</v>
      </c>
      <c r="Y25">
        <v>2224588</v>
      </c>
      <c r="Z25">
        <v>3020939</v>
      </c>
      <c r="AA25">
        <v>14195174</v>
      </c>
      <c r="AB25">
        <v>45994</v>
      </c>
      <c r="AC25">
        <v>195583</v>
      </c>
      <c r="AD25">
        <v>45808</v>
      </c>
      <c r="AE25">
        <v>218150</v>
      </c>
      <c r="AF25">
        <v>73237</v>
      </c>
      <c r="AG25">
        <v>21161</v>
      </c>
      <c r="AH25">
        <v>351558</v>
      </c>
      <c r="AI25">
        <v>21284</v>
      </c>
      <c r="AJ25">
        <v>481460</v>
      </c>
      <c r="AK25">
        <v>28782</v>
      </c>
      <c r="AL25">
        <v>141303</v>
      </c>
      <c r="AM25">
        <v>2230871</v>
      </c>
      <c r="AN25">
        <v>139301</v>
      </c>
      <c r="AO25">
        <v>2478502</v>
      </c>
      <c r="AP25">
        <v>157806</v>
      </c>
      <c r="AQ25">
        <v>109733</v>
      </c>
      <c r="AR25">
        <v>480195</v>
      </c>
      <c r="AS25">
        <v>104585</v>
      </c>
      <c r="AT25">
        <v>488814</v>
      </c>
      <c r="AU25">
        <v>62447</v>
      </c>
      <c r="AV25">
        <v>91737</v>
      </c>
      <c r="AW25">
        <v>537043</v>
      </c>
      <c r="AX25">
        <v>102731</v>
      </c>
      <c r="AY25">
        <v>665399</v>
      </c>
      <c r="AZ25">
        <v>123229</v>
      </c>
      <c r="BA25">
        <v>121462</v>
      </c>
      <c r="BB25">
        <v>956448</v>
      </c>
      <c r="BC25">
        <v>110729</v>
      </c>
      <c r="BD25">
        <v>981387</v>
      </c>
      <c r="BE25">
        <v>233150</v>
      </c>
      <c r="BF25">
        <v>106349</v>
      </c>
      <c r="BG25">
        <v>512804</v>
      </c>
      <c r="BH25">
        <v>114670</v>
      </c>
      <c r="BI25">
        <v>726856</v>
      </c>
      <c r="BJ25">
        <v>75629</v>
      </c>
      <c r="BK25">
        <v>961076</v>
      </c>
      <c r="BL25">
        <v>2152529</v>
      </c>
      <c r="BM25">
        <v>945336</v>
      </c>
      <c r="BN25">
        <v>2262402</v>
      </c>
      <c r="BO25">
        <v>2101885</v>
      </c>
      <c r="BP25">
        <v>51612</v>
      </c>
      <c r="BQ25">
        <v>369012</v>
      </c>
      <c r="BR25">
        <v>86823</v>
      </c>
      <c r="BS25">
        <v>546428</v>
      </c>
      <c r="BT25">
        <v>599559</v>
      </c>
      <c r="BU25">
        <v>25700</v>
      </c>
      <c r="BV25">
        <v>653707</v>
      </c>
      <c r="BW25">
        <v>28463</v>
      </c>
      <c r="BX25">
        <v>795832</v>
      </c>
      <c r="BY25">
        <v>143371</v>
      </c>
      <c r="BZ25">
        <v>49191068</v>
      </c>
      <c r="CA25">
        <v>3474922</v>
      </c>
      <c r="CB25">
        <v>50716018</v>
      </c>
      <c r="CC25">
        <v>4508488</v>
      </c>
      <c r="CD25">
        <v>16588844</v>
      </c>
      <c r="CE25">
        <v>973771</v>
      </c>
      <c r="CF25">
        <v>3910125</v>
      </c>
      <c r="CG25">
        <v>694737</v>
      </c>
      <c r="CH25">
        <v>3182885</v>
      </c>
      <c r="CI25">
        <v>4166921</v>
      </c>
      <c r="CJ25">
        <v>2245311</v>
      </c>
      <c r="CK25">
        <v>2767199</v>
      </c>
      <c r="CL25">
        <v>2046078</v>
      </c>
      <c r="CM25">
        <v>3340898</v>
      </c>
      <c r="CN25">
        <v>9837695</v>
      </c>
      <c r="CO25">
        <v>31329153</v>
      </c>
      <c r="CP25">
        <v>247558</v>
      </c>
      <c r="CQ25">
        <v>10752680</v>
      </c>
      <c r="CR25">
        <v>33243178</v>
      </c>
      <c r="CS25">
        <v>235664</v>
      </c>
      <c r="CT25">
        <v>11595054</v>
      </c>
      <c r="CU25">
        <v>75422187</v>
      </c>
      <c r="CV25">
        <v>11360892</v>
      </c>
      <c r="CW25">
        <v>14860</v>
      </c>
      <c r="CX25">
        <v>1136814</v>
      </c>
      <c r="CY25">
        <v>12008382</v>
      </c>
      <c r="CZ25">
        <v>18708</v>
      </c>
      <c r="DA25">
        <v>1232827</v>
      </c>
      <c r="DB25">
        <v>7757344</v>
      </c>
    </row>
    <row r="26" spans="1:106" x14ac:dyDescent="0.4">
      <c r="A26" s="1" t="s">
        <v>40</v>
      </c>
      <c r="B26" s="1" t="s">
        <v>41</v>
      </c>
      <c r="C26">
        <v>1673219</v>
      </c>
      <c r="D26">
        <v>1182840</v>
      </c>
      <c r="E26">
        <v>1853904</v>
      </c>
      <c r="F26">
        <v>1275138</v>
      </c>
      <c r="G26">
        <v>7553928</v>
      </c>
      <c r="H26">
        <v>130729</v>
      </c>
      <c r="I26">
        <v>596236</v>
      </c>
      <c r="J26">
        <v>118376</v>
      </c>
      <c r="K26">
        <v>546537</v>
      </c>
      <c r="L26">
        <v>388033</v>
      </c>
      <c r="M26">
        <v>9057</v>
      </c>
      <c r="N26">
        <v>696285</v>
      </c>
      <c r="O26">
        <v>9079</v>
      </c>
      <c r="P26">
        <v>691882</v>
      </c>
      <c r="Q26">
        <v>6492</v>
      </c>
      <c r="R26">
        <v>3159</v>
      </c>
      <c r="S26">
        <v>885127</v>
      </c>
      <c r="T26">
        <v>3127</v>
      </c>
      <c r="U26">
        <v>826283</v>
      </c>
      <c r="V26">
        <v>943</v>
      </c>
      <c r="W26">
        <v>2101556</v>
      </c>
      <c r="X26">
        <v>2921641</v>
      </c>
      <c r="Y26">
        <v>2471479</v>
      </c>
      <c r="Z26">
        <v>3320482</v>
      </c>
      <c r="AA26">
        <v>13835250</v>
      </c>
      <c r="AB26">
        <v>45775</v>
      </c>
      <c r="AC26">
        <v>187313</v>
      </c>
      <c r="AD26">
        <v>46868</v>
      </c>
      <c r="AE26">
        <v>216425</v>
      </c>
      <c r="AF26">
        <v>74954</v>
      </c>
      <c r="AG26">
        <v>21680</v>
      </c>
      <c r="AH26">
        <v>377309</v>
      </c>
      <c r="AI26">
        <v>23356</v>
      </c>
      <c r="AJ26">
        <v>468003</v>
      </c>
      <c r="AK26">
        <v>27285</v>
      </c>
      <c r="AL26">
        <v>138852</v>
      </c>
      <c r="AM26">
        <v>2318196</v>
      </c>
      <c r="AN26">
        <v>137918</v>
      </c>
      <c r="AO26">
        <v>2483547</v>
      </c>
      <c r="AP26">
        <v>157016</v>
      </c>
      <c r="AQ26">
        <v>111668</v>
      </c>
      <c r="AR26">
        <v>510016</v>
      </c>
      <c r="AS26">
        <v>107389</v>
      </c>
      <c r="AT26">
        <v>525254</v>
      </c>
      <c r="AU26">
        <v>68170</v>
      </c>
      <c r="AV26">
        <v>90470</v>
      </c>
      <c r="AW26">
        <v>587061</v>
      </c>
      <c r="AX26">
        <v>102770</v>
      </c>
      <c r="AY26">
        <v>676545</v>
      </c>
      <c r="AZ26">
        <v>121637</v>
      </c>
      <c r="BA26">
        <v>118556</v>
      </c>
      <c r="BB26">
        <v>977232</v>
      </c>
      <c r="BC26">
        <v>111858</v>
      </c>
      <c r="BD26">
        <v>989215</v>
      </c>
      <c r="BE26">
        <v>237642</v>
      </c>
      <c r="BF26">
        <v>114744</v>
      </c>
      <c r="BG26">
        <v>560698</v>
      </c>
      <c r="BH26">
        <v>112139</v>
      </c>
      <c r="BI26">
        <v>757397</v>
      </c>
      <c r="BJ26">
        <v>78773</v>
      </c>
      <c r="BK26">
        <v>913992</v>
      </c>
      <c r="BL26">
        <v>2226506</v>
      </c>
      <c r="BM26">
        <v>1015850</v>
      </c>
      <c r="BN26">
        <v>2405669</v>
      </c>
      <c r="BO26">
        <v>2051606</v>
      </c>
      <c r="BP26">
        <v>54129</v>
      </c>
      <c r="BQ26">
        <v>422028</v>
      </c>
      <c r="BR26">
        <v>82378</v>
      </c>
      <c r="BS26">
        <v>575200</v>
      </c>
      <c r="BT26">
        <v>581201</v>
      </c>
      <c r="BU26">
        <v>25286</v>
      </c>
      <c r="BV26">
        <v>702173</v>
      </c>
      <c r="BW26">
        <v>29610</v>
      </c>
      <c r="BX26">
        <v>836881</v>
      </c>
      <c r="BY26">
        <v>140463</v>
      </c>
      <c r="BZ26">
        <v>52815344</v>
      </c>
      <c r="CA26">
        <v>3888679</v>
      </c>
      <c r="CB26">
        <v>54686455</v>
      </c>
      <c r="CC26">
        <v>4940877</v>
      </c>
      <c r="CD26">
        <v>14881787</v>
      </c>
      <c r="CE26">
        <v>1019345</v>
      </c>
      <c r="CF26">
        <v>4041648</v>
      </c>
      <c r="CG26">
        <v>788045</v>
      </c>
      <c r="CH26">
        <v>3458108</v>
      </c>
      <c r="CI26">
        <v>4135183</v>
      </c>
      <c r="CJ26">
        <v>2124700</v>
      </c>
      <c r="CK26">
        <v>2803391</v>
      </c>
      <c r="CL26">
        <v>1966446</v>
      </c>
      <c r="CM26">
        <v>3385988</v>
      </c>
      <c r="CN26">
        <v>10395664</v>
      </c>
      <c r="CO26">
        <v>35924533</v>
      </c>
      <c r="CP26">
        <v>264145</v>
      </c>
      <c r="CQ26">
        <v>12203773</v>
      </c>
      <c r="CR26">
        <v>36407721</v>
      </c>
      <c r="CS26">
        <v>243491</v>
      </c>
      <c r="CT26">
        <v>12238668</v>
      </c>
      <c r="CU26">
        <v>74558218</v>
      </c>
      <c r="CV26">
        <v>11096185</v>
      </c>
      <c r="CW26">
        <v>16549</v>
      </c>
      <c r="CX26">
        <v>1278200</v>
      </c>
      <c r="CY26">
        <v>11655302</v>
      </c>
      <c r="CZ26">
        <v>19825</v>
      </c>
      <c r="DA26">
        <v>1284027</v>
      </c>
      <c r="DB26">
        <v>7547570</v>
      </c>
    </row>
    <row r="27" spans="1:106" x14ac:dyDescent="0.4">
      <c r="A27" s="1" t="s">
        <v>42</v>
      </c>
      <c r="B27" s="1" t="s">
        <v>43</v>
      </c>
      <c r="C27">
        <v>1732622</v>
      </c>
      <c r="D27">
        <v>1218888</v>
      </c>
      <c r="E27">
        <v>1826125</v>
      </c>
      <c r="F27">
        <v>1301510</v>
      </c>
      <c r="G27">
        <v>7465174</v>
      </c>
      <c r="H27">
        <v>119033</v>
      </c>
      <c r="I27">
        <v>534907</v>
      </c>
      <c r="J27">
        <v>108019</v>
      </c>
      <c r="K27">
        <v>507686</v>
      </c>
      <c r="L27">
        <v>395360</v>
      </c>
      <c r="M27">
        <v>8361</v>
      </c>
      <c r="N27">
        <v>591585</v>
      </c>
      <c r="O27">
        <v>8639</v>
      </c>
      <c r="P27">
        <v>607640</v>
      </c>
      <c r="Q27">
        <v>6404</v>
      </c>
      <c r="R27">
        <v>3042</v>
      </c>
      <c r="S27">
        <v>820449</v>
      </c>
      <c r="T27">
        <v>3018</v>
      </c>
      <c r="U27">
        <v>734134</v>
      </c>
      <c r="V27">
        <v>967</v>
      </c>
      <c r="W27">
        <v>2267463</v>
      </c>
      <c r="X27">
        <v>3131708</v>
      </c>
      <c r="Y27">
        <v>2142803</v>
      </c>
      <c r="Z27">
        <v>2985453</v>
      </c>
      <c r="AA27">
        <v>13965724</v>
      </c>
      <c r="AB27">
        <v>46663</v>
      </c>
      <c r="AC27">
        <v>192201</v>
      </c>
      <c r="AD27">
        <v>47776</v>
      </c>
      <c r="AE27">
        <v>217085</v>
      </c>
      <c r="AF27">
        <v>74800</v>
      </c>
      <c r="AG27">
        <v>23623</v>
      </c>
      <c r="AH27">
        <v>350093</v>
      </c>
      <c r="AI27">
        <v>22365</v>
      </c>
      <c r="AJ27">
        <v>409296</v>
      </c>
      <c r="AK27">
        <v>28817</v>
      </c>
      <c r="AL27">
        <v>136814</v>
      </c>
      <c r="AM27">
        <v>2353946</v>
      </c>
      <c r="AN27">
        <v>145012</v>
      </c>
      <c r="AO27">
        <v>2507183</v>
      </c>
      <c r="AP27">
        <v>148540</v>
      </c>
      <c r="AQ27">
        <v>100611</v>
      </c>
      <c r="AR27">
        <v>473934</v>
      </c>
      <c r="AS27">
        <v>106131</v>
      </c>
      <c r="AT27">
        <v>529644</v>
      </c>
      <c r="AU27">
        <v>63087</v>
      </c>
      <c r="AV27">
        <v>79063</v>
      </c>
      <c r="AW27">
        <v>528182</v>
      </c>
      <c r="AX27">
        <v>109981</v>
      </c>
      <c r="AY27">
        <v>618908</v>
      </c>
      <c r="AZ27">
        <v>124163</v>
      </c>
      <c r="BA27">
        <v>120638</v>
      </c>
      <c r="BB27">
        <v>909134</v>
      </c>
      <c r="BC27">
        <v>115916</v>
      </c>
      <c r="BD27">
        <v>969487</v>
      </c>
      <c r="BE27">
        <v>233044</v>
      </c>
      <c r="BF27">
        <v>108408</v>
      </c>
      <c r="BG27">
        <v>557983</v>
      </c>
      <c r="BH27">
        <v>111305</v>
      </c>
      <c r="BI27">
        <v>798786</v>
      </c>
      <c r="BJ27">
        <v>68761</v>
      </c>
      <c r="BK27">
        <v>1062889</v>
      </c>
      <c r="BL27">
        <v>2246668</v>
      </c>
      <c r="BM27">
        <v>1240945</v>
      </c>
      <c r="BN27">
        <v>2507362</v>
      </c>
      <c r="BO27">
        <v>1825015</v>
      </c>
      <c r="BP27">
        <v>108180</v>
      </c>
      <c r="BQ27">
        <v>409061</v>
      </c>
      <c r="BR27">
        <v>107954</v>
      </c>
      <c r="BS27">
        <v>558415</v>
      </c>
      <c r="BT27">
        <v>592771</v>
      </c>
      <c r="BU27">
        <v>25473</v>
      </c>
      <c r="BV27">
        <v>685981</v>
      </c>
      <c r="BW27">
        <v>28968</v>
      </c>
      <c r="BX27">
        <v>848390</v>
      </c>
      <c r="BY27">
        <v>139012</v>
      </c>
      <c r="BZ27">
        <v>56956573</v>
      </c>
      <c r="CA27">
        <v>3814101</v>
      </c>
      <c r="CB27">
        <v>57587056</v>
      </c>
      <c r="CC27">
        <v>4942930</v>
      </c>
      <c r="CD27">
        <v>14362528</v>
      </c>
      <c r="CE27">
        <v>1000914</v>
      </c>
      <c r="CF27">
        <v>3995174</v>
      </c>
      <c r="CG27">
        <v>726628</v>
      </c>
      <c r="CH27">
        <v>3228337</v>
      </c>
      <c r="CI27">
        <v>4173739</v>
      </c>
      <c r="CJ27">
        <v>1934001</v>
      </c>
      <c r="CK27">
        <v>2759726</v>
      </c>
      <c r="CL27">
        <v>2029382</v>
      </c>
      <c r="CM27">
        <v>3272203</v>
      </c>
      <c r="CN27">
        <v>10487679</v>
      </c>
      <c r="CO27">
        <v>34589581</v>
      </c>
      <c r="CP27">
        <v>280326</v>
      </c>
      <c r="CQ27">
        <v>11349228</v>
      </c>
      <c r="CR27">
        <v>36511293</v>
      </c>
      <c r="CS27">
        <v>270337</v>
      </c>
      <c r="CT27">
        <v>12101412</v>
      </c>
      <c r="CU27">
        <v>72526191</v>
      </c>
      <c r="CV27">
        <v>10692889</v>
      </c>
      <c r="CW27">
        <v>15763</v>
      </c>
      <c r="CX27">
        <v>1143698</v>
      </c>
      <c r="CY27">
        <v>11215612</v>
      </c>
      <c r="CZ27">
        <v>19410</v>
      </c>
      <c r="DA27">
        <v>1242833</v>
      </c>
      <c r="DB27">
        <v>7447598</v>
      </c>
    </row>
    <row r="28" spans="1:106" x14ac:dyDescent="0.4">
      <c r="A28" s="1" t="s">
        <v>44</v>
      </c>
      <c r="B28" s="1" t="s">
        <v>45</v>
      </c>
      <c r="C28">
        <v>1771506</v>
      </c>
      <c r="D28">
        <v>1161798</v>
      </c>
      <c r="E28">
        <v>1792415</v>
      </c>
      <c r="F28">
        <v>1243092</v>
      </c>
      <c r="G28">
        <v>7448947</v>
      </c>
      <c r="H28">
        <v>108611</v>
      </c>
      <c r="I28">
        <v>484732</v>
      </c>
      <c r="J28">
        <v>102439</v>
      </c>
      <c r="K28">
        <v>463603</v>
      </c>
      <c r="L28">
        <v>398075</v>
      </c>
      <c r="M28">
        <v>7351</v>
      </c>
      <c r="N28">
        <v>536175</v>
      </c>
      <c r="O28">
        <v>7502</v>
      </c>
      <c r="P28">
        <v>545513</v>
      </c>
      <c r="Q28">
        <v>6443</v>
      </c>
      <c r="R28">
        <v>2939</v>
      </c>
      <c r="S28">
        <v>816483</v>
      </c>
      <c r="T28">
        <v>2913</v>
      </c>
      <c r="U28">
        <v>750657</v>
      </c>
      <c r="V28">
        <v>993</v>
      </c>
      <c r="W28">
        <v>2020077</v>
      </c>
      <c r="X28">
        <v>2774290</v>
      </c>
      <c r="Y28">
        <v>1997884</v>
      </c>
      <c r="Z28">
        <v>2763168</v>
      </c>
      <c r="AA28">
        <v>13982900</v>
      </c>
      <c r="AB28">
        <v>46529</v>
      </c>
      <c r="AC28">
        <v>188784</v>
      </c>
      <c r="AD28">
        <v>46184</v>
      </c>
      <c r="AE28">
        <v>207019</v>
      </c>
      <c r="AF28">
        <v>75597</v>
      </c>
      <c r="AG28">
        <v>22725</v>
      </c>
      <c r="AH28">
        <v>346091</v>
      </c>
      <c r="AI28">
        <v>22385</v>
      </c>
      <c r="AJ28">
        <v>454922</v>
      </c>
      <c r="AK28">
        <v>29943</v>
      </c>
      <c r="AL28">
        <v>136472</v>
      </c>
      <c r="AM28">
        <v>2274350</v>
      </c>
      <c r="AN28">
        <v>134765</v>
      </c>
      <c r="AO28">
        <v>2430018</v>
      </c>
      <c r="AP28">
        <v>146585</v>
      </c>
      <c r="AQ28">
        <v>116016</v>
      </c>
      <c r="AR28">
        <v>507598</v>
      </c>
      <c r="AS28">
        <v>114369</v>
      </c>
      <c r="AT28">
        <v>522465</v>
      </c>
      <c r="AU28">
        <v>65376</v>
      </c>
      <c r="AV28">
        <v>73767</v>
      </c>
      <c r="AW28">
        <v>520557</v>
      </c>
      <c r="AX28">
        <v>75659</v>
      </c>
      <c r="AY28">
        <v>597399</v>
      </c>
      <c r="AZ28">
        <v>129610</v>
      </c>
      <c r="BA28">
        <v>122476</v>
      </c>
      <c r="BB28">
        <v>871385</v>
      </c>
      <c r="BC28">
        <v>106805</v>
      </c>
      <c r="BD28">
        <v>884137</v>
      </c>
      <c r="BE28">
        <v>240703</v>
      </c>
      <c r="BF28">
        <v>100506</v>
      </c>
      <c r="BG28">
        <v>467942</v>
      </c>
      <c r="BH28">
        <v>99549</v>
      </c>
      <c r="BI28">
        <v>659539</v>
      </c>
      <c r="BJ28">
        <v>70991</v>
      </c>
      <c r="BK28">
        <v>1065426</v>
      </c>
      <c r="BL28">
        <v>2219413</v>
      </c>
      <c r="BM28">
        <v>1006685</v>
      </c>
      <c r="BN28">
        <v>2294035</v>
      </c>
      <c r="BO28">
        <v>1916646</v>
      </c>
      <c r="BP28">
        <v>67567</v>
      </c>
      <c r="BQ28">
        <v>392416</v>
      </c>
      <c r="BR28">
        <v>73464</v>
      </c>
      <c r="BS28">
        <v>550620</v>
      </c>
      <c r="BT28">
        <v>599456</v>
      </c>
      <c r="BU28">
        <v>26320</v>
      </c>
      <c r="BV28">
        <v>696082</v>
      </c>
      <c r="BW28">
        <v>30919</v>
      </c>
      <c r="BX28">
        <v>862507</v>
      </c>
      <c r="BY28">
        <v>135009</v>
      </c>
      <c r="BZ28">
        <v>57577598</v>
      </c>
      <c r="CA28">
        <v>3747599</v>
      </c>
      <c r="CB28">
        <v>55805494</v>
      </c>
      <c r="CC28">
        <v>4719882</v>
      </c>
      <c r="CD28">
        <v>16268144</v>
      </c>
      <c r="CE28">
        <v>942333</v>
      </c>
      <c r="CF28">
        <v>3727430</v>
      </c>
      <c r="CG28">
        <v>722422</v>
      </c>
      <c r="CH28">
        <v>3155187</v>
      </c>
      <c r="CI28">
        <v>4158162</v>
      </c>
      <c r="CJ28">
        <v>1845409</v>
      </c>
      <c r="CK28">
        <v>2928117</v>
      </c>
      <c r="CL28">
        <v>2135676</v>
      </c>
      <c r="CM28">
        <v>3504671</v>
      </c>
      <c r="CN28">
        <v>10596806</v>
      </c>
      <c r="CO28">
        <v>31850167</v>
      </c>
      <c r="CP28">
        <v>257925</v>
      </c>
      <c r="CQ28">
        <v>11075250</v>
      </c>
      <c r="CR28">
        <v>32677799</v>
      </c>
      <c r="CS28">
        <v>242014</v>
      </c>
      <c r="CT28">
        <v>11430594</v>
      </c>
      <c r="CU28">
        <v>71253491</v>
      </c>
      <c r="CV28">
        <v>10181281</v>
      </c>
      <c r="CW28">
        <v>15248</v>
      </c>
      <c r="CX28">
        <v>1123704</v>
      </c>
      <c r="CY28">
        <v>10327526</v>
      </c>
      <c r="CZ28">
        <v>17155</v>
      </c>
      <c r="DA28">
        <v>1165511</v>
      </c>
      <c r="DB28">
        <v>7592826</v>
      </c>
    </row>
    <row r="29" spans="1:106" x14ac:dyDescent="0.4">
      <c r="A29" s="1" t="s">
        <v>46</v>
      </c>
      <c r="B29" s="1" t="s">
        <v>47</v>
      </c>
      <c r="C29">
        <v>1590868</v>
      </c>
      <c r="D29">
        <v>1187649</v>
      </c>
      <c r="E29">
        <v>1887559</v>
      </c>
      <c r="F29">
        <v>1319698</v>
      </c>
      <c r="G29">
        <v>7157499</v>
      </c>
      <c r="H29">
        <v>110543</v>
      </c>
      <c r="I29">
        <v>509678</v>
      </c>
      <c r="J29">
        <v>100834</v>
      </c>
      <c r="K29">
        <v>465535</v>
      </c>
      <c r="L29">
        <v>400248</v>
      </c>
      <c r="M29">
        <v>8703</v>
      </c>
      <c r="N29">
        <v>637417</v>
      </c>
      <c r="O29">
        <v>8866</v>
      </c>
      <c r="P29">
        <v>645115</v>
      </c>
      <c r="Q29">
        <v>6470</v>
      </c>
      <c r="R29">
        <v>3249</v>
      </c>
      <c r="S29">
        <v>900515</v>
      </c>
      <c r="T29">
        <v>3377</v>
      </c>
      <c r="U29">
        <v>888915</v>
      </c>
      <c r="V29">
        <v>865</v>
      </c>
      <c r="W29">
        <v>2084852</v>
      </c>
      <c r="X29">
        <v>2987644</v>
      </c>
      <c r="Y29">
        <v>2128251</v>
      </c>
      <c r="Z29">
        <v>2983612</v>
      </c>
      <c r="AA29">
        <v>13941948</v>
      </c>
      <c r="AB29">
        <v>49055</v>
      </c>
      <c r="AC29">
        <v>205571</v>
      </c>
      <c r="AD29">
        <v>49726</v>
      </c>
      <c r="AE29">
        <v>232859</v>
      </c>
      <c r="AF29">
        <v>76732</v>
      </c>
      <c r="AG29">
        <v>23506</v>
      </c>
      <c r="AH29">
        <v>377440</v>
      </c>
      <c r="AI29">
        <v>23636</v>
      </c>
      <c r="AJ29">
        <v>475578</v>
      </c>
      <c r="AK29">
        <v>30181</v>
      </c>
      <c r="AL29">
        <v>146476</v>
      </c>
      <c r="AM29">
        <v>2475622</v>
      </c>
      <c r="AN29">
        <v>145153</v>
      </c>
      <c r="AO29">
        <v>2632959</v>
      </c>
      <c r="AP29">
        <v>149722</v>
      </c>
      <c r="AQ29">
        <v>126305</v>
      </c>
      <c r="AR29">
        <v>569878</v>
      </c>
      <c r="AS29">
        <v>133835</v>
      </c>
      <c r="AT29">
        <v>610631</v>
      </c>
      <c r="AU29">
        <v>58750</v>
      </c>
      <c r="AV29">
        <v>93639</v>
      </c>
      <c r="AW29">
        <v>554188</v>
      </c>
      <c r="AX29">
        <v>97509</v>
      </c>
      <c r="AY29">
        <v>633705</v>
      </c>
      <c r="AZ29">
        <v>137165</v>
      </c>
      <c r="BA29">
        <v>128916</v>
      </c>
      <c r="BB29">
        <v>985049</v>
      </c>
      <c r="BC29">
        <v>112267</v>
      </c>
      <c r="BD29">
        <v>992870</v>
      </c>
      <c r="BE29">
        <v>242812</v>
      </c>
      <c r="BF29">
        <v>109258</v>
      </c>
      <c r="BG29">
        <v>505226</v>
      </c>
      <c r="BH29">
        <v>107141</v>
      </c>
      <c r="BI29">
        <v>709557</v>
      </c>
      <c r="BJ29">
        <v>76453</v>
      </c>
      <c r="BK29">
        <v>1025320</v>
      </c>
      <c r="BL29">
        <v>2423605</v>
      </c>
      <c r="BM29">
        <v>957218</v>
      </c>
      <c r="BN29">
        <v>2500058</v>
      </c>
      <c r="BO29">
        <v>1886877</v>
      </c>
      <c r="BP29">
        <v>50214</v>
      </c>
      <c r="BQ29">
        <v>424592</v>
      </c>
      <c r="BR29">
        <v>81710</v>
      </c>
      <c r="BS29">
        <v>569992</v>
      </c>
      <c r="BT29">
        <v>580783</v>
      </c>
      <c r="BU29">
        <v>27154</v>
      </c>
      <c r="BV29">
        <v>730419</v>
      </c>
      <c r="BW29">
        <v>29943</v>
      </c>
      <c r="BX29">
        <v>848167</v>
      </c>
      <c r="BY29">
        <v>137551</v>
      </c>
      <c r="BZ29">
        <v>61060513</v>
      </c>
      <c r="CA29">
        <v>3856653</v>
      </c>
      <c r="CB29">
        <v>63136458</v>
      </c>
      <c r="CC29">
        <v>4786697</v>
      </c>
      <c r="CD29">
        <v>14300211</v>
      </c>
      <c r="CE29">
        <v>983793</v>
      </c>
      <c r="CF29">
        <v>4037334</v>
      </c>
      <c r="CG29">
        <v>755943</v>
      </c>
      <c r="CH29">
        <v>3379066</v>
      </c>
      <c r="CI29">
        <v>4161990</v>
      </c>
      <c r="CJ29">
        <v>1328617</v>
      </c>
      <c r="CK29">
        <v>2811921</v>
      </c>
      <c r="CL29">
        <v>2068576</v>
      </c>
      <c r="CM29">
        <v>3537649</v>
      </c>
      <c r="CN29">
        <v>10105018</v>
      </c>
      <c r="CO29">
        <v>38494102</v>
      </c>
      <c r="CP29">
        <v>268767</v>
      </c>
      <c r="CQ29">
        <v>12367568</v>
      </c>
      <c r="CR29">
        <v>37151660</v>
      </c>
      <c r="CS29">
        <v>235487</v>
      </c>
      <c r="CT29">
        <v>11704981</v>
      </c>
      <c r="CU29">
        <v>72098087</v>
      </c>
      <c r="CV29">
        <v>10528789</v>
      </c>
      <c r="CW29">
        <v>15157</v>
      </c>
      <c r="CX29">
        <v>1084588</v>
      </c>
      <c r="CY29">
        <v>10941699</v>
      </c>
      <c r="CZ29">
        <v>17926</v>
      </c>
      <c r="DA29">
        <v>1247938</v>
      </c>
      <c r="DB29">
        <v>7526530</v>
      </c>
    </row>
    <row r="30" spans="1:106" x14ac:dyDescent="0.4">
      <c r="A30" s="1" t="s">
        <v>48</v>
      </c>
      <c r="B30" s="1" t="s">
        <v>49</v>
      </c>
      <c r="C30">
        <v>1789058</v>
      </c>
      <c r="D30">
        <v>1240245</v>
      </c>
      <c r="E30">
        <v>1829171</v>
      </c>
      <c r="F30">
        <v>1309007</v>
      </c>
      <c r="G30">
        <v>7122165</v>
      </c>
      <c r="H30">
        <v>112798</v>
      </c>
      <c r="I30">
        <v>512697</v>
      </c>
      <c r="J30">
        <v>107798</v>
      </c>
      <c r="K30">
        <v>513672</v>
      </c>
      <c r="L30">
        <v>399197</v>
      </c>
      <c r="M30">
        <v>8750</v>
      </c>
      <c r="N30">
        <v>643847</v>
      </c>
      <c r="O30">
        <v>9048</v>
      </c>
      <c r="P30">
        <v>662801</v>
      </c>
      <c r="Q30">
        <v>6362</v>
      </c>
      <c r="R30">
        <v>3389</v>
      </c>
      <c r="S30">
        <v>898259</v>
      </c>
      <c r="T30">
        <v>3500</v>
      </c>
      <c r="U30">
        <v>910490</v>
      </c>
      <c r="V30">
        <v>754</v>
      </c>
      <c r="W30">
        <v>2070521</v>
      </c>
      <c r="X30">
        <v>2995584</v>
      </c>
      <c r="Y30">
        <v>2101292</v>
      </c>
      <c r="Z30">
        <v>3027342</v>
      </c>
      <c r="AA30">
        <v>13910784</v>
      </c>
      <c r="AB30">
        <v>51086</v>
      </c>
      <c r="AC30">
        <v>200170</v>
      </c>
      <c r="AD30">
        <v>50814</v>
      </c>
      <c r="AE30">
        <v>224359</v>
      </c>
      <c r="AF30">
        <v>78622</v>
      </c>
      <c r="AG30">
        <v>22188</v>
      </c>
      <c r="AH30">
        <v>404123</v>
      </c>
      <c r="AI30">
        <v>24366</v>
      </c>
      <c r="AJ30">
        <v>510252</v>
      </c>
      <c r="AK30">
        <v>27754</v>
      </c>
      <c r="AL30">
        <v>155137</v>
      </c>
      <c r="AM30">
        <v>2559140</v>
      </c>
      <c r="AN30">
        <v>152745</v>
      </c>
      <c r="AO30">
        <v>2727255</v>
      </c>
      <c r="AP30">
        <v>152320</v>
      </c>
      <c r="AQ30">
        <v>147306</v>
      </c>
      <c r="AR30">
        <v>626652</v>
      </c>
      <c r="AS30">
        <v>149923</v>
      </c>
      <c r="AT30">
        <v>671148</v>
      </c>
      <c r="AU30">
        <v>57292</v>
      </c>
      <c r="AV30">
        <v>69109</v>
      </c>
      <c r="AW30">
        <v>577492</v>
      </c>
      <c r="AX30">
        <v>75534</v>
      </c>
      <c r="AY30">
        <v>650505</v>
      </c>
      <c r="AZ30">
        <v>142483</v>
      </c>
      <c r="BA30">
        <v>124534</v>
      </c>
      <c r="BB30">
        <v>951291</v>
      </c>
      <c r="BC30">
        <v>121491</v>
      </c>
      <c r="BD30">
        <v>1025427</v>
      </c>
      <c r="BE30">
        <v>239902</v>
      </c>
      <c r="BF30">
        <v>118897</v>
      </c>
      <c r="BG30">
        <v>513199</v>
      </c>
      <c r="BH30">
        <v>117892</v>
      </c>
      <c r="BI30">
        <v>741299</v>
      </c>
      <c r="BJ30">
        <v>78499</v>
      </c>
      <c r="BK30">
        <v>1118566</v>
      </c>
      <c r="BL30">
        <v>2506203</v>
      </c>
      <c r="BM30">
        <v>1150563</v>
      </c>
      <c r="BN30">
        <v>2687712</v>
      </c>
      <c r="BO30">
        <v>1870943</v>
      </c>
      <c r="BP30">
        <v>97344</v>
      </c>
      <c r="BQ30">
        <v>450145</v>
      </c>
      <c r="BR30">
        <v>86419</v>
      </c>
      <c r="BS30">
        <v>669827</v>
      </c>
      <c r="BT30">
        <v>604909</v>
      </c>
      <c r="BU30">
        <v>25379</v>
      </c>
      <c r="BV30">
        <v>721058</v>
      </c>
      <c r="BW30">
        <v>31282</v>
      </c>
      <c r="BX30">
        <v>977741</v>
      </c>
      <c r="BY30">
        <v>134397</v>
      </c>
      <c r="BZ30">
        <v>62173871</v>
      </c>
      <c r="CA30">
        <v>4121638</v>
      </c>
      <c r="CB30">
        <v>63689768</v>
      </c>
      <c r="CC30">
        <v>5297583</v>
      </c>
      <c r="CD30">
        <v>12907135</v>
      </c>
      <c r="CE30">
        <v>1038221</v>
      </c>
      <c r="CF30">
        <v>4244339</v>
      </c>
      <c r="CG30">
        <v>788026</v>
      </c>
      <c r="CH30">
        <v>3575059</v>
      </c>
      <c r="CI30">
        <v>4158884</v>
      </c>
      <c r="CJ30">
        <v>991687</v>
      </c>
      <c r="CK30">
        <v>2833698</v>
      </c>
      <c r="CL30">
        <v>2216789</v>
      </c>
      <c r="CM30">
        <v>3521248</v>
      </c>
      <c r="CN30">
        <v>9090570</v>
      </c>
      <c r="CO30">
        <v>36107991</v>
      </c>
      <c r="CP30">
        <v>279796</v>
      </c>
      <c r="CQ30">
        <v>12448218</v>
      </c>
      <c r="CR30">
        <v>37209832</v>
      </c>
      <c r="CS30">
        <v>260722</v>
      </c>
      <c r="CT30">
        <v>12957150</v>
      </c>
      <c r="CU30">
        <v>71091692</v>
      </c>
      <c r="CV30">
        <v>11993706</v>
      </c>
      <c r="CW30">
        <v>15828</v>
      </c>
      <c r="CX30">
        <v>1174108</v>
      </c>
      <c r="CY30">
        <v>11938051</v>
      </c>
      <c r="CZ30">
        <v>16668</v>
      </c>
      <c r="DA30">
        <v>1181692</v>
      </c>
      <c r="DB30">
        <v>7881143</v>
      </c>
    </row>
    <row r="31" spans="1:106" x14ac:dyDescent="0.4">
      <c r="A31" s="1" t="s">
        <v>50</v>
      </c>
      <c r="B31" s="1" t="s">
        <v>51</v>
      </c>
      <c r="C31">
        <v>1630237</v>
      </c>
      <c r="D31">
        <v>1094165</v>
      </c>
      <c r="E31">
        <v>1805534</v>
      </c>
      <c r="F31">
        <v>1234225</v>
      </c>
      <c r="G31">
        <v>6950762</v>
      </c>
      <c r="H31">
        <v>94498</v>
      </c>
      <c r="I31">
        <v>427582</v>
      </c>
      <c r="J31">
        <v>93984</v>
      </c>
      <c r="K31">
        <v>431892</v>
      </c>
      <c r="L31">
        <v>394178</v>
      </c>
      <c r="M31">
        <v>7883</v>
      </c>
      <c r="N31">
        <v>590469</v>
      </c>
      <c r="O31">
        <v>8114</v>
      </c>
      <c r="P31">
        <v>599507</v>
      </c>
      <c r="Q31">
        <v>6321</v>
      </c>
      <c r="R31">
        <v>3075</v>
      </c>
      <c r="S31">
        <v>886758</v>
      </c>
      <c r="T31">
        <v>3096</v>
      </c>
      <c r="U31">
        <v>851801</v>
      </c>
      <c r="V31">
        <v>733</v>
      </c>
      <c r="W31">
        <v>1646860</v>
      </c>
      <c r="X31">
        <v>2289131</v>
      </c>
      <c r="Y31">
        <v>1905712</v>
      </c>
      <c r="Z31">
        <v>2630828</v>
      </c>
      <c r="AA31">
        <v>13653706</v>
      </c>
      <c r="AB31">
        <v>43350</v>
      </c>
      <c r="AC31">
        <v>191000</v>
      </c>
      <c r="AD31">
        <v>45493</v>
      </c>
      <c r="AE31">
        <v>218708</v>
      </c>
      <c r="AF31">
        <v>76912</v>
      </c>
      <c r="AG31">
        <v>18637</v>
      </c>
      <c r="AH31">
        <v>323258</v>
      </c>
      <c r="AI31">
        <v>20510</v>
      </c>
      <c r="AJ31">
        <v>387032</v>
      </c>
      <c r="AK31">
        <v>26895</v>
      </c>
      <c r="AL31">
        <v>131547</v>
      </c>
      <c r="AM31">
        <v>2176641</v>
      </c>
      <c r="AN31">
        <v>131211</v>
      </c>
      <c r="AO31">
        <v>2354937</v>
      </c>
      <c r="AP31">
        <v>152105</v>
      </c>
      <c r="AQ31">
        <v>127836</v>
      </c>
      <c r="AR31">
        <v>545694</v>
      </c>
      <c r="AS31">
        <v>128452</v>
      </c>
      <c r="AT31">
        <v>565481</v>
      </c>
      <c r="AU31">
        <v>57326</v>
      </c>
      <c r="AV31">
        <v>56008</v>
      </c>
      <c r="AW31">
        <v>500928</v>
      </c>
      <c r="AX31">
        <v>66126</v>
      </c>
      <c r="AY31">
        <v>570545</v>
      </c>
      <c r="AZ31">
        <v>138114</v>
      </c>
      <c r="BA31">
        <v>125239</v>
      </c>
      <c r="BB31">
        <v>873956</v>
      </c>
      <c r="BC31">
        <v>99762</v>
      </c>
      <c r="BD31">
        <v>880346</v>
      </c>
      <c r="BE31">
        <v>252376</v>
      </c>
      <c r="BF31">
        <v>88160</v>
      </c>
      <c r="BG31">
        <v>472443</v>
      </c>
      <c r="BH31">
        <v>94754</v>
      </c>
      <c r="BI31">
        <v>679156</v>
      </c>
      <c r="BJ31">
        <v>76552</v>
      </c>
      <c r="BK31">
        <v>973472</v>
      </c>
      <c r="BL31">
        <v>2142383</v>
      </c>
      <c r="BM31">
        <v>982675</v>
      </c>
      <c r="BN31">
        <v>2347896</v>
      </c>
      <c r="BO31">
        <v>1866195</v>
      </c>
      <c r="BP31">
        <v>76227</v>
      </c>
      <c r="BQ31">
        <v>387134</v>
      </c>
      <c r="BR31">
        <v>120406</v>
      </c>
      <c r="BS31">
        <v>452704</v>
      </c>
      <c r="BT31">
        <v>571735</v>
      </c>
      <c r="BU31">
        <v>22297</v>
      </c>
      <c r="BV31">
        <v>611389</v>
      </c>
      <c r="BW31">
        <v>23772</v>
      </c>
      <c r="BX31">
        <v>658963</v>
      </c>
      <c r="BY31">
        <v>134992</v>
      </c>
      <c r="BZ31">
        <v>60197992</v>
      </c>
      <c r="CA31">
        <v>3423228</v>
      </c>
      <c r="CB31">
        <v>58815531</v>
      </c>
      <c r="CC31">
        <v>4372511</v>
      </c>
      <c r="CD31">
        <v>14382087</v>
      </c>
      <c r="CE31">
        <v>818967</v>
      </c>
      <c r="CF31">
        <v>3341606</v>
      </c>
      <c r="CG31">
        <v>673982</v>
      </c>
      <c r="CH31">
        <v>3054164</v>
      </c>
      <c r="CI31">
        <v>4103331</v>
      </c>
      <c r="CJ31">
        <v>1440100</v>
      </c>
      <c r="CK31">
        <v>2452215</v>
      </c>
      <c r="CL31">
        <v>1956870</v>
      </c>
      <c r="CM31">
        <v>2899995</v>
      </c>
      <c r="CN31">
        <v>8796328</v>
      </c>
      <c r="CO31">
        <v>30260808</v>
      </c>
      <c r="CP31">
        <v>227403</v>
      </c>
      <c r="CQ31">
        <v>10451378</v>
      </c>
      <c r="CR31">
        <v>30821307</v>
      </c>
      <c r="CS31">
        <v>209318</v>
      </c>
      <c r="CT31">
        <v>10102301</v>
      </c>
      <c r="CU31">
        <v>69877407</v>
      </c>
      <c r="CV31">
        <v>9900447</v>
      </c>
      <c r="CW31">
        <v>13623</v>
      </c>
      <c r="CX31">
        <v>1011835</v>
      </c>
      <c r="CY31">
        <v>9621364</v>
      </c>
      <c r="CZ31">
        <v>13570</v>
      </c>
      <c r="DA31">
        <v>959966</v>
      </c>
      <c r="DB31">
        <v>8247918</v>
      </c>
    </row>
    <row r="32" spans="1:106" x14ac:dyDescent="0.4">
      <c r="A32" s="1" t="s">
        <v>52</v>
      </c>
      <c r="B32" s="1" t="s">
        <v>53</v>
      </c>
      <c r="C32">
        <v>1901836</v>
      </c>
      <c r="D32">
        <v>1217803</v>
      </c>
      <c r="E32">
        <v>1850557</v>
      </c>
      <c r="F32">
        <v>1304878</v>
      </c>
      <c r="G32">
        <v>7007218</v>
      </c>
      <c r="H32">
        <v>112459</v>
      </c>
      <c r="I32">
        <v>519620</v>
      </c>
      <c r="J32">
        <v>110281</v>
      </c>
      <c r="K32">
        <v>538399</v>
      </c>
      <c r="L32">
        <v>391135</v>
      </c>
      <c r="M32">
        <v>8038</v>
      </c>
      <c r="N32">
        <v>597824</v>
      </c>
      <c r="O32">
        <v>8173</v>
      </c>
      <c r="P32">
        <v>604655</v>
      </c>
      <c r="Q32">
        <v>6376</v>
      </c>
      <c r="R32">
        <v>3267</v>
      </c>
      <c r="S32">
        <v>919121</v>
      </c>
      <c r="T32">
        <v>3271</v>
      </c>
      <c r="U32">
        <v>909118</v>
      </c>
      <c r="V32">
        <v>729</v>
      </c>
      <c r="W32">
        <v>2028677</v>
      </c>
      <c r="X32">
        <v>2882358</v>
      </c>
      <c r="Y32">
        <v>1988384</v>
      </c>
      <c r="Z32">
        <v>2884582</v>
      </c>
      <c r="AA32">
        <v>13691842</v>
      </c>
      <c r="AB32">
        <v>49162</v>
      </c>
      <c r="AC32">
        <v>203261</v>
      </c>
      <c r="AD32">
        <v>51057</v>
      </c>
      <c r="AE32">
        <v>231145</v>
      </c>
      <c r="AF32">
        <v>77328</v>
      </c>
      <c r="AG32">
        <v>21455</v>
      </c>
      <c r="AH32">
        <v>390342</v>
      </c>
      <c r="AI32">
        <v>22976</v>
      </c>
      <c r="AJ32">
        <v>511057</v>
      </c>
      <c r="AK32">
        <v>25406</v>
      </c>
      <c r="AL32">
        <v>141702</v>
      </c>
      <c r="AM32">
        <v>2397295</v>
      </c>
      <c r="AN32">
        <v>142582</v>
      </c>
      <c r="AO32">
        <v>2643929</v>
      </c>
      <c r="AP32">
        <v>149174</v>
      </c>
      <c r="AQ32">
        <v>126057</v>
      </c>
      <c r="AR32">
        <v>545328</v>
      </c>
      <c r="AS32">
        <v>124790</v>
      </c>
      <c r="AT32">
        <v>558064</v>
      </c>
      <c r="AU32">
        <v>59478</v>
      </c>
      <c r="AV32">
        <v>89693</v>
      </c>
      <c r="AW32">
        <v>614497</v>
      </c>
      <c r="AX32">
        <v>102419</v>
      </c>
      <c r="AY32">
        <v>739147</v>
      </c>
      <c r="AZ32">
        <v>133088</v>
      </c>
      <c r="BA32">
        <v>120456</v>
      </c>
      <c r="BB32">
        <v>909220</v>
      </c>
      <c r="BC32">
        <v>104251</v>
      </c>
      <c r="BD32">
        <v>960905</v>
      </c>
      <c r="BE32">
        <v>252426</v>
      </c>
      <c r="BF32">
        <v>110727</v>
      </c>
      <c r="BG32">
        <v>501164</v>
      </c>
      <c r="BH32">
        <v>116056</v>
      </c>
      <c r="BI32">
        <v>743474</v>
      </c>
      <c r="BJ32">
        <v>72278</v>
      </c>
      <c r="BK32">
        <v>1013775</v>
      </c>
      <c r="BL32">
        <v>2318414</v>
      </c>
      <c r="BM32">
        <v>973664</v>
      </c>
      <c r="BN32">
        <v>2462244</v>
      </c>
      <c r="BO32">
        <v>1853640</v>
      </c>
      <c r="BP32">
        <v>81475</v>
      </c>
      <c r="BQ32">
        <v>439170</v>
      </c>
      <c r="BR32">
        <v>73083</v>
      </c>
      <c r="BS32">
        <v>584369</v>
      </c>
      <c r="BT32">
        <v>591296</v>
      </c>
      <c r="BU32">
        <v>24874</v>
      </c>
      <c r="BV32">
        <v>701854</v>
      </c>
      <c r="BW32">
        <v>26950</v>
      </c>
      <c r="BX32">
        <v>792955</v>
      </c>
      <c r="BY32">
        <v>134636</v>
      </c>
      <c r="BZ32">
        <v>59952516</v>
      </c>
      <c r="CA32">
        <v>4061403</v>
      </c>
      <c r="CB32">
        <v>60821497</v>
      </c>
      <c r="CC32">
        <v>4972889</v>
      </c>
      <c r="CD32">
        <v>13619571</v>
      </c>
      <c r="CE32">
        <v>993559</v>
      </c>
      <c r="CF32">
        <v>4083937</v>
      </c>
      <c r="CG32">
        <v>712086</v>
      </c>
      <c r="CH32">
        <v>3340899</v>
      </c>
      <c r="CI32">
        <v>4134923</v>
      </c>
      <c r="CJ32">
        <v>1791999</v>
      </c>
      <c r="CK32">
        <v>2815230</v>
      </c>
      <c r="CL32">
        <v>2199980</v>
      </c>
      <c r="CM32">
        <v>3610399</v>
      </c>
      <c r="CN32">
        <v>8450559</v>
      </c>
      <c r="CO32">
        <v>38208024</v>
      </c>
      <c r="CP32">
        <v>293438</v>
      </c>
      <c r="CQ32">
        <v>12730702</v>
      </c>
      <c r="CR32">
        <v>39188802</v>
      </c>
      <c r="CS32">
        <v>274956</v>
      </c>
      <c r="CT32">
        <v>12763514</v>
      </c>
      <c r="CU32">
        <v>68745222</v>
      </c>
      <c r="CV32">
        <v>11663077</v>
      </c>
      <c r="CW32">
        <v>15620</v>
      </c>
      <c r="CX32">
        <v>1100451</v>
      </c>
      <c r="CY32">
        <v>12055982</v>
      </c>
      <c r="CZ32">
        <v>18191</v>
      </c>
      <c r="DA32">
        <v>1250093</v>
      </c>
      <c r="DB32">
        <v>8108981</v>
      </c>
    </row>
    <row r="33" spans="1:106" x14ac:dyDescent="0.4">
      <c r="A33" s="1" t="s">
        <v>54</v>
      </c>
      <c r="B33" s="1" t="s">
        <v>55</v>
      </c>
      <c r="C33">
        <v>1926091</v>
      </c>
      <c r="D33">
        <v>1258702</v>
      </c>
      <c r="E33">
        <v>1984542</v>
      </c>
      <c r="F33">
        <v>1463318</v>
      </c>
      <c r="G33">
        <v>6953994</v>
      </c>
      <c r="H33">
        <v>107304</v>
      </c>
      <c r="I33">
        <v>526953</v>
      </c>
      <c r="J33">
        <v>116272</v>
      </c>
      <c r="K33">
        <v>556872</v>
      </c>
      <c r="L33">
        <v>369591</v>
      </c>
      <c r="M33">
        <v>8283</v>
      </c>
      <c r="N33">
        <v>613612</v>
      </c>
      <c r="O33">
        <v>8495</v>
      </c>
      <c r="P33">
        <v>622749</v>
      </c>
      <c r="Q33">
        <v>6354</v>
      </c>
      <c r="R33">
        <v>3276</v>
      </c>
      <c r="S33">
        <v>907480</v>
      </c>
      <c r="T33">
        <v>3364</v>
      </c>
      <c r="U33">
        <v>898340</v>
      </c>
      <c r="V33">
        <v>641</v>
      </c>
      <c r="W33">
        <v>2114110</v>
      </c>
      <c r="X33">
        <v>3039897</v>
      </c>
      <c r="Y33">
        <v>2467700</v>
      </c>
      <c r="Z33">
        <v>3333848</v>
      </c>
      <c r="AA33">
        <v>13337167</v>
      </c>
      <c r="AB33">
        <v>47498</v>
      </c>
      <c r="AC33">
        <v>203539</v>
      </c>
      <c r="AD33">
        <v>49396</v>
      </c>
      <c r="AE33">
        <v>232131</v>
      </c>
      <c r="AF33">
        <v>75407</v>
      </c>
      <c r="AG33">
        <v>24026</v>
      </c>
      <c r="AH33">
        <v>426756</v>
      </c>
      <c r="AI33">
        <v>25752</v>
      </c>
      <c r="AJ33">
        <v>539975</v>
      </c>
      <c r="AK33">
        <v>23443</v>
      </c>
      <c r="AL33">
        <v>139996</v>
      </c>
      <c r="AM33">
        <v>2452935</v>
      </c>
      <c r="AN33">
        <v>134112</v>
      </c>
      <c r="AO33">
        <v>2682739</v>
      </c>
      <c r="AP33">
        <v>153885</v>
      </c>
      <c r="AQ33">
        <v>124919</v>
      </c>
      <c r="AR33">
        <v>560851</v>
      </c>
      <c r="AS33">
        <v>124907</v>
      </c>
      <c r="AT33">
        <v>583378</v>
      </c>
      <c r="AU33">
        <v>60280</v>
      </c>
      <c r="AV33">
        <v>74556</v>
      </c>
      <c r="AW33">
        <v>578829</v>
      </c>
      <c r="AX33">
        <v>76411</v>
      </c>
      <c r="AY33">
        <v>686055</v>
      </c>
      <c r="AZ33">
        <v>135761</v>
      </c>
      <c r="BA33">
        <v>124855</v>
      </c>
      <c r="BB33">
        <v>980272</v>
      </c>
      <c r="BC33">
        <v>120013</v>
      </c>
      <c r="BD33">
        <v>1069587</v>
      </c>
      <c r="BE33">
        <v>247192</v>
      </c>
      <c r="BF33">
        <v>105789</v>
      </c>
      <c r="BG33">
        <v>495129</v>
      </c>
      <c r="BH33">
        <v>109373</v>
      </c>
      <c r="BI33">
        <v>773755</v>
      </c>
      <c r="BJ33">
        <v>72135</v>
      </c>
      <c r="BK33">
        <v>1112109</v>
      </c>
      <c r="BL33">
        <v>2488618</v>
      </c>
      <c r="BM33">
        <v>1113537</v>
      </c>
      <c r="BN33">
        <v>2608648</v>
      </c>
      <c r="BO33">
        <v>1831160</v>
      </c>
      <c r="BP33">
        <v>164406</v>
      </c>
      <c r="BQ33">
        <v>480453</v>
      </c>
      <c r="BR33">
        <v>93082</v>
      </c>
      <c r="BS33">
        <v>681612</v>
      </c>
      <c r="BT33">
        <v>670747</v>
      </c>
      <c r="BU33">
        <v>25369</v>
      </c>
      <c r="BV33">
        <v>693164</v>
      </c>
      <c r="BW33">
        <v>29155</v>
      </c>
      <c r="BX33">
        <v>878193</v>
      </c>
      <c r="BY33">
        <v>132530</v>
      </c>
      <c r="BZ33">
        <v>73171201</v>
      </c>
      <c r="CA33">
        <v>4203742</v>
      </c>
      <c r="CB33">
        <v>73837459</v>
      </c>
      <c r="CC33">
        <v>5547893</v>
      </c>
      <c r="CD33">
        <v>13086500</v>
      </c>
      <c r="CE33">
        <v>996963</v>
      </c>
      <c r="CF33">
        <v>4160453</v>
      </c>
      <c r="CG33">
        <v>801819</v>
      </c>
      <c r="CH33">
        <v>3655758</v>
      </c>
      <c r="CI33">
        <v>4091580</v>
      </c>
      <c r="CJ33">
        <v>2245336</v>
      </c>
      <c r="CK33">
        <v>3157758</v>
      </c>
      <c r="CL33">
        <v>2279471</v>
      </c>
      <c r="CM33">
        <v>3528104</v>
      </c>
      <c r="CN33">
        <v>8797603</v>
      </c>
      <c r="CO33">
        <v>41534087</v>
      </c>
      <c r="CP33">
        <v>302113</v>
      </c>
      <c r="CQ33">
        <v>12945636</v>
      </c>
      <c r="CR33">
        <v>42357106</v>
      </c>
      <c r="CS33">
        <v>263091</v>
      </c>
      <c r="CT33">
        <v>13119060</v>
      </c>
      <c r="CU33">
        <v>67365252</v>
      </c>
      <c r="CV33">
        <v>10911763</v>
      </c>
      <c r="CW33">
        <v>15585</v>
      </c>
      <c r="CX33">
        <v>1038927</v>
      </c>
      <c r="CY33">
        <v>11953505</v>
      </c>
      <c r="CZ33">
        <v>21592</v>
      </c>
      <c r="DA33">
        <v>1354785</v>
      </c>
      <c r="DB33">
        <v>7517065</v>
      </c>
    </row>
    <row r="34" spans="1:106" x14ac:dyDescent="0.4">
      <c r="A34" s="1" t="s">
        <v>56</v>
      </c>
      <c r="B34" s="1" t="s">
        <v>57</v>
      </c>
      <c r="C34">
        <v>1869352</v>
      </c>
      <c r="D34">
        <v>1260537</v>
      </c>
      <c r="E34">
        <v>1856282</v>
      </c>
      <c r="F34">
        <v>1312251</v>
      </c>
      <c r="G34">
        <v>6970555</v>
      </c>
      <c r="H34">
        <v>102888</v>
      </c>
      <c r="I34">
        <v>484720</v>
      </c>
      <c r="J34">
        <v>105800</v>
      </c>
      <c r="K34">
        <v>498001</v>
      </c>
      <c r="L34">
        <v>363667</v>
      </c>
      <c r="M34">
        <v>7686</v>
      </c>
      <c r="N34">
        <v>556083</v>
      </c>
      <c r="O34">
        <v>7858</v>
      </c>
      <c r="P34">
        <v>563240</v>
      </c>
      <c r="Q34">
        <v>6372</v>
      </c>
      <c r="R34">
        <v>2901</v>
      </c>
      <c r="S34">
        <v>896465</v>
      </c>
      <c r="T34">
        <v>2839</v>
      </c>
      <c r="U34">
        <v>872137</v>
      </c>
      <c r="V34">
        <v>703</v>
      </c>
      <c r="W34">
        <v>2010502</v>
      </c>
      <c r="X34">
        <v>2885772</v>
      </c>
      <c r="Y34">
        <v>2230442</v>
      </c>
      <c r="Z34">
        <v>3153050</v>
      </c>
      <c r="AA34">
        <v>13119843</v>
      </c>
      <c r="AB34">
        <v>45873</v>
      </c>
      <c r="AC34">
        <v>197001</v>
      </c>
      <c r="AD34">
        <v>46075</v>
      </c>
      <c r="AE34">
        <v>217412</v>
      </c>
      <c r="AF34">
        <v>61158</v>
      </c>
      <c r="AG34">
        <v>21228</v>
      </c>
      <c r="AH34">
        <v>382298</v>
      </c>
      <c r="AI34">
        <v>21169</v>
      </c>
      <c r="AJ34">
        <v>464285</v>
      </c>
      <c r="AK34">
        <v>23674</v>
      </c>
      <c r="AL34">
        <v>129648</v>
      </c>
      <c r="AM34">
        <v>2309948</v>
      </c>
      <c r="AN34">
        <v>122850</v>
      </c>
      <c r="AO34">
        <v>2439784</v>
      </c>
      <c r="AP34">
        <v>157574</v>
      </c>
      <c r="AQ34">
        <v>118215</v>
      </c>
      <c r="AR34">
        <v>510322</v>
      </c>
      <c r="AS34">
        <v>117100</v>
      </c>
      <c r="AT34">
        <v>527510</v>
      </c>
      <c r="AU34">
        <v>62166</v>
      </c>
      <c r="AV34">
        <v>68089</v>
      </c>
      <c r="AW34">
        <v>551556</v>
      </c>
      <c r="AX34">
        <v>76146</v>
      </c>
      <c r="AY34">
        <v>622989</v>
      </c>
      <c r="AZ34">
        <v>145099</v>
      </c>
      <c r="BA34">
        <v>130358</v>
      </c>
      <c r="BB34">
        <v>956143</v>
      </c>
      <c r="BC34">
        <v>120245</v>
      </c>
      <c r="BD34">
        <v>1007988</v>
      </c>
      <c r="BE34">
        <v>247990</v>
      </c>
      <c r="BF34">
        <v>97673</v>
      </c>
      <c r="BG34">
        <v>502727</v>
      </c>
      <c r="BH34">
        <v>101476</v>
      </c>
      <c r="BI34">
        <v>737197</v>
      </c>
      <c r="BJ34">
        <v>72512</v>
      </c>
      <c r="BK34">
        <v>1118551</v>
      </c>
      <c r="BL34">
        <v>2429139</v>
      </c>
      <c r="BM34">
        <v>1112462</v>
      </c>
      <c r="BN34">
        <v>2636935</v>
      </c>
      <c r="BO34">
        <v>1894970</v>
      </c>
      <c r="BP34">
        <v>48978</v>
      </c>
      <c r="BQ34">
        <v>422757</v>
      </c>
      <c r="BR34">
        <v>152088</v>
      </c>
      <c r="BS34">
        <v>541072</v>
      </c>
      <c r="BT34">
        <v>579562</v>
      </c>
      <c r="BU34">
        <v>25479</v>
      </c>
      <c r="BV34">
        <v>690912</v>
      </c>
      <c r="BW34">
        <v>27443</v>
      </c>
      <c r="BX34">
        <v>793083</v>
      </c>
      <c r="BY34">
        <v>131791</v>
      </c>
      <c r="BZ34">
        <v>60669590</v>
      </c>
      <c r="CA34">
        <v>3927564</v>
      </c>
      <c r="CB34">
        <v>60693092</v>
      </c>
      <c r="CC34">
        <v>5095359</v>
      </c>
      <c r="CD34">
        <v>13199836</v>
      </c>
      <c r="CE34">
        <v>933198</v>
      </c>
      <c r="CF34">
        <v>3865923</v>
      </c>
      <c r="CG34">
        <v>805037</v>
      </c>
      <c r="CH34">
        <v>3598383</v>
      </c>
      <c r="CI34">
        <v>3991725</v>
      </c>
      <c r="CJ34">
        <v>1908174</v>
      </c>
      <c r="CK34">
        <v>2772250</v>
      </c>
      <c r="CL34">
        <v>2214672</v>
      </c>
      <c r="CM34">
        <v>3201089</v>
      </c>
      <c r="CN34">
        <v>8722063</v>
      </c>
      <c r="CO34">
        <v>35016702</v>
      </c>
      <c r="CP34">
        <v>287907</v>
      </c>
      <c r="CQ34">
        <v>12295915</v>
      </c>
      <c r="CR34">
        <v>36151238</v>
      </c>
      <c r="CS34">
        <v>266077</v>
      </c>
      <c r="CT34">
        <v>12246927</v>
      </c>
      <c r="CU34">
        <v>66196832</v>
      </c>
      <c r="CV34">
        <v>10989211</v>
      </c>
      <c r="CW34">
        <v>15371</v>
      </c>
      <c r="CX34">
        <v>1025039</v>
      </c>
      <c r="CY34">
        <v>11237097</v>
      </c>
      <c r="CZ34">
        <v>18125</v>
      </c>
      <c r="DA34">
        <v>1142278</v>
      </c>
      <c r="DB34">
        <v>7634638</v>
      </c>
    </row>
    <row r="35" spans="1:106" x14ac:dyDescent="0.4">
      <c r="A35" s="1" t="s">
        <v>58</v>
      </c>
      <c r="B35" s="1" t="s">
        <v>59</v>
      </c>
      <c r="C35">
        <v>1857592</v>
      </c>
      <c r="D35">
        <v>1255046</v>
      </c>
      <c r="E35">
        <v>1919744</v>
      </c>
      <c r="F35">
        <v>1342797</v>
      </c>
      <c r="G35">
        <v>6912132</v>
      </c>
      <c r="H35">
        <v>95090</v>
      </c>
      <c r="I35">
        <v>464128</v>
      </c>
      <c r="J35">
        <v>102534</v>
      </c>
      <c r="K35">
        <v>513596</v>
      </c>
      <c r="L35">
        <v>354161</v>
      </c>
      <c r="M35">
        <v>8222</v>
      </c>
      <c r="N35">
        <v>603741</v>
      </c>
      <c r="O35">
        <v>8411</v>
      </c>
      <c r="P35">
        <v>609796</v>
      </c>
      <c r="Q35">
        <v>6373</v>
      </c>
      <c r="R35">
        <v>3224</v>
      </c>
      <c r="S35">
        <v>943010</v>
      </c>
      <c r="T35">
        <v>3310</v>
      </c>
      <c r="U35">
        <v>900097</v>
      </c>
      <c r="V35">
        <v>617</v>
      </c>
      <c r="W35">
        <v>1921612</v>
      </c>
      <c r="X35">
        <v>2932832</v>
      </c>
      <c r="Y35">
        <v>2192403</v>
      </c>
      <c r="Z35">
        <v>3150637</v>
      </c>
      <c r="AA35">
        <v>12855187</v>
      </c>
      <c r="AB35">
        <v>46564</v>
      </c>
      <c r="AC35">
        <v>199581</v>
      </c>
      <c r="AD35">
        <v>47007</v>
      </c>
      <c r="AE35">
        <v>223679</v>
      </c>
      <c r="AF35">
        <v>62523</v>
      </c>
      <c r="AG35">
        <v>22893</v>
      </c>
      <c r="AH35">
        <v>415427</v>
      </c>
      <c r="AI35">
        <v>22196</v>
      </c>
      <c r="AJ35">
        <v>495665</v>
      </c>
      <c r="AK35">
        <v>24328</v>
      </c>
      <c r="AL35">
        <v>144204</v>
      </c>
      <c r="AM35">
        <v>2470621</v>
      </c>
      <c r="AN35">
        <v>143707</v>
      </c>
      <c r="AO35">
        <v>2622830</v>
      </c>
      <c r="AP35">
        <v>157960</v>
      </c>
      <c r="AQ35">
        <v>130143</v>
      </c>
      <c r="AR35">
        <v>556982</v>
      </c>
      <c r="AS35">
        <v>134750</v>
      </c>
      <c r="AT35">
        <v>601221</v>
      </c>
      <c r="AU35">
        <v>58435</v>
      </c>
      <c r="AV35">
        <v>79064</v>
      </c>
      <c r="AW35">
        <v>589235</v>
      </c>
      <c r="AX35">
        <v>100816</v>
      </c>
      <c r="AY35">
        <v>627371</v>
      </c>
      <c r="AZ35">
        <v>140211</v>
      </c>
      <c r="BA35">
        <v>125396</v>
      </c>
      <c r="BB35">
        <v>966903</v>
      </c>
      <c r="BC35">
        <v>117611</v>
      </c>
      <c r="BD35">
        <v>1023617</v>
      </c>
      <c r="BE35">
        <v>250986</v>
      </c>
      <c r="BF35">
        <v>129394</v>
      </c>
      <c r="BG35">
        <v>564210</v>
      </c>
      <c r="BH35">
        <v>123626</v>
      </c>
      <c r="BI35">
        <v>784241</v>
      </c>
      <c r="BJ35">
        <v>75427</v>
      </c>
      <c r="BK35">
        <v>1027794</v>
      </c>
      <c r="BL35">
        <v>2427886</v>
      </c>
      <c r="BM35">
        <v>1010240</v>
      </c>
      <c r="BN35">
        <v>2524300</v>
      </c>
      <c r="BO35">
        <v>1892605</v>
      </c>
      <c r="BP35">
        <v>87355</v>
      </c>
      <c r="BQ35">
        <v>418949</v>
      </c>
      <c r="BR35">
        <v>82378</v>
      </c>
      <c r="BS35">
        <v>557782</v>
      </c>
      <c r="BT35">
        <v>594233</v>
      </c>
      <c r="BU35">
        <v>26816</v>
      </c>
      <c r="BV35">
        <v>683818</v>
      </c>
      <c r="BW35">
        <v>29620</v>
      </c>
      <c r="BX35">
        <v>799468</v>
      </c>
      <c r="BY35">
        <v>128725</v>
      </c>
      <c r="BZ35">
        <v>62486000</v>
      </c>
      <c r="CA35">
        <v>4031065</v>
      </c>
      <c r="CB35">
        <v>61751676</v>
      </c>
      <c r="CC35">
        <v>5308039</v>
      </c>
      <c r="CD35">
        <v>14040949</v>
      </c>
      <c r="CE35">
        <v>975995</v>
      </c>
      <c r="CF35">
        <v>3896884</v>
      </c>
      <c r="CG35">
        <v>750202</v>
      </c>
      <c r="CH35">
        <v>3501180</v>
      </c>
      <c r="CI35">
        <v>3959055</v>
      </c>
      <c r="CJ35">
        <v>2091812</v>
      </c>
      <c r="CK35">
        <v>2917281</v>
      </c>
      <c r="CL35">
        <v>2533593</v>
      </c>
      <c r="CM35">
        <v>3082089</v>
      </c>
      <c r="CN35">
        <v>8529347</v>
      </c>
      <c r="CO35">
        <v>33611749</v>
      </c>
      <c r="CP35">
        <v>276336</v>
      </c>
      <c r="CQ35">
        <v>12443969</v>
      </c>
      <c r="CR35">
        <v>36846418</v>
      </c>
      <c r="CS35">
        <v>274736</v>
      </c>
      <c r="CT35">
        <v>13226670</v>
      </c>
      <c r="CU35">
        <v>62186504</v>
      </c>
      <c r="CV35">
        <v>10556395</v>
      </c>
      <c r="CW35">
        <v>14709</v>
      </c>
      <c r="CX35">
        <v>1020071</v>
      </c>
      <c r="CY35">
        <v>11529292</v>
      </c>
      <c r="CZ35">
        <v>20997</v>
      </c>
      <c r="DA35">
        <v>1305667</v>
      </c>
      <c r="DB35">
        <v>6980226</v>
      </c>
    </row>
    <row r="36" spans="1:106" x14ac:dyDescent="0.4">
      <c r="A36" s="1" t="s">
        <v>60</v>
      </c>
      <c r="B36" s="1" t="s">
        <v>61</v>
      </c>
      <c r="C36">
        <v>1821447</v>
      </c>
      <c r="D36">
        <v>1235029</v>
      </c>
      <c r="E36">
        <v>1723439</v>
      </c>
      <c r="F36">
        <v>1294376</v>
      </c>
      <c r="G36">
        <v>7014461</v>
      </c>
      <c r="H36">
        <v>101246</v>
      </c>
      <c r="I36">
        <v>445217</v>
      </c>
      <c r="J36">
        <v>103724</v>
      </c>
      <c r="K36">
        <v>480711</v>
      </c>
      <c r="L36">
        <v>347651</v>
      </c>
      <c r="M36">
        <v>7889</v>
      </c>
      <c r="N36">
        <v>612265</v>
      </c>
      <c r="O36">
        <v>8079</v>
      </c>
      <c r="P36">
        <v>621985</v>
      </c>
      <c r="Q36">
        <v>6373</v>
      </c>
      <c r="R36">
        <v>3117</v>
      </c>
      <c r="S36">
        <v>914152</v>
      </c>
      <c r="T36">
        <v>3119</v>
      </c>
      <c r="U36">
        <v>860341</v>
      </c>
      <c r="V36">
        <v>615</v>
      </c>
      <c r="W36">
        <v>1900158</v>
      </c>
      <c r="X36">
        <v>2828000</v>
      </c>
      <c r="Y36">
        <v>2101173</v>
      </c>
      <c r="Z36">
        <v>2995681</v>
      </c>
      <c r="AA36">
        <v>12658067</v>
      </c>
      <c r="AB36">
        <v>46452</v>
      </c>
      <c r="AC36">
        <v>188289</v>
      </c>
      <c r="AD36">
        <v>47631</v>
      </c>
      <c r="AE36">
        <v>213382</v>
      </c>
      <c r="AF36">
        <v>78853</v>
      </c>
      <c r="AG36">
        <v>22752</v>
      </c>
      <c r="AH36">
        <v>397024</v>
      </c>
      <c r="AI36">
        <v>24696</v>
      </c>
      <c r="AJ36">
        <v>523845</v>
      </c>
      <c r="AK36">
        <v>22145</v>
      </c>
      <c r="AL36">
        <v>152574</v>
      </c>
      <c r="AM36">
        <v>2442811</v>
      </c>
      <c r="AN36">
        <v>152734</v>
      </c>
      <c r="AO36">
        <v>2709167</v>
      </c>
      <c r="AP36">
        <v>157497</v>
      </c>
      <c r="AQ36">
        <v>136964</v>
      </c>
      <c r="AR36">
        <v>560448</v>
      </c>
      <c r="AS36">
        <v>134760</v>
      </c>
      <c r="AT36">
        <v>569273</v>
      </c>
      <c r="AU36">
        <v>58945</v>
      </c>
      <c r="AV36">
        <v>72199</v>
      </c>
      <c r="AW36">
        <v>569536</v>
      </c>
      <c r="AX36">
        <v>84127</v>
      </c>
      <c r="AY36">
        <v>687721</v>
      </c>
      <c r="AZ36">
        <v>150018</v>
      </c>
      <c r="BA36">
        <v>123472</v>
      </c>
      <c r="BB36">
        <v>954944</v>
      </c>
      <c r="BC36">
        <v>110771</v>
      </c>
      <c r="BD36">
        <v>967404</v>
      </c>
      <c r="BE36">
        <v>252569</v>
      </c>
      <c r="BF36">
        <v>129203</v>
      </c>
      <c r="BG36">
        <v>548540</v>
      </c>
      <c r="BH36">
        <v>116756</v>
      </c>
      <c r="BI36">
        <v>734873</v>
      </c>
      <c r="BJ36">
        <v>83352</v>
      </c>
      <c r="BK36">
        <v>1044365</v>
      </c>
      <c r="BL36">
        <v>2342379</v>
      </c>
      <c r="BM36">
        <v>1095449</v>
      </c>
      <c r="BN36">
        <v>2573583</v>
      </c>
      <c r="BO36">
        <v>1836370</v>
      </c>
      <c r="BP36">
        <v>51885</v>
      </c>
      <c r="BQ36">
        <v>418273</v>
      </c>
      <c r="BR36">
        <v>100000</v>
      </c>
      <c r="BS36">
        <v>586502</v>
      </c>
      <c r="BT36">
        <v>557909</v>
      </c>
      <c r="BU36">
        <v>24747</v>
      </c>
      <c r="BV36">
        <v>646306</v>
      </c>
      <c r="BW36">
        <v>28386</v>
      </c>
      <c r="BX36">
        <v>812516</v>
      </c>
      <c r="BY36">
        <v>127400</v>
      </c>
      <c r="BZ36">
        <v>67175195</v>
      </c>
      <c r="CA36">
        <v>4035503</v>
      </c>
      <c r="CB36">
        <v>67255446</v>
      </c>
      <c r="CC36">
        <v>5242400</v>
      </c>
      <c r="CD36">
        <v>14090677</v>
      </c>
      <c r="CE36">
        <v>982230</v>
      </c>
      <c r="CF36">
        <v>3955124</v>
      </c>
      <c r="CG36">
        <v>735217</v>
      </c>
      <c r="CH36">
        <v>3424585</v>
      </c>
      <c r="CI36">
        <v>3958955</v>
      </c>
      <c r="CJ36">
        <v>1779415</v>
      </c>
      <c r="CK36">
        <v>2708867</v>
      </c>
      <c r="CL36">
        <v>2084429</v>
      </c>
      <c r="CM36">
        <v>3225632</v>
      </c>
      <c r="CN36">
        <v>8540272</v>
      </c>
      <c r="CO36">
        <v>35250362</v>
      </c>
      <c r="CP36">
        <v>268179</v>
      </c>
      <c r="CQ36">
        <v>12157324</v>
      </c>
      <c r="CR36">
        <v>37706320</v>
      </c>
      <c r="CS36">
        <v>264140</v>
      </c>
      <c r="CT36">
        <v>13456397</v>
      </c>
      <c r="CU36">
        <v>59893522</v>
      </c>
      <c r="CV36">
        <v>11816662</v>
      </c>
      <c r="CW36">
        <v>18246</v>
      </c>
      <c r="CX36">
        <v>1014759</v>
      </c>
      <c r="CY36">
        <v>12659026</v>
      </c>
      <c r="CZ36">
        <v>21208</v>
      </c>
      <c r="DA36">
        <v>1370447</v>
      </c>
      <c r="DB36">
        <v>6284093</v>
      </c>
    </row>
    <row r="37" spans="1:106" x14ac:dyDescent="0.4">
      <c r="A37" s="1" t="s">
        <v>62</v>
      </c>
      <c r="B37" s="1" t="s">
        <v>63</v>
      </c>
      <c r="C37">
        <v>1900539</v>
      </c>
      <c r="D37">
        <v>1322807</v>
      </c>
      <c r="E37">
        <v>1923459</v>
      </c>
      <c r="F37">
        <v>1385769</v>
      </c>
      <c r="G37">
        <v>6995282</v>
      </c>
      <c r="H37">
        <v>104904</v>
      </c>
      <c r="I37">
        <v>481660</v>
      </c>
      <c r="J37">
        <v>99780</v>
      </c>
      <c r="K37">
        <v>478310</v>
      </c>
      <c r="L37">
        <v>347432</v>
      </c>
      <c r="M37">
        <v>7855</v>
      </c>
      <c r="N37">
        <v>597187</v>
      </c>
      <c r="O37">
        <v>8072</v>
      </c>
      <c r="P37">
        <v>608407</v>
      </c>
      <c r="Q37">
        <v>6346</v>
      </c>
      <c r="R37">
        <v>3062</v>
      </c>
      <c r="S37">
        <v>899786</v>
      </c>
      <c r="T37">
        <v>3183</v>
      </c>
      <c r="U37">
        <v>892408</v>
      </c>
      <c r="V37">
        <v>494</v>
      </c>
      <c r="W37">
        <v>1968020</v>
      </c>
      <c r="X37">
        <v>3057788</v>
      </c>
      <c r="Y37">
        <v>2082192</v>
      </c>
      <c r="Z37">
        <v>3102816</v>
      </c>
      <c r="AA37">
        <v>12551844</v>
      </c>
      <c r="AB37">
        <v>48000</v>
      </c>
      <c r="AC37">
        <v>209718</v>
      </c>
      <c r="AD37">
        <v>48507</v>
      </c>
      <c r="AE37">
        <v>233821</v>
      </c>
      <c r="AF37">
        <v>79168</v>
      </c>
      <c r="AG37">
        <v>22543</v>
      </c>
      <c r="AH37">
        <v>398160</v>
      </c>
      <c r="AI37">
        <v>23476</v>
      </c>
      <c r="AJ37">
        <v>481442</v>
      </c>
      <c r="AK37">
        <v>21280</v>
      </c>
      <c r="AL37">
        <v>153405</v>
      </c>
      <c r="AM37">
        <v>2489961</v>
      </c>
      <c r="AN37">
        <v>149196</v>
      </c>
      <c r="AO37">
        <v>2646192</v>
      </c>
      <c r="AP37">
        <v>162677</v>
      </c>
      <c r="AQ37">
        <v>144887</v>
      </c>
      <c r="AR37">
        <v>590013</v>
      </c>
      <c r="AS37">
        <v>146487</v>
      </c>
      <c r="AT37">
        <v>601019</v>
      </c>
      <c r="AU37">
        <v>57035</v>
      </c>
      <c r="AV37">
        <v>72881</v>
      </c>
      <c r="AW37">
        <v>559255</v>
      </c>
      <c r="AX37">
        <v>82888</v>
      </c>
      <c r="AY37">
        <v>673834</v>
      </c>
      <c r="AZ37">
        <v>152137</v>
      </c>
      <c r="BA37">
        <v>116854</v>
      </c>
      <c r="BB37">
        <v>925128</v>
      </c>
      <c r="BC37">
        <v>105833</v>
      </c>
      <c r="BD37">
        <v>951103</v>
      </c>
      <c r="BE37">
        <v>258152</v>
      </c>
      <c r="BF37">
        <v>142661</v>
      </c>
      <c r="BG37">
        <v>547795</v>
      </c>
      <c r="BH37">
        <v>131262</v>
      </c>
      <c r="BI37">
        <v>742530</v>
      </c>
      <c r="BJ37">
        <v>89827</v>
      </c>
      <c r="BK37">
        <v>967291</v>
      </c>
      <c r="BL37">
        <v>2329179</v>
      </c>
      <c r="BM37">
        <v>1016562</v>
      </c>
      <c r="BN37">
        <v>2449775</v>
      </c>
      <c r="BO37">
        <v>1755139</v>
      </c>
      <c r="BP37">
        <v>93703</v>
      </c>
      <c r="BQ37">
        <v>402121</v>
      </c>
      <c r="BR37">
        <v>109644</v>
      </c>
      <c r="BS37">
        <v>604501</v>
      </c>
      <c r="BT37">
        <v>550596</v>
      </c>
      <c r="BU37">
        <v>25098</v>
      </c>
      <c r="BV37">
        <v>670675</v>
      </c>
      <c r="BW37">
        <v>26750</v>
      </c>
      <c r="BX37">
        <v>788412</v>
      </c>
      <c r="BY37">
        <v>128298</v>
      </c>
      <c r="BZ37">
        <v>66834472</v>
      </c>
      <c r="CA37">
        <v>4111683</v>
      </c>
      <c r="CB37">
        <v>66996512</v>
      </c>
      <c r="CC37">
        <v>5432486</v>
      </c>
      <c r="CD37">
        <v>14049546</v>
      </c>
      <c r="CE37">
        <v>1015121</v>
      </c>
      <c r="CF37">
        <v>4236165</v>
      </c>
      <c r="CG37">
        <v>724724</v>
      </c>
      <c r="CH37">
        <v>3647182</v>
      </c>
      <c r="CI37">
        <v>3985139</v>
      </c>
      <c r="CJ37">
        <v>1782025</v>
      </c>
      <c r="CK37">
        <v>2595893</v>
      </c>
      <c r="CL37">
        <v>1980823</v>
      </c>
      <c r="CM37">
        <v>3479094</v>
      </c>
      <c r="CN37">
        <v>8568994</v>
      </c>
      <c r="CO37">
        <v>35928177</v>
      </c>
      <c r="CP37">
        <v>275540</v>
      </c>
      <c r="CQ37">
        <v>12500784</v>
      </c>
      <c r="CR37">
        <v>38175897</v>
      </c>
      <c r="CS37">
        <v>279633</v>
      </c>
      <c r="CT37">
        <v>13816666</v>
      </c>
      <c r="CU37">
        <v>57633218</v>
      </c>
      <c r="CV37">
        <v>12245391</v>
      </c>
      <c r="CW37">
        <v>19847</v>
      </c>
      <c r="CX37">
        <v>1168816</v>
      </c>
      <c r="CY37">
        <v>13362823</v>
      </c>
      <c r="CZ37">
        <v>26464</v>
      </c>
      <c r="DA37">
        <v>1512749</v>
      </c>
      <c r="DB37">
        <v>7614794</v>
      </c>
    </row>
    <row r="38" spans="1:106" x14ac:dyDescent="0.4">
      <c r="A38" s="1" t="s">
        <v>64</v>
      </c>
      <c r="B38" s="1" t="s">
        <v>65</v>
      </c>
      <c r="C38">
        <v>1940577</v>
      </c>
      <c r="D38">
        <v>1424759</v>
      </c>
      <c r="E38">
        <v>1763542</v>
      </c>
      <c r="F38">
        <v>1403969</v>
      </c>
      <c r="G38">
        <v>7177243</v>
      </c>
      <c r="H38">
        <v>105409</v>
      </c>
      <c r="I38">
        <v>519859</v>
      </c>
      <c r="J38">
        <v>103617</v>
      </c>
      <c r="K38">
        <v>526520</v>
      </c>
      <c r="L38">
        <v>346152</v>
      </c>
      <c r="M38">
        <v>8445</v>
      </c>
      <c r="N38">
        <v>637577</v>
      </c>
      <c r="O38">
        <v>8588</v>
      </c>
      <c r="P38">
        <v>640336</v>
      </c>
      <c r="Q38">
        <v>6393</v>
      </c>
      <c r="R38">
        <v>3262</v>
      </c>
      <c r="S38">
        <v>961770</v>
      </c>
      <c r="T38">
        <v>3225</v>
      </c>
      <c r="U38">
        <v>935387</v>
      </c>
      <c r="V38">
        <v>531</v>
      </c>
      <c r="W38">
        <v>2268030</v>
      </c>
      <c r="X38">
        <v>3559641</v>
      </c>
      <c r="Y38">
        <v>2263799</v>
      </c>
      <c r="Z38">
        <v>3488349</v>
      </c>
      <c r="AA38">
        <v>12558218</v>
      </c>
      <c r="AB38">
        <v>47912</v>
      </c>
      <c r="AC38">
        <v>203989</v>
      </c>
      <c r="AD38">
        <v>49040</v>
      </c>
      <c r="AE38">
        <v>226149</v>
      </c>
      <c r="AF38">
        <v>78165</v>
      </c>
      <c r="AG38">
        <v>27254</v>
      </c>
      <c r="AH38">
        <v>439197</v>
      </c>
      <c r="AI38">
        <v>24952</v>
      </c>
      <c r="AJ38">
        <v>545014</v>
      </c>
      <c r="AK38">
        <v>24090</v>
      </c>
      <c r="AL38">
        <v>158170</v>
      </c>
      <c r="AM38">
        <v>2673484</v>
      </c>
      <c r="AN38">
        <v>148900</v>
      </c>
      <c r="AO38">
        <v>2799335</v>
      </c>
      <c r="AP38">
        <v>168734</v>
      </c>
      <c r="AQ38">
        <v>154521</v>
      </c>
      <c r="AR38">
        <v>646263</v>
      </c>
      <c r="AS38">
        <v>143892</v>
      </c>
      <c r="AT38">
        <v>614708</v>
      </c>
      <c r="AU38">
        <v>67521</v>
      </c>
      <c r="AV38">
        <v>77779</v>
      </c>
      <c r="AW38">
        <v>661708</v>
      </c>
      <c r="AX38">
        <v>112151</v>
      </c>
      <c r="AY38">
        <v>840751</v>
      </c>
      <c r="AZ38">
        <v>135574</v>
      </c>
      <c r="BA38">
        <v>123161</v>
      </c>
      <c r="BB38">
        <v>1007825</v>
      </c>
      <c r="BC38">
        <v>124376</v>
      </c>
      <c r="BD38">
        <v>1075577</v>
      </c>
      <c r="BE38">
        <v>245726</v>
      </c>
      <c r="BF38">
        <v>119718</v>
      </c>
      <c r="BG38">
        <v>522189</v>
      </c>
      <c r="BH38">
        <v>126279</v>
      </c>
      <c r="BI38">
        <v>767268</v>
      </c>
      <c r="BJ38">
        <v>87621</v>
      </c>
      <c r="BK38">
        <v>1018265</v>
      </c>
      <c r="BL38">
        <v>2481093</v>
      </c>
      <c r="BM38">
        <v>1060240</v>
      </c>
      <c r="BN38">
        <v>2753544</v>
      </c>
      <c r="BO38">
        <v>1610092</v>
      </c>
      <c r="BP38">
        <v>102644</v>
      </c>
      <c r="BQ38">
        <v>451544</v>
      </c>
      <c r="BR38">
        <v>119895</v>
      </c>
      <c r="BS38">
        <v>684989</v>
      </c>
      <c r="BT38">
        <v>541980</v>
      </c>
      <c r="BU38">
        <v>30598</v>
      </c>
      <c r="BV38">
        <v>730107</v>
      </c>
      <c r="BW38">
        <v>33286</v>
      </c>
      <c r="BX38">
        <v>925216</v>
      </c>
      <c r="BY38">
        <v>127269</v>
      </c>
      <c r="BZ38">
        <v>72600345</v>
      </c>
      <c r="CA38">
        <v>4412162</v>
      </c>
      <c r="CB38">
        <v>73191696</v>
      </c>
      <c r="CC38">
        <v>6168952</v>
      </c>
      <c r="CD38">
        <v>13592428</v>
      </c>
      <c r="CE38">
        <v>1088169</v>
      </c>
      <c r="CF38">
        <v>4506939</v>
      </c>
      <c r="CG38">
        <v>892186</v>
      </c>
      <c r="CH38">
        <v>4151427</v>
      </c>
      <c r="CI38">
        <v>3885068</v>
      </c>
      <c r="CJ38">
        <v>2134131</v>
      </c>
      <c r="CK38">
        <v>3001271</v>
      </c>
      <c r="CL38">
        <v>2092963</v>
      </c>
      <c r="CM38">
        <v>3803289</v>
      </c>
      <c r="CN38">
        <v>8873002</v>
      </c>
      <c r="CO38">
        <v>40090399</v>
      </c>
      <c r="CP38">
        <v>284811</v>
      </c>
      <c r="CQ38">
        <v>13863772</v>
      </c>
      <c r="CR38">
        <v>45357023</v>
      </c>
      <c r="CS38">
        <v>297669</v>
      </c>
      <c r="CT38">
        <v>16105099</v>
      </c>
      <c r="CU38">
        <v>52559139</v>
      </c>
      <c r="CV38">
        <v>12845145</v>
      </c>
      <c r="CW38">
        <v>21054</v>
      </c>
      <c r="CX38">
        <v>1334235</v>
      </c>
      <c r="CY38">
        <v>13662932</v>
      </c>
      <c r="CZ38">
        <v>26187</v>
      </c>
      <c r="DA38">
        <v>1749655</v>
      </c>
      <c r="DB38">
        <v>7234155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7586-C41E-41DC-9F4B-04F40335B276}">
  <dimension ref="A1:AR40"/>
  <sheetViews>
    <sheetView workbookViewId="0">
      <selection activeCell="C9" sqref="C9"/>
    </sheetView>
  </sheetViews>
  <sheetFormatPr defaultColWidth="15.625" defaultRowHeight="18.75" x14ac:dyDescent="0.4"/>
  <sheetData>
    <row r="1" spans="1:44" x14ac:dyDescent="0.4">
      <c r="A1" s="1" t="s">
        <v>66</v>
      </c>
      <c r="B1" s="1"/>
    </row>
    <row r="2" spans="1:44" x14ac:dyDescent="0.4">
      <c r="A2" s="4" t="str">
        <f>HYPERLINK("#'目次(Contents)'!A3","目次に戻る(Return to Contents)")</f>
        <v>目次に戻る(Return to Contents)</v>
      </c>
      <c r="B2" s="1"/>
    </row>
    <row r="3" spans="1:44" x14ac:dyDescent="0.4">
      <c r="A3" s="1"/>
      <c r="B3" s="2" t="s">
        <v>0</v>
      </c>
      <c r="C3" t="s">
        <v>854</v>
      </c>
      <c r="D3" t="s">
        <v>854</v>
      </c>
      <c r="E3" t="s">
        <v>854</v>
      </c>
      <c r="F3" t="s">
        <v>856</v>
      </c>
      <c r="G3" t="s">
        <v>856</v>
      </c>
      <c r="H3" t="s">
        <v>856</v>
      </c>
      <c r="I3" t="s">
        <v>858</v>
      </c>
      <c r="J3" t="s">
        <v>858</v>
      </c>
      <c r="K3" t="s">
        <v>858</v>
      </c>
      <c r="L3" t="s">
        <v>860</v>
      </c>
      <c r="M3" t="s">
        <v>860</v>
      </c>
      <c r="N3" t="s">
        <v>860</v>
      </c>
      <c r="O3" t="s">
        <v>862</v>
      </c>
      <c r="P3" t="s">
        <v>862</v>
      </c>
      <c r="Q3" t="s">
        <v>862</v>
      </c>
      <c r="R3" t="s">
        <v>864</v>
      </c>
      <c r="S3" t="s">
        <v>864</v>
      </c>
      <c r="T3" t="s">
        <v>864</v>
      </c>
      <c r="U3" t="s">
        <v>866</v>
      </c>
      <c r="V3" t="s">
        <v>866</v>
      </c>
      <c r="W3" t="s">
        <v>866</v>
      </c>
      <c r="X3" t="s">
        <v>868</v>
      </c>
      <c r="Y3" t="s">
        <v>868</v>
      </c>
      <c r="Z3" t="s">
        <v>868</v>
      </c>
      <c r="AA3" t="s">
        <v>870</v>
      </c>
      <c r="AB3" t="s">
        <v>870</v>
      </c>
      <c r="AC3" t="s">
        <v>870</v>
      </c>
      <c r="AD3" t="s">
        <v>872</v>
      </c>
      <c r="AE3" t="s">
        <v>872</v>
      </c>
      <c r="AF3" t="s">
        <v>872</v>
      </c>
      <c r="AG3" t="s">
        <v>874</v>
      </c>
      <c r="AH3" t="s">
        <v>874</v>
      </c>
      <c r="AI3" t="s">
        <v>874</v>
      </c>
      <c r="AJ3" t="s">
        <v>876</v>
      </c>
      <c r="AK3" t="s">
        <v>876</v>
      </c>
      <c r="AL3" t="s">
        <v>876</v>
      </c>
      <c r="AM3" t="s">
        <v>878</v>
      </c>
      <c r="AN3" t="s">
        <v>878</v>
      </c>
      <c r="AO3" t="s">
        <v>878</v>
      </c>
      <c r="AP3" t="s">
        <v>880</v>
      </c>
      <c r="AQ3" t="s">
        <v>880</v>
      </c>
      <c r="AR3" t="s">
        <v>880</v>
      </c>
    </row>
    <row r="4" spans="1:44" x14ac:dyDescent="0.4">
      <c r="A4" s="1"/>
      <c r="B4" s="2" t="s">
        <v>1</v>
      </c>
      <c r="C4" t="s">
        <v>855</v>
      </c>
      <c r="D4" t="s">
        <v>855</v>
      </c>
      <c r="E4" t="s">
        <v>855</v>
      </c>
      <c r="F4" t="s">
        <v>857</v>
      </c>
      <c r="G4" t="s">
        <v>857</v>
      </c>
      <c r="H4" t="s">
        <v>857</v>
      </c>
      <c r="I4" t="s">
        <v>859</v>
      </c>
      <c r="J4" t="s">
        <v>859</v>
      </c>
      <c r="K4" t="s">
        <v>859</v>
      </c>
      <c r="L4" t="s">
        <v>861</v>
      </c>
      <c r="M4" t="s">
        <v>861</v>
      </c>
      <c r="N4" t="s">
        <v>861</v>
      </c>
      <c r="O4" t="s">
        <v>863</v>
      </c>
      <c r="P4" t="s">
        <v>863</v>
      </c>
      <c r="Q4" t="s">
        <v>863</v>
      </c>
      <c r="R4" t="s">
        <v>865</v>
      </c>
      <c r="S4" t="s">
        <v>865</v>
      </c>
      <c r="T4" t="s">
        <v>865</v>
      </c>
      <c r="U4" t="s">
        <v>867</v>
      </c>
      <c r="V4" t="s">
        <v>867</v>
      </c>
      <c r="W4" t="s">
        <v>867</v>
      </c>
      <c r="X4" t="s">
        <v>869</v>
      </c>
      <c r="Y4" t="s">
        <v>869</v>
      </c>
      <c r="Z4" t="s">
        <v>869</v>
      </c>
      <c r="AA4" t="s">
        <v>871</v>
      </c>
      <c r="AB4" t="s">
        <v>871</v>
      </c>
      <c r="AC4" t="s">
        <v>871</v>
      </c>
      <c r="AD4" t="s">
        <v>873</v>
      </c>
      <c r="AE4" t="s">
        <v>873</v>
      </c>
      <c r="AF4" t="s">
        <v>873</v>
      </c>
      <c r="AG4" t="s">
        <v>875</v>
      </c>
      <c r="AH4" t="s">
        <v>875</v>
      </c>
      <c r="AI4" t="s">
        <v>875</v>
      </c>
      <c r="AJ4" t="s">
        <v>877</v>
      </c>
      <c r="AK4" t="s">
        <v>877</v>
      </c>
      <c r="AL4" t="s">
        <v>877</v>
      </c>
      <c r="AM4" t="s">
        <v>879</v>
      </c>
      <c r="AN4" t="s">
        <v>879</v>
      </c>
      <c r="AO4" t="s">
        <v>879</v>
      </c>
      <c r="AP4" t="s">
        <v>881</v>
      </c>
      <c r="AQ4" t="s">
        <v>881</v>
      </c>
      <c r="AR4" t="s">
        <v>881</v>
      </c>
    </row>
    <row r="5" spans="1:4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338</v>
      </c>
      <c r="AO5" t="s">
        <v>257</v>
      </c>
      <c r="AP5" t="s">
        <v>69</v>
      </c>
      <c r="AQ5" t="s">
        <v>338</v>
      </c>
      <c r="AR5" t="s">
        <v>257</v>
      </c>
    </row>
    <row r="6" spans="1:4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340</v>
      </c>
      <c r="AO6" t="s">
        <v>259</v>
      </c>
      <c r="AP6" t="s">
        <v>72</v>
      </c>
      <c r="AQ6" t="s">
        <v>340</v>
      </c>
      <c r="AR6" t="s">
        <v>259</v>
      </c>
    </row>
    <row r="7" spans="1:44" x14ac:dyDescent="0.4">
      <c r="A7" s="1"/>
      <c r="B7" s="2" t="s">
        <v>4</v>
      </c>
      <c r="C7" t="s">
        <v>502</v>
      </c>
      <c r="D7" t="s">
        <v>339</v>
      </c>
      <c r="E7" t="s">
        <v>341</v>
      </c>
      <c r="F7" t="s">
        <v>502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502</v>
      </c>
      <c r="V7" t="s">
        <v>339</v>
      </c>
      <c r="W7" t="s">
        <v>341</v>
      </c>
      <c r="X7" t="s">
        <v>502</v>
      </c>
      <c r="Y7" t="s">
        <v>339</v>
      </c>
      <c r="Z7" t="s">
        <v>341</v>
      </c>
      <c r="AA7" t="s">
        <v>502</v>
      </c>
      <c r="AB7" t="s">
        <v>339</v>
      </c>
      <c r="AC7" t="s">
        <v>341</v>
      </c>
      <c r="AD7" t="s">
        <v>502</v>
      </c>
      <c r="AE7" t="s">
        <v>339</v>
      </c>
      <c r="AF7" t="s">
        <v>341</v>
      </c>
      <c r="AG7" t="s">
        <v>502</v>
      </c>
      <c r="AH7" t="s">
        <v>339</v>
      </c>
      <c r="AI7" t="s">
        <v>341</v>
      </c>
      <c r="AJ7" t="s">
        <v>743</v>
      </c>
      <c r="AK7" t="s">
        <v>339</v>
      </c>
      <c r="AL7" t="s">
        <v>341</v>
      </c>
      <c r="AM7" t="s">
        <v>743</v>
      </c>
      <c r="AN7" t="s">
        <v>339</v>
      </c>
      <c r="AO7" t="s">
        <v>341</v>
      </c>
      <c r="AP7" t="s">
        <v>743</v>
      </c>
      <c r="AQ7" t="s">
        <v>339</v>
      </c>
      <c r="AR7" t="s">
        <v>341</v>
      </c>
    </row>
    <row r="8" spans="1:44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  <c r="AJ8" t="s">
        <v>745</v>
      </c>
      <c r="AK8" t="s">
        <v>339</v>
      </c>
      <c r="AL8" t="s">
        <v>342</v>
      </c>
      <c r="AM8" t="s">
        <v>745</v>
      </c>
      <c r="AN8" t="s">
        <v>339</v>
      </c>
      <c r="AO8" t="s">
        <v>342</v>
      </c>
      <c r="AP8" t="s">
        <v>745</v>
      </c>
      <c r="AQ8" t="s">
        <v>339</v>
      </c>
      <c r="AR8" t="s">
        <v>342</v>
      </c>
    </row>
    <row r="9" spans="1:44" x14ac:dyDescent="0.4">
      <c r="A9" s="1" t="s">
        <v>6</v>
      </c>
      <c r="B9" s="3" t="s">
        <v>7</v>
      </c>
      <c r="C9">
        <v>11937781</v>
      </c>
      <c r="D9">
        <v>6897454</v>
      </c>
      <c r="E9">
        <v>145587191</v>
      </c>
      <c r="F9">
        <v>178310</v>
      </c>
      <c r="G9">
        <v>5408057</v>
      </c>
      <c r="H9">
        <v>12414689</v>
      </c>
      <c r="I9">
        <v>3507464</v>
      </c>
      <c r="J9">
        <v>43427017</v>
      </c>
      <c r="K9">
        <v>57546083</v>
      </c>
      <c r="L9">
        <v>20095938</v>
      </c>
      <c r="M9">
        <v>9418423</v>
      </c>
      <c r="N9">
        <v>32097946</v>
      </c>
      <c r="O9">
        <v>8871</v>
      </c>
      <c r="P9">
        <v>1038693</v>
      </c>
      <c r="Q9">
        <v>4190519</v>
      </c>
      <c r="R9">
        <v>1922646</v>
      </c>
      <c r="S9">
        <v>5043015</v>
      </c>
      <c r="T9">
        <v>18355390</v>
      </c>
      <c r="U9">
        <v>9435370</v>
      </c>
      <c r="V9">
        <v>17642807</v>
      </c>
      <c r="W9">
        <v>24605839</v>
      </c>
      <c r="X9">
        <v>11921846</v>
      </c>
      <c r="Y9">
        <v>19659413</v>
      </c>
      <c r="Z9">
        <v>68150865</v>
      </c>
      <c r="AA9">
        <v>13688497</v>
      </c>
      <c r="AB9">
        <v>12085701</v>
      </c>
      <c r="AC9">
        <v>55338729</v>
      </c>
      <c r="AD9">
        <v>22569784</v>
      </c>
      <c r="AE9">
        <v>20940347</v>
      </c>
      <c r="AF9">
        <v>99046052</v>
      </c>
      <c r="AG9">
        <v>9467577</v>
      </c>
      <c r="AH9">
        <v>6464080</v>
      </c>
      <c r="AI9">
        <v>16580618</v>
      </c>
      <c r="AJ9">
        <v>78732</v>
      </c>
      <c r="AK9">
        <v>19479462</v>
      </c>
      <c r="AL9">
        <v>16221030</v>
      </c>
      <c r="AM9">
        <v>105652</v>
      </c>
      <c r="AN9">
        <v>54642846</v>
      </c>
      <c r="AO9">
        <v>59184812</v>
      </c>
      <c r="AP9">
        <v>56900</v>
      </c>
      <c r="AQ9">
        <v>11628550</v>
      </c>
      <c r="AR9">
        <v>31048554</v>
      </c>
    </row>
    <row r="10" spans="1:44" x14ac:dyDescent="0.4">
      <c r="A10" s="1" t="s">
        <v>8</v>
      </c>
      <c r="B10" s="3" t="s">
        <v>9</v>
      </c>
      <c r="C10">
        <v>14762937</v>
      </c>
      <c r="D10">
        <v>7523107</v>
      </c>
      <c r="E10">
        <v>169119927</v>
      </c>
      <c r="F10">
        <v>167855</v>
      </c>
      <c r="G10">
        <v>4665218</v>
      </c>
      <c r="H10">
        <v>11627934</v>
      </c>
      <c r="I10">
        <v>3591181</v>
      </c>
      <c r="J10">
        <v>44042020</v>
      </c>
      <c r="K10">
        <v>60563434</v>
      </c>
      <c r="L10">
        <v>19449535</v>
      </c>
      <c r="M10">
        <v>8596999</v>
      </c>
      <c r="N10">
        <v>31823804</v>
      </c>
      <c r="O10">
        <v>8265</v>
      </c>
      <c r="P10">
        <v>873091</v>
      </c>
      <c r="Q10">
        <v>4126047</v>
      </c>
      <c r="R10">
        <v>2045530</v>
      </c>
      <c r="S10">
        <v>5294146</v>
      </c>
      <c r="T10">
        <v>19968232</v>
      </c>
      <c r="U10">
        <v>8958923</v>
      </c>
      <c r="V10">
        <v>17395391</v>
      </c>
      <c r="W10">
        <v>24626435</v>
      </c>
      <c r="X10">
        <v>12727845</v>
      </c>
      <c r="Y10">
        <v>21161032</v>
      </c>
      <c r="Z10">
        <v>81052484</v>
      </c>
      <c r="AA10">
        <v>12990936</v>
      </c>
      <c r="AB10">
        <v>12566927</v>
      </c>
      <c r="AC10">
        <v>61104884</v>
      </c>
      <c r="AD10">
        <v>21874430</v>
      </c>
      <c r="AE10">
        <v>20633091</v>
      </c>
      <c r="AF10">
        <v>96676111</v>
      </c>
      <c r="AG10">
        <v>9043412</v>
      </c>
      <c r="AH10">
        <v>6289556</v>
      </c>
      <c r="AI10">
        <v>17489659</v>
      </c>
      <c r="AJ10">
        <v>79686</v>
      </c>
      <c r="AK10">
        <v>19291290</v>
      </c>
      <c r="AL10">
        <v>17010886</v>
      </c>
      <c r="AM10">
        <v>118431</v>
      </c>
      <c r="AN10">
        <v>57431516</v>
      </c>
      <c r="AO10">
        <v>68382611</v>
      </c>
      <c r="AP10">
        <v>58578</v>
      </c>
      <c r="AQ10">
        <v>11360906</v>
      </c>
      <c r="AR10">
        <v>35721857</v>
      </c>
    </row>
    <row r="11" spans="1:44" x14ac:dyDescent="0.4">
      <c r="A11" s="1" t="s">
        <v>10</v>
      </c>
      <c r="B11" s="3" t="s">
        <v>11</v>
      </c>
      <c r="C11">
        <v>10759699</v>
      </c>
      <c r="D11">
        <v>7575380</v>
      </c>
      <c r="E11">
        <v>130029011</v>
      </c>
      <c r="F11">
        <v>189099</v>
      </c>
      <c r="G11">
        <v>4808271</v>
      </c>
      <c r="H11">
        <v>13096928</v>
      </c>
      <c r="I11">
        <v>3295544</v>
      </c>
      <c r="J11">
        <v>43568602</v>
      </c>
      <c r="K11">
        <v>63894757</v>
      </c>
      <c r="L11">
        <v>18058054</v>
      </c>
      <c r="M11">
        <v>8295440</v>
      </c>
      <c r="N11">
        <v>34725428</v>
      </c>
      <c r="O11">
        <v>9248</v>
      </c>
      <c r="P11">
        <v>745331</v>
      </c>
      <c r="Q11">
        <v>4550858</v>
      </c>
      <c r="R11">
        <v>1942969</v>
      </c>
      <c r="S11">
        <v>5756061</v>
      </c>
      <c r="T11">
        <v>22753428</v>
      </c>
      <c r="U11">
        <v>8024978</v>
      </c>
      <c r="V11">
        <v>16626935</v>
      </c>
      <c r="W11">
        <v>25605226</v>
      </c>
      <c r="X11">
        <v>9929932</v>
      </c>
      <c r="Y11">
        <v>17622649</v>
      </c>
      <c r="Z11">
        <v>64873285</v>
      </c>
      <c r="AA11">
        <v>11788554</v>
      </c>
      <c r="AB11">
        <v>12555196</v>
      </c>
      <c r="AC11">
        <v>60197865</v>
      </c>
      <c r="AD11">
        <v>21090351</v>
      </c>
      <c r="AE11">
        <v>20633212</v>
      </c>
      <c r="AF11">
        <v>98826461</v>
      </c>
      <c r="AG11">
        <v>8542907</v>
      </c>
      <c r="AH11">
        <v>5427360</v>
      </c>
      <c r="AI11">
        <v>13687141</v>
      </c>
      <c r="AJ11">
        <v>74747</v>
      </c>
      <c r="AK11">
        <v>18553892</v>
      </c>
      <c r="AL11">
        <v>18267092</v>
      </c>
      <c r="AM11">
        <v>109937</v>
      </c>
      <c r="AN11">
        <v>54826395</v>
      </c>
      <c r="AO11">
        <v>65447582</v>
      </c>
      <c r="AP11">
        <v>57596</v>
      </c>
      <c r="AQ11">
        <v>11298789</v>
      </c>
      <c r="AR11">
        <v>36985494</v>
      </c>
    </row>
    <row r="12" spans="1:44" x14ac:dyDescent="0.4">
      <c r="A12" s="1" t="s">
        <v>12</v>
      </c>
      <c r="B12" s="3" t="s">
        <v>13</v>
      </c>
      <c r="C12">
        <v>12124056</v>
      </c>
      <c r="D12">
        <v>7026041</v>
      </c>
      <c r="E12">
        <v>153819253</v>
      </c>
      <c r="F12">
        <v>158284</v>
      </c>
      <c r="G12">
        <v>4560977</v>
      </c>
      <c r="H12">
        <v>13055136</v>
      </c>
      <c r="I12">
        <v>3041216</v>
      </c>
      <c r="J12">
        <v>35383814</v>
      </c>
      <c r="K12">
        <v>58972360</v>
      </c>
      <c r="L12">
        <v>16714982</v>
      </c>
      <c r="M12">
        <v>8287665</v>
      </c>
      <c r="N12">
        <v>37146961</v>
      </c>
      <c r="O12">
        <v>8199</v>
      </c>
      <c r="P12">
        <v>672250</v>
      </c>
      <c r="Q12">
        <v>4144301</v>
      </c>
      <c r="R12">
        <v>1952516</v>
      </c>
      <c r="S12">
        <v>5793796</v>
      </c>
      <c r="T12">
        <v>24290888</v>
      </c>
      <c r="U12">
        <v>7521255</v>
      </c>
      <c r="V12">
        <v>16260504</v>
      </c>
      <c r="W12">
        <v>25526746</v>
      </c>
      <c r="X12">
        <v>9378812</v>
      </c>
      <c r="Y12">
        <v>18152760</v>
      </c>
      <c r="Z12">
        <v>70074881</v>
      </c>
      <c r="AA12">
        <v>10785410</v>
      </c>
      <c r="AB12">
        <v>11099951</v>
      </c>
      <c r="AC12">
        <v>54742823</v>
      </c>
      <c r="AD12">
        <v>20316206</v>
      </c>
      <c r="AE12">
        <v>19846987</v>
      </c>
      <c r="AF12">
        <v>99039093</v>
      </c>
      <c r="AG12">
        <v>8691376</v>
      </c>
      <c r="AH12">
        <v>5334678</v>
      </c>
      <c r="AI12">
        <v>14370132</v>
      </c>
      <c r="AJ12">
        <v>66624</v>
      </c>
      <c r="AK12">
        <v>17083007</v>
      </c>
      <c r="AL12">
        <v>17788354</v>
      </c>
      <c r="AM12">
        <v>85841</v>
      </c>
      <c r="AN12">
        <v>54886054</v>
      </c>
      <c r="AO12">
        <v>66033406</v>
      </c>
      <c r="AP12">
        <v>51403</v>
      </c>
      <c r="AQ12">
        <v>9445992</v>
      </c>
      <c r="AR12">
        <v>33914147</v>
      </c>
    </row>
    <row r="13" spans="1:44" x14ac:dyDescent="0.4">
      <c r="A13" s="1" t="s">
        <v>14</v>
      </c>
      <c r="B13" s="3" t="s">
        <v>15</v>
      </c>
      <c r="C13">
        <v>12808281</v>
      </c>
      <c r="D13">
        <v>7054247</v>
      </c>
      <c r="E13">
        <v>161487749</v>
      </c>
      <c r="F13">
        <v>148731</v>
      </c>
      <c r="G13">
        <v>4702838</v>
      </c>
      <c r="H13">
        <v>14149799</v>
      </c>
      <c r="I13">
        <v>3179141</v>
      </c>
      <c r="J13">
        <v>35533167</v>
      </c>
      <c r="K13">
        <v>60968769</v>
      </c>
      <c r="L13">
        <v>17103411</v>
      </c>
      <c r="M13">
        <v>8365576</v>
      </c>
      <c r="N13">
        <v>37509478</v>
      </c>
      <c r="O13">
        <v>6798</v>
      </c>
      <c r="P13">
        <v>490482</v>
      </c>
      <c r="Q13">
        <v>3437241</v>
      </c>
      <c r="R13">
        <v>2436004</v>
      </c>
      <c r="S13">
        <v>5975625</v>
      </c>
      <c r="T13">
        <v>25612245</v>
      </c>
      <c r="U13">
        <v>7618279</v>
      </c>
      <c r="V13">
        <v>16359266</v>
      </c>
      <c r="W13">
        <v>25100314</v>
      </c>
      <c r="X13">
        <v>9937621</v>
      </c>
      <c r="Y13">
        <v>20709245</v>
      </c>
      <c r="Z13">
        <v>73877075</v>
      </c>
      <c r="AA13">
        <v>10308586</v>
      </c>
      <c r="AB13">
        <v>10762984</v>
      </c>
      <c r="AC13">
        <v>56683229</v>
      </c>
      <c r="AD13">
        <v>20453323</v>
      </c>
      <c r="AE13">
        <v>19483323</v>
      </c>
      <c r="AF13">
        <v>97410945</v>
      </c>
      <c r="AG13">
        <v>7933381</v>
      </c>
      <c r="AH13">
        <v>4870443</v>
      </c>
      <c r="AI13">
        <v>13637761</v>
      </c>
      <c r="AJ13">
        <v>59828</v>
      </c>
      <c r="AK13">
        <v>15961024</v>
      </c>
      <c r="AL13">
        <v>16860608</v>
      </c>
      <c r="AM13">
        <v>84816</v>
      </c>
      <c r="AN13">
        <v>51527146</v>
      </c>
      <c r="AO13">
        <v>62540689</v>
      </c>
      <c r="AP13">
        <v>43564</v>
      </c>
      <c r="AQ13">
        <v>8343026</v>
      </c>
      <c r="AR13">
        <v>31544857</v>
      </c>
    </row>
    <row r="14" spans="1:44" x14ac:dyDescent="0.4">
      <c r="A14" s="1" t="s">
        <v>16</v>
      </c>
      <c r="B14" s="1" t="s">
        <v>17</v>
      </c>
      <c r="C14">
        <v>874106</v>
      </c>
      <c r="D14">
        <v>595165</v>
      </c>
      <c r="E14">
        <v>11522930</v>
      </c>
      <c r="F14">
        <v>14187</v>
      </c>
      <c r="G14">
        <v>457295</v>
      </c>
      <c r="H14">
        <v>1281306</v>
      </c>
      <c r="I14">
        <v>248956</v>
      </c>
      <c r="J14">
        <v>3098157</v>
      </c>
      <c r="K14">
        <v>5129250</v>
      </c>
      <c r="L14">
        <v>1392351</v>
      </c>
      <c r="M14">
        <v>681988</v>
      </c>
      <c r="N14">
        <v>2932092</v>
      </c>
      <c r="O14">
        <v>534</v>
      </c>
      <c r="P14">
        <v>41372</v>
      </c>
      <c r="Q14">
        <v>257256</v>
      </c>
      <c r="R14">
        <v>147446</v>
      </c>
      <c r="S14">
        <v>514593</v>
      </c>
      <c r="T14">
        <v>2139319</v>
      </c>
      <c r="U14">
        <v>582591</v>
      </c>
      <c r="V14">
        <v>1266933</v>
      </c>
      <c r="W14">
        <v>2059910</v>
      </c>
      <c r="X14">
        <v>717728</v>
      </c>
      <c r="Y14">
        <v>1422254</v>
      </c>
      <c r="Z14">
        <v>5595071</v>
      </c>
      <c r="AA14">
        <v>941027</v>
      </c>
      <c r="AB14">
        <v>1055440</v>
      </c>
      <c r="AC14">
        <v>5321876</v>
      </c>
      <c r="AD14">
        <v>1587182</v>
      </c>
      <c r="AE14">
        <v>1616115</v>
      </c>
      <c r="AF14">
        <v>7611665</v>
      </c>
      <c r="AG14">
        <v>709675</v>
      </c>
      <c r="AH14">
        <v>437349</v>
      </c>
      <c r="AI14">
        <v>1178698</v>
      </c>
      <c r="AJ14">
        <v>6086</v>
      </c>
      <c r="AK14">
        <v>1516082</v>
      </c>
      <c r="AL14">
        <v>1555026</v>
      </c>
      <c r="AM14">
        <v>7043</v>
      </c>
      <c r="AN14">
        <v>4472053</v>
      </c>
      <c r="AO14">
        <v>5410857</v>
      </c>
      <c r="AP14">
        <v>4559</v>
      </c>
      <c r="AQ14">
        <v>785629</v>
      </c>
      <c r="AR14">
        <v>2830617</v>
      </c>
    </row>
    <row r="15" spans="1:44" x14ac:dyDescent="0.4">
      <c r="A15" s="1" t="s">
        <v>18</v>
      </c>
      <c r="B15" s="1" t="s">
        <v>19</v>
      </c>
      <c r="C15">
        <v>851187</v>
      </c>
      <c r="D15">
        <v>567312</v>
      </c>
      <c r="E15">
        <v>11483929</v>
      </c>
      <c r="F15">
        <v>15360</v>
      </c>
      <c r="G15">
        <v>399905</v>
      </c>
      <c r="H15">
        <v>1159000</v>
      </c>
      <c r="I15">
        <v>280852</v>
      </c>
      <c r="J15">
        <v>2823663</v>
      </c>
      <c r="K15">
        <v>4586162</v>
      </c>
      <c r="L15">
        <v>1444712</v>
      </c>
      <c r="M15">
        <v>701143</v>
      </c>
      <c r="N15">
        <v>2991569</v>
      </c>
      <c r="O15">
        <v>932</v>
      </c>
      <c r="P15">
        <v>57160</v>
      </c>
      <c r="Q15">
        <v>461581</v>
      </c>
      <c r="R15">
        <v>153171</v>
      </c>
      <c r="S15">
        <v>509308</v>
      </c>
      <c r="T15">
        <v>2078578</v>
      </c>
      <c r="U15">
        <v>621207</v>
      </c>
      <c r="V15">
        <v>1372758</v>
      </c>
      <c r="W15">
        <v>2171531</v>
      </c>
      <c r="X15">
        <v>747954</v>
      </c>
      <c r="Y15">
        <v>1411306</v>
      </c>
      <c r="Z15">
        <v>5591760</v>
      </c>
      <c r="AA15">
        <v>949926</v>
      </c>
      <c r="AB15">
        <v>967078</v>
      </c>
      <c r="AC15">
        <v>4513746</v>
      </c>
      <c r="AD15">
        <v>1771411</v>
      </c>
      <c r="AE15">
        <v>1715590</v>
      </c>
      <c r="AF15">
        <v>8757853</v>
      </c>
      <c r="AG15">
        <v>738993</v>
      </c>
      <c r="AH15">
        <v>460599</v>
      </c>
      <c r="AI15">
        <v>1202740</v>
      </c>
      <c r="AJ15">
        <v>5751</v>
      </c>
      <c r="AK15">
        <v>1401966</v>
      </c>
      <c r="AL15">
        <v>1445633</v>
      </c>
      <c r="AM15">
        <v>7597</v>
      </c>
      <c r="AN15">
        <v>4626779</v>
      </c>
      <c r="AO15">
        <v>5506850</v>
      </c>
      <c r="AP15">
        <v>4826</v>
      </c>
      <c r="AQ15">
        <v>833110</v>
      </c>
      <c r="AR15">
        <v>3012409</v>
      </c>
    </row>
    <row r="16" spans="1:44" x14ac:dyDescent="0.4">
      <c r="A16" s="1" t="s">
        <v>20</v>
      </c>
      <c r="B16" s="1" t="s">
        <v>21</v>
      </c>
      <c r="C16">
        <v>851932</v>
      </c>
      <c r="D16">
        <v>591862</v>
      </c>
      <c r="E16">
        <v>11540113</v>
      </c>
      <c r="F16">
        <v>15493</v>
      </c>
      <c r="G16">
        <v>413924</v>
      </c>
      <c r="H16">
        <v>1298094</v>
      </c>
      <c r="I16">
        <v>260591</v>
      </c>
      <c r="J16">
        <v>2692528</v>
      </c>
      <c r="K16">
        <v>4664504</v>
      </c>
      <c r="L16">
        <v>1199338</v>
      </c>
      <c r="M16">
        <v>670258</v>
      </c>
      <c r="N16">
        <v>2943500</v>
      </c>
      <c r="O16">
        <v>622</v>
      </c>
      <c r="P16">
        <v>39020</v>
      </c>
      <c r="Q16">
        <v>332542</v>
      </c>
      <c r="R16">
        <v>161105</v>
      </c>
      <c r="S16">
        <v>498711</v>
      </c>
      <c r="T16">
        <v>2081393</v>
      </c>
      <c r="U16">
        <v>630398</v>
      </c>
      <c r="V16">
        <v>1384732</v>
      </c>
      <c r="W16">
        <v>2121113</v>
      </c>
      <c r="X16">
        <v>705314</v>
      </c>
      <c r="Y16">
        <v>1363014</v>
      </c>
      <c r="Z16">
        <v>5439182</v>
      </c>
      <c r="AA16">
        <v>1015076</v>
      </c>
      <c r="AB16">
        <v>933551</v>
      </c>
      <c r="AC16">
        <v>4382659</v>
      </c>
      <c r="AD16">
        <v>1792056</v>
      </c>
      <c r="AE16">
        <v>1688436</v>
      </c>
      <c r="AF16">
        <v>8638761</v>
      </c>
      <c r="AG16">
        <v>715360</v>
      </c>
      <c r="AH16">
        <v>438101</v>
      </c>
      <c r="AI16">
        <v>1137883</v>
      </c>
      <c r="AJ16">
        <v>5898</v>
      </c>
      <c r="AK16">
        <v>1530916</v>
      </c>
      <c r="AL16">
        <v>1529646</v>
      </c>
      <c r="AM16">
        <v>7193</v>
      </c>
      <c r="AN16">
        <v>4511594</v>
      </c>
      <c r="AO16">
        <v>5298045</v>
      </c>
      <c r="AP16">
        <v>4662</v>
      </c>
      <c r="AQ16">
        <v>799859</v>
      </c>
      <c r="AR16">
        <v>3053290</v>
      </c>
    </row>
    <row r="17" spans="1:44" x14ac:dyDescent="0.4">
      <c r="A17" s="1" t="s">
        <v>22</v>
      </c>
      <c r="B17" s="1" t="s">
        <v>23</v>
      </c>
      <c r="C17">
        <v>966447</v>
      </c>
      <c r="D17">
        <v>557394</v>
      </c>
      <c r="E17">
        <v>11932646</v>
      </c>
      <c r="F17">
        <v>13889</v>
      </c>
      <c r="G17">
        <v>395335</v>
      </c>
      <c r="H17">
        <v>1204738</v>
      </c>
      <c r="I17">
        <v>231050</v>
      </c>
      <c r="J17">
        <v>2613245</v>
      </c>
      <c r="K17">
        <v>4438277</v>
      </c>
      <c r="L17">
        <v>1373972</v>
      </c>
      <c r="M17">
        <v>689519</v>
      </c>
      <c r="N17">
        <v>3139088</v>
      </c>
      <c r="O17">
        <v>800</v>
      </c>
      <c r="P17">
        <v>54544</v>
      </c>
      <c r="Q17">
        <v>306476</v>
      </c>
      <c r="R17">
        <v>152080</v>
      </c>
      <c r="S17">
        <v>437091</v>
      </c>
      <c r="T17">
        <v>1933044</v>
      </c>
      <c r="U17">
        <v>628562</v>
      </c>
      <c r="V17">
        <v>1405531</v>
      </c>
      <c r="W17">
        <v>2214144</v>
      </c>
      <c r="X17">
        <v>906061</v>
      </c>
      <c r="Y17">
        <v>1774140</v>
      </c>
      <c r="Z17">
        <v>6920336</v>
      </c>
      <c r="AA17">
        <v>937264</v>
      </c>
      <c r="AB17">
        <v>913676</v>
      </c>
      <c r="AC17">
        <v>4454972</v>
      </c>
      <c r="AD17">
        <v>1749357</v>
      </c>
      <c r="AE17">
        <v>1662451</v>
      </c>
      <c r="AF17">
        <v>8417252</v>
      </c>
      <c r="AG17">
        <v>784277</v>
      </c>
      <c r="AH17">
        <v>476939</v>
      </c>
      <c r="AI17">
        <v>1260188</v>
      </c>
      <c r="AJ17">
        <v>5460</v>
      </c>
      <c r="AK17">
        <v>1395505</v>
      </c>
      <c r="AL17">
        <v>1435999</v>
      </c>
      <c r="AM17">
        <v>7105</v>
      </c>
      <c r="AN17">
        <v>4341661</v>
      </c>
      <c r="AO17">
        <v>5271571</v>
      </c>
      <c r="AP17">
        <v>4457</v>
      </c>
      <c r="AQ17">
        <v>830832</v>
      </c>
      <c r="AR17">
        <v>2979110</v>
      </c>
    </row>
    <row r="18" spans="1:44" x14ac:dyDescent="0.4">
      <c r="A18" s="1" t="s">
        <v>24</v>
      </c>
      <c r="B18" s="1" t="s">
        <v>25</v>
      </c>
      <c r="C18">
        <v>1006435</v>
      </c>
      <c r="D18">
        <v>594935</v>
      </c>
      <c r="E18">
        <v>14474933</v>
      </c>
      <c r="F18">
        <v>15397</v>
      </c>
      <c r="G18">
        <v>394544</v>
      </c>
      <c r="H18">
        <v>1154183</v>
      </c>
      <c r="I18">
        <v>259857</v>
      </c>
      <c r="J18">
        <v>2801328</v>
      </c>
      <c r="K18">
        <v>4829060</v>
      </c>
      <c r="L18">
        <v>1555512</v>
      </c>
      <c r="M18">
        <v>746808</v>
      </c>
      <c r="N18">
        <v>3507346</v>
      </c>
      <c r="O18">
        <v>625</v>
      </c>
      <c r="P18">
        <v>84634</v>
      </c>
      <c r="Q18">
        <v>548681</v>
      </c>
      <c r="R18">
        <v>162152</v>
      </c>
      <c r="S18">
        <v>491078</v>
      </c>
      <c r="T18">
        <v>1996296</v>
      </c>
      <c r="U18">
        <v>704255</v>
      </c>
      <c r="V18">
        <v>1506674</v>
      </c>
      <c r="W18">
        <v>2226375</v>
      </c>
      <c r="X18">
        <v>800637</v>
      </c>
      <c r="Y18">
        <v>1571478</v>
      </c>
      <c r="Z18">
        <v>5588658</v>
      </c>
      <c r="AA18">
        <v>1041529</v>
      </c>
      <c r="AB18">
        <v>936146</v>
      </c>
      <c r="AC18">
        <v>4991374</v>
      </c>
      <c r="AD18">
        <v>1796866</v>
      </c>
      <c r="AE18">
        <v>1700772</v>
      </c>
      <c r="AF18">
        <v>8854281</v>
      </c>
      <c r="AG18">
        <v>757979</v>
      </c>
      <c r="AH18">
        <v>461117</v>
      </c>
      <c r="AI18">
        <v>1247386</v>
      </c>
      <c r="AJ18">
        <v>5923</v>
      </c>
      <c r="AK18">
        <v>1486906</v>
      </c>
      <c r="AL18">
        <v>1521069</v>
      </c>
      <c r="AM18">
        <v>7897</v>
      </c>
      <c r="AN18">
        <v>5053705</v>
      </c>
      <c r="AO18">
        <v>5952118</v>
      </c>
      <c r="AP18">
        <v>4754</v>
      </c>
      <c r="AQ18">
        <v>889868</v>
      </c>
      <c r="AR18">
        <v>3275507</v>
      </c>
    </row>
    <row r="19" spans="1:44" x14ac:dyDescent="0.4">
      <c r="A19" s="1" t="s">
        <v>26</v>
      </c>
      <c r="B19" s="1" t="s">
        <v>27</v>
      </c>
      <c r="C19">
        <v>1014831</v>
      </c>
      <c r="D19">
        <v>534088</v>
      </c>
      <c r="E19">
        <v>11792203</v>
      </c>
      <c r="F19">
        <v>12052</v>
      </c>
      <c r="G19">
        <v>329307</v>
      </c>
      <c r="H19">
        <v>869409</v>
      </c>
      <c r="I19">
        <v>208685</v>
      </c>
      <c r="J19">
        <v>2504486</v>
      </c>
      <c r="K19">
        <v>4302860</v>
      </c>
      <c r="L19">
        <v>1293575</v>
      </c>
      <c r="M19">
        <v>626272</v>
      </c>
      <c r="N19">
        <v>3196102</v>
      </c>
      <c r="O19">
        <v>570</v>
      </c>
      <c r="P19">
        <v>44775</v>
      </c>
      <c r="Q19">
        <v>317974</v>
      </c>
      <c r="R19">
        <v>145887</v>
      </c>
      <c r="S19">
        <v>413251</v>
      </c>
      <c r="T19">
        <v>1699562</v>
      </c>
      <c r="U19">
        <v>546143</v>
      </c>
      <c r="V19">
        <v>1257721</v>
      </c>
      <c r="W19">
        <v>1939975</v>
      </c>
      <c r="X19">
        <v>699927</v>
      </c>
      <c r="Y19">
        <v>1354031</v>
      </c>
      <c r="Z19">
        <v>4932751</v>
      </c>
      <c r="AA19">
        <v>817178</v>
      </c>
      <c r="AB19">
        <v>843897</v>
      </c>
      <c r="AC19">
        <v>3879572</v>
      </c>
      <c r="AD19">
        <v>1467940</v>
      </c>
      <c r="AE19">
        <v>1450731</v>
      </c>
      <c r="AF19">
        <v>6964049</v>
      </c>
      <c r="AG19">
        <v>636594</v>
      </c>
      <c r="AH19">
        <v>385265</v>
      </c>
      <c r="AI19">
        <v>1044510</v>
      </c>
      <c r="AJ19">
        <v>4595</v>
      </c>
      <c r="AK19">
        <v>1247729</v>
      </c>
      <c r="AL19">
        <v>1263591</v>
      </c>
      <c r="AM19">
        <v>6616</v>
      </c>
      <c r="AN19">
        <v>4231043</v>
      </c>
      <c r="AO19">
        <v>5041931</v>
      </c>
      <c r="AP19">
        <v>3240</v>
      </c>
      <c r="AQ19">
        <v>609659</v>
      </c>
      <c r="AR19">
        <v>2305117</v>
      </c>
    </row>
    <row r="20" spans="1:44" x14ac:dyDescent="0.4">
      <c r="A20" s="1" t="s">
        <v>28</v>
      </c>
      <c r="B20" s="1" t="s">
        <v>29</v>
      </c>
      <c r="C20">
        <v>1059707</v>
      </c>
      <c r="D20">
        <v>593957</v>
      </c>
      <c r="E20">
        <v>12656707</v>
      </c>
      <c r="F20">
        <v>13736</v>
      </c>
      <c r="G20">
        <v>436145</v>
      </c>
      <c r="H20">
        <v>1214096</v>
      </c>
      <c r="I20">
        <v>252274</v>
      </c>
      <c r="J20">
        <v>2911615</v>
      </c>
      <c r="K20">
        <v>4853231</v>
      </c>
      <c r="L20">
        <v>1427922</v>
      </c>
      <c r="M20">
        <v>730525</v>
      </c>
      <c r="N20">
        <v>3214699</v>
      </c>
      <c r="O20">
        <v>736</v>
      </c>
      <c r="P20">
        <v>46052</v>
      </c>
      <c r="Q20">
        <v>383953</v>
      </c>
      <c r="R20">
        <v>165663</v>
      </c>
      <c r="S20">
        <v>450806</v>
      </c>
      <c r="T20">
        <v>1967592</v>
      </c>
      <c r="U20">
        <v>619999</v>
      </c>
      <c r="V20">
        <v>1410496</v>
      </c>
      <c r="W20">
        <v>2234941</v>
      </c>
      <c r="X20">
        <v>865185</v>
      </c>
      <c r="Y20">
        <v>1670822</v>
      </c>
      <c r="Z20">
        <v>6343345</v>
      </c>
      <c r="AA20">
        <v>877922</v>
      </c>
      <c r="AB20">
        <v>992064</v>
      </c>
      <c r="AC20">
        <v>5284526</v>
      </c>
      <c r="AD20">
        <v>1643422</v>
      </c>
      <c r="AE20">
        <v>1559471</v>
      </c>
      <c r="AF20">
        <v>8013703</v>
      </c>
      <c r="AG20">
        <v>729469</v>
      </c>
      <c r="AH20">
        <v>445865</v>
      </c>
      <c r="AI20">
        <v>1235385</v>
      </c>
      <c r="AJ20">
        <v>5133</v>
      </c>
      <c r="AK20">
        <v>1366946</v>
      </c>
      <c r="AL20">
        <v>1403318</v>
      </c>
      <c r="AM20">
        <v>6939</v>
      </c>
      <c r="AN20">
        <v>4490924</v>
      </c>
      <c r="AO20">
        <v>5620573</v>
      </c>
      <c r="AP20">
        <v>4273</v>
      </c>
      <c r="AQ20">
        <v>746439</v>
      </c>
      <c r="AR20">
        <v>2583913</v>
      </c>
    </row>
    <row r="21" spans="1:44" x14ac:dyDescent="0.4">
      <c r="A21" s="1" t="s">
        <v>30</v>
      </c>
      <c r="B21" s="1" t="s">
        <v>31</v>
      </c>
      <c r="C21">
        <v>1242995</v>
      </c>
      <c r="D21">
        <v>627850</v>
      </c>
      <c r="E21">
        <v>15420430</v>
      </c>
      <c r="F21">
        <v>11884</v>
      </c>
      <c r="G21">
        <v>364051</v>
      </c>
      <c r="H21">
        <v>972007</v>
      </c>
      <c r="I21">
        <v>284075</v>
      </c>
      <c r="J21">
        <v>3441368</v>
      </c>
      <c r="K21">
        <v>5733541</v>
      </c>
      <c r="L21">
        <v>1471315</v>
      </c>
      <c r="M21">
        <v>751058</v>
      </c>
      <c r="N21">
        <v>3343645</v>
      </c>
      <c r="O21">
        <v>802</v>
      </c>
      <c r="P21">
        <v>109775</v>
      </c>
      <c r="Q21">
        <v>461904</v>
      </c>
      <c r="R21">
        <v>191750</v>
      </c>
      <c r="S21">
        <v>615154</v>
      </c>
      <c r="T21">
        <v>2516555</v>
      </c>
      <c r="U21">
        <v>715070</v>
      </c>
      <c r="V21">
        <v>1527481</v>
      </c>
      <c r="W21">
        <v>2408902</v>
      </c>
      <c r="X21">
        <v>876115</v>
      </c>
      <c r="Y21">
        <v>1711878</v>
      </c>
      <c r="Z21">
        <v>6209925</v>
      </c>
      <c r="AA21">
        <v>970226</v>
      </c>
      <c r="AB21">
        <v>946256</v>
      </c>
      <c r="AC21">
        <v>4617043</v>
      </c>
      <c r="AD21">
        <v>1852579</v>
      </c>
      <c r="AE21">
        <v>1808239</v>
      </c>
      <c r="AF21">
        <v>9382892</v>
      </c>
      <c r="AG21">
        <v>788636</v>
      </c>
      <c r="AH21">
        <v>455353</v>
      </c>
      <c r="AI21">
        <v>1311822</v>
      </c>
      <c r="AJ21">
        <v>5849</v>
      </c>
      <c r="AK21">
        <v>1527706</v>
      </c>
      <c r="AL21">
        <v>1613963</v>
      </c>
      <c r="AM21">
        <v>7647</v>
      </c>
      <c r="AN21">
        <v>5077794</v>
      </c>
      <c r="AO21">
        <v>6168480</v>
      </c>
      <c r="AP21">
        <v>4110</v>
      </c>
      <c r="AQ21">
        <v>735140</v>
      </c>
      <c r="AR21">
        <v>2764374</v>
      </c>
    </row>
    <row r="22" spans="1:44" x14ac:dyDescent="0.4">
      <c r="A22" s="1" t="s">
        <v>32</v>
      </c>
      <c r="B22" s="1" t="s">
        <v>33</v>
      </c>
      <c r="C22">
        <v>1324539</v>
      </c>
      <c r="D22">
        <v>600025</v>
      </c>
      <c r="E22">
        <v>16726848</v>
      </c>
      <c r="F22">
        <v>12793</v>
      </c>
      <c r="G22">
        <v>369091</v>
      </c>
      <c r="H22">
        <v>1095417</v>
      </c>
      <c r="I22">
        <v>261719</v>
      </c>
      <c r="J22">
        <v>3308524</v>
      </c>
      <c r="K22">
        <v>5201325</v>
      </c>
      <c r="L22">
        <v>1439324</v>
      </c>
      <c r="M22">
        <v>696418</v>
      </c>
      <c r="N22">
        <v>3133554</v>
      </c>
      <c r="O22">
        <v>837</v>
      </c>
      <c r="P22">
        <v>53720</v>
      </c>
      <c r="Q22">
        <v>379377</v>
      </c>
      <c r="R22">
        <v>179481</v>
      </c>
      <c r="S22">
        <v>478522</v>
      </c>
      <c r="T22">
        <v>2037227</v>
      </c>
      <c r="U22">
        <v>692188</v>
      </c>
      <c r="V22">
        <v>1429168</v>
      </c>
      <c r="W22">
        <v>2275083</v>
      </c>
      <c r="X22">
        <v>868441</v>
      </c>
      <c r="Y22">
        <v>1666230</v>
      </c>
      <c r="Z22">
        <v>6704646</v>
      </c>
      <c r="AA22">
        <v>876440</v>
      </c>
      <c r="AB22">
        <v>919074</v>
      </c>
      <c r="AC22">
        <v>4688813</v>
      </c>
      <c r="AD22">
        <v>1712542</v>
      </c>
      <c r="AE22">
        <v>1686075</v>
      </c>
      <c r="AF22">
        <v>8589255</v>
      </c>
      <c r="AG22">
        <v>736122</v>
      </c>
      <c r="AH22">
        <v>453121</v>
      </c>
      <c r="AI22">
        <v>1257391</v>
      </c>
      <c r="AJ22">
        <v>5504</v>
      </c>
      <c r="AK22">
        <v>1482376</v>
      </c>
      <c r="AL22">
        <v>1634203</v>
      </c>
      <c r="AM22">
        <v>7133</v>
      </c>
      <c r="AN22">
        <v>4970225</v>
      </c>
      <c r="AO22">
        <v>5929124</v>
      </c>
      <c r="AP22">
        <v>3740</v>
      </c>
      <c r="AQ22">
        <v>781979</v>
      </c>
      <c r="AR22">
        <v>2625892</v>
      </c>
    </row>
    <row r="23" spans="1:44" x14ac:dyDescent="0.4">
      <c r="A23" s="1" t="s">
        <v>34</v>
      </c>
      <c r="B23" s="1" t="s">
        <v>35</v>
      </c>
      <c r="C23">
        <v>1237584</v>
      </c>
      <c r="D23">
        <v>596760</v>
      </c>
      <c r="E23">
        <v>15539288</v>
      </c>
      <c r="F23">
        <v>11755</v>
      </c>
      <c r="G23">
        <v>313685</v>
      </c>
      <c r="H23">
        <v>854556</v>
      </c>
      <c r="I23">
        <v>261441</v>
      </c>
      <c r="J23">
        <v>3259664</v>
      </c>
      <c r="K23">
        <v>5024721</v>
      </c>
      <c r="L23">
        <v>1448118</v>
      </c>
      <c r="M23">
        <v>718410</v>
      </c>
      <c r="N23">
        <v>3249415</v>
      </c>
      <c r="O23">
        <v>672</v>
      </c>
      <c r="P23">
        <v>56330</v>
      </c>
      <c r="Q23">
        <v>258459</v>
      </c>
      <c r="R23">
        <v>181459</v>
      </c>
      <c r="S23">
        <v>476364</v>
      </c>
      <c r="T23">
        <v>2008230</v>
      </c>
      <c r="U23">
        <v>670081</v>
      </c>
      <c r="V23">
        <v>1334063</v>
      </c>
      <c r="W23">
        <v>2037583</v>
      </c>
      <c r="X23">
        <v>767452</v>
      </c>
      <c r="Y23">
        <v>1540133</v>
      </c>
      <c r="Z23">
        <v>6554109</v>
      </c>
      <c r="AA23">
        <v>726207</v>
      </c>
      <c r="AB23">
        <v>937645</v>
      </c>
      <c r="AC23">
        <v>4866885</v>
      </c>
      <c r="AD23">
        <v>1671247</v>
      </c>
      <c r="AE23">
        <v>1656655</v>
      </c>
      <c r="AF23">
        <v>8186031</v>
      </c>
      <c r="AG23">
        <v>729582</v>
      </c>
      <c r="AH23">
        <v>439185</v>
      </c>
      <c r="AI23">
        <v>1230691</v>
      </c>
      <c r="AJ23">
        <v>5160</v>
      </c>
      <c r="AK23">
        <v>1351414</v>
      </c>
      <c r="AL23">
        <v>1415213</v>
      </c>
      <c r="AM23">
        <v>6976</v>
      </c>
      <c r="AN23">
        <v>4689594</v>
      </c>
      <c r="AO23">
        <v>5611129</v>
      </c>
      <c r="AP23">
        <v>4049</v>
      </c>
      <c r="AQ23">
        <v>753379</v>
      </c>
      <c r="AR23">
        <v>2647147</v>
      </c>
    </row>
    <row r="24" spans="1:44" x14ac:dyDescent="0.4">
      <c r="A24" s="1" t="s">
        <v>36</v>
      </c>
      <c r="B24" s="1" t="s">
        <v>37</v>
      </c>
      <c r="C24">
        <v>1284578</v>
      </c>
      <c r="D24">
        <v>564744</v>
      </c>
      <c r="E24">
        <v>14908970</v>
      </c>
      <c r="F24">
        <v>11503</v>
      </c>
      <c r="G24">
        <v>391803</v>
      </c>
      <c r="H24">
        <v>1102350</v>
      </c>
      <c r="I24">
        <v>257235</v>
      </c>
      <c r="J24">
        <v>3065572</v>
      </c>
      <c r="K24">
        <v>5163888</v>
      </c>
      <c r="L24">
        <v>1398151</v>
      </c>
      <c r="M24">
        <v>655129</v>
      </c>
      <c r="N24">
        <v>2937535</v>
      </c>
      <c r="O24">
        <v>578</v>
      </c>
      <c r="P24">
        <v>50688</v>
      </c>
      <c r="Q24">
        <v>268903</v>
      </c>
      <c r="R24">
        <v>180145</v>
      </c>
      <c r="S24">
        <v>407326</v>
      </c>
      <c r="T24">
        <v>1739201</v>
      </c>
      <c r="U24">
        <v>648887</v>
      </c>
      <c r="V24">
        <v>1361749</v>
      </c>
      <c r="W24">
        <v>2117054</v>
      </c>
      <c r="X24">
        <v>823525</v>
      </c>
      <c r="Y24">
        <v>1618520</v>
      </c>
      <c r="Z24">
        <v>6316893</v>
      </c>
      <c r="AA24">
        <v>779832</v>
      </c>
      <c r="AB24">
        <v>814938</v>
      </c>
      <c r="AC24">
        <v>4249710</v>
      </c>
      <c r="AD24">
        <v>1612689</v>
      </c>
      <c r="AE24">
        <v>1565630</v>
      </c>
      <c r="AF24">
        <v>7849576</v>
      </c>
      <c r="AG24">
        <v>647805</v>
      </c>
      <c r="AH24">
        <v>384130</v>
      </c>
      <c r="AI24">
        <v>1060168</v>
      </c>
      <c r="AJ24">
        <v>5075</v>
      </c>
      <c r="AK24">
        <v>1296736</v>
      </c>
      <c r="AL24">
        <v>1387858</v>
      </c>
      <c r="AM24">
        <v>6996</v>
      </c>
      <c r="AN24">
        <v>4598272</v>
      </c>
      <c r="AO24">
        <v>5590346</v>
      </c>
      <c r="AP24">
        <v>3674</v>
      </c>
      <c r="AQ24">
        <v>724527</v>
      </c>
      <c r="AR24">
        <v>2482014</v>
      </c>
    </row>
    <row r="25" spans="1:44" x14ac:dyDescent="0.4">
      <c r="A25" s="1" t="s">
        <v>38</v>
      </c>
      <c r="B25" s="1" t="s">
        <v>39</v>
      </c>
      <c r="C25">
        <v>1118170</v>
      </c>
      <c r="D25">
        <v>613919</v>
      </c>
      <c r="E25">
        <v>15175197</v>
      </c>
      <c r="F25">
        <v>11750</v>
      </c>
      <c r="G25">
        <v>400691</v>
      </c>
      <c r="H25">
        <v>1273344</v>
      </c>
      <c r="I25">
        <v>254081</v>
      </c>
      <c r="J25">
        <v>3222071</v>
      </c>
      <c r="K25">
        <v>5259592</v>
      </c>
      <c r="L25">
        <v>1439891</v>
      </c>
      <c r="M25">
        <v>658628</v>
      </c>
      <c r="N25">
        <v>2956409</v>
      </c>
      <c r="O25">
        <v>750</v>
      </c>
      <c r="P25">
        <v>40009</v>
      </c>
      <c r="Q25">
        <v>269224</v>
      </c>
      <c r="R25">
        <v>165646</v>
      </c>
      <c r="S25">
        <v>514500</v>
      </c>
      <c r="T25">
        <v>2098906</v>
      </c>
      <c r="U25">
        <v>662463</v>
      </c>
      <c r="V25">
        <v>1360371</v>
      </c>
      <c r="W25">
        <v>2089887</v>
      </c>
      <c r="X25">
        <v>748347</v>
      </c>
      <c r="Y25">
        <v>1540673</v>
      </c>
      <c r="Z25">
        <v>6023359</v>
      </c>
      <c r="AA25">
        <v>896191</v>
      </c>
      <c r="AB25">
        <v>864836</v>
      </c>
      <c r="AC25">
        <v>4514694</v>
      </c>
      <c r="AD25">
        <v>1536522</v>
      </c>
      <c r="AE25">
        <v>1525975</v>
      </c>
      <c r="AF25">
        <v>7482984</v>
      </c>
      <c r="AG25">
        <v>643948</v>
      </c>
      <c r="AH25">
        <v>397299</v>
      </c>
      <c r="AI25">
        <v>1070703</v>
      </c>
      <c r="AJ25">
        <v>4894</v>
      </c>
      <c r="AK25">
        <v>1318986</v>
      </c>
      <c r="AL25">
        <v>1367962</v>
      </c>
      <c r="AM25">
        <v>6780</v>
      </c>
      <c r="AN25">
        <v>4171923</v>
      </c>
      <c r="AO25">
        <v>5248774</v>
      </c>
      <c r="AP25">
        <v>3579</v>
      </c>
      <c r="AQ25">
        <v>670402</v>
      </c>
      <c r="AR25">
        <v>2513766</v>
      </c>
    </row>
    <row r="26" spans="1:44" x14ac:dyDescent="0.4">
      <c r="A26" s="1" t="s">
        <v>40</v>
      </c>
      <c r="B26" s="1" t="s">
        <v>41</v>
      </c>
      <c r="C26">
        <v>1023243</v>
      </c>
      <c r="D26">
        <v>625295</v>
      </c>
      <c r="E26">
        <v>14344823</v>
      </c>
      <c r="F26">
        <v>13902</v>
      </c>
      <c r="G26">
        <v>446175</v>
      </c>
      <c r="H26">
        <v>1466923</v>
      </c>
      <c r="I26">
        <v>249312</v>
      </c>
      <c r="J26">
        <v>2810790</v>
      </c>
      <c r="K26">
        <v>5261725</v>
      </c>
      <c r="L26">
        <v>1525846</v>
      </c>
      <c r="M26">
        <v>759194</v>
      </c>
      <c r="N26">
        <v>3368203</v>
      </c>
      <c r="O26">
        <v>717</v>
      </c>
      <c r="P26">
        <v>52401</v>
      </c>
      <c r="Q26">
        <v>384775</v>
      </c>
      <c r="R26">
        <v>162659</v>
      </c>
      <c r="S26">
        <v>533179</v>
      </c>
      <c r="T26">
        <v>2255474</v>
      </c>
      <c r="U26">
        <v>658823</v>
      </c>
      <c r="V26">
        <v>1423471</v>
      </c>
      <c r="W26">
        <v>2187383</v>
      </c>
      <c r="X26">
        <v>876401</v>
      </c>
      <c r="Y26">
        <v>1832415</v>
      </c>
      <c r="Z26">
        <v>6518056</v>
      </c>
      <c r="AA26">
        <v>883382</v>
      </c>
      <c r="AB26">
        <v>1037249</v>
      </c>
      <c r="AC26">
        <v>5227568</v>
      </c>
      <c r="AD26">
        <v>1732166</v>
      </c>
      <c r="AE26">
        <v>1626975</v>
      </c>
      <c r="AF26">
        <v>8143518</v>
      </c>
      <c r="AG26">
        <v>686286</v>
      </c>
      <c r="AH26">
        <v>398925</v>
      </c>
      <c r="AI26">
        <v>1124284</v>
      </c>
      <c r="AJ26">
        <v>4921</v>
      </c>
      <c r="AK26">
        <v>1312205</v>
      </c>
      <c r="AL26">
        <v>1251251</v>
      </c>
      <c r="AM26">
        <v>7109</v>
      </c>
      <c r="AN26">
        <v>4505823</v>
      </c>
      <c r="AO26">
        <v>5634584</v>
      </c>
      <c r="AP26">
        <v>3608</v>
      </c>
      <c r="AQ26">
        <v>720775</v>
      </c>
      <c r="AR26">
        <v>2635873</v>
      </c>
    </row>
    <row r="27" spans="1:44" x14ac:dyDescent="0.4">
      <c r="A27" s="1" t="s">
        <v>42</v>
      </c>
      <c r="B27" s="1" t="s">
        <v>43</v>
      </c>
      <c r="C27">
        <v>1099725</v>
      </c>
      <c r="D27">
        <v>606533</v>
      </c>
      <c r="E27">
        <v>14466934</v>
      </c>
      <c r="F27">
        <v>13504</v>
      </c>
      <c r="G27">
        <v>388147</v>
      </c>
      <c r="H27">
        <v>1191538</v>
      </c>
      <c r="I27">
        <v>309095</v>
      </c>
      <c r="J27">
        <v>2995560</v>
      </c>
      <c r="K27">
        <v>5050558</v>
      </c>
      <c r="L27">
        <v>1533324</v>
      </c>
      <c r="M27">
        <v>744335</v>
      </c>
      <c r="N27">
        <v>3295170</v>
      </c>
      <c r="O27">
        <v>514</v>
      </c>
      <c r="P27">
        <v>37790</v>
      </c>
      <c r="Q27">
        <v>306809</v>
      </c>
      <c r="R27">
        <v>170373</v>
      </c>
      <c r="S27">
        <v>509860</v>
      </c>
      <c r="T27">
        <v>2145519</v>
      </c>
      <c r="U27">
        <v>705547</v>
      </c>
      <c r="V27">
        <v>1485733</v>
      </c>
      <c r="W27">
        <v>2125318</v>
      </c>
      <c r="X27">
        <v>803913</v>
      </c>
      <c r="Y27">
        <v>1623776</v>
      </c>
      <c r="Z27">
        <v>5662587</v>
      </c>
      <c r="AA27">
        <v>903621</v>
      </c>
      <c r="AB27">
        <v>914819</v>
      </c>
      <c r="AC27">
        <v>4602135</v>
      </c>
      <c r="AD27">
        <v>1846595</v>
      </c>
      <c r="AE27">
        <v>1758879</v>
      </c>
      <c r="AF27">
        <v>9005334</v>
      </c>
      <c r="AG27">
        <v>697762</v>
      </c>
      <c r="AH27">
        <v>416166</v>
      </c>
      <c r="AI27">
        <v>1219832</v>
      </c>
      <c r="AJ27">
        <v>5352</v>
      </c>
      <c r="AK27">
        <v>1444282</v>
      </c>
      <c r="AL27">
        <v>1461032</v>
      </c>
      <c r="AM27">
        <v>7351</v>
      </c>
      <c r="AN27">
        <v>4544937</v>
      </c>
      <c r="AO27">
        <v>5321218</v>
      </c>
      <c r="AP27">
        <v>3759</v>
      </c>
      <c r="AQ27">
        <v>831036</v>
      </c>
      <c r="AR27">
        <v>2709546</v>
      </c>
    </row>
    <row r="28" spans="1:44" x14ac:dyDescent="0.4">
      <c r="A28" s="1" t="s">
        <v>44</v>
      </c>
      <c r="B28" s="1" t="s">
        <v>45</v>
      </c>
      <c r="C28">
        <v>1031453</v>
      </c>
      <c r="D28">
        <v>585612</v>
      </c>
      <c r="E28">
        <v>12810075</v>
      </c>
      <c r="F28">
        <v>13522</v>
      </c>
      <c r="G28">
        <v>369432</v>
      </c>
      <c r="H28">
        <v>1128599</v>
      </c>
      <c r="I28">
        <v>260766</v>
      </c>
      <c r="J28">
        <v>2630021</v>
      </c>
      <c r="K28">
        <v>4718677</v>
      </c>
      <c r="L28">
        <v>1407642</v>
      </c>
      <c r="M28">
        <v>703044</v>
      </c>
      <c r="N28">
        <v>3199319</v>
      </c>
      <c r="O28">
        <v>537</v>
      </c>
      <c r="P28">
        <v>37955</v>
      </c>
      <c r="Q28">
        <v>234840</v>
      </c>
      <c r="R28">
        <v>159246</v>
      </c>
      <c r="S28">
        <v>489082</v>
      </c>
      <c r="T28">
        <v>2099744</v>
      </c>
      <c r="U28">
        <v>698079</v>
      </c>
      <c r="V28">
        <v>1433339</v>
      </c>
      <c r="W28">
        <v>2252679</v>
      </c>
      <c r="X28">
        <v>800714</v>
      </c>
      <c r="Y28">
        <v>1652292</v>
      </c>
      <c r="Z28">
        <v>5690974</v>
      </c>
      <c r="AA28">
        <v>885567</v>
      </c>
      <c r="AB28">
        <v>856016</v>
      </c>
      <c r="AC28">
        <v>4513608</v>
      </c>
      <c r="AD28">
        <v>1714020</v>
      </c>
      <c r="AE28">
        <v>1641466</v>
      </c>
      <c r="AF28">
        <v>8325366</v>
      </c>
      <c r="AG28">
        <v>648269</v>
      </c>
      <c r="AH28">
        <v>381963</v>
      </c>
      <c r="AI28">
        <v>1087324</v>
      </c>
      <c r="AJ28">
        <v>4784</v>
      </c>
      <c r="AK28">
        <v>1250010</v>
      </c>
      <c r="AL28">
        <v>1344762</v>
      </c>
      <c r="AM28">
        <v>7284</v>
      </c>
      <c r="AN28">
        <v>4365396</v>
      </c>
      <c r="AO28">
        <v>5332615</v>
      </c>
      <c r="AP28">
        <v>3445</v>
      </c>
      <c r="AQ28">
        <v>715060</v>
      </c>
      <c r="AR28">
        <v>2615417</v>
      </c>
    </row>
    <row r="29" spans="1:44" x14ac:dyDescent="0.4">
      <c r="A29" s="1" t="s">
        <v>46</v>
      </c>
      <c r="B29" s="1" t="s">
        <v>47</v>
      </c>
      <c r="C29">
        <v>1101816</v>
      </c>
      <c r="D29">
        <v>595861</v>
      </c>
      <c r="E29">
        <v>13111632</v>
      </c>
      <c r="F29">
        <v>13402</v>
      </c>
      <c r="G29">
        <v>413548</v>
      </c>
      <c r="H29">
        <v>1193442</v>
      </c>
      <c r="I29">
        <v>255177</v>
      </c>
      <c r="J29">
        <v>2612461</v>
      </c>
      <c r="K29">
        <v>4722672</v>
      </c>
      <c r="L29">
        <v>1508817</v>
      </c>
      <c r="M29">
        <v>745872</v>
      </c>
      <c r="N29">
        <v>3284587</v>
      </c>
      <c r="O29">
        <v>589</v>
      </c>
      <c r="P29">
        <v>53670</v>
      </c>
      <c r="Q29">
        <v>363892</v>
      </c>
      <c r="R29">
        <v>178575</v>
      </c>
      <c r="S29">
        <v>498746</v>
      </c>
      <c r="T29">
        <v>2139216</v>
      </c>
      <c r="U29">
        <v>672736</v>
      </c>
      <c r="V29">
        <v>1409360</v>
      </c>
      <c r="W29">
        <v>2051333</v>
      </c>
      <c r="X29">
        <v>917902</v>
      </c>
      <c r="Y29">
        <v>1832296</v>
      </c>
      <c r="Z29">
        <v>5992051</v>
      </c>
      <c r="AA29">
        <v>943287</v>
      </c>
      <c r="AB29">
        <v>941474</v>
      </c>
      <c r="AC29">
        <v>4857477</v>
      </c>
      <c r="AD29">
        <v>1804381</v>
      </c>
      <c r="AE29">
        <v>1686797</v>
      </c>
      <c r="AF29">
        <v>8636731</v>
      </c>
      <c r="AG29">
        <v>675531</v>
      </c>
      <c r="AH29">
        <v>419862</v>
      </c>
      <c r="AI29">
        <v>1198571</v>
      </c>
      <c r="AJ29">
        <v>5675</v>
      </c>
      <c r="AK29">
        <v>1483623</v>
      </c>
      <c r="AL29">
        <v>1568933</v>
      </c>
      <c r="AM29">
        <v>7291</v>
      </c>
      <c r="AN29">
        <v>4355248</v>
      </c>
      <c r="AO29">
        <v>5313538</v>
      </c>
      <c r="AP29">
        <v>3719</v>
      </c>
      <c r="AQ29">
        <v>709206</v>
      </c>
      <c r="AR29">
        <v>2644241</v>
      </c>
    </row>
    <row r="30" spans="1:44" x14ac:dyDescent="0.4">
      <c r="A30" s="1" t="s">
        <v>48</v>
      </c>
      <c r="B30" s="1" t="s">
        <v>49</v>
      </c>
      <c r="C30">
        <v>1205980</v>
      </c>
      <c r="D30">
        <v>643855</v>
      </c>
      <c r="E30">
        <v>14529605</v>
      </c>
      <c r="F30">
        <v>12542</v>
      </c>
      <c r="G30">
        <v>493508</v>
      </c>
      <c r="H30">
        <v>1351436</v>
      </c>
      <c r="I30">
        <v>280768</v>
      </c>
      <c r="J30">
        <v>2808371</v>
      </c>
      <c r="K30">
        <v>4942945</v>
      </c>
      <c r="L30">
        <v>1486926</v>
      </c>
      <c r="M30">
        <v>715984</v>
      </c>
      <c r="N30">
        <v>3096295</v>
      </c>
      <c r="O30">
        <v>407</v>
      </c>
      <c r="P30">
        <v>34921</v>
      </c>
      <c r="Q30">
        <v>365269</v>
      </c>
      <c r="R30">
        <v>192093</v>
      </c>
      <c r="S30">
        <v>514285</v>
      </c>
      <c r="T30">
        <v>2192771</v>
      </c>
      <c r="U30">
        <v>717496</v>
      </c>
      <c r="V30">
        <v>1536809</v>
      </c>
      <c r="W30">
        <v>2340090</v>
      </c>
      <c r="X30">
        <v>882841</v>
      </c>
      <c r="Y30">
        <v>1761328</v>
      </c>
      <c r="Z30">
        <v>6029474</v>
      </c>
      <c r="AA30">
        <v>920983</v>
      </c>
      <c r="AB30">
        <v>903575</v>
      </c>
      <c r="AC30">
        <v>4903832</v>
      </c>
      <c r="AD30">
        <v>1826493</v>
      </c>
      <c r="AE30">
        <v>1694708</v>
      </c>
      <c r="AF30">
        <v>8703152</v>
      </c>
      <c r="AG30">
        <v>682896</v>
      </c>
      <c r="AH30">
        <v>420801</v>
      </c>
      <c r="AI30">
        <v>1198718</v>
      </c>
      <c r="AJ30">
        <v>4834</v>
      </c>
      <c r="AK30">
        <v>1302366</v>
      </c>
      <c r="AL30">
        <v>1407974</v>
      </c>
      <c r="AM30">
        <v>7821</v>
      </c>
      <c r="AN30">
        <v>4534753</v>
      </c>
      <c r="AO30">
        <v>5343488</v>
      </c>
      <c r="AP30">
        <v>3710</v>
      </c>
      <c r="AQ30">
        <v>713198</v>
      </c>
      <c r="AR30">
        <v>2795743</v>
      </c>
    </row>
    <row r="31" spans="1:44" x14ac:dyDescent="0.4">
      <c r="A31" s="1" t="s">
        <v>50</v>
      </c>
      <c r="B31" s="1" t="s">
        <v>51</v>
      </c>
      <c r="C31">
        <v>959378</v>
      </c>
      <c r="D31">
        <v>531422</v>
      </c>
      <c r="E31">
        <v>11542646</v>
      </c>
      <c r="F31">
        <v>9693</v>
      </c>
      <c r="G31">
        <v>294903</v>
      </c>
      <c r="H31">
        <v>947682</v>
      </c>
      <c r="I31">
        <v>227882</v>
      </c>
      <c r="J31">
        <v>2464910</v>
      </c>
      <c r="K31">
        <v>4308258</v>
      </c>
      <c r="L31">
        <v>1221647</v>
      </c>
      <c r="M31">
        <v>618556</v>
      </c>
      <c r="N31">
        <v>2689140</v>
      </c>
      <c r="O31">
        <v>444</v>
      </c>
      <c r="P31">
        <v>34980</v>
      </c>
      <c r="Q31">
        <v>274835</v>
      </c>
      <c r="R31">
        <v>194279</v>
      </c>
      <c r="S31">
        <v>480753</v>
      </c>
      <c r="T31">
        <v>2062814</v>
      </c>
      <c r="U31">
        <v>511730</v>
      </c>
      <c r="V31">
        <v>1159096</v>
      </c>
      <c r="W31">
        <v>1843479</v>
      </c>
      <c r="X31">
        <v>727775</v>
      </c>
      <c r="Y31">
        <v>1543400</v>
      </c>
      <c r="Z31">
        <v>5321165</v>
      </c>
      <c r="AA31">
        <v>700375</v>
      </c>
      <c r="AB31">
        <v>801770</v>
      </c>
      <c r="AC31">
        <v>4457207</v>
      </c>
      <c r="AD31">
        <v>1500643</v>
      </c>
      <c r="AE31">
        <v>1420357</v>
      </c>
      <c r="AF31">
        <v>6966299</v>
      </c>
      <c r="AG31">
        <v>591992</v>
      </c>
      <c r="AH31">
        <v>354192</v>
      </c>
      <c r="AI31">
        <v>960112</v>
      </c>
      <c r="AJ31">
        <v>3763</v>
      </c>
      <c r="AK31">
        <v>1015315</v>
      </c>
      <c r="AL31">
        <v>1107060</v>
      </c>
      <c r="AM31">
        <v>6329</v>
      </c>
      <c r="AN31">
        <v>3811377</v>
      </c>
      <c r="AO31">
        <v>4543537</v>
      </c>
      <c r="AP31">
        <v>3087</v>
      </c>
      <c r="AQ31">
        <v>594549</v>
      </c>
      <c r="AR31">
        <v>2289115</v>
      </c>
    </row>
    <row r="32" spans="1:44" x14ac:dyDescent="0.4">
      <c r="A32" s="1" t="s">
        <v>52</v>
      </c>
      <c r="B32" s="1" t="s">
        <v>53</v>
      </c>
      <c r="C32">
        <v>1082534</v>
      </c>
      <c r="D32">
        <v>579764</v>
      </c>
      <c r="E32">
        <v>13049020</v>
      </c>
      <c r="F32">
        <v>12182</v>
      </c>
      <c r="G32">
        <v>394895</v>
      </c>
      <c r="H32">
        <v>1187000</v>
      </c>
      <c r="I32">
        <v>297268</v>
      </c>
      <c r="J32">
        <v>3237118</v>
      </c>
      <c r="K32">
        <v>5197686</v>
      </c>
      <c r="L32">
        <v>1365563</v>
      </c>
      <c r="M32">
        <v>690576</v>
      </c>
      <c r="N32">
        <v>3030383</v>
      </c>
      <c r="O32">
        <v>632</v>
      </c>
      <c r="P32">
        <v>46956</v>
      </c>
      <c r="Q32">
        <v>328333</v>
      </c>
      <c r="R32">
        <v>236690</v>
      </c>
      <c r="S32">
        <v>495015</v>
      </c>
      <c r="T32">
        <v>2222170</v>
      </c>
      <c r="U32">
        <v>613129</v>
      </c>
      <c r="V32">
        <v>1297413</v>
      </c>
      <c r="W32">
        <v>2088557</v>
      </c>
      <c r="X32">
        <v>852828</v>
      </c>
      <c r="Y32">
        <v>1793716</v>
      </c>
      <c r="Z32">
        <v>6143903</v>
      </c>
      <c r="AA32">
        <v>864458</v>
      </c>
      <c r="AB32">
        <v>971709</v>
      </c>
      <c r="AC32">
        <v>5129024</v>
      </c>
      <c r="AD32">
        <v>1689634</v>
      </c>
      <c r="AE32">
        <v>1602172</v>
      </c>
      <c r="AF32">
        <v>7915070</v>
      </c>
      <c r="AG32">
        <v>653440</v>
      </c>
      <c r="AH32">
        <v>415887</v>
      </c>
      <c r="AI32">
        <v>1141777</v>
      </c>
      <c r="AJ32">
        <v>5168</v>
      </c>
      <c r="AK32">
        <v>1388867</v>
      </c>
      <c r="AL32">
        <v>1480957</v>
      </c>
      <c r="AM32">
        <v>7288</v>
      </c>
      <c r="AN32">
        <v>4223592</v>
      </c>
      <c r="AO32">
        <v>5009683</v>
      </c>
      <c r="AP32">
        <v>3716</v>
      </c>
      <c r="AQ32">
        <v>661437</v>
      </c>
      <c r="AR32">
        <v>2726883</v>
      </c>
    </row>
    <row r="33" spans="1:44" x14ac:dyDescent="0.4">
      <c r="A33" s="1" t="s">
        <v>54</v>
      </c>
      <c r="B33" s="1" t="s">
        <v>55</v>
      </c>
      <c r="C33">
        <v>1025842</v>
      </c>
      <c r="D33">
        <v>624849</v>
      </c>
      <c r="E33">
        <v>13462609</v>
      </c>
      <c r="F33">
        <v>12280</v>
      </c>
      <c r="G33">
        <v>408053</v>
      </c>
      <c r="H33">
        <v>1172914</v>
      </c>
      <c r="I33">
        <v>310363</v>
      </c>
      <c r="J33">
        <v>3791792</v>
      </c>
      <c r="K33">
        <v>6195327</v>
      </c>
      <c r="L33">
        <v>1472087</v>
      </c>
      <c r="M33">
        <v>707178</v>
      </c>
      <c r="N33">
        <v>3373965</v>
      </c>
      <c r="O33">
        <v>637</v>
      </c>
      <c r="P33">
        <v>30894</v>
      </c>
      <c r="Q33">
        <v>243831</v>
      </c>
      <c r="R33">
        <v>286239</v>
      </c>
      <c r="S33">
        <v>504865</v>
      </c>
      <c r="T33">
        <v>2181168</v>
      </c>
      <c r="U33">
        <v>597064</v>
      </c>
      <c r="V33">
        <v>1404933</v>
      </c>
      <c r="W33">
        <v>2233952</v>
      </c>
      <c r="X33">
        <v>885984</v>
      </c>
      <c r="Y33">
        <v>1899372</v>
      </c>
      <c r="Z33">
        <v>6806968</v>
      </c>
      <c r="AA33">
        <v>885748</v>
      </c>
      <c r="AB33">
        <v>920225</v>
      </c>
      <c r="AC33">
        <v>4844189</v>
      </c>
      <c r="AD33">
        <v>1795721</v>
      </c>
      <c r="AE33">
        <v>1753484</v>
      </c>
      <c r="AF33">
        <v>8623383</v>
      </c>
      <c r="AG33">
        <v>679224</v>
      </c>
      <c r="AH33">
        <v>434383</v>
      </c>
      <c r="AI33">
        <v>1212202</v>
      </c>
      <c r="AJ33">
        <v>5083</v>
      </c>
      <c r="AK33">
        <v>1403729</v>
      </c>
      <c r="AL33">
        <v>1523893</v>
      </c>
      <c r="AM33">
        <v>7333</v>
      </c>
      <c r="AN33">
        <v>4367304</v>
      </c>
      <c r="AO33">
        <v>5286667</v>
      </c>
      <c r="AP33">
        <v>4024</v>
      </c>
      <c r="AQ33">
        <v>706230</v>
      </c>
      <c r="AR33">
        <v>2928817</v>
      </c>
    </row>
    <row r="34" spans="1:44" x14ac:dyDescent="0.4">
      <c r="A34" s="1" t="s">
        <v>56</v>
      </c>
      <c r="B34" s="1" t="s">
        <v>57</v>
      </c>
      <c r="C34">
        <v>937433</v>
      </c>
      <c r="D34">
        <v>511127</v>
      </c>
      <c r="E34">
        <v>11392096</v>
      </c>
      <c r="F34">
        <v>11753</v>
      </c>
      <c r="G34">
        <v>340028</v>
      </c>
      <c r="H34">
        <v>938522</v>
      </c>
      <c r="I34">
        <v>234730</v>
      </c>
      <c r="J34">
        <v>2845467</v>
      </c>
      <c r="K34">
        <v>4910561</v>
      </c>
      <c r="L34">
        <v>1333252</v>
      </c>
      <c r="M34">
        <v>642449</v>
      </c>
      <c r="N34">
        <v>2859971</v>
      </c>
      <c r="O34">
        <v>341</v>
      </c>
      <c r="P34">
        <v>26633</v>
      </c>
      <c r="Q34">
        <v>148549</v>
      </c>
      <c r="R34">
        <v>239505</v>
      </c>
      <c r="S34">
        <v>527339</v>
      </c>
      <c r="T34">
        <v>2241407</v>
      </c>
      <c r="U34">
        <v>547486</v>
      </c>
      <c r="V34">
        <v>1175845</v>
      </c>
      <c r="W34">
        <v>1745624</v>
      </c>
      <c r="X34">
        <v>805407</v>
      </c>
      <c r="Y34">
        <v>1788532</v>
      </c>
      <c r="Z34">
        <v>6439833</v>
      </c>
      <c r="AA34">
        <v>829806</v>
      </c>
      <c r="AB34">
        <v>813377</v>
      </c>
      <c r="AC34">
        <v>4436683</v>
      </c>
      <c r="AD34">
        <v>1624287</v>
      </c>
      <c r="AE34">
        <v>1559582</v>
      </c>
      <c r="AF34">
        <v>7498174</v>
      </c>
      <c r="AG34">
        <v>639955</v>
      </c>
      <c r="AH34">
        <v>412300</v>
      </c>
      <c r="AI34">
        <v>1136168</v>
      </c>
      <c r="AJ34">
        <v>5203</v>
      </c>
      <c r="AK34">
        <v>1374599</v>
      </c>
      <c r="AL34">
        <v>1471524</v>
      </c>
      <c r="AM34">
        <v>6601</v>
      </c>
      <c r="AN34">
        <v>4060006</v>
      </c>
      <c r="AO34">
        <v>4889132</v>
      </c>
      <c r="AP34">
        <v>3547</v>
      </c>
      <c r="AQ34">
        <v>659687</v>
      </c>
      <c r="AR34">
        <v>2636637</v>
      </c>
    </row>
    <row r="35" spans="1:44" x14ac:dyDescent="0.4">
      <c r="A35" s="1" t="s">
        <v>58</v>
      </c>
      <c r="B35" s="1" t="s">
        <v>59</v>
      </c>
      <c r="C35">
        <v>938129</v>
      </c>
      <c r="D35">
        <v>571266</v>
      </c>
      <c r="E35">
        <v>12694142</v>
      </c>
      <c r="F35">
        <v>12698</v>
      </c>
      <c r="G35">
        <v>361655</v>
      </c>
      <c r="H35">
        <v>1196049</v>
      </c>
      <c r="I35">
        <v>242464</v>
      </c>
      <c r="J35">
        <v>3049034</v>
      </c>
      <c r="K35">
        <v>5236880</v>
      </c>
      <c r="L35">
        <v>1410265</v>
      </c>
      <c r="M35">
        <v>724631</v>
      </c>
      <c r="N35">
        <v>3418501</v>
      </c>
      <c r="O35">
        <v>652</v>
      </c>
      <c r="P35">
        <v>43585</v>
      </c>
      <c r="Q35">
        <v>247981</v>
      </c>
      <c r="R35">
        <v>270554</v>
      </c>
      <c r="S35">
        <v>500675</v>
      </c>
      <c r="T35">
        <v>2233855</v>
      </c>
      <c r="U35">
        <v>584839</v>
      </c>
      <c r="V35">
        <v>1311147</v>
      </c>
      <c r="W35">
        <v>2024958</v>
      </c>
      <c r="X35">
        <v>811984</v>
      </c>
      <c r="Y35">
        <v>1822925</v>
      </c>
      <c r="Z35">
        <v>6931812</v>
      </c>
      <c r="AA35">
        <v>815336</v>
      </c>
      <c r="AB35">
        <v>922996</v>
      </c>
      <c r="AC35">
        <v>4947102</v>
      </c>
      <c r="AD35">
        <v>1770172</v>
      </c>
      <c r="AE35">
        <v>1647298</v>
      </c>
      <c r="AF35">
        <v>8261358</v>
      </c>
      <c r="AG35">
        <v>686273</v>
      </c>
      <c r="AH35">
        <v>434535</v>
      </c>
      <c r="AI35">
        <v>1227902</v>
      </c>
      <c r="AJ35">
        <v>5076</v>
      </c>
      <c r="AK35">
        <v>1370306</v>
      </c>
      <c r="AL35">
        <v>1487402</v>
      </c>
      <c r="AM35">
        <v>6633</v>
      </c>
      <c r="AN35">
        <v>3988515</v>
      </c>
      <c r="AO35">
        <v>5027107</v>
      </c>
      <c r="AP35">
        <v>3696</v>
      </c>
      <c r="AQ35">
        <v>636919</v>
      </c>
      <c r="AR35">
        <v>2566805</v>
      </c>
    </row>
    <row r="36" spans="1:44" x14ac:dyDescent="0.4">
      <c r="A36" s="1" t="s">
        <v>60</v>
      </c>
      <c r="B36" s="1" t="s">
        <v>61</v>
      </c>
      <c r="C36">
        <v>1052329</v>
      </c>
      <c r="D36">
        <v>593489</v>
      </c>
      <c r="E36">
        <v>13327745</v>
      </c>
      <c r="F36">
        <v>13576</v>
      </c>
      <c r="G36">
        <v>446739</v>
      </c>
      <c r="H36">
        <v>1656752</v>
      </c>
      <c r="I36">
        <v>250145</v>
      </c>
      <c r="J36">
        <v>2804955</v>
      </c>
      <c r="K36">
        <v>4983867</v>
      </c>
      <c r="L36">
        <v>1284821</v>
      </c>
      <c r="M36">
        <v>651172</v>
      </c>
      <c r="N36">
        <v>3107080</v>
      </c>
      <c r="O36">
        <v>526</v>
      </c>
      <c r="P36">
        <v>44253</v>
      </c>
      <c r="Q36">
        <v>333134</v>
      </c>
      <c r="R36">
        <v>256705</v>
      </c>
      <c r="S36">
        <v>480527</v>
      </c>
      <c r="T36">
        <v>2114993</v>
      </c>
      <c r="U36">
        <v>562210</v>
      </c>
      <c r="V36">
        <v>1260153</v>
      </c>
      <c r="W36">
        <v>1884577</v>
      </c>
      <c r="X36">
        <v>852958</v>
      </c>
      <c r="Y36">
        <v>1766846</v>
      </c>
      <c r="Z36">
        <v>6706542</v>
      </c>
      <c r="AA36">
        <v>771063</v>
      </c>
      <c r="AB36">
        <v>755192</v>
      </c>
      <c r="AC36">
        <v>4200065</v>
      </c>
      <c r="AD36">
        <v>1744510</v>
      </c>
      <c r="AE36">
        <v>1563831</v>
      </c>
      <c r="AF36">
        <v>8357764</v>
      </c>
      <c r="AG36">
        <v>666326</v>
      </c>
      <c r="AH36">
        <v>371303</v>
      </c>
      <c r="AI36">
        <v>1128281</v>
      </c>
      <c r="AJ36">
        <v>4361</v>
      </c>
      <c r="AK36">
        <v>1190747</v>
      </c>
      <c r="AL36">
        <v>1296115</v>
      </c>
      <c r="AM36">
        <v>7432</v>
      </c>
      <c r="AN36">
        <v>4285419</v>
      </c>
      <c r="AO36">
        <v>5393396</v>
      </c>
      <c r="AP36">
        <v>3437</v>
      </c>
      <c r="AQ36">
        <v>601240</v>
      </c>
      <c r="AR36">
        <v>2464325</v>
      </c>
    </row>
    <row r="37" spans="1:44" x14ac:dyDescent="0.4">
      <c r="A37" s="1" t="s">
        <v>62</v>
      </c>
      <c r="B37" s="1" t="s">
        <v>63</v>
      </c>
      <c r="C37">
        <v>1145491</v>
      </c>
      <c r="D37">
        <v>581278</v>
      </c>
      <c r="E37">
        <v>13716153</v>
      </c>
      <c r="F37">
        <v>12270</v>
      </c>
      <c r="G37">
        <v>347741</v>
      </c>
      <c r="H37">
        <v>1266707</v>
      </c>
      <c r="I37">
        <v>249055</v>
      </c>
      <c r="J37">
        <v>2998444</v>
      </c>
      <c r="K37">
        <v>5102322</v>
      </c>
      <c r="L37">
        <v>1350431</v>
      </c>
      <c r="M37">
        <v>694128</v>
      </c>
      <c r="N37">
        <v>3475475</v>
      </c>
      <c r="O37">
        <v>546</v>
      </c>
      <c r="P37">
        <v>75864</v>
      </c>
      <c r="Q37">
        <v>392193</v>
      </c>
      <c r="R37">
        <v>251754</v>
      </c>
      <c r="S37">
        <v>476837</v>
      </c>
      <c r="T37">
        <v>2149942</v>
      </c>
      <c r="U37">
        <v>575149</v>
      </c>
      <c r="V37">
        <v>1271223</v>
      </c>
      <c r="W37">
        <v>1986003</v>
      </c>
      <c r="X37">
        <v>789080</v>
      </c>
      <c r="Y37">
        <v>1884832</v>
      </c>
      <c r="Z37">
        <v>7410954</v>
      </c>
      <c r="AA37">
        <v>790168</v>
      </c>
      <c r="AB37">
        <v>842126</v>
      </c>
      <c r="AC37">
        <v>4577921</v>
      </c>
      <c r="AD37">
        <v>1643328</v>
      </c>
      <c r="AE37">
        <v>1504941</v>
      </c>
      <c r="AF37">
        <v>7859954</v>
      </c>
      <c r="AG37">
        <v>640902</v>
      </c>
      <c r="AH37">
        <v>385695</v>
      </c>
      <c r="AI37">
        <v>1114377</v>
      </c>
      <c r="AJ37">
        <v>4585</v>
      </c>
      <c r="AK37">
        <v>1220351</v>
      </c>
      <c r="AL37">
        <v>1319841</v>
      </c>
      <c r="AM37">
        <v>7205</v>
      </c>
      <c r="AN37">
        <v>3966004</v>
      </c>
      <c r="AO37">
        <v>5125242</v>
      </c>
      <c r="AP37">
        <v>3818</v>
      </c>
      <c r="AQ37">
        <v>650137</v>
      </c>
      <c r="AR37">
        <v>2735931</v>
      </c>
    </row>
    <row r="38" spans="1:44" x14ac:dyDescent="0.4">
      <c r="A38" s="1" t="s">
        <v>64</v>
      </c>
      <c r="B38" s="1" t="s">
        <v>65</v>
      </c>
      <c r="C38">
        <v>1480203</v>
      </c>
      <c r="D38">
        <v>641304</v>
      </c>
      <c r="E38">
        <v>17545138</v>
      </c>
      <c r="F38">
        <v>15010</v>
      </c>
      <c r="G38">
        <v>476111</v>
      </c>
      <c r="H38">
        <v>1587093</v>
      </c>
      <c r="I38">
        <v>265847</v>
      </c>
      <c r="J38">
        <v>2717026</v>
      </c>
      <c r="K38">
        <v>5111681</v>
      </c>
      <c r="L38">
        <v>1479780</v>
      </c>
      <c r="M38">
        <v>735616</v>
      </c>
      <c r="N38">
        <v>3677099</v>
      </c>
      <c r="O38">
        <v>730</v>
      </c>
      <c r="P38">
        <v>72116</v>
      </c>
      <c r="Q38">
        <v>500393</v>
      </c>
      <c r="R38">
        <v>261189</v>
      </c>
      <c r="S38">
        <v>600360</v>
      </c>
      <c r="T38">
        <v>2650078</v>
      </c>
      <c r="U38">
        <v>650761</v>
      </c>
      <c r="V38">
        <v>1514969</v>
      </c>
      <c r="W38">
        <v>2642540</v>
      </c>
      <c r="X38">
        <v>782846</v>
      </c>
      <c r="Y38">
        <v>1853753</v>
      </c>
      <c r="Z38">
        <v>8256537</v>
      </c>
      <c r="AA38">
        <v>815270</v>
      </c>
      <c r="AB38">
        <v>1001699</v>
      </c>
      <c r="AC38">
        <v>5697466</v>
      </c>
      <c r="AD38">
        <v>1818252</v>
      </c>
      <c r="AE38">
        <v>1648968</v>
      </c>
      <c r="AF38">
        <v>8741510</v>
      </c>
      <c r="AG38">
        <v>737258</v>
      </c>
      <c r="AH38">
        <v>433964</v>
      </c>
      <c r="AI38">
        <v>1303524</v>
      </c>
      <c r="AJ38">
        <v>4875</v>
      </c>
      <c r="AK38">
        <v>1324463</v>
      </c>
      <c r="AL38">
        <v>1459254</v>
      </c>
      <c r="AM38">
        <v>7995</v>
      </c>
      <c r="AN38">
        <v>4620200</v>
      </c>
      <c r="AO38">
        <v>5709337</v>
      </c>
      <c r="AP38">
        <v>3586</v>
      </c>
      <c r="AQ38">
        <v>667261</v>
      </c>
      <c r="AR38">
        <v>2777911</v>
      </c>
    </row>
    <row r="39" spans="1:44" x14ac:dyDescent="0.4">
      <c r="A39" s="1"/>
      <c r="B39" s="1"/>
    </row>
    <row r="40" spans="1:44" x14ac:dyDescent="0.4">
      <c r="A40" s="1"/>
      <c r="B40" s="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C7F2-4640-4A2F-9357-DE894AFCA589}">
  <dimension ref="A1:AU40"/>
  <sheetViews>
    <sheetView workbookViewId="0">
      <selection activeCell="C9" sqref="C9"/>
    </sheetView>
  </sheetViews>
  <sheetFormatPr defaultColWidth="15.625" defaultRowHeight="18.75" x14ac:dyDescent="0.4"/>
  <sheetData>
    <row r="1" spans="1:47" x14ac:dyDescent="0.4">
      <c r="A1" s="1" t="s">
        <v>66</v>
      </c>
      <c r="B1" s="1"/>
    </row>
    <row r="2" spans="1:47" x14ac:dyDescent="0.4">
      <c r="A2" s="4" t="str">
        <f>HYPERLINK("#'目次(Contents)'!A3","目次に戻る(Return to Contents)")</f>
        <v>目次に戻る(Return to Contents)</v>
      </c>
      <c r="B2" s="1"/>
    </row>
    <row r="3" spans="1:47" x14ac:dyDescent="0.4">
      <c r="A3" s="1"/>
      <c r="B3" s="2" t="s">
        <v>0</v>
      </c>
      <c r="C3" t="s">
        <v>882</v>
      </c>
      <c r="D3" t="s">
        <v>882</v>
      </c>
      <c r="E3" t="s">
        <v>882</v>
      </c>
      <c r="F3" t="s">
        <v>882</v>
      </c>
      <c r="G3" t="s">
        <v>882</v>
      </c>
      <c r="H3" t="s">
        <v>884</v>
      </c>
      <c r="I3" t="s">
        <v>884</v>
      </c>
      <c r="J3" t="s">
        <v>884</v>
      </c>
      <c r="K3" t="s">
        <v>884</v>
      </c>
      <c r="L3" t="s">
        <v>884</v>
      </c>
      <c r="M3" t="s">
        <v>886</v>
      </c>
      <c r="N3" t="s">
        <v>886</v>
      </c>
      <c r="O3" t="s">
        <v>886</v>
      </c>
      <c r="P3" t="s">
        <v>886</v>
      </c>
      <c r="Q3" t="s">
        <v>886</v>
      </c>
      <c r="R3" t="s">
        <v>888</v>
      </c>
      <c r="S3" t="s">
        <v>888</v>
      </c>
      <c r="T3" t="s">
        <v>888</v>
      </c>
      <c r="U3" t="s">
        <v>888</v>
      </c>
      <c r="V3" t="s">
        <v>888</v>
      </c>
      <c r="W3" t="s">
        <v>890</v>
      </c>
      <c r="X3" t="s">
        <v>890</v>
      </c>
      <c r="Y3" t="s">
        <v>890</v>
      </c>
      <c r="Z3" t="s">
        <v>890</v>
      </c>
      <c r="AA3" t="s">
        <v>890</v>
      </c>
      <c r="AB3" t="s">
        <v>892</v>
      </c>
      <c r="AC3" t="s">
        <v>892</v>
      </c>
      <c r="AD3" t="s">
        <v>892</v>
      </c>
      <c r="AE3" t="s">
        <v>892</v>
      </c>
      <c r="AF3" t="s">
        <v>892</v>
      </c>
      <c r="AG3" t="s">
        <v>894</v>
      </c>
      <c r="AH3" t="s">
        <v>894</v>
      </c>
      <c r="AI3" t="s">
        <v>894</v>
      </c>
      <c r="AJ3" t="s">
        <v>894</v>
      </c>
      <c r="AK3" t="s">
        <v>894</v>
      </c>
      <c r="AL3" t="s">
        <v>896</v>
      </c>
      <c r="AM3" t="s">
        <v>896</v>
      </c>
      <c r="AN3" t="s">
        <v>896</v>
      </c>
      <c r="AO3" t="s">
        <v>896</v>
      </c>
      <c r="AP3" t="s">
        <v>896</v>
      </c>
      <c r="AQ3" t="s">
        <v>898</v>
      </c>
      <c r="AR3" t="s">
        <v>898</v>
      </c>
      <c r="AS3" t="s">
        <v>898</v>
      </c>
      <c r="AT3" t="s">
        <v>898</v>
      </c>
      <c r="AU3" t="s">
        <v>898</v>
      </c>
    </row>
    <row r="4" spans="1:47" x14ac:dyDescent="0.4">
      <c r="A4" s="1"/>
      <c r="B4" s="2" t="s">
        <v>1</v>
      </c>
      <c r="C4" t="s">
        <v>883</v>
      </c>
      <c r="D4" t="s">
        <v>883</v>
      </c>
      <c r="E4" t="s">
        <v>883</v>
      </c>
      <c r="F4" t="s">
        <v>883</v>
      </c>
      <c r="G4" t="s">
        <v>883</v>
      </c>
      <c r="H4" t="s">
        <v>885</v>
      </c>
      <c r="I4" t="s">
        <v>885</v>
      </c>
      <c r="J4" t="s">
        <v>885</v>
      </c>
      <c r="K4" t="s">
        <v>885</v>
      </c>
      <c r="L4" t="s">
        <v>885</v>
      </c>
      <c r="M4" t="s">
        <v>887</v>
      </c>
      <c r="N4" t="s">
        <v>887</v>
      </c>
      <c r="O4" t="s">
        <v>887</v>
      </c>
      <c r="P4" t="s">
        <v>887</v>
      </c>
      <c r="Q4" t="s">
        <v>887</v>
      </c>
      <c r="R4" t="s">
        <v>889</v>
      </c>
      <c r="S4" t="s">
        <v>889</v>
      </c>
      <c r="T4" t="s">
        <v>889</v>
      </c>
      <c r="U4" t="s">
        <v>889</v>
      </c>
      <c r="V4" t="s">
        <v>889</v>
      </c>
      <c r="W4" t="s">
        <v>891</v>
      </c>
      <c r="X4" t="s">
        <v>891</v>
      </c>
      <c r="Y4" t="s">
        <v>891</v>
      </c>
      <c r="Z4" t="s">
        <v>891</v>
      </c>
      <c r="AA4" t="s">
        <v>891</v>
      </c>
      <c r="AB4" t="s">
        <v>893</v>
      </c>
      <c r="AC4" t="s">
        <v>893</v>
      </c>
      <c r="AD4" t="s">
        <v>893</v>
      </c>
      <c r="AE4" t="s">
        <v>893</v>
      </c>
      <c r="AF4" t="s">
        <v>893</v>
      </c>
      <c r="AG4" t="s">
        <v>895</v>
      </c>
      <c r="AH4" t="s">
        <v>895</v>
      </c>
      <c r="AI4" t="s">
        <v>895</v>
      </c>
      <c r="AJ4" t="s">
        <v>895</v>
      </c>
      <c r="AK4" t="s">
        <v>895</v>
      </c>
      <c r="AL4" t="s">
        <v>897</v>
      </c>
      <c r="AM4" t="s">
        <v>897</v>
      </c>
      <c r="AN4" t="s">
        <v>897</v>
      </c>
      <c r="AO4" t="s">
        <v>897</v>
      </c>
      <c r="AP4" t="s">
        <v>897</v>
      </c>
      <c r="AQ4" t="s">
        <v>899</v>
      </c>
      <c r="AR4" t="s">
        <v>899</v>
      </c>
      <c r="AS4" t="s">
        <v>899</v>
      </c>
      <c r="AT4" t="s">
        <v>899</v>
      </c>
      <c r="AU4" t="s">
        <v>899</v>
      </c>
    </row>
    <row r="5" spans="1:4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  <c r="AL5" t="s">
        <v>338</v>
      </c>
      <c r="AM5" t="s">
        <v>257</v>
      </c>
      <c r="AN5" t="s">
        <v>398</v>
      </c>
      <c r="AO5" t="s">
        <v>263</v>
      </c>
      <c r="AP5" t="s">
        <v>400</v>
      </c>
      <c r="AQ5" t="s">
        <v>338</v>
      </c>
      <c r="AR5" t="s">
        <v>257</v>
      </c>
      <c r="AS5" t="s">
        <v>398</v>
      </c>
      <c r="AT5" t="s">
        <v>263</v>
      </c>
      <c r="AU5" t="s">
        <v>400</v>
      </c>
    </row>
    <row r="6" spans="1:4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  <c r="AL6" t="s">
        <v>340</v>
      </c>
      <c r="AM6" t="s">
        <v>259</v>
      </c>
      <c r="AN6" t="s">
        <v>399</v>
      </c>
      <c r="AO6" t="s">
        <v>264</v>
      </c>
      <c r="AP6" t="s">
        <v>401</v>
      </c>
      <c r="AQ6" t="s">
        <v>340</v>
      </c>
      <c r="AR6" t="s">
        <v>259</v>
      </c>
      <c r="AS6" t="s">
        <v>399</v>
      </c>
      <c r="AT6" t="s">
        <v>264</v>
      </c>
      <c r="AU6" t="s">
        <v>401</v>
      </c>
    </row>
    <row r="7" spans="1:4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  <c r="AL7" t="s">
        <v>339</v>
      </c>
      <c r="AM7" t="s">
        <v>341</v>
      </c>
      <c r="AN7" t="s">
        <v>339</v>
      </c>
      <c r="AO7" t="s">
        <v>341</v>
      </c>
      <c r="AP7" t="s">
        <v>339</v>
      </c>
      <c r="AQ7" t="s">
        <v>339</v>
      </c>
      <c r="AR7" t="s">
        <v>341</v>
      </c>
      <c r="AS7" t="s">
        <v>339</v>
      </c>
      <c r="AT7" t="s">
        <v>341</v>
      </c>
      <c r="AU7" t="s">
        <v>339</v>
      </c>
    </row>
    <row r="8" spans="1:4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  <c r="AL8" t="s">
        <v>339</v>
      </c>
      <c r="AM8" t="s">
        <v>342</v>
      </c>
      <c r="AN8" t="s">
        <v>339</v>
      </c>
      <c r="AO8" t="s">
        <v>342</v>
      </c>
      <c r="AP8" t="s">
        <v>339</v>
      </c>
      <c r="AQ8" t="s">
        <v>339</v>
      </c>
      <c r="AR8" t="s">
        <v>342</v>
      </c>
      <c r="AS8" t="s">
        <v>339</v>
      </c>
      <c r="AT8" t="s">
        <v>342</v>
      </c>
      <c r="AU8" t="s">
        <v>339</v>
      </c>
    </row>
    <row r="9" spans="1:47" x14ac:dyDescent="0.4">
      <c r="A9" s="1" t="s">
        <v>6</v>
      </c>
      <c r="B9" s="3" t="s">
        <v>7</v>
      </c>
      <c r="C9">
        <v>1025042</v>
      </c>
      <c r="D9">
        <v>20718672</v>
      </c>
      <c r="E9">
        <v>1023504</v>
      </c>
      <c r="F9">
        <v>23225206</v>
      </c>
      <c r="G9">
        <v>98432</v>
      </c>
      <c r="H9">
        <v>31880682</v>
      </c>
      <c r="I9">
        <v>11853384</v>
      </c>
      <c r="J9">
        <v>34893841</v>
      </c>
      <c r="K9">
        <v>14926736</v>
      </c>
      <c r="L9">
        <v>5581344</v>
      </c>
      <c r="M9">
        <v>7037883</v>
      </c>
      <c r="N9">
        <v>4820443</v>
      </c>
      <c r="O9">
        <v>7716623</v>
      </c>
      <c r="P9">
        <v>5712442</v>
      </c>
      <c r="Q9">
        <v>526762</v>
      </c>
      <c r="R9">
        <v>43327908</v>
      </c>
      <c r="S9">
        <v>4812560</v>
      </c>
      <c r="T9">
        <v>46062174</v>
      </c>
      <c r="U9">
        <v>5161333</v>
      </c>
      <c r="V9">
        <v>2031802</v>
      </c>
      <c r="W9">
        <v>7626169</v>
      </c>
      <c r="X9">
        <v>19691000</v>
      </c>
      <c r="Y9">
        <v>9932027</v>
      </c>
      <c r="Z9">
        <v>22710665</v>
      </c>
      <c r="AA9">
        <v>1869488</v>
      </c>
      <c r="AB9">
        <v>2965289</v>
      </c>
      <c r="AC9">
        <v>13790293</v>
      </c>
      <c r="AD9">
        <v>3226592</v>
      </c>
      <c r="AE9">
        <v>15095746</v>
      </c>
      <c r="AF9">
        <v>189561</v>
      </c>
      <c r="AG9">
        <v>836763</v>
      </c>
      <c r="AH9">
        <v>2036602</v>
      </c>
      <c r="AI9">
        <v>833493</v>
      </c>
      <c r="AJ9">
        <v>2052125</v>
      </c>
      <c r="AK9">
        <v>66373</v>
      </c>
      <c r="AL9">
        <v>2800973</v>
      </c>
      <c r="AM9">
        <v>5913255</v>
      </c>
      <c r="AN9">
        <v>2525085</v>
      </c>
      <c r="AO9">
        <v>5574141</v>
      </c>
      <c r="AP9">
        <v>212510</v>
      </c>
      <c r="AQ9">
        <v>5994813</v>
      </c>
      <c r="AR9">
        <v>15407836</v>
      </c>
      <c r="AS9">
        <v>5387470</v>
      </c>
      <c r="AT9">
        <v>19247305</v>
      </c>
      <c r="AU9">
        <v>488361</v>
      </c>
    </row>
    <row r="10" spans="1:47" x14ac:dyDescent="0.4">
      <c r="A10" s="1" t="s">
        <v>8</v>
      </c>
      <c r="B10" s="3" t="s">
        <v>9</v>
      </c>
      <c r="C10">
        <v>951121</v>
      </c>
      <c r="D10">
        <v>21513540</v>
      </c>
      <c r="E10">
        <v>938191</v>
      </c>
      <c r="F10">
        <v>22161014</v>
      </c>
      <c r="G10">
        <v>79174</v>
      </c>
      <c r="H10">
        <v>31706750</v>
      </c>
      <c r="I10">
        <v>12661033</v>
      </c>
      <c r="J10">
        <v>33876886</v>
      </c>
      <c r="K10">
        <v>15502024</v>
      </c>
      <c r="L10">
        <v>5908776</v>
      </c>
      <c r="M10">
        <v>7848849</v>
      </c>
      <c r="N10">
        <v>5127597</v>
      </c>
      <c r="O10">
        <v>8454329</v>
      </c>
      <c r="P10">
        <v>6038023</v>
      </c>
      <c r="Q10">
        <v>630641</v>
      </c>
      <c r="R10">
        <v>44289841</v>
      </c>
      <c r="S10">
        <v>4949451</v>
      </c>
      <c r="T10">
        <v>47357162</v>
      </c>
      <c r="U10">
        <v>5337240</v>
      </c>
      <c r="V10">
        <v>1912208</v>
      </c>
      <c r="W10">
        <v>7785452</v>
      </c>
      <c r="X10">
        <v>20890664</v>
      </c>
      <c r="Y10">
        <v>9993006</v>
      </c>
      <c r="Z10">
        <v>23781798</v>
      </c>
      <c r="AA10">
        <v>2222002</v>
      </c>
      <c r="AB10">
        <v>3211063</v>
      </c>
      <c r="AC10">
        <v>14717251</v>
      </c>
      <c r="AD10">
        <v>3645856</v>
      </c>
      <c r="AE10">
        <v>16907107</v>
      </c>
      <c r="AF10">
        <v>210504</v>
      </c>
      <c r="AG10">
        <v>913990</v>
      </c>
      <c r="AH10">
        <v>2127234</v>
      </c>
      <c r="AI10">
        <v>910060</v>
      </c>
      <c r="AJ10">
        <v>2118386</v>
      </c>
      <c r="AK10">
        <v>70041</v>
      </c>
      <c r="AL10">
        <v>2667166</v>
      </c>
      <c r="AM10">
        <v>6410951</v>
      </c>
      <c r="AN10">
        <v>2661468</v>
      </c>
      <c r="AO10">
        <v>6384861</v>
      </c>
      <c r="AP10">
        <v>281807</v>
      </c>
      <c r="AQ10">
        <v>6487650</v>
      </c>
      <c r="AR10">
        <v>15948750</v>
      </c>
      <c r="AS10">
        <v>5647672</v>
      </c>
      <c r="AT10">
        <v>20038598</v>
      </c>
      <c r="AU10">
        <v>477892</v>
      </c>
    </row>
    <row r="11" spans="1:47" x14ac:dyDescent="0.4">
      <c r="A11" s="1" t="s">
        <v>10</v>
      </c>
      <c r="B11" s="3" t="s">
        <v>11</v>
      </c>
      <c r="C11">
        <v>855302</v>
      </c>
      <c r="D11">
        <v>20997755</v>
      </c>
      <c r="E11">
        <v>824770</v>
      </c>
      <c r="F11">
        <v>21658203</v>
      </c>
      <c r="G11">
        <v>74418</v>
      </c>
      <c r="H11">
        <v>31965457</v>
      </c>
      <c r="I11">
        <v>13598962</v>
      </c>
      <c r="J11">
        <v>33383414</v>
      </c>
      <c r="K11">
        <v>15550214</v>
      </c>
      <c r="L11">
        <v>6534888</v>
      </c>
      <c r="M11">
        <v>6879593</v>
      </c>
      <c r="N11">
        <v>4893637</v>
      </c>
      <c r="O11">
        <v>7469372</v>
      </c>
      <c r="P11">
        <v>5818468</v>
      </c>
      <c r="Q11">
        <v>605626</v>
      </c>
      <c r="R11">
        <v>39734414</v>
      </c>
      <c r="S11">
        <v>4726433</v>
      </c>
      <c r="T11">
        <v>42204427</v>
      </c>
      <c r="U11">
        <v>5104194</v>
      </c>
      <c r="V11">
        <v>2247223</v>
      </c>
      <c r="W11">
        <v>7132535</v>
      </c>
      <c r="X11">
        <v>19800126</v>
      </c>
      <c r="Y11">
        <v>8981408</v>
      </c>
      <c r="Z11">
        <v>22473263</v>
      </c>
      <c r="AA11">
        <v>2410546</v>
      </c>
      <c r="AB11">
        <v>2830275</v>
      </c>
      <c r="AC11">
        <v>12811263</v>
      </c>
      <c r="AD11">
        <v>3293319</v>
      </c>
      <c r="AE11">
        <v>15148652</v>
      </c>
      <c r="AF11">
        <v>249493</v>
      </c>
      <c r="AG11">
        <v>882548</v>
      </c>
      <c r="AH11">
        <v>2095328</v>
      </c>
      <c r="AI11">
        <v>878853</v>
      </c>
      <c r="AJ11">
        <v>2083944</v>
      </c>
      <c r="AK11">
        <v>73920</v>
      </c>
      <c r="AL11">
        <v>2538157</v>
      </c>
      <c r="AM11">
        <v>6070635</v>
      </c>
      <c r="AN11">
        <v>2595762</v>
      </c>
      <c r="AO11">
        <v>6118277</v>
      </c>
      <c r="AP11">
        <v>254479</v>
      </c>
      <c r="AQ11">
        <v>6171233</v>
      </c>
      <c r="AR11">
        <v>14363499</v>
      </c>
      <c r="AS11">
        <v>5226488</v>
      </c>
      <c r="AT11">
        <v>18041316</v>
      </c>
      <c r="AU11">
        <v>438904</v>
      </c>
    </row>
    <row r="12" spans="1:47" x14ac:dyDescent="0.4">
      <c r="A12" s="1" t="s">
        <v>12</v>
      </c>
      <c r="B12" s="3" t="s">
        <v>13</v>
      </c>
      <c r="C12">
        <v>828124</v>
      </c>
      <c r="D12">
        <v>19583132</v>
      </c>
      <c r="E12">
        <v>797708</v>
      </c>
      <c r="F12">
        <v>20707256</v>
      </c>
      <c r="G12">
        <v>83213</v>
      </c>
      <c r="H12">
        <v>28699495</v>
      </c>
      <c r="I12">
        <v>13399553</v>
      </c>
      <c r="J12">
        <v>30202741</v>
      </c>
      <c r="K12">
        <v>15607618</v>
      </c>
      <c r="L12">
        <v>6431653</v>
      </c>
      <c r="M12">
        <v>6260302</v>
      </c>
      <c r="N12">
        <v>4874480</v>
      </c>
      <c r="O12">
        <v>6834557</v>
      </c>
      <c r="P12">
        <v>5757170</v>
      </c>
      <c r="Q12">
        <v>702242</v>
      </c>
      <c r="R12">
        <v>33220841</v>
      </c>
      <c r="S12">
        <v>4710837</v>
      </c>
      <c r="T12">
        <v>35794766</v>
      </c>
      <c r="U12">
        <v>5112580</v>
      </c>
      <c r="V12">
        <v>2112825</v>
      </c>
      <c r="W12">
        <v>7167858</v>
      </c>
      <c r="X12">
        <v>19215474</v>
      </c>
      <c r="Y12">
        <v>8958221</v>
      </c>
      <c r="Z12">
        <v>21808702</v>
      </c>
      <c r="AA12">
        <v>2113429</v>
      </c>
      <c r="AB12">
        <v>2364617</v>
      </c>
      <c r="AC12">
        <v>10916383</v>
      </c>
      <c r="AD12">
        <v>2909468</v>
      </c>
      <c r="AE12">
        <v>13405828</v>
      </c>
      <c r="AF12">
        <v>221151</v>
      </c>
      <c r="AG12">
        <v>959207</v>
      </c>
      <c r="AH12">
        <v>2125504</v>
      </c>
      <c r="AI12">
        <v>956614</v>
      </c>
      <c r="AJ12">
        <v>2119043</v>
      </c>
      <c r="AK12">
        <v>76985</v>
      </c>
      <c r="AL12">
        <v>2662386</v>
      </c>
      <c r="AM12">
        <v>6208545</v>
      </c>
      <c r="AN12">
        <v>2665742</v>
      </c>
      <c r="AO12">
        <v>6125835</v>
      </c>
      <c r="AP12">
        <v>262452</v>
      </c>
      <c r="AQ12">
        <v>6271020</v>
      </c>
      <c r="AR12">
        <v>14707906</v>
      </c>
      <c r="AS12">
        <v>5268278</v>
      </c>
      <c r="AT12">
        <v>18168277</v>
      </c>
      <c r="AU12">
        <v>473048</v>
      </c>
    </row>
    <row r="13" spans="1:47" x14ac:dyDescent="0.4">
      <c r="A13" s="1" t="s">
        <v>14</v>
      </c>
      <c r="B13" s="3" t="s">
        <v>15</v>
      </c>
      <c r="C13">
        <v>757018</v>
      </c>
      <c r="D13">
        <v>18171389</v>
      </c>
      <c r="E13">
        <v>785788</v>
      </c>
      <c r="F13">
        <v>23631925</v>
      </c>
      <c r="G13">
        <v>66739</v>
      </c>
      <c r="H13">
        <v>28445331</v>
      </c>
      <c r="I13">
        <v>13102593</v>
      </c>
      <c r="J13">
        <v>30362317</v>
      </c>
      <c r="K13">
        <v>15687932</v>
      </c>
      <c r="L13">
        <v>5921083</v>
      </c>
      <c r="M13">
        <v>6022379</v>
      </c>
      <c r="N13">
        <v>4932908</v>
      </c>
      <c r="O13">
        <v>6655985</v>
      </c>
      <c r="P13">
        <v>5809344</v>
      </c>
      <c r="Q13">
        <v>662740</v>
      </c>
      <c r="R13">
        <v>30879412</v>
      </c>
      <c r="S13">
        <v>4742336</v>
      </c>
      <c r="T13">
        <v>33160176</v>
      </c>
      <c r="U13">
        <v>5046974</v>
      </c>
      <c r="V13">
        <v>2174579</v>
      </c>
      <c r="W13">
        <v>6905682</v>
      </c>
      <c r="X13">
        <v>18744801</v>
      </c>
      <c r="Y13">
        <v>8307037</v>
      </c>
      <c r="Z13">
        <v>21988620</v>
      </c>
      <c r="AA13">
        <v>2100905</v>
      </c>
      <c r="AB13">
        <v>2412634</v>
      </c>
      <c r="AC13">
        <v>11045512</v>
      </c>
      <c r="AD13">
        <v>2872432</v>
      </c>
      <c r="AE13">
        <v>13260141</v>
      </c>
      <c r="AF13">
        <v>222138</v>
      </c>
      <c r="AG13">
        <v>939172</v>
      </c>
      <c r="AH13">
        <v>2199989</v>
      </c>
      <c r="AI13">
        <v>936195</v>
      </c>
      <c r="AJ13">
        <v>2192359</v>
      </c>
      <c r="AK13">
        <v>81297</v>
      </c>
      <c r="AL13">
        <v>2669622</v>
      </c>
      <c r="AM13">
        <v>6330687</v>
      </c>
      <c r="AN13">
        <v>2617399</v>
      </c>
      <c r="AO13">
        <v>6203227</v>
      </c>
      <c r="AP13">
        <v>313121</v>
      </c>
      <c r="AQ13">
        <v>6569666</v>
      </c>
      <c r="AR13">
        <v>15824603</v>
      </c>
      <c r="AS13">
        <v>5441347</v>
      </c>
      <c r="AT13">
        <v>19264235</v>
      </c>
      <c r="AU13">
        <v>503555</v>
      </c>
    </row>
    <row r="14" spans="1:47" x14ac:dyDescent="0.4">
      <c r="A14" s="1" t="s">
        <v>16</v>
      </c>
      <c r="B14" s="1" t="s">
        <v>17</v>
      </c>
      <c r="C14">
        <v>70563</v>
      </c>
      <c r="D14">
        <v>1738133</v>
      </c>
      <c r="E14">
        <v>73191</v>
      </c>
      <c r="F14">
        <v>2092833</v>
      </c>
      <c r="G14">
        <v>65420</v>
      </c>
      <c r="H14">
        <v>2374395</v>
      </c>
      <c r="I14">
        <v>1106517</v>
      </c>
      <c r="J14">
        <v>2639999</v>
      </c>
      <c r="K14">
        <v>1456509</v>
      </c>
      <c r="L14">
        <v>6315549</v>
      </c>
      <c r="M14">
        <v>536404</v>
      </c>
      <c r="N14">
        <v>322077</v>
      </c>
      <c r="O14">
        <v>608218</v>
      </c>
      <c r="P14">
        <v>425337</v>
      </c>
      <c r="Q14">
        <v>626966</v>
      </c>
      <c r="R14">
        <v>2791239</v>
      </c>
      <c r="S14">
        <v>424694</v>
      </c>
      <c r="T14">
        <v>3063075</v>
      </c>
      <c r="U14">
        <v>462848</v>
      </c>
      <c r="V14">
        <v>2199440</v>
      </c>
      <c r="W14">
        <v>603376</v>
      </c>
      <c r="X14">
        <v>1872298</v>
      </c>
      <c r="Y14">
        <v>827663</v>
      </c>
      <c r="Z14">
        <v>2277890</v>
      </c>
      <c r="AA14">
        <v>2293540</v>
      </c>
      <c r="AB14">
        <v>218464</v>
      </c>
      <c r="AC14">
        <v>1023701</v>
      </c>
      <c r="AD14">
        <v>286573</v>
      </c>
      <c r="AE14">
        <v>1365489</v>
      </c>
      <c r="AF14">
        <v>254270</v>
      </c>
      <c r="AG14">
        <v>79873</v>
      </c>
      <c r="AH14">
        <v>172945</v>
      </c>
      <c r="AI14">
        <v>80180</v>
      </c>
      <c r="AJ14">
        <v>173683</v>
      </c>
      <c r="AK14">
        <v>74618</v>
      </c>
      <c r="AL14">
        <v>284900</v>
      </c>
      <c r="AM14">
        <v>543199</v>
      </c>
      <c r="AN14">
        <v>301697</v>
      </c>
      <c r="AO14">
        <v>588323</v>
      </c>
      <c r="AP14">
        <v>252643</v>
      </c>
      <c r="AQ14">
        <v>516198</v>
      </c>
      <c r="AR14">
        <v>1221260</v>
      </c>
      <c r="AS14">
        <v>454282</v>
      </c>
      <c r="AT14">
        <v>1578259</v>
      </c>
      <c r="AU14">
        <v>425647</v>
      </c>
    </row>
    <row r="15" spans="1:47" x14ac:dyDescent="0.4">
      <c r="A15" s="1" t="s">
        <v>18</v>
      </c>
      <c r="B15" s="1" t="s">
        <v>19</v>
      </c>
      <c r="C15">
        <v>70227</v>
      </c>
      <c r="D15">
        <v>1620771</v>
      </c>
      <c r="E15">
        <v>67630</v>
      </c>
      <c r="F15">
        <v>1689300</v>
      </c>
      <c r="G15">
        <v>66667</v>
      </c>
      <c r="H15">
        <v>2406682</v>
      </c>
      <c r="I15">
        <v>1139372</v>
      </c>
      <c r="J15">
        <v>2623875</v>
      </c>
      <c r="K15">
        <v>1304353</v>
      </c>
      <c r="L15">
        <v>6176667</v>
      </c>
      <c r="M15">
        <v>570681</v>
      </c>
      <c r="N15">
        <v>436580</v>
      </c>
      <c r="O15">
        <v>629658</v>
      </c>
      <c r="P15">
        <v>510994</v>
      </c>
      <c r="Q15">
        <v>600975</v>
      </c>
      <c r="R15">
        <v>2939855</v>
      </c>
      <c r="S15">
        <v>411289</v>
      </c>
      <c r="T15">
        <v>3149107</v>
      </c>
      <c r="U15">
        <v>444687</v>
      </c>
      <c r="V15">
        <v>2196871</v>
      </c>
      <c r="W15">
        <v>600315</v>
      </c>
      <c r="X15">
        <v>1637580</v>
      </c>
      <c r="Y15">
        <v>773868</v>
      </c>
      <c r="Z15">
        <v>1779258</v>
      </c>
      <c r="AA15">
        <v>2222803</v>
      </c>
      <c r="AB15">
        <v>183296</v>
      </c>
      <c r="AC15">
        <v>876979</v>
      </c>
      <c r="AD15">
        <v>223034</v>
      </c>
      <c r="AE15">
        <v>1014313</v>
      </c>
      <c r="AF15">
        <v>256712</v>
      </c>
      <c r="AG15">
        <v>105406</v>
      </c>
      <c r="AH15">
        <v>191105</v>
      </c>
      <c r="AI15">
        <v>102398</v>
      </c>
      <c r="AJ15">
        <v>183427</v>
      </c>
      <c r="AK15">
        <v>75094</v>
      </c>
      <c r="AL15">
        <v>200220</v>
      </c>
      <c r="AM15">
        <v>512783</v>
      </c>
      <c r="AN15">
        <v>196412</v>
      </c>
      <c r="AO15">
        <v>504052</v>
      </c>
      <c r="AP15">
        <v>242839</v>
      </c>
      <c r="AQ15">
        <v>523690</v>
      </c>
      <c r="AR15">
        <v>1250651</v>
      </c>
      <c r="AS15">
        <v>440317</v>
      </c>
      <c r="AT15">
        <v>1549736</v>
      </c>
      <c r="AU15">
        <v>484479</v>
      </c>
    </row>
    <row r="16" spans="1:47" x14ac:dyDescent="0.4">
      <c r="A16" s="1" t="s">
        <v>20</v>
      </c>
      <c r="B16" s="1" t="s">
        <v>21</v>
      </c>
      <c r="C16">
        <v>72797</v>
      </c>
      <c r="D16">
        <v>1744963</v>
      </c>
      <c r="E16">
        <v>68154</v>
      </c>
      <c r="F16">
        <v>1685690</v>
      </c>
      <c r="G16">
        <v>68603</v>
      </c>
      <c r="H16">
        <v>2229138</v>
      </c>
      <c r="I16">
        <v>1113532</v>
      </c>
      <c r="J16">
        <v>2402819</v>
      </c>
      <c r="K16">
        <v>1252045</v>
      </c>
      <c r="L16">
        <v>6150611</v>
      </c>
      <c r="M16">
        <v>547967</v>
      </c>
      <c r="N16">
        <v>433314</v>
      </c>
      <c r="O16">
        <v>566345</v>
      </c>
      <c r="P16">
        <v>474391</v>
      </c>
      <c r="Q16">
        <v>616833</v>
      </c>
      <c r="R16">
        <v>2338989</v>
      </c>
      <c r="S16">
        <v>332363</v>
      </c>
      <c r="T16">
        <v>2571928</v>
      </c>
      <c r="U16">
        <v>367433</v>
      </c>
      <c r="V16">
        <v>2181943</v>
      </c>
      <c r="W16">
        <v>606829</v>
      </c>
      <c r="X16">
        <v>1688185</v>
      </c>
      <c r="Y16">
        <v>736293</v>
      </c>
      <c r="Z16">
        <v>1735071</v>
      </c>
      <c r="AA16">
        <v>2188550</v>
      </c>
      <c r="AB16">
        <v>194028</v>
      </c>
      <c r="AC16">
        <v>927497</v>
      </c>
      <c r="AD16">
        <v>232683</v>
      </c>
      <c r="AE16">
        <v>1085549</v>
      </c>
      <c r="AF16">
        <v>259983</v>
      </c>
      <c r="AG16">
        <v>80784</v>
      </c>
      <c r="AH16">
        <v>190079</v>
      </c>
      <c r="AI16">
        <v>81888</v>
      </c>
      <c r="AJ16">
        <v>194465</v>
      </c>
      <c r="AK16">
        <v>75286</v>
      </c>
      <c r="AL16">
        <v>210976</v>
      </c>
      <c r="AM16">
        <v>486944</v>
      </c>
      <c r="AN16">
        <v>218232</v>
      </c>
      <c r="AO16">
        <v>506060</v>
      </c>
      <c r="AP16">
        <v>243187</v>
      </c>
      <c r="AQ16">
        <v>528098</v>
      </c>
      <c r="AR16">
        <v>1219308</v>
      </c>
      <c r="AS16">
        <v>450087</v>
      </c>
      <c r="AT16">
        <v>1511554</v>
      </c>
      <c r="AU16">
        <v>485743</v>
      </c>
    </row>
    <row r="17" spans="1:47" x14ac:dyDescent="0.4">
      <c r="A17" s="1" t="s">
        <v>22</v>
      </c>
      <c r="B17" s="1" t="s">
        <v>23</v>
      </c>
      <c r="C17">
        <v>67682</v>
      </c>
      <c r="D17">
        <v>1627178</v>
      </c>
      <c r="E17">
        <v>62483</v>
      </c>
      <c r="F17">
        <v>1622128</v>
      </c>
      <c r="G17">
        <v>71076</v>
      </c>
      <c r="H17">
        <v>2482442</v>
      </c>
      <c r="I17">
        <v>1109273</v>
      </c>
      <c r="J17">
        <v>2668694</v>
      </c>
      <c r="K17">
        <v>1298782</v>
      </c>
      <c r="L17">
        <v>6076389</v>
      </c>
      <c r="M17">
        <v>506805</v>
      </c>
      <c r="N17">
        <v>391957</v>
      </c>
      <c r="O17">
        <v>560256</v>
      </c>
      <c r="P17">
        <v>460382</v>
      </c>
      <c r="Q17">
        <v>662976</v>
      </c>
      <c r="R17">
        <v>2848703</v>
      </c>
      <c r="S17">
        <v>399300</v>
      </c>
      <c r="T17">
        <v>3103625</v>
      </c>
      <c r="U17">
        <v>434300</v>
      </c>
      <c r="V17">
        <v>2129078</v>
      </c>
      <c r="W17">
        <v>641694</v>
      </c>
      <c r="X17">
        <v>1617161</v>
      </c>
      <c r="Y17">
        <v>767670</v>
      </c>
      <c r="Z17">
        <v>1756342</v>
      </c>
      <c r="AA17">
        <v>2226545</v>
      </c>
      <c r="AB17">
        <v>201181</v>
      </c>
      <c r="AC17">
        <v>901195</v>
      </c>
      <c r="AD17">
        <v>227265</v>
      </c>
      <c r="AE17">
        <v>1068249</v>
      </c>
      <c r="AF17">
        <v>275443</v>
      </c>
      <c r="AG17">
        <v>78155</v>
      </c>
      <c r="AH17">
        <v>177867</v>
      </c>
      <c r="AI17">
        <v>77644</v>
      </c>
      <c r="AJ17">
        <v>178525</v>
      </c>
      <c r="AK17">
        <v>75691</v>
      </c>
      <c r="AL17">
        <v>215137</v>
      </c>
      <c r="AM17">
        <v>482460</v>
      </c>
      <c r="AN17">
        <v>237014</v>
      </c>
      <c r="AO17">
        <v>523219</v>
      </c>
      <c r="AP17">
        <v>236272</v>
      </c>
      <c r="AQ17">
        <v>544596</v>
      </c>
      <c r="AR17">
        <v>1284522</v>
      </c>
      <c r="AS17">
        <v>471466</v>
      </c>
      <c r="AT17">
        <v>1632980</v>
      </c>
      <c r="AU17">
        <v>486030</v>
      </c>
    </row>
    <row r="18" spans="1:47" x14ac:dyDescent="0.4">
      <c r="A18" s="1" t="s">
        <v>24</v>
      </c>
      <c r="B18" s="1" t="s">
        <v>25</v>
      </c>
      <c r="C18">
        <v>82202</v>
      </c>
      <c r="D18">
        <v>1765206</v>
      </c>
      <c r="E18">
        <v>72604</v>
      </c>
      <c r="F18">
        <v>1695025</v>
      </c>
      <c r="G18">
        <v>78086</v>
      </c>
      <c r="H18">
        <v>2634212</v>
      </c>
      <c r="I18">
        <v>1196211</v>
      </c>
      <c r="J18">
        <v>2621822</v>
      </c>
      <c r="K18">
        <v>1264259</v>
      </c>
      <c r="L18">
        <v>6256301</v>
      </c>
      <c r="M18">
        <v>578952</v>
      </c>
      <c r="N18">
        <v>438961</v>
      </c>
      <c r="O18">
        <v>636107</v>
      </c>
      <c r="P18">
        <v>519705</v>
      </c>
      <c r="Q18">
        <v>699905</v>
      </c>
      <c r="R18">
        <v>2963856</v>
      </c>
      <c r="S18">
        <v>349871</v>
      </c>
      <c r="T18">
        <v>3207988</v>
      </c>
      <c r="U18">
        <v>387375</v>
      </c>
      <c r="V18">
        <v>2146722</v>
      </c>
      <c r="W18">
        <v>600514</v>
      </c>
      <c r="X18">
        <v>1556244</v>
      </c>
      <c r="Y18">
        <v>717048</v>
      </c>
      <c r="Z18">
        <v>1857006</v>
      </c>
      <c r="AA18">
        <v>2234946</v>
      </c>
      <c r="AB18">
        <v>214440</v>
      </c>
      <c r="AC18">
        <v>984641</v>
      </c>
      <c r="AD18">
        <v>270544</v>
      </c>
      <c r="AE18">
        <v>1179232</v>
      </c>
      <c r="AF18">
        <v>244675</v>
      </c>
      <c r="AG18">
        <v>71142</v>
      </c>
      <c r="AH18">
        <v>155680</v>
      </c>
      <c r="AI18">
        <v>70203</v>
      </c>
      <c r="AJ18">
        <v>155574</v>
      </c>
      <c r="AK18">
        <v>76144</v>
      </c>
      <c r="AL18">
        <v>238751</v>
      </c>
      <c r="AM18">
        <v>570088</v>
      </c>
      <c r="AN18">
        <v>214994</v>
      </c>
      <c r="AO18">
        <v>496056</v>
      </c>
      <c r="AP18">
        <v>250567</v>
      </c>
      <c r="AQ18">
        <v>541174</v>
      </c>
      <c r="AR18">
        <v>1257006</v>
      </c>
      <c r="AS18">
        <v>481748</v>
      </c>
      <c r="AT18">
        <v>1668042</v>
      </c>
      <c r="AU18">
        <v>481069</v>
      </c>
    </row>
    <row r="19" spans="1:47" x14ac:dyDescent="0.4">
      <c r="A19" s="1" t="s">
        <v>26</v>
      </c>
      <c r="B19" s="1" t="s">
        <v>27</v>
      </c>
      <c r="C19">
        <v>60269</v>
      </c>
      <c r="D19">
        <v>1433582</v>
      </c>
      <c r="E19">
        <v>61638</v>
      </c>
      <c r="F19">
        <v>1506326</v>
      </c>
      <c r="G19">
        <v>74497</v>
      </c>
      <c r="H19">
        <v>2019495</v>
      </c>
      <c r="I19">
        <v>997515</v>
      </c>
      <c r="J19">
        <v>2209685</v>
      </c>
      <c r="K19">
        <v>1146913</v>
      </c>
      <c r="L19">
        <v>6174983</v>
      </c>
      <c r="M19">
        <v>502142</v>
      </c>
      <c r="N19">
        <v>373186</v>
      </c>
      <c r="O19">
        <v>557949</v>
      </c>
      <c r="P19">
        <v>451182</v>
      </c>
      <c r="Q19">
        <v>694081</v>
      </c>
      <c r="R19">
        <v>2291827</v>
      </c>
      <c r="S19">
        <v>383272</v>
      </c>
      <c r="T19">
        <v>2513129</v>
      </c>
      <c r="U19">
        <v>415103</v>
      </c>
      <c r="V19">
        <v>2109303</v>
      </c>
      <c r="W19">
        <v>586704</v>
      </c>
      <c r="X19">
        <v>1557180</v>
      </c>
      <c r="Y19">
        <v>672261</v>
      </c>
      <c r="Z19">
        <v>1669734</v>
      </c>
      <c r="AA19">
        <v>2221679</v>
      </c>
      <c r="AB19">
        <v>155820</v>
      </c>
      <c r="AC19">
        <v>774530</v>
      </c>
      <c r="AD19">
        <v>208427</v>
      </c>
      <c r="AE19">
        <v>1006549</v>
      </c>
      <c r="AF19">
        <v>249590</v>
      </c>
      <c r="AG19">
        <v>72668</v>
      </c>
      <c r="AH19">
        <v>162083</v>
      </c>
      <c r="AI19">
        <v>74080</v>
      </c>
      <c r="AJ19">
        <v>164086</v>
      </c>
      <c r="AK19">
        <v>75886</v>
      </c>
      <c r="AL19">
        <v>187427</v>
      </c>
      <c r="AM19">
        <v>421622</v>
      </c>
      <c r="AN19">
        <v>196683</v>
      </c>
      <c r="AO19">
        <v>451603</v>
      </c>
      <c r="AP19">
        <v>242063</v>
      </c>
      <c r="AQ19">
        <v>501371</v>
      </c>
      <c r="AR19">
        <v>1129477</v>
      </c>
      <c r="AS19">
        <v>415301</v>
      </c>
      <c r="AT19">
        <v>1415292</v>
      </c>
      <c r="AU19">
        <v>484284</v>
      </c>
    </row>
    <row r="20" spans="1:47" x14ac:dyDescent="0.4">
      <c r="A20" s="1" t="s">
        <v>28</v>
      </c>
      <c r="B20" s="1" t="s">
        <v>29</v>
      </c>
      <c r="C20">
        <v>66918</v>
      </c>
      <c r="D20">
        <v>1435917</v>
      </c>
      <c r="E20">
        <v>66176</v>
      </c>
      <c r="F20">
        <v>1699370</v>
      </c>
      <c r="G20">
        <v>74684</v>
      </c>
      <c r="H20">
        <v>2395755</v>
      </c>
      <c r="I20">
        <v>1171930</v>
      </c>
      <c r="J20">
        <v>2490579</v>
      </c>
      <c r="K20">
        <v>1384508</v>
      </c>
      <c r="L20">
        <v>6156867</v>
      </c>
      <c r="M20">
        <v>501599</v>
      </c>
      <c r="N20">
        <v>404558</v>
      </c>
      <c r="O20">
        <v>557240</v>
      </c>
      <c r="P20">
        <v>487191</v>
      </c>
      <c r="Q20">
        <v>679433</v>
      </c>
      <c r="R20">
        <v>2876100</v>
      </c>
      <c r="S20">
        <v>423459</v>
      </c>
      <c r="T20">
        <v>3054426</v>
      </c>
      <c r="U20">
        <v>449842</v>
      </c>
      <c r="V20">
        <v>2113349</v>
      </c>
      <c r="W20">
        <v>625294</v>
      </c>
      <c r="X20">
        <v>1600065</v>
      </c>
      <c r="Y20">
        <v>806893</v>
      </c>
      <c r="Z20">
        <v>1821860</v>
      </c>
      <c r="AA20">
        <v>2126286</v>
      </c>
      <c r="AB20">
        <v>188172</v>
      </c>
      <c r="AC20">
        <v>888834</v>
      </c>
      <c r="AD20">
        <v>229561</v>
      </c>
      <c r="AE20">
        <v>1104106</v>
      </c>
      <c r="AF20">
        <v>246639</v>
      </c>
      <c r="AG20">
        <v>86911</v>
      </c>
      <c r="AH20">
        <v>187384</v>
      </c>
      <c r="AI20">
        <v>87115</v>
      </c>
      <c r="AJ20">
        <v>185950</v>
      </c>
      <c r="AK20">
        <v>76030</v>
      </c>
      <c r="AL20">
        <v>207678</v>
      </c>
      <c r="AM20">
        <v>544200</v>
      </c>
      <c r="AN20">
        <v>209490</v>
      </c>
      <c r="AO20">
        <v>520052</v>
      </c>
      <c r="AP20">
        <v>255781</v>
      </c>
      <c r="AQ20">
        <v>521038</v>
      </c>
      <c r="AR20">
        <v>1263718</v>
      </c>
      <c r="AS20">
        <v>434643</v>
      </c>
      <c r="AT20">
        <v>1506494</v>
      </c>
      <c r="AU20">
        <v>474898</v>
      </c>
    </row>
    <row r="21" spans="1:47" x14ac:dyDescent="0.4">
      <c r="A21" s="1" t="s">
        <v>30</v>
      </c>
      <c r="B21" s="1" t="s">
        <v>31</v>
      </c>
      <c r="C21">
        <v>73124</v>
      </c>
      <c r="D21">
        <v>1613500</v>
      </c>
      <c r="E21">
        <v>68902</v>
      </c>
      <c r="F21">
        <v>1758327</v>
      </c>
      <c r="G21">
        <v>78532</v>
      </c>
      <c r="H21">
        <v>2494462</v>
      </c>
      <c r="I21">
        <v>1147010</v>
      </c>
      <c r="J21">
        <v>2501685</v>
      </c>
      <c r="K21">
        <v>1341906</v>
      </c>
      <c r="L21">
        <v>6331841</v>
      </c>
      <c r="M21">
        <v>537912</v>
      </c>
      <c r="N21">
        <v>434010</v>
      </c>
      <c r="O21">
        <v>586750</v>
      </c>
      <c r="P21">
        <v>504618</v>
      </c>
      <c r="Q21">
        <v>699497</v>
      </c>
      <c r="R21">
        <v>3127197</v>
      </c>
      <c r="S21">
        <v>384215</v>
      </c>
      <c r="T21">
        <v>3319353</v>
      </c>
      <c r="U21">
        <v>417939</v>
      </c>
      <c r="V21">
        <v>2079795</v>
      </c>
      <c r="W21">
        <v>579398</v>
      </c>
      <c r="X21">
        <v>1508740</v>
      </c>
      <c r="Y21">
        <v>722917</v>
      </c>
      <c r="Z21">
        <v>1748046</v>
      </c>
      <c r="AA21">
        <v>2121580</v>
      </c>
      <c r="AB21">
        <v>211157</v>
      </c>
      <c r="AC21">
        <v>969271</v>
      </c>
      <c r="AD21">
        <v>253977</v>
      </c>
      <c r="AE21">
        <v>1189858</v>
      </c>
      <c r="AF21">
        <v>241376</v>
      </c>
      <c r="AG21">
        <v>79140</v>
      </c>
      <c r="AH21">
        <v>184834</v>
      </c>
      <c r="AI21">
        <v>77869</v>
      </c>
      <c r="AJ21">
        <v>182365</v>
      </c>
      <c r="AK21">
        <v>76506</v>
      </c>
      <c r="AL21">
        <v>231758</v>
      </c>
      <c r="AM21">
        <v>561474</v>
      </c>
      <c r="AN21">
        <v>217851</v>
      </c>
      <c r="AO21">
        <v>514781</v>
      </c>
      <c r="AP21">
        <v>265837</v>
      </c>
      <c r="AQ21">
        <v>560233</v>
      </c>
      <c r="AR21">
        <v>1388993</v>
      </c>
      <c r="AS21">
        <v>442801</v>
      </c>
      <c r="AT21">
        <v>1569055</v>
      </c>
      <c r="AU21">
        <v>478397</v>
      </c>
    </row>
    <row r="22" spans="1:47" x14ac:dyDescent="0.4">
      <c r="A22" s="1" t="s">
        <v>32</v>
      </c>
      <c r="B22" s="1" t="s">
        <v>33</v>
      </c>
      <c r="C22">
        <v>67624</v>
      </c>
      <c r="D22">
        <v>1708067</v>
      </c>
      <c r="E22">
        <v>68474</v>
      </c>
      <c r="F22">
        <v>1767537</v>
      </c>
      <c r="G22">
        <v>77898</v>
      </c>
      <c r="H22">
        <v>2607605</v>
      </c>
      <c r="I22">
        <v>1145681</v>
      </c>
      <c r="J22">
        <v>2685906</v>
      </c>
      <c r="K22">
        <v>1287481</v>
      </c>
      <c r="L22">
        <v>6355510</v>
      </c>
      <c r="M22">
        <v>536708</v>
      </c>
      <c r="N22">
        <v>411310</v>
      </c>
      <c r="O22">
        <v>557846</v>
      </c>
      <c r="P22">
        <v>463738</v>
      </c>
      <c r="Q22">
        <v>723010</v>
      </c>
      <c r="R22">
        <v>2842586</v>
      </c>
      <c r="S22">
        <v>411762</v>
      </c>
      <c r="T22">
        <v>2976270</v>
      </c>
      <c r="U22">
        <v>438865</v>
      </c>
      <c r="V22">
        <v>2115009</v>
      </c>
      <c r="W22">
        <v>574872</v>
      </c>
      <c r="X22">
        <v>1512434</v>
      </c>
      <c r="Y22">
        <v>725732</v>
      </c>
      <c r="Z22">
        <v>1778502</v>
      </c>
      <c r="AA22">
        <v>2132207</v>
      </c>
      <c r="AB22">
        <v>199581</v>
      </c>
      <c r="AC22">
        <v>885786</v>
      </c>
      <c r="AD22">
        <v>210238</v>
      </c>
      <c r="AE22">
        <v>958251</v>
      </c>
      <c r="AF22">
        <v>270369</v>
      </c>
      <c r="AG22">
        <v>78939</v>
      </c>
      <c r="AH22">
        <v>180514</v>
      </c>
      <c r="AI22">
        <v>79549</v>
      </c>
      <c r="AJ22">
        <v>178372</v>
      </c>
      <c r="AK22">
        <v>76408</v>
      </c>
      <c r="AL22">
        <v>211848</v>
      </c>
      <c r="AM22">
        <v>549335</v>
      </c>
      <c r="AN22">
        <v>192777</v>
      </c>
      <c r="AO22">
        <v>482936</v>
      </c>
      <c r="AP22">
        <v>264308</v>
      </c>
      <c r="AQ22">
        <v>523615</v>
      </c>
      <c r="AR22">
        <v>1223410</v>
      </c>
      <c r="AS22">
        <v>421768</v>
      </c>
      <c r="AT22">
        <v>1426534</v>
      </c>
      <c r="AU22">
        <v>485657</v>
      </c>
    </row>
    <row r="23" spans="1:47" x14ac:dyDescent="0.4">
      <c r="A23" s="1" t="s">
        <v>34</v>
      </c>
      <c r="B23" s="1" t="s">
        <v>35</v>
      </c>
      <c r="C23">
        <v>64420</v>
      </c>
      <c r="D23">
        <v>1600454</v>
      </c>
      <c r="E23">
        <v>59794</v>
      </c>
      <c r="F23">
        <v>1770476</v>
      </c>
      <c r="G23">
        <v>83213</v>
      </c>
      <c r="H23">
        <v>2539192</v>
      </c>
      <c r="I23">
        <v>1085902</v>
      </c>
      <c r="J23">
        <v>2585399</v>
      </c>
      <c r="K23">
        <v>1325334</v>
      </c>
      <c r="L23">
        <v>6431653</v>
      </c>
      <c r="M23">
        <v>455294</v>
      </c>
      <c r="N23">
        <v>383998</v>
      </c>
      <c r="O23">
        <v>525076</v>
      </c>
      <c r="P23">
        <v>479404</v>
      </c>
      <c r="Q23">
        <v>702242</v>
      </c>
      <c r="R23">
        <v>2601391</v>
      </c>
      <c r="S23">
        <v>400937</v>
      </c>
      <c r="T23">
        <v>2782762</v>
      </c>
      <c r="U23">
        <v>433793</v>
      </c>
      <c r="V23">
        <v>2112825</v>
      </c>
      <c r="W23">
        <v>576122</v>
      </c>
      <c r="X23">
        <v>1580679</v>
      </c>
      <c r="Y23">
        <v>720099</v>
      </c>
      <c r="Z23">
        <v>1852297</v>
      </c>
      <c r="AA23">
        <v>2113429</v>
      </c>
      <c r="AB23">
        <v>187083</v>
      </c>
      <c r="AC23">
        <v>869499</v>
      </c>
      <c r="AD23">
        <v>283399</v>
      </c>
      <c r="AE23">
        <v>1247399</v>
      </c>
      <c r="AF23">
        <v>221151</v>
      </c>
      <c r="AG23">
        <v>74432</v>
      </c>
      <c r="AH23">
        <v>183251</v>
      </c>
      <c r="AI23">
        <v>73236</v>
      </c>
      <c r="AJ23">
        <v>178484</v>
      </c>
      <c r="AK23">
        <v>76985</v>
      </c>
      <c r="AL23">
        <v>228607</v>
      </c>
      <c r="AM23">
        <v>537311</v>
      </c>
      <c r="AN23">
        <v>229524</v>
      </c>
      <c r="AO23">
        <v>534812</v>
      </c>
      <c r="AP23">
        <v>262452</v>
      </c>
      <c r="AQ23">
        <v>515418</v>
      </c>
      <c r="AR23">
        <v>1191780</v>
      </c>
      <c r="AS23">
        <v>420812</v>
      </c>
      <c r="AT23">
        <v>1435781</v>
      </c>
      <c r="AU23">
        <v>473048</v>
      </c>
    </row>
    <row r="24" spans="1:47" x14ac:dyDescent="0.4">
      <c r="A24" s="1" t="s">
        <v>36</v>
      </c>
      <c r="B24" s="1" t="s">
        <v>37</v>
      </c>
      <c r="C24">
        <v>59918</v>
      </c>
      <c r="D24">
        <v>1437472</v>
      </c>
      <c r="E24">
        <v>68199</v>
      </c>
      <c r="F24">
        <v>1859257</v>
      </c>
      <c r="G24">
        <v>73160</v>
      </c>
      <c r="H24">
        <v>2397053</v>
      </c>
      <c r="I24">
        <v>1015942</v>
      </c>
      <c r="J24">
        <v>2561756</v>
      </c>
      <c r="K24">
        <v>1245751</v>
      </c>
      <c r="L24">
        <v>6356589</v>
      </c>
      <c r="M24">
        <v>507964</v>
      </c>
      <c r="N24">
        <v>419295</v>
      </c>
      <c r="O24">
        <v>520985</v>
      </c>
      <c r="P24">
        <v>462320</v>
      </c>
      <c r="Q24">
        <v>749213</v>
      </c>
      <c r="R24">
        <v>2180818</v>
      </c>
      <c r="S24">
        <v>312992</v>
      </c>
      <c r="T24">
        <v>2370448</v>
      </c>
      <c r="U24">
        <v>338946</v>
      </c>
      <c r="V24">
        <v>2026180</v>
      </c>
      <c r="W24">
        <v>562910</v>
      </c>
      <c r="X24">
        <v>1496908</v>
      </c>
      <c r="Y24">
        <v>779717</v>
      </c>
      <c r="Z24">
        <v>1787579</v>
      </c>
      <c r="AA24">
        <v>2052436</v>
      </c>
      <c r="AB24">
        <v>204463</v>
      </c>
      <c r="AC24">
        <v>939245</v>
      </c>
      <c r="AD24">
        <v>210996</v>
      </c>
      <c r="AE24">
        <v>1033843</v>
      </c>
      <c r="AF24">
        <v>255449</v>
      </c>
      <c r="AG24">
        <v>71402</v>
      </c>
      <c r="AH24">
        <v>154325</v>
      </c>
      <c r="AI24">
        <v>70509</v>
      </c>
      <c r="AJ24">
        <v>157246</v>
      </c>
      <c r="AK24">
        <v>78414</v>
      </c>
      <c r="AL24">
        <v>227583</v>
      </c>
      <c r="AM24">
        <v>498892</v>
      </c>
      <c r="AN24">
        <v>240534</v>
      </c>
      <c r="AO24">
        <v>547799</v>
      </c>
      <c r="AP24">
        <v>243236</v>
      </c>
      <c r="AQ24">
        <v>499552</v>
      </c>
      <c r="AR24">
        <v>1161526</v>
      </c>
      <c r="AS24">
        <v>402435</v>
      </c>
      <c r="AT24">
        <v>1397269</v>
      </c>
      <c r="AU24">
        <v>489786</v>
      </c>
    </row>
    <row r="25" spans="1:47" x14ac:dyDescent="0.4">
      <c r="A25" s="1" t="s">
        <v>38</v>
      </c>
      <c r="B25" s="1" t="s">
        <v>39</v>
      </c>
      <c r="C25">
        <v>60074</v>
      </c>
      <c r="D25">
        <v>1497335</v>
      </c>
      <c r="E25">
        <v>65388</v>
      </c>
      <c r="F25">
        <v>1928569</v>
      </c>
      <c r="G25">
        <v>68468</v>
      </c>
      <c r="H25">
        <v>2549171</v>
      </c>
      <c r="I25">
        <v>1115133</v>
      </c>
      <c r="J25">
        <v>2746324</v>
      </c>
      <c r="K25">
        <v>1418638</v>
      </c>
      <c r="L25">
        <v>6372551</v>
      </c>
      <c r="M25">
        <v>465114</v>
      </c>
      <c r="N25">
        <v>394414</v>
      </c>
      <c r="O25">
        <v>539202</v>
      </c>
      <c r="P25">
        <v>489717</v>
      </c>
      <c r="Q25">
        <v>680079</v>
      </c>
      <c r="R25">
        <v>2869792</v>
      </c>
      <c r="S25">
        <v>413799</v>
      </c>
      <c r="T25">
        <v>3070026</v>
      </c>
      <c r="U25">
        <v>442467</v>
      </c>
      <c r="V25">
        <v>2031823</v>
      </c>
      <c r="W25">
        <v>607935</v>
      </c>
      <c r="X25">
        <v>1720326</v>
      </c>
      <c r="Y25">
        <v>759182</v>
      </c>
      <c r="Z25">
        <v>2103839</v>
      </c>
      <c r="AA25">
        <v>2068737</v>
      </c>
      <c r="AB25">
        <v>203764</v>
      </c>
      <c r="AC25">
        <v>916468</v>
      </c>
      <c r="AD25">
        <v>225600</v>
      </c>
      <c r="AE25">
        <v>1058975</v>
      </c>
      <c r="AF25">
        <v>267502</v>
      </c>
      <c r="AG25">
        <v>61576</v>
      </c>
      <c r="AH25">
        <v>162051</v>
      </c>
      <c r="AI25">
        <v>62160</v>
      </c>
      <c r="AJ25">
        <v>160282</v>
      </c>
      <c r="AK25">
        <v>78676</v>
      </c>
      <c r="AL25">
        <v>249185</v>
      </c>
      <c r="AM25">
        <v>538218</v>
      </c>
      <c r="AN25">
        <v>251024</v>
      </c>
      <c r="AO25">
        <v>546093</v>
      </c>
      <c r="AP25">
        <v>249041</v>
      </c>
      <c r="AQ25">
        <v>519876</v>
      </c>
      <c r="AR25">
        <v>1192199</v>
      </c>
      <c r="AS25">
        <v>431715</v>
      </c>
      <c r="AT25">
        <v>1513607</v>
      </c>
      <c r="AU25">
        <v>472227</v>
      </c>
    </row>
    <row r="26" spans="1:47" x14ac:dyDescent="0.4">
      <c r="A26" s="1" t="s">
        <v>40</v>
      </c>
      <c r="B26" s="1" t="s">
        <v>41</v>
      </c>
      <c r="C26">
        <v>66408</v>
      </c>
      <c r="D26">
        <v>1578669</v>
      </c>
      <c r="E26">
        <v>73112</v>
      </c>
      <c r="F26">
        <v>2237464</v>
      </c>
      <c r="G26">
        <v>63004</v>
      </c>
      <c r="H26">
        <v>2488501</v>
      </c>
      <c r="I26">
        <v>1174255</v>
      </c>
      <c r="J26">
        <v>2786496</v>
      </c>
      <c r="K26">
        <v>1517294</v>
      </c>
      <c r="L26">
        <v>6163561</v>
      </c>
      <c r="M26">
        <v>525942</v>
      </c>
      <c r="N26">
        <v>421059</v>
      </c>
      <c r="O26">
        <v>594746</v>
      </c>
      <c r="P26">
        <v>519028</v>
      </c>
      <c r="Q26">
        <v>684666</v>
      </c>
      <c r="R26">
        <v>2534714</v>
      </c>
      <c r="S26">
        <v>409063</v>
      </c>
      <c r="T26">
        <v>2756397</v>
      </c>
      <c r="U26">
        <v>438732</v>
      </c>
      <c r="V26">
        <v>2030266</v>
      </c>
      <c r="W26">
        <v>587676</v>
      </c>
      <c r="X26">
        <v>1848750</v>
      </c>
      <c r="Y26">
        <v>808404</v>
      </c>
      <c r="Z26">
        <v>2263125</v>
      </c>
      <c r="AA26">
        <v>2062438</v>
      </c>
      <c r="AB26">
        <v>220964</v>
      </c>
      <c r="AC26">
        <v>1005974</v>
      </c>
      <c r="AD26">
        <v>286912</v>
      </c>
      <c r="AE26">
        <v>1299765</v>
      </c>
      <c r="AF26">
        <v>240747</v>
      </c>
      <c r="AG26">
        <v>85722</v>
      </c>
      <c r="AH26">
        <v>202579</v>
      </c>
      <c r="AI26">
        <v>84927</v>
      </c>
      <c r="AJ26">
        <v>193940</v>
      </c>
      <c r="AK26">
        <v>79899</v>
      </c>
      <c r="AL26">
        <v>300244</v>
      </c>
      <c r="AM26">
        <v>631030</v>
      </c>
      <c r="AN26">
        <v>281796</v>
      </c>
      <c r="AO26">
        <v>571538</v>
      </c>
      <c r="AP26">
        <v>273495</v>
      </c>
      <c r="AQ26">
        <v>537464</v>
      </c>
      <c r="AR26">
        <v>1252743</v>
      </c>
      <c r="AS26">
        <v>447045</v>
      </c>
      <c r="AT26">
        <v>1568581</v>
      </c>
      <c r="AU26">
        <v>472014</v>
      </c>
    </row>
    <row r="27" spans="1:47" x14ac:dyDescent="0.4">
      <c r="A27" s="1" t="s">
        <v>42</v>
      </c>
      <c r="B27" s="1" t="s">
        <v>43</v>
      </c>
      <c r="C27">
        <v>69116</v>
      </c>
      <c r="D27">
        <v>1580596</v>
      </c>
      <c r="E27">
        <v>64414</v>
      </c>
      <c r="F27">
        <v>1860944</v>
      </c>
      <c r="G27">
        <v>68542</v>
      </c>
      <c r="H27">
        <v>2665209</v>
      </c>
      <c r="I27">
        <v>1131514</v>
      </c>
      <c r="J27">
        <v>2828369</v>
      </c>
      <c r="K27">
        <v>1359250</v>
      </c>
      <c r="L27">
        <v>6115868</v>
      </c>
      <c r="M27">
        <v>508856</v>
      </c>
      <c r="N27">
        <v>435984</v>
      </c>
      <c r="O27">
        <v>573084</v>
      </c>
      <c r="P27">
        <v>524016</v>
      </c>
      <c r="Q27">
        <v>634938</v>
      </c>
      <c r="R27">
        <v>2971197</v>
      </c>
      <c r="S27">
        <v>420241</v>
      </c>
      <c r="T27">
        <v>3099714</v>
      </c>
      <c r="U27">
        <v>438647</v>
      </c>
      <c r="V27">
        <v>2020932</v>
      </c>
      <c r="W27">
        <v>580211</v>
      </c>
      <c r="X27">
        <v>1535334</v>
      </c>
      <c r="Y27">
        <v>659165</v>
      </c>
      <c r="Z27">
        <v>1730377</v>
      </c>
      <c r="AA27">
        <v>2125832</v>
      </c>
      <c r="AB27">
        <v>193907</v>
      </c>
      <c r="AC27">
        <v>946816</v>
      </c>
      <c r="AD27">
        <v>261057</v>
      </c>
      <c r="AE27">
        <v>1117999</v>
      </c>
      <c r="AF27">
        <v>210426</v>
      </c>
      <c r="AG27">
        <v>87998</v>
      </c>
      <c r="AH27">
        <v>190945</v>
      </c>
      <c r="AI27">
        <v>86652</v>
      </c>
      <c r="AJ27">
        <v>193980</v>
      </c>
      <c r="AK27">
        <v>79886</v>
      </c>
      <c r="AL27">
        <v>198135</v>
      </c>
      <c r="AM27">
        <v>528423</v>
      </c>
      <c r="AN27">
        <v>193724</v>
      </c>
      <c r="AO27">
        <v>510659</v>
      </c>
      <c r="AP27">
        <v>274305</v>
      </c>
      <c r="AQ27">
        <v>549162</v>
      </c>
      <c r="AR27">
        <v>1285814</v>
      </c>
      <c r="AS27">
        <v>451544</v>
      </c>
      <c r="AT27">
        <v>1584313</v>
      </c>
      <c r="AU27">
        <v>489139</v>
      </c>
    </row>
    <row r="28" spans="1:47" x14ac:dyDescent="0.4">
      <c r="A28" s="1" t="s">
        <v>44</v>
      </c>
      <c r="B28" s="1" t="s">
        <v>45</v>
      </c>
      <c r="C28">
        <v>61247</v>
      </c>
      <c r="D28">
        <v>1386350</v>
      </c>
      <c r="E28">
        <v>60221</v>
      </c>
      <c r="F28">
        <v>1692303</v>
      </c>
      <c r="G28">
        <v>71300</v>
      </c>
      <c r="H28">
        <v>2275539</v>
      </c>
      <c r="I28">
        <v>1064890</v>
      </c>
      <c r="J28">
        <v>2452505</v>
      </c>
      <c r="K28">
        <v>1195804</v>
      </c>
      <c r="L28">
        <v>6129201</v>
      </c>
      <c r="M28">
        <v>521037</v>
      </c>
      <c r="N28">
        <v>419642</v>
      </c>
      <c r="O28">
        <v>559318</v>
      </c>
      <c r="P28">
        <v>475419</v>
      </c>
      <c r="Q28">
        <v>793340</v>
      </c>
      <c r="R28">
        <v>2438575</v>
      </c>
      <c r="S28">
        <v>373249</v>
      </c>
      <c r="T28">
        <v>2637677</v>
      </c>
      <c r="U28">
        <v>400358</v>
      </c>
      <c r="V28">
        <v>2042694</v>
      </c>
      <c r="W28">
        <v>557691</v>
      </c>
      <c r="X28">
        <v>1403294</v>
      </c>
      <c r="Y28">
        <v>629316</v>
      </c>
      <c r="Z28">
        <v>1661239</v>
      </c>
      <c r="AA28">
        <v>2191659</v>
      </c>
      <c r="AB28">
        <v>180183</v>
      </c>
      <c r="AC28">
        <v>848629</v>
      </c>
      <c r="AD28">
        <v>227093</v>
      </c>
      <c r="AE28">
        <v>1095983</v>
      </c>
      <c r="AF28">
        <v>200994</v>
      </c>
      <c r="AG28">
        <v>83610</v>
      </c>
      <c r="AH28">
        <v>206326</v>
      </c>
      <c r="AI28">
        <v>84565</v>
      </c>
      <c r="AJ28">
        <v>208958</v>
      </c>
      <c r="AK28">
        <v>79696</v>
      </c>
      <c r="AL28">
        <v>189810</v>
      </c>
      <c r="AM28">
        <v>475755</v>
      </c>
      <c r="AN28">
        <v>206592</v>
      </c>
      <c r="AO28">
        <v>529399</v>
      </c>
      <c r="AP28">
        <v>257632</v>
      </c>
      <c r="AQ28">
        <v>568983</v>
      </c>
      <c r="AR28">
        <v>1356081</v>
      </c>
      <c r="AS28">
        <v>473525</v>
      </c>
      <c r="AT28">
        <v>1652631</v>
      </c>
      <c r="AU28">
        <v>492526</v>
      </c>
    </row>
    <row r="29" spans="1:47" x14ac:dyDescent="0.4">
      <c r="A29" s="1" t="s">
        <v>46</v>
      </c>
      <c r="B29" s="1" t="s">
        <v>47</v>
      </c>
      <c r="C29">
        <v>59753</v>
      </c>
      <c r="D29">
        <v>1408971</v>
      </c>
      <c r="E29">
        <v>60788</v>
      </c>
      <c r="F29">
        <v>1842814</v>
      </c>
      <c r="G29">
        <v>72289</v>
      </c>
      <c r="H29">
        <v>2553964</v>
      </c>
      <c r="I29">
        <v>1118993</v>
      </c>
      <c r="J29">
        <v>2551908</v>
      </c>
      <c r="K29">
        <v>1329691</v>
      </c>
      <c r="L29">
        <v>6262107</v>
      </c>
      <c r="M29">
        <v>542249</v>
      </c>
      <c r="N29">
        <v>428155</v>
      </c>
      <c r="O29">
        <v>588465</v>
      </c>
      <c r="P29">
        <v>489515</v>
      </c>
      <c r="Q29">
        <v>813794</v>
      </c>
      <c r="R29">
        <v>2666890</v>
      </c>
      <c r="S29">
        <v>387287</v>
      </c>
      <c r="T29">
        <v>2855545</v>
      </c>
      <c r="U29">
        <v>412194</v>
      </c>
      <c r="V29">
        <v>2056269</v>
      </c>
      <c r="W29">
        <v>593496</v>
      </c>
      <c r="X29">
        <v>1512214</v>
      </c>
      <c r="Y29">
        <v>731446</v>
      </c>
      <c r="Z29">
        <v>1721108</v>
      </c>
      <c r="AA29">
        <v>2160448</v>
      </c>
      <c r="AB29">
        <v>196505</v>
      </c>
      <c r="AC29">
        <v>857901</v>
      </c>
      <c r="AD29">
        <v>215502</v>
      </c>
      <c r="AE29">
        <v>992816</v>
      </c>
      <c r="AF29">
        <v>217686</v>
      </c>
      <c r="AG29">
        <v>65309</v>
      </c>
      <c r="AH29">
        <v>176731</v>
      </c>
      <c r="AI29">
        <v>63554</v>
      </c>
      <c r="AJ29">
        <v>166562</v>
      </c>
      <c r="AK29">
        <v>81189</v>
      </c>
      <c r="AL29">
        <v>232854</v>
      </c>
      <c r="AM29">
        <v>543990</v>
      </c>
      <c r="AN29">
        <v>245024</v>
      </c>
      <c r="AO29">
        <v>568025</v>
      </c>
      <c r="AP29">
        <v>250052</v>
      </c>
      <c r="AQ29">
        <v>568393</v>
      </c>
      <c r="AR29">
        <v>1396839</v>
      </c>
      <c r="AS29">
        <v>487501</v>
      </c>
      <c r="AT29">
        <v>1729389</v>
      </c>
      <c r="AU29">
        <v>496883</v>
      </c>
    </row>
    <row r="30" spans="1:47" x14ac:dyDescent="0.4">
      <c r="A30" s="1" t="s">
        <v>48</v>
      </c>
      <c r="B30" s="1" t="s">
        <v>49</v>
      </c>
      <c r="C30">
        <v>65672</v>
      </c>
      <c r="D30">
        <v>1671360</v>
      </c>
      <c r="E30">
        <v>63117</v>
      </c>
      <c r="F30">
        <v>2124087</v>
      </c>
      <c r="G30">
        <v>75638</v>
      </c>
      <c r="H30">
        <v>2423015</v>
      </c>
      <c r="I30">
        <v>1135597</v>
      </c>
      <c r="J30">
        <v>2481296</v>
      </c>
      <c r="K30">
        <v>1341670</v>
      </c>
      <c r="L30">
        <v>6364960</v>
      </c>
      <c r="M30">
        <v>530292</v>
      </c>
      <c r="N30">
        <v>434327</v>
      </c>
      <c r="O30">
        <v>593518</v>
      </c>
      <c r="P30">
        <v>515923</v>
      </c>
      <c r="Q30">
        <v>822270</v>
      </c>
      <c r="R30">
        <v>2632845</v>
      </c>
      <c r="S30">
        <v>349900</v>
      </c>
      <c r="T30">
        <v>2866742</v>
      </c>
      <c r="U30">
        <v>378781</v>
      </c>
      <c r="V30">
        <v>2087606</v>
      </c>
      <c r="W30">
        <v>587439</v>
      </c>
      <c r="X30">
        <v>1567480</v>
      </c>
      <c r="Y30">
        <v>674865</v>
      </c>
      <c r="Z30">
        <v>1742092</v>
      </c>
      <c r="AA30">
        <v>2169184</v>
      </c>
      <c r="AB30">
        <v>214323</v>
      </c>
      <c r="AC30">
        <v>973654</v>
      </c>
      <c r="AD30">
        <v>267171</v>
      </c>
      <c r="AE30">
        <v>1177335</v>
      </c>
      <c r="AF30">
        <v>202904</v>
      </c>
      <c r="AG30">
        <v>63196</v>
      </c>
      <c r="AH30">
        <v>163996</v>
      </c>
      <c r="AI30">
        <v>62857</v>
      </c>
      <c r="AJ30">
        <v>167342</v>
      </c>
      <c r="AK30">
        <v>81011</v>
      </c>
      <c r="AL30">
        <v>241534</v>
      </c>
      <c r="AM30">
        <v>522944</v>
      </c>
      <c r="AN30">
        <v>220489</v>
      </c>
      <c r="AO30">
        <v>539715</v>
      </c>
      <c r="AP30">
        <v>266310</v>
      </c>
      <c r="AQ30">
        <v>572057</v>
      </c>
      <c r="AR30">
        <v>1415225</v>
      </c>
      <c r="AS30">
        <v>485482</v>
      </c>
      <c r="AT30">
        <v>1711165</v>
      </c>
      <c r="AU30">
        <v>507994</v>
      </c>
    </row>
    <row r="31" spans="1:47" x14ac:dyDescent="0.4">
      <c r="A31" s="1" t="s">
        <v>50</v>
      </c>
      <c r="B31" s="1" t="s">
        <v>51</v>
      </c>
      <c r="C31">
        <v>52628</v>
      </c>
      <c r="D31">
        <v>1322468</v>
      </c>
      <c r="E31">
        <v>57413</v>
      </c>
      <c r="F31">
        <v>1687399</v>
      </c>
      <c r="G31">
        <v>71231</v>
      </c>
      <c r="H31">
        <v>1905957</v>
      </c>
      <c r="I31">
        <v>981280</v>
      </c>
      <c r="J31">
        <v>1974300</v>
      </c>
      <c r="K31">
        <v>1016316</v>
      </c>
      <c r="L31">
        <v>6331669</v>
      </c>
      <c r="M31">
        <v>470777</v>
      </c>
      <c r="N31">
        <v>372189</v>
      </c>
      <c r="O31">
        <v>504169</v>
      </c>
      <c r="P31">
        <v>429575</v>
      </c>
      <c r="Q31">
        <v>814631</v>
      </c>
      <c r="R31">
        <v>2131403</v>
      </c>
      <c r="S31">
        <v>379449</v>
      </c>
      <c r="T31">
        <v>2278269</v>
      </c>
      <c r="U31">
        <v>395060</v>
      </c>
      <c r="V31">
        <v>2131578</v>
      </c>
      <c r="W31">
        <v>553108</v>
      </c>
      <c r="X31">
        <v>1391899</v>
      </c>
      <c r="Y31">
        <v>614768</v>
      </c>
      <c r="Z31">
        <v>1606798</v>
      </c>
      <c r="AA31">
        <v>2131136</v>
      </c>
      <c r="AB31">
        <v>151566</v>
      </c>
      <c r="AC31">
        <v>698594</v>
      </c>
      <c r="AD31">
        <v>196713</v>
      </c>
      <c r="AE31">
        <v>919523</v>
      </c>
      <c r="AF31">
        <v>196172</v>
      </c>
      <c r="AG31">
        <v>63355</v>
      </c>
      <c r="AH31">
        <v>156105</v>
      </c>
      <c r="AI31">
        <v>64445</v>
      </c>
      <c r="AJ31">
        <v>157166</v>
      </c>
      <c r="AK31">
        <v>80887</v>
      </c>
      <c r="AL31">
        <v>167305</v>
      </c>
      <c r="AM31">
        <v>408580</v>
      </c>
      <c r="AN31">
        <v>165516</v>
      </c>
      <c r="AO31">
        <v>399688</v>
      </c>
      <c r="AP31">
        <v>268572</v>
      </c>
      <c r="AQ31">
        <v>513157</v>
      </c>
      <c r="AR31">
        <v>1257697</v>
      </c>
      <c r="AS31">
        <v>447205</v>
      </c>
      <c r="AT31">
        <v>1623245</v>
      </c>
      <c r="AU31">
        <v>491947</v>
      </c>
    </row>
    <row r="32" spans="1:47" x14ac:dyDescent="0.4">
      <c r="A32" s="1" t="s">
        <v>52</v>
      </c>
      <c r="B32" s="1" t="s">
        <v>53</v>
      </c>
      <c r="C32">
        <v>68807</v>
      </c>
      <c r="D32">
        <v>1573902</v>
      </c>
      <c r="E32">
        <v>71408</v>
      </c>
      <c r="F32">
        <v>1933077</v>
      </c>
      <c r="G32">
        <v>70171</v>
      </c>
      <c r="H32">
        <v>2261432</v>
      </c>
      <c r="I32">
        <v>1113266</v>
      </c>
      <c r="J32">
        <v>2477879</v>
      </c>
      <c r="K32">
        <v>1391425</v>
      </c>
      <c r="L32">
        <v>6255186</v>
      </c>
      <c r="M32">
        <v>524067</v>
      </c>
      <c r="N32">
        <v>438818</v>
      </c>
      <c r="O32">
        <v>584364</v>
      </c>
      <c r="P32">
        <v>513356</v>
      </c>
      <c r="Q32">
        <v>782070</v>
      </c>
      <c r="R32">
        <v>2418651</v>
      </c>
      <c r="S32">
        <v>396205</v>
      </c>
      <c r="T32">
        <v>2670197</v>
      </c>
      <c r="U32">
        <v>428304</v>
      </c>
      <c r="V32">
        <v>2134420</v>
      </c>
      <c r="W32">
        <v>590333</v>
      </c>
      <c r="X32">
        <v>1505142</v>
      </c>
      <c r="Y32">
        <v>671031</v>
      </c>
      <c r="Z32">
        <v>1845201</v>
      </c>
      <c r="AA32">
        <v>2107845</v>
      </c>
      <c r="AB32">
        <v>205221</v>
      </c>
      <c r="AC32">
        <v>963876</v>
      </c>
      <c r="AD32">
        <v>226605</v>
      </c>
      <c r="AE32">
        <v>1070067</v>
      </c>
      <c r="AF32">
        <v>211226</v>
      </c>
      <c r="AG32">
        <v>97848</v>
      </c>
      <c r="AH32">
        <v>208288</v>
      </c>
      <c r="AI32">
        <v>98882</v>
      </c>
      <c r="AJ32">
        <v>212653</v>
      </c>
      <c r="AK32">
        <v>80335</v>
      </c>
      <c r="AL32">
        <v>228611</v>
      </c>
      <c r="AM32">
        <v>613744</v>
      </c>
      <c r="AN32">
        <v>192443</v>
      </c>
      <c r="AO32">
        <v>497416</v>
      </c>
      <c r="AP32">
        <v>296898</v>
      </c>
      <c r="AQ32">
        <v>580354</v>
      </c>
      <c r="AR32">
        <v>1432535</v>
      </c>
      <c r="AS32">
        <v>479802</v>
      </c>
      <c r="AT32">
        <v>1732530</v>
      </c>
      <c r="AU32">
        <v>493281</v>
      </c>
    </row>
    <row r="33" spans="1:47" x14ac:dyDescent="0.4">
      <c r="A33" s="1" t="s">
        <v>54</v>
      </c>
      <c r="B33" s="1" t="s">
        <v>55</v>
      </c>
      <c r="C33">
        <v>71337</v>
      </c>
      <c r="D33">
        <v>1706213</v>
      </c>
      <c r="E33">
        <v>74370</v>
      </c>
      <c r="F33">
        <v>2215776</v>
      </c>
      <c r="G33">
        <v>69131</v>
      </c>
      <c r="H33">
        <v>2412493</v>
      </c>
      <c r="I33">
        <v>1149974</v>
      </c>
      <c r="J33">
        <v>2579653</v>
      </c>
      <c r="K33">
        <v>1363366</v>
      </c>
      <c r="L33">
        <v>6202261</v>
      </c>
      <c r="M33">
        <v>498837</v>
      </c>
      <c r="N33">
        <v>406485</v>
      </c>
      <c r="O33">
        <v>566998</v>
      </c>
      <c r="P33">
        <v>490258</v>
      </c>
      <c r="Q33">
        <v>744157</v>
      </c>
      <c r="R33">
        <v>2540360</v>
      </c>
      <c r="S33">
        <v>414775</v>
      </c>
      <c r="T33">
        <v>2727994</v>
      </c>
      <c r="U33">
        <v>441768</v>
      </c>
      <c r="V33">
        <v>2121625</v>
      </c>
      <c r="W33">
        <v>542703</v>
      </c>
      <c r="X33">
        <v>1528982</v>
      </c>
      <c r="Y33">
        <v>685054</v>
      </c>
      <c r="Z33">
        <v>1827720</v>
      </c>
      <c r="AA33">
        <v>2054966</v>
      </c>
      <c r="AB33">
        <v>232738</v>
      </c>
      <c r="AC33">
        <v>1052244</v>
      </c>
      <c r="AD33">
        <v>256735</v>
      </c>
      <c r="AE33">
        <v>1153358</v>
      </c>
      <c r="AF33">
        <v>227948</v>
      </c>
      <c r="AG33">
        <v>94908</v>
      </c>
      <c r="AH33">
        <v>204634</v>
      </c>
      <c r="AI33">
        <v>93121</v>
      </c>
      <c r="AJ33">
        <v>199286</v>
      </c>
      <c r="AK33">
        <v>81139</v>
      </c>
      <c r="AL33">
        <v>234337</v>
      </c>
      <c r="AM33">
        <v>608569</v>
      </c>
      <c r="AN33">
        <v>217405</v>
      </c>
      <c r="AO33">
        <v>542422</v>
      </c>
      <c r="AP33">
        <v>315100</v>
      </c>
      <c r="AQ33">
        <v>579361</v>
      </c>
      <c r="AR33">
        <v>1441978</v>
      </c>
      <c r="AS33">
        <v>459157</v>
      </c>
      <c r="AT33">
        <v>1649487</v>
      </c>
      <c r="AU33">
        <v>502984</v>
      </c>
    </row>
    <row r="34" spans="1:47" x14ac:dyDescent="0.4">
      <c r="A34" s="1" t="s">
        <v>56</v>
      </c>
      <c r="B34" s="1" t="s">
        <v>57</v>
      </c>
      <c r="C34">
        <v>60176</v>
      </c>
      <c r="D34">
        <v>1387846</v>
      </c>
      <c r="E34">
        <v>63050</v>
      </c>
      <c r="F34">
        <v>1897402</v>
      </c>
      <c r="G34">
        <v>68783</v>
      </c>
      <c r="H34">
        <v>2399651</v>
      </c>
      <c r="I34">
        <v>1043942</v>
      </c>
      <c r="J34">
        <v>2617620</v>
      </c>
      <c r="K34">
        <v>1237185</v>
      </c>
      <c r="L34">
        <v>6015267</v>
      </c>
      <c r="M34">
        <v>454224</v>
      </c>
      <c r="N34">
        <v>369183</v>
      </c>
      <c r="O34">
        <v>498222</v>
      </c>
      <c r="P34">
        <v>428108</v>
      </c>
      <c r="Q34">
        <v>709139</v>
      </c>
      <c r="R34">
        <v>2712726</v>
      </c>
      <c r="S34">
        <v>455536</v>
      </c>
      <c r="T34">
        <v>2947633</v>
      </c>
      <c r="U34">
        <v>487880</v>
      </c>
      <c r="V34">
        <v>2106903</v>
      </c>
      <c r="W34">
        <v>568990</v>
      </c>
      <c r="X34">
        <v>1619620</v>
      </c>
      <c r="Y34">
        <v>659288</v>
      </c>
      <c r="Z34">
        <v>1852557</v>
      </c>
      <c r="AA34">
        <v>2086804</v>
      </c>
      <c r="AB34">
        <v>190318</v>
      </c>
      <c r="AC34">
        <v>890753</v>
      </c>
      <c r="AD34">
        <v>239794</v>
      </c>
      <c r="AE34">
        <v>1121344</v>
      </c>
      <c r="AF34">
        <v>215009</v>
      </c>
      <c r="AG34">
        <v>86377</v>
      </c>
      <c r="AH34">
        <v>198704</v>
      </c>
      <c r="AI34">
        <v>87387</v>
      </c>
      <c r="AJ34">
        <v>201480</v>
      </c>
      <c r="AK34">
        <v>80886</v>
      </c>
      <c r="AL34">
        <v>193065</v>
      </c>
      <c r="AM34">
        <v>466172</v>
      </c>
      <c r="AN34">
        <v>190853</v>
      </c>
      <c r="AO34">
        <v>461638</v>
      </c>
      <c r="AP34">
        <v>315768</v>
      </c>
      <c r="AQ34">
        <v>539919</v>
      </c>
      <c r="AR34">
        <v>1336204</v>
      </c>
      <c r="AS34">
        <v>442444</v>
      </c>
      <c r="AT34">
        <v>1582447</v>
      </c>
      <c r="AU34">
        <v>496795</v>
      </c>
    </row>
    <row r="35" spans="1:47" x14ac:dyDescent="0.4">
      <c r="A35" s="1" t="s">
        <v>58</v>
      </c>
      <c r="B35" s="1" t="s">
        <v>59</v>
      </c>
      <c r="C35">
        <v>61882</v>
      </c>
      <c r="D35">
        <v>1620207</v>
      </c>
      <c r="E35">
        <v>64308</v>
      </c>
      <c r="F35">
        <v>2352833</v>
      </c>
      <c r="G35">
        <v>66739</v>
      </c>
      <c r="H35">
        <v>2113346</v>
      </c>
      <c r="I35">
        <v>1057807</v>
      </c>
      <c r="J35">
        <v>2304211</v>
      </c>
      <c r="K35">
        <v>1271542</v>
      </c>
      <c r="L35">
        <v>5921083</v>
      </c>
      <c r="M35">
        <v>473020</v>
      </c>
      <c r="N35">
        <v>393357</v>
      </c>
      <c r="O35">
        <v>532914</v>
      </c>
      <c r="P35">
        <v>472109</v>
      </c>
      <c r="Q35">
        <v>662740</v>
      </c>
      <c r="R35">
        <v>2781441</v>
      </c>
      <c r="S35">
        <v>429840</v>
      </c>
      <c r="T35">
        <v>2879534</v>
      </c>
      <c r="U35">
        <v>443837</v>
      </c>
      <c r="V35">
        <v>2174579</v>
      </c>
      <c r="W35">
        <v>573190</v>
      </c>
      <c r="X35">
        <v>1614852</v>
      </c>
      <c r="Y35">
        <v>634801</v>
      </c>
      <c r="Z35">
        <v>1846985</v>
      </c>
      <c r="AA35">
        <v>2100905</v>
      </c>
      <c r="AB35">
        <v>218682</v>
      </c>
      <c r="AC35">
        <v>951358</v>
      </c>
      <c r="AD35">
        <v>258254</v>
      </c>
      <c r="AE35">
        <v>1219133</v>
      </c>
      <c r="AF35">
        <v>222138</v>
      </c>
      <c r="AG35">
        <v>77871</v>
      </c>
      <c r="AH35">
        <v>175305</v>
      </c>
      <c r="AI35">
        <v>77136</v>
      </c>
      <c r="AJ35">
        <v>173464</v>
      </c>
      <c r="AK35">
        <v>81297</v>
      </c>
      <c r="AL35">
        <v>206959</v>
      </c>
      <c r="AM35">
        <v>494370</v>
      </c>
      <c r="AN35">
        <v>211999</v>
      </c>
      <c r="AO35">
        <v>488835</v>
      </c>
      <c r="AP35">
        <v>313121</v>
      </c>
      <c r="AQ35">
        <v>541388</v>
      </c>
      <c r="AR35">
        <v>1295762</v>
      </c>
      <c r="AS35">
        <v>433492</v>
      </c>
      <c r="AT35">
        <v>1519571</v>
      </c>
      <c r="AU35">
        <v>503555</v>
      </c>
    </row>
    <row r="36" spans="1:47" x14ac:dyDescent="0.4">
      <c r="A36" s="1" t="s">
        <v>60</v>
      </c>
      <c r="B36" s="1" t="s">
        <v>61</v>
      </c>
      <c r="C36">
        <v>60043</v>
      </c>
      <c r="D36">
        <v>1497556</v>
      </c>
      <c r="E36">
        <v>61145</v>
      </c>
      <c r="F36">
        <v>1855869</v>
      </c>
      <c r="G36">
        <v>66425</v>
      </c>
      <c r="H36">
        <v>2185966</v>
      </c>
      <c r="I36">
        <v>1006403</v>
      </c>
      <c r="J36">
        <v>2521776</v>
      </c>
      <c r="K36">
        <v>1281025</v>
      </c>
      <c r="L36">
        <v>5722127</v>
      </c>
      <c r="M36">
        <v>570545</v>
      </c>
      <c r="N36">
        <v>426508</v>
      </c>
      <c r="O36">
        <v>600490</v>
      </c>
      <c r="P36">
        <v>483240</v>
      </c>
      <c r="Q36">
        <v>602917</v>
      </c>
      <c r="R36">
        <v>2429799</v>
      </c>
      <c r="S36">
        <v>362946</v>
      </c>
      <c r="T36">
        <v>2559642</v>
      </c>
      <c r="U36">
        <v>379562</v>
      </c>
      <c r="V36">
        <v>2209909</v>
      </c>
      <c r="W36">
        <v>510843</v>
      </c>
      <c r="X36">
        <v>1535882</v>
      </c>
      <c r="Y36">
        <v>662875</v>
      </c>
      <c r="Z36">
        <v>1791339</v>
      </c>
      <c r="AA36">
        <v>2024342</v>
      </c>
      <c r="AB36">
        <v>179806</v>
      </c>
      <c r="AC36">
        <v>905400</v>
      </c>
      <c r="AD36">
        <v>211599</v>
      </c>
      <c r="AE36">
        <v>1045276</v>
      </c>
      <c r="AF36">
        <v>208060</v>
      </c>
      <c r="AG36">
        <v>59926</v>
      </c>
      <c r="AH36">
        <v>142495</v>
      </c>
      <c r="AI36">
        <v>58551</v>
      </c>
      <c r="AJ36">
        <v>142817</v>
      </c>
      <c r="AK36">
        <v>81684</v>
      </c>
      <c r="AL36">
        <v>214494</v>
      </c>
      <c r="AM36">
        <v>521659</v>
      </c>
      <c r="AN36">
        <v>234195</v>
      </c>
      <c r="AO36">
        <v>592451</v>
      </c>
      <c r="AP36">
        <v>288837</v>
      </c>
      <c r="AQ36">
        <v>457591</v>
      </c>
      <c r="AR36">
        <v>1202432</v>
      </c>
      <c r="AS36">
        <v>397933</v>
      </c>
      <c r="AT36">
        <v>1530597</v>
      </c>
      <c r="AU36">
        <v>490728</v>
      </c>
    </row>
    <row r="37" spans="1:47" x14ac:dyDescent="0.4">
      <c r="A37" s="1" t="s">
        <v>62</v>
      </c>
      <c r="B37" s="1" t="s">
        <v>63</v>
      </c>
      <c r="C37">
        <v>54093</v>
      </c>
      <c r="D37">
        <v>1477752</v>
      </c>
      <c r="E37">
        <v>57328</v>
      </c>
      <c r="F37">
        <v>1824005</v>
      </c>
      <c r="G37">
        <v>65489</v>
      </c>
      <c r="H37">
        <v>2519652</v>
      </c>
      <c r="I37">
        <v>1097622</v>
      </c>
      <c r="J37">
        <v>2534582</v>
      </c>
      <c r="K37">
        <v>1317009</v>
      </c>
      <c r="L37">
        <v>5762113</v>
      </c>
      <c r="M37">
        <v>481939</v>
      </c>
      <c r="N37">
        <v>404022</v>
      </c>
      <c r="O37">
        <v>552790</v>
      </c>
      <c r="P37">
        <v>484109</v>
      </c>
      <c r="Q37">
        <v>559603</v>
      </c>
      <c r="R37">
        <v>2942416</v>
      </c>
      <c r="S37">
        <v>456055</v>
      </c>
      <c r="T37">
        <v>3133522</v>
      </c>
      <c r="U37">
        <v>480288</v>
      </c>
      <c r="V37">
        <v>2276463</v>
      </c>
      <c r="W37">
        <v>574922</v>
      </c>
      <c r="X37">
        <v>1682454</v>
      </c>
      <c r="Y37">
        <v>658842</v>
      </c>
      <c r="Z37">
        <v>1926439</v>
      </c>
      <c r="AA37">
        <v>2037608</v>
      </c>
      <c r="AB37">
        <v>188933</v>
      </c>
      <c r="AC37">
        <v>949047</v>
      </c>
      <c r="AD37">
        <v>216401</v>
      </c>
      <c r="AE37">
        <v>1070824</v>
      </c>
      <c r="AF37">
        <v>221566</v>
      </c>
      <c r="AG37">
        <v>72947</v>
      </c>
      <c r="AH37">
        <v>191387</v>
      </c>
      <c r="AI37">
        <v>74381</v>
      </c>
      <c r="AJ37">
        <v>195792</v>
      </c>
      <c r="AK37">
        <v>81246</v>
      </c>
      <c r="AL37">
        <v>227400</v>
      </c>
      <c r="AM37">
        <v>491389</v>
      </c>
      <c r="AN37">
        <v>255088</v>
      </c>
      <c r="AO37">
        <v>566227</v>
      </c>
      <c r="AP37">
        <v>261486</v>
      </c>
      <c r="AQ37">
        <v>461276</v>
      </c>
      <c r="AR37">
        <v>1229474</v>
      </c>
      <c r="AS37">
        <v>404821</v>
      </c>
      <c r="AT37">
        <v>1551957</v>
      </c>
      <c r="AU37">
        <v>483941</v>
      </c>
    </row>
    <row r="38" spans="1:47" x14ac:dyDescent="0.4">
      <c r="A38" s="1" t="s">
        <v>64</v>
      </c>
      <c r="B38" s="1" t="s">
        <v>65</v>
      </c>
      <c r="C38">
        <v>60734</v>
      </c>
      <c r="D38">
        <v>1551691</v>
      </c>
      <c r="E38">
        <v>65450</v>
      </c>
      <c r="F38">
        <v>2121532</v>
      </c>
      <c r="G38">
        <v>63095</v>
      </c>
      <c r="H38">
        <v>2411287</v>
      </c>
      <c r="I38">
        <v>1104801</v>
      </c>
      <c r="J38">
        <v>2700145</v>
      </c>
      <c r="K38">
        <v>1674052</v>
      </c>
      <c r="L38">
        <v>5574836</v>
      </c>
      <c r="M38">
        <v>608656</v>
      </c>
      <c r="N38">
        <v>492330</v>
      </c>
      <c r="O38">
        <v>678410</v>
      </c>
      <c r="P38">
        <v>590768</v>
      </c>
      <c r="Q38">
        <v>550076</v>
      </c>
      <c r="R38">
        <v>2945275</v>
      </c>
      <c r="S38">
        <v>455860</v>
      </c>
      <c r="T38">
        <v>3107410</v>
      </c>
      <c r="U38">
        <v>479549</v>
      </c>
      <c r="V38">
        <v>2276242</v>
      </c>
      <c r="W38">
        <v>558744</v>
      </c>
      <c r="X38">
        <v>1692599</v>
      </c>
      <c r="Y38">
        <v>759808</v>
      </c>
      <c r="Z38">
        <v>2202348</v>
      </c>
      <c r="AA38">
        <v>1976693</v>
      </c>
      <c r="AB38">
        <v>207733</v>
      </c>
      <c r="AC38">
        <v>1040083</v>
      </c>
      <c r="AD38">
        <v>278637</v>
      </c>
      <c r="AE38">
        <v>1385530</v>
      </c>
      <c r="AF38">
        <v>200660</v>
      </c>
      <c r="AG38">
        <v>99232</v>
      </c>
      <c r="AH38">
        <v>209673</v>
      </c>
      <c r="AI38">
        <v>99384</v>
      </c>
      <c r="AJ38">
        <v>206645</v>
      </c>
      <c r="AK38">
        <v>81658</v>
      </c>
      <c r="AL38">
        <v>251002</v>
      </c>
      <c r="AM38">
        <v>605598</v>
      </c>
      <c r="AN38">
        <v>255285</v>
      </c>
      <c r="AO38">
        <v>576311</v>
      </c>
      <c r="AP38">
        <v>267590</v>
      </c>
      <c r="AQ38">
        <v>544567</v>
      </c>
      <c r="AR38">
        <v>1487276</v>
      </c>
      <c r="AS38">
        <v>480767</v>
      </c>
      <c r="AT38">
        <v>1836110</v>
      </c>
      <c r="AU38">
        <v>479195</v>
      </c>
    </row>
    <row r="39" spans="1:47" x14ac:dyDescent="0.4">
      <c r="A39" s="1"/>
      <c r="B39" s="1"/>
    </row>
    <row r="40" spans="1:47" x14ac:dyDescent="0.4">
      <c r="A40" s="1"/>
      <c r="B40" s="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959EE-2151-43B7-A2D3-90AC7FCAB1A7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900</v>
      </c>
      <c r="D3" t="s">
        <v>900</v>
      </c>
      <c r="E3" t="s">
        <v>900</v>
      </c>
      <c r="F3" t="s">
        <v>900</v>
      </c>
      <c r="G3" t="s">
        <v>900</v>
      </c>
      <c r="H3" t="s">
        <v>902</v>
      </c>
      <c r="I3" t="s">
        <v>902</v>
      </c>
      <c r="J3" t="s">
        <v>902</v>
      </c>
      <c r="K3" t="s">
        <v>902</v>
      </c>
      <c r="L3" t="s">
        <v>902</v>
      </c>
      <c r="M3" t="s">
        <v>904</v>
      </c>
      <c r="N3" t="s">
        <v>904</v>
      </c>
      <c r="O3" t="s">
        <v>904</v>
      </c>
      <c r="P3" t="s">
        <v>904</v>
      </c>
      <c r="Q3" t="s">
        <v>904</v>
      </c>
      <c r="R3" t="s">
        <v>906</v>
      </c>
      <c r="S3" t="s">
        <v>906</v>
      </c>
      <c r="T3" t="s">
        <v>906</v>
      </c>
      <c r="U3" t="s">
        <v>906</v>
      </c>
      <c r="V3" t="s">
        <v>906</v>
      </c>
      <c r="W3" t="s">
        <v>908</v>
      </c>
      <c r="X3" t="s">
        <v>908</v>
      </c>
      <c r="Y3" t="s">
        <v>908</v>
      </c>
      <c r="Z3" t="s">
        <v>908</v>
      </c>
      <c r="AA3" t="s">
        <v>908</v>
      </c>
      <c r="AB3" t="s">
        <v>910</v>
      </c>
      <c r="AC3" t="s">
        <v>910</v>
      </c>
      <c r="AD3" t="s">
        <v>910</v>
      </c>
      <c r="AE3" t="s">
        <v>910</v>
      </c>
      <c r="AF3" t="s">
        <v>910</v>
      </c>
      <c r="AG3" t="s">
        <v>912</v>
      </c>
      <c r="AH3" t="s">
        <v>912</v>
      </c>
      <c r="AI3" t="s">
        <v>912</v>
      </c>
      <c r="AJ3" t="s">
        <v>912</v>
      </c>
      <c r="AK3" t="s">
        <v>912</v>
      </c>
      <c r="AL3" t="s">
        <v>914</v>
      </c>
      <c r="AM3" t="s">
        <v>914</v>
      </c>
      <c r="AN3" t="s">
        <v>914</v>
      </c>
      <c r="AO3" t="s">
        <v>914</v>
      </c>
      <c r="AP3" t="s">
        <v>914</v>
      </c>
      <c r="AQ3" t="s">
        <v>916</v>
      </c>
      <c r="AR3" t="s">
        <v>916</v>
      </c>
      <c r="AS3" t="s">
        <v>916</v>
      </c>
      <c r="AT3" t="s">
        <v>916</v>
      </c>
      <c r="AU3" t="s">
        <v>916</v>
      </c>
      <c r="AV3" t="s">
        <v>918</v>
      </c>
      <c r="AW3" t="s">
        <v>918</v>
      </c>
      <c r="AX3" t="s">
        <v>918</v>
      </c>
      <c r="AY3" t="s">
        <v>918</v>
      </c>
      <c r="AZ3" t="s">
        <v>918</v>
      </c>
      <c r="BA3" t="s">
        <v>920</v>
      </c>
      <c r="BB3" t="s">
        <v>920</v>
      </c>
      <c r="BC3" t="s">
        <v>920</v>
      </c>
      <c r="BD3" t="s">
        <v>920</v>
      </c>
      <c r="BE3" t="s">
        <v>920</v>
      </c>
      <c r="BF3" t="s">
        <v>922</v>
      </c>
      <c r="BG3" t="s">
        <v>922</v>
      </c>
      <c r="BH3" t="s">
        <v>922</v>
      </c>
      <c r="BI3" t="s">
        <v>922</v>
      </c>
      <c r="BJ3" t="s">
        <v>922</v>
      </c>
    </row>
    <row r="4" spans="1:62" x14ac:dyDescent="0.4">
      <c r="A4" s="1"/>
      <c r="B4" s="2" t="s">
        <v>1</v>
      </c>
      <c r="C4" t="s">
        <v>901</v>
      </c>
      <c r="D4" t="s">
        <v>901</v>
      </c>
      <c r="E4" t="s">
        <v>901</v>
      </c>
      <c r="F4" t="s">
        <v>901</v>
      </c>
      <c r="G4" t="s">
        <v>901</v>
      </c>
      <c r="H4" t="s">
        <v>903</v>
      </c>
      <c r="I4" t="s">
        <v>903</v>
      </c>
      <c r="J4" t="s">
        <v>903</v>
      </c>
      <c r="K4" t="s">
        <v>903</v>
      </c>
      <c r="L4" t="s">
        <v>903</v>
      </c>
      <c r="M4" t="s">
        <v>905</v>
      </c>
      <c r="N4" t="s">
        <v>905</v>
      </c>
      <c r="O4" t="s">
        <v>905</v>
      </c>
      <c r="P4" t="s">
        <v>905</v>
      </c>
      <c r="Q4" t="s">
        <v>905</v>
      </c>
      <c r="R4" t="s">
        <v>907</v>
      </c>
      <c r="S4" t="s">
        <v>907</v>
      </c>
      <c r="T4" t="s">
        <v>907</v>
      </c>
      <c r="U4" t="s">
        <v>907</v>
      </c>
      <c r="V4" t="s">
        <v>907</v>
      </c>
      <c r="W4" t="s">
        <v>909</v>
      </c>
      <c r="X4" t="s">
        <v>909</v>
      </c>
      <c r="Y4" t="s">
        <v>909</v>
      </c>
      <c r="Z4" t="s">
        <v>909</v>
      </c>
      <c r="AA4" t="s">
        <v>909</v>
      </c>
      <c r="AB4" t="s">
        <v>911</v>
      </c>
      <c r="AC4" t="s">
        <v>911</v>
      </c>
      <c r="AD4" t="s">
        <v>911</v>
      </c>
      <c r="AE4" t="s">
        <v>911</v>
      </c>
      <c r="AF4" t="s">
        <v>911</v>
      </c>
      <c r="AG4" t="s">
        <v>913</v>
      </c>
      <c r="AH4" t="s">
        <v>913</v>
      </c>
      <c r="AI4" t="s">
        <v>913</v>
      </c>
      <c r="AJ4" t="s">
        <v>913</v>
      </c>
      <c r="AK4" t="s">
        <v>913</v>
      </c>
      <c r="AL4" t="s">
        <v>915</v>
      </c>
      <c r="AM4" t="s">
        <v>915</v>
      </c>
      <c r="AN4" t="s">
        <v>915</v>
      </c>
      <c r="AO4" t="s">
        <v>915</v>
      </c>
      <c r="AP4" t="s">
        <v>915</v>
      </c>
      <c r="AQ4" t="s">
        <v>917</v>
      </c>
      <c r="AR4" t="s">
        <v>917</v>
      </c>
      <c r="AS4" t="s">
        <v>917</v>
      </c>
      <c r="AT4" t="s">
        <v>917</v>
      </c>
      <c r="AU4" t="s">
        <v>917</v>
      </c>
      <c r="AV4" t="s">
        <v>919</v>
      </c>
      <c r="AW4" t="s">
        <v>919</v>
      </c>
      <c r="AX4" t="s">
        <v>919</v>
      </c>
      <c r="AY4" t="s">
        <v>919</v>
      </c>
      <c r="AZ4" t="s">
        <v>919</v>
      </c>
      <c r="BA4" t="s">
        <v>921</v>
      </c>
      <c r="BB4" t="s">
        <v>921</v>
      </c>
      <c r="BC4" t="s">
        <v>921</v>
      </c>
      <c r="BD4" t="s">
        <v>921</v>
      </c>
      <c r="BE4" t="s">
        <v>921</v>
      </c>
      <c r="BF4" t="s">
        <v>923</v>
      </c>
      <c r="BG4" t="s">
        <v>923</v>
      </c>
      <c r="BH4" t="s">
        <v>923</v>
      </c>
      <c r="BI4" t="s">
        <v>923</v>
      </c>
      <c r="BJ4" t="s">
        <v>923</v>
      </c>
    </row>
    <row r="5" spans="1:6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</row>
    <row r="7" spans="1:6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</row>
    <row r="8" spans="1:6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</row>
    <row r="9" spans="1:62" x14ac:dyDescent="0.4">
      <c r="A9" s="1" t="s">
        <v>6</v>
      </c>
      <c r="B9" s="3" t="s">
        <v>7</v>
      </c>
      <c r="C9">
        <v>2885186</v>
      </c>
      <c r="D9">
        <v>68670</v>
      </c>
      <c r="E9">
        <v>3153710</v>
      </c>
      <c r="F9">
        <v>69127</v>
      </c>
      <c r="G9">
        <v>223286</v>
      </c>
      <c r="H9">
        <v>312180</v>
      </c>
      <c r="I9">
        <v>3956</v>
      </c>
      <c r="J9">
        <v>312418</v>
      </c>
      <c r="K9">
        <v>4655</v>
      </c>
      <c r="L9">
        <v>12726</v>
      </c>
      <c r="M9">
        <v>2044523</v>
      </c>
      <c r="N9">
        <v>80460</v>
      </c>
      <c r="O9">
        <v>2268380</v>
      </c>
      <c r="P9">
        <v>85546</v>
      </c>
      <c r="Q9">
        <v>90997</v>
      </c>
      <c r="R9">
        <v>338118</v>
      </c>
      <c r="S9">
        <v>46577</v>
      </c>
      <c r="T9">
        <v>350407</v>
      </c>
      <c r="U9">
        <v>40398</v>
      </c>
      <c r="V9">
        <v>16228</v>
      </c>
      <c r="W9">
        <v>1210609</v>
      </c>
      <c r="X9">
        <v>132255</v>
      </c>
      <c r="Y9">
        <v>1258205</v>
      </c>
      <c r="Z9">
        <v>83802</v>
      </c>
      <c r="AA9">
        <v>52251</v>
      </c>
      <c r="AB9">
        <v>346335</v>
      </c>
      <c r="AC9">
        <v>8730</v>
      </c>
      <c r="AD9">
        <v>350741</v>
      </c>
      <c r="AE9">
        <v>9667</v>
      </c>
      <c r="AF9">
        <v>26648</v>
      </c>
      <c r="AG9" t="s">
        <v>73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73</v>
      </c>
      <c r="AN9" t="s">
        <v>73</v>
      </c>
      <c r="AO9" t="s">
        <v>73</v>
      </c>
      <c r="AP9" t="s">
        <v>73</v>
      </c>
      <c r="AQ9">
        <v>185438</v>
      </c>
      <c r="AR9">
        <v>14995</v>
      </c>
      <c r="AS9">
        <v>195517</v>
      </c>
      <c r="AT9">
        <v>15318</v>
      </c>
      <c r="AU9">
        <v>37814</v>
      </c>
      <c r="AV9">
        <v>256658</v>
      </c>
      <c r="AW9">
        <v>21001</v>
      </c>
      <c r="AX9">
        <v>198169</v>
      </c>
      <c r="AY9">
        <v>16169</v>
      </c>
      <c r="AZ9">
        <v>22141</v>
      </c>
      <c r="BA9">
        <v>50384</v>
      </c>
      <c r="BB9">
        <v>10836</v>
      </c>
      <c r="BC9">
        <v>103620</v>
      </c>
      <c r="BD9">
        <v>10737</v>
      </c>
      <c r="BE9">
        <v>3823</v>
      </c>
      <c r="BF9">
        <v>8486</v>
      </c>
      <c r="BG9">
        <v>650</v>
      </c>
      <c r="BH9">
        <v>14778</v>
      </c>
      <c r="BI9">
        <v>1011</v>
      </c>
      <c r="BJ9">
        <v>3752</v>
      </c>
    </row>
    <row r="10" spans="1:62" x14ac:dyDescent="0.4">
      <c r="A10" s="1" t="s">
        <v>8</v>
      </c>
      <c r="B10" s="3" t="s">
        <v>9</v>
      </c>
      <c r="C10">
        <v>2922110</v>
      </c>
      <c r="D10">
        <v>71571</v>
      </c>
      <c r="E10">
        <v>2987776</v>
      </c>
      <c r="F10">
        <v>68180</v>
      </c>
      <c r="G10">
        <v>326760</v>
      </c>
      <c r="H10">
        <v>302856</v>
      </c>
      <c r="I10">
        <v>4065</v>
      </c>
      <c r="J10">
        <v>294424</v>
      </c>
      <c r="K10">
        <v>4578</v>
      </c>
      <c r="L10">
        <v>26715</v>
      </c>
      <c r="M10">
        <v>2363834</v>
      </c>
      <c r="N10">
        <v>104429</v>
      </c>
      <c r="O10">
        <v>2550598</v>
      </c>
      <c r="P10">
        <v>110781</v>
      </c>
      <c r="Q10">
        <v>133282</v>
      </c>
      <c r="R10">
        <v>446611</v>
      </c>
      <c r="S10">
        <v>63570</v>
      </c>
      <c r="T10">
        <v>452464</v>
      </c>
      <c r="U10">
        <v>51775</v>
      </c>
      <c r="V10">
        <v>27004</v>
      </c>
      <c r="W10">
        <v>1580893</v>
      </c>
      <c r="X10">
        <v>176749</v>
      </c>
      <c r="Y10">
        <v>1563827</v>
      </c>
      <c r="Z10">
        <v>107022</v>
      </c>
      <c r="AA10">
        <v>86665</v>
      </c>
      <c r="AB10">
        <v>389328</v>
      </c>
      <c r="AC10">
        <v>9929</v>
      </c>
      <c r="AD10">
        <v>368666</v>
      </c>
      <c r="AE10">
        <v>11154</v>
      </c>
      <c r="AF10">
        <v>46228</v>
      </c>
      <c r="AG10" t="s">
        <v>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>
        <v>181142</v>
      </c>
      <c r="AR10">
        <v>15830</v>
      </c>
      <c r="AS10">
        <v>178836</v>
      </c>
      <c r="AT10">
        <v>15218</v>
      </c>
      <c r="AU10">
        <v>41902</v>
      </c>
      <c r="AV10">
        <v>356883</v>
      </c>
      <c r="AW10">
        <v>28680</v>
      </c>
      <c r="AX10">
        <v>212927</v>
      </c>
      <c r="AY10">
        <v>18294</v>
      </c>
      <c r="AZ10">
        <v>30358</v>
      </c>
      <c r="BA10">
        <v>18876</v>
      </c>
      <c r="BB10">
        <v>3058</v>
      </c>
      <c r="BC10">
        <v>22579</v>
      </c>
      <c r="BD10">
        <v>3177</v>
      </c>
      <c r="BE10">
        <v>3768</v>
      </c>
      <c r="BF10">
        <v>8885</v>
      </c>
      <c r="BG10">
        <v>710</v>
      </c>
      <c r="BH10">
        <v>18064</v>
      </c>
      <c r="BI10">
        <v>1193</v>
      </c>
      <c r="BJ10">
        <v>4126</v>
      </c>
    </row>
    <row r="11" spans="1:62" x14ac:dyDescent="0.4">
      <c r="A11" s="1" t="s">
        <v>10</v>
      </c>
      <c r="B11" s="3" t="s">
        <v>11</v>
      </c>
      <c r="C11">
        <v>2538322</v>
      </c>
      <c r="D11">
        <v>63230</v>
      </c>
      <c r="E11">
        <v>2728118</v>
      </c>
      <c r="F11">
        <v>64326</v>
      </c>
      <c r="G11">
        <v>272491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430396</v>
      </c>
      <c r="S11">
        <v>69260</v>
      </c>
      <c r="T11">
        <v>420367</v>
      </c>
      <c r="U11">
        <v>52041</v>
      </c>
      <c r="V11">
        <v>35625</v>
      </c>
      <c r="W11">
        <v>1219775</v>
      </c>
      <c r="X11">
        <v>147080</v>
      </c>
      <c r="Y11">
        <v>1215365</v>
      </c>
      <c r="Z11">
        <v>88793</v>
      </c>
      <c r="AA11">
        <v>101992</v>
      </c>
      <c r="AB11">
        <v>307345</v>
      </c>
      <c r="AC11">
        <v>8329</v>
      </c>
      <c r="AD11">
        <v>302446</v>
      </c>
      <c r="AE11">
        <v>9378</v>
      </c>
      <c r="AF11">
        <v>50311</v>
      </c>
      <c r="AG11" t="s">
        <v>73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>
        <v>172876</v>
      </c>
      <c r="AR11">
        <v>16928</v>
      </c>
      <c r="AS11">
        <v>174130</v>
      </c>
      <c r="AT11">
        <v>16482</v>
      </c>
      <c r="AU11">
        <v>42314</v>
      </c>
      <c r="AV11">
        <v>279410</v>
      </c>
      <c r="AW11">
        <v>23289</v>
      </c>
      <c r="AX11">
        <v>172767</v>
      </c>
      <c r="AY11">
        <v>15157</v>
      </c>
      <c r="AZ11">
        <v>24549</v>
      </c>
      <c r="BA11">
        <v>16649</v>
      </c>
      <c r="BB11">
        <v>2886</v>
      </c>
      <c r="BC11">
        <v>19688</v>
      </c>
      <c r="BD11">
        <v>2888</v>
      </c>
      <c r="BE11">
        <v>3668</v>
      </c>
      <c r="BF11">
        <v>8607</v>
      </c>
      <c r="BG11">
        <v>679</v>
      </c>
      <c r="BH11">
        <v>20201</v>
      </c>
      <c r="BI11">
        <v>1317</v>
      </c>
      <c r="BJ11">
        <v>4206</v>
      </c>
    </row>
    <row r="12" spans="1:62" x14ac:dyDescent="0.4">
      <c r="A12" s="1" t="s">
        <v>12</v>
      </c>
      <c r="B12" s="3" t="s">
        <v>13</v>
      </c>
      <c r="C12">
        <v>2525958</v>
      </c>
      <c r="D12">
        <v>65111</v>
      </c>
      <c r="E12">
        <v>2689339</v>
      </c>
      <c r="F12">
        <v>64437</v>
      </c>
      <c r="G12">
        <v>258104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370754</v>
      </c>
      <c r="S12">
        <v>62977</v>
      </c>
      <c r="T12">
        <v>374095</v>
      </c>
      <c r="U12">
        <v>49909</v>
      </c>
      <c r="V12">
        <v>24897</v>
      </c>
      <c r="W12">
        <v>1239725</v>
      </c>
      <c r="X12">
        <v>157566</v>
      </c>
      <c r="Y12">
        <v>1262739</v>
      </c>
      <c r="Z12">
        <v>95104</v>
      </c>
      <c r="AA12">
        <v>95478</v>
      </c>
      <c r="AB12">
        <v>227632</v>
      </c>
      <c r="AC12">
        <v>6910</v>
      </c>
      <c r="AD12">
        <v>225345</v>
      </c>
      <c r="AE12">
        <v>7923</v>
      </c>
      <c r="AF12">
        <v>52275</v>
      </c>
      <c r="AG12" t="s">
        <v>73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>
        <v>165169</v>
      </c>
      <c r="AR12">
        <v>16494</v>
      </c>
      <c r="AS12">
        <v>156345</v>
      </c>
      <c r="AT12">
        <v>15589</v>
      </c>
      <c r="AU12">
        <v>55207</v>
      </c>
      <c r="AV12">
        <v>266853</v>
      </c>
      <c r="AW12">
        <v>22779</v>
      </c>
      <c r="AX12">
        <v>162664</v>
      </c>
      <c r="AY12">
        <v>14392</v>
      </c>
      <c r="AZ12">
        <v>22864</v>
      </c>
      <c r="BA12">
        <v>15978</v>
      </c>
      <c r="BB12">
        <v>2579</v>
      </c>
      <c r="BC12">
        <v>18778</v>
      </c>
      <c r="BD12">
        <v>2826</v>
      </c>
      <c r="BE12">
        <v>4675</v>
      </c>
      <c r="BF12">
        <v>6507</v>
      </c>
      <c r="BG12">
        <v>518</v>
      </c>
      <c r="BH12">
        <v>15406</v>
      </c>
      <c r="BI12">
        <v>1013</v>
      </c>
      <c r="BJ12">
        <v>4190</v>
      </c>
    </row>
    <row r="13" spans="1:62" x14ac:dyDescent="0.4">
      <c r="A13" s="1" t="s">
        <v>14</v>
      </c>
      <c r="B13" s="3" t="s">
        <v>15</v>
      </c>
      <c r="C13">
        <v>2412377</v>
      </c>
      <c r="D13">
        <v>63269</v>
      </c>
      <c r="E13">
        <v>2590783</v>
      </c>
      <c r="F13">
        <v>62897</v>
      </c>
      <c r="G13">
        <v>234117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406952</v>
      </c>
      <c r="S13">
        <v>73474</v>
      </c>
      <c r="T13">
        <v>398536</v>
      </c>
      <c r="U13">
        <v>54819</v>
      </c>
      <c r="V13">
        <v>31904</v>
      </c>
      <c r="W13">
        <v>1228886</v>
      </c>
      <c r="X13">
        <v>162411</v>
      </c>
      <c r="Y13">
        <v>1243576</v>
      </c>
      <c r="Z13">
        <v>95837</v>
      </c>
      <c r="AA13">
        <v>93456</v>
      </c>
      <c r="AB13">
        <v>193268</v>
      </c>
      <c r="AC13">
        <v>6991</v>
      </c>
      <c r="AD13">
        <v>222972</v>
      </c>
      <c r="AE13">
        <v>8299</v>
      </c>
      <c r="AF13">
        <v>22285</v>
      </c>
      <c r="AG13" t="s">
        <v>73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>
        <v>146751</v>
      </c>
      <c r="AR13">
        <v>14840</v>
      </c>
      <c r="AS13">
        <v>150120</v>
      </c>
      <c r="AT13">
        <v>15135</v>
      </c>
      <c r="AU13">
        <v>42224</v>
      </c>
      <c r="AV13">
        <v>280462</v>
      </c>
      <c r="AW13">
        <v>24671</v>
      </c>
      <c r="AX13">
        <v>163528</v>
      </c>
      <c r="AY13">
        <v>14964</v>
      </c>
      <c r="AZ13">
        <v>18292</v>
      </c>
      <c r="BA13">
        <v>16351</v>
      </c>
      <c r="BB13">
        <v>2542</v>
      </c>
      <c r="BC13">
        <v>18205</v>
      </c>
      <c r="BD13">
        <v>2850</v>
      </c>
      <c r="BE13">
        <v>4599</v>
      </c>
      <c r="BF13">
        <v>6586</v>
      </c>
      <c r="BG13">
        <v>531</v>
      </c>
      <c r="BH13">
        <v>14149</v>
      </c>
      <c r="BI13">
        <v>987</v>
      </c>
      <c r="BJ13">
        <v>3657</v>
      </c>
    </row>
    <row r="14" spans="1:62" x14ac:dyDescent="0.4">
      <c r="A14" s="1" t="s">
        <v>16</v>
      </c>
      <c r="B14" s="1" t="s">
        <v>17</v>
      </c>
      <c r="C14">
        <v>228995</v>
      </c>
      <c r="D14">
        <v>5509</v>
      </c>
      <c r="E14">
        <v>254684</v>
      </c>
      <c r="F14">
        <v>5593</v>
      </c>
      <c r="G14">
        <v>270317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30107</v>
      </c>
      <c r="S14">
        <v>4925</v>
      </c>
      <c r="T14">
        <v>30941</v>
      </c>
      <c r="U14">
        <v>4044</v>
      </c>
      <c r="V14">
        <v>35670</v>
      </c>
      <c r="W14">
        <v>104604</v>
      </c>
      <c r="X14">
        <v>12929</v>
      </c>
      <c r="Y14">
        <v>103938</v>
      </c>
      <c r="Z14">
        <v>7743</v>
      </c>
      <c r="AA14">
        <v>105674</v>
      </c>
      <c r="AB14">
        <v>5987</v>
      </c>
      <c r="AC14">
        <v>410</v>
      </c>
      <c r="AD14">
        <v>17059</v>
      </c>
      <c r="AE14">
        <v>514</v>
      </c>
      <c r="AF14">
        <v>32357</v>
      </c>
      <c r="AG14" t="s">
        <v>73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>
        <v>13830</v>
      </c>
      <c r="AR14">
        <v>1206</v>
      </c>
      <c r="AS14">
        <v>8296</v>
      </c>
      <c r="AT14">
        <v>805</v>
      </c>
      <c r="AU14">
        <v>53319</v>
      </c>
      <c r="AV14">
        <v>21093</v>
      </c>
      <c r="AW14">
        <v>1817</v>
      </c>
      <c r="AX14">
        <v>12960</v>
      </c>
      <c r="AY14">
        <v>1144</v>
      </c>
      <c r="AZ14">
        <v>28608</v>
      </c>
      <c r="BA14">
        <v>1526</v>
      </c>
      <c r="BB14">
        <v>250</v>
      </c>
      <c r="BC14">
        <v>1577</v>
      </c>
      <c r="BD14">
        <v>232</v>
      </c>
      <c r="BE14">
        <v>4739</v>
      </c>
      <c r="BF14">
        <v>794</v>
      </c>
      <c r="BG14">
        <v>66</v>
      </c>
      <c r="BH14">
        <v>1211</v>
      </c>
      <c r="BI14">
        <v>83</v>
      </c>
      <c r="BJ14">
        <v>5223</v>
      </c>
    </row>
    <row r="15" spans="1:62" x14ac:dyDescent="0.4">
      <c r="A15" s="1" t="s">
        <v>18</v>
      </c>
      <c r="B15" s="1" t="s">
        <v>19</v>
      </c>
      <c r="C15">
        <v>211806</v>
      </c>
      <c r="D15">
        <v>5308</v>
      </c>
      <c r="E15">
        <v>226022</v>
      </c>
      <c r="F15">
        <v>5176</v>
      </c>
      <c r="G15">
        <v>268848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27254</v>
      </c>
      <c r="S15">
        <v>4622</v>
      </c>
      <c r="T15">
        <v>25695</v>
      </c>
      <c r="U15">
        <v>3487</v>
      </c>
      <c r="V15">
        <v>36316</v>
      </c>
      <c r="W15">
        <v>96610</v>
      </c>
      <c r="X15">
        <v>11730</v>
      </c>
      <c r="Y15">
        <v>93594</v>
      </c>
      <c r="Z15">
        <v>7057</v>
      </c>
      <c r="AA15">
        <v>109613</v>
      </c>
      <c r="AB15">
        <v>13193</v>
      </c>
      <c r="AC15">
        <v>446</v>
      </c>
      <c r="AD15">
        <v>2857</v>
      </c>
      <c r="AE15">
        <v>223</v>
      </c>
      <c r="AF15">
        <v>42687</v>
      </c>
      <c r="AG15" t="s">
        <v>73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>
        <v>16186</v>
      </c>
      <c r="AR15">
        <v>1503</v>
      </c>
      <c r="AS15">
        <v>5992</v>
      </c>
      <c r="AT15">
        <v>556</v>
      </c>
      <c r="AU15">
        <v>63563</v>
      </c>
      <c r="AV15">
        <v>21120</v>
      </c>
      <c r="AW15">
        <v>1835</v>
      </c>
      <c r="AX15">
        <v>12313</v>
      </c>
      <c r="AY15">
        <v>1109</v>
      </c>
      <c r="AZ15">
        <v>28683</v>
      </c>
      <c r="BA15">
        <v>1487</v>
      </c>
      <c r="BB15">
        <v>229</v>
      </c>
      <c r="BC15">
        <v>1069</v>
      </c>
      <c r="BD15">
        <v>168</v>
      </c>
      <c r="BE15">
        <v>5279</v>
      </c>
      <c r="BF15">
        <v>503</v>
      </c>
      <c r="BG15">
        <v>41</v>
      </c>
      <c r="BH15">
        <v>1459</v>
      </c>
      <c r="BI15">
        <v>97</v>
      </c>
      <c r="BJ15">
        <v>5083</v>
      </c>
    </row>
    <row r="16" spans="1:62" x14ac:dyDescent="0.4">
      <c r="A16" s="1" t="s">
        <v>20</v>
      </c>
      <c r="B16" s="1" t="s">
        <v>21</v>
      </c>
      <c r="C16">
        <v>196710</v>
      </c>
      <c r="D16">
        <v>4952</v>
      </c>
      <c r="E16">
        <v>196771</v>
      </c>
      <c r="F16">
        <v>4660</v>
      </c>
      <c r="G16">
        <v>280901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26941</v>
      </c>
      <c r="S16">
        <v>4410</v>
      </c>
      <c r="T16">
        <v>25135</v>
      </c>
      <c r="U16">
        <v>3375</v>
      </c>
      <c r="V16">
        <v>37952</v>
      </c>
      <c r="W16">
        <v>91099</v>
      </c>
      <c r="X16">
        <v>11329</v>
      </c>
      <c r="Y16">
        <v>90547</v>
      </c>
      <c r="Z16">
        <v>6817</v>
      </c>
      <c r="AA16">
        <v>111543</v>
      </c>
      <c r="AB16">
        <v>27195</v>
      </c>
      <c r="AC16">
        <v>721</v>
      </c>
      <c r="AD16">
        <v>3744</v>
      </c>
      <c r="AE16">
        <v>318</v>
      </c>
      <c r="AF16">
        <v>66136</v>
      </c>
      <c r="AG16" t="s">
        <v>73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>
        <v>18510</v>
      </c>
      <c r="AR16">
        <v>1872</v>
      </c>
      <c r="AS16">
        <v>4654</v>
      </c>
      <c r="AT16">
        <v>480</v>
      </c>
      <c r="AU16">
        <v>77452</v>
      </c>
      <c r="AV16">
        <v>20180</v>
      </c>
      <c r="AW16">
        <v>1762</v>
      </c>
      <c r="AX16">
        <v>11370</v>
      </c>
      <c r="AY16">
        <v>1018</v>
      </c>
      <c r="AZ16">
        <v>29904</v>
      </c>
      <c r="BA16">
        <v>1533</v>
      </c>
      <c r="BB16">
        <v>242</v>
      </c>
      <c r="BC16">
        <v>802</v>
      </c>
      <c r="BD16">
        <v>125</v>
      </c>
      <c r="BE16">
        <v>6296</v>
      </c>
      <c r="BF16">
        <v>291</v>
      </c>
      <c r="BG16">
        <v>26</v>
      </c>
      <c r="BH16">
        <v>1250</v>
      </c>
      <c r="BI16">
        <v>86</v>
      </c>
      <c r="BJ16">
        <v>4591</v>
      </c>
    </row>
    <row r="17" spans="1:62" x14ac:dyDescent="0.4">
      <c r="A17" s="1" t="s">
        <v>22</v>
      </c>
      <c r="B17" s="1" t="s">
        <v>23</v>
      </c>
      <c r="C17">
        <v>193510</v>
      </c>
      <c r="D17">
        <v>4879</v>
      </c>
      <c r="E17">
        <v>187003</v>
      </c>
      <c r="F17">
        <v>4611</v>
      </c>
      <c r="G17">
        <v>297374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26188</v>
      </c>
      <c r="S17">
        <v>4410</v>
      </c>
      <c r="T17">
        <v>26413</v>
      </c>
      <c r="U17">
        <v>3554</v>
      </c>
      <c r="V17">
        <v>37389</v>
      </c>
      <c r="W17">
        <v>92257</v>
      </c>
      <c r="X17">
        <v>11892</v>
      </c>
      <c r="Y17">
        <v>90889</v>
      </c>
      <c r="Z17">
        <v>6767</v>
      </c>
      <c r="AA17">
        <v>113833</v>
      </c>
      <c r="AB17">
        <v>30240</v>
      </c>
      <c r="AC17">
        <v>754</v>
      </c>
      <c r="AD17">
        <v>5966</v>
      </c>
      <c r="AE17">
        <v>405</v>
      </c>
      <c r="AF17">
        <v>89674</v>
      </c>
      <c r="AG17" t="s">
        <v>73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>
        <v>14736</v>
      </c>
      <c r="AR17">
        <v>1617</v>
      </c>
      <c r="AS17">
        <v>9561</v>
      </c>
      <c r="AT17">
        <v>964</v>
      </c>
      <c r="AU17">
        <v>82596</v>
      </c>
      <c r="AV17">
        <v>17270</v>
      </c>
      <c r="AW17">
        <v>1461</v>
      </c>
      <c r="AX17">
        <v>10643</v>
      </c>
      <c r="AY17">
        <v>954</v>
      </c>
      <c r="AZ17">
        <v>29014</v>
      </c>
      <c r="BA17">
        <v>1491</v>
      </c>
      <c r="BB17">
        <v>228</v>
      </c>
      <c r="BC17">
        <v>774</v>
      </c>
      <c r="BD17">
        <v>137</v>
      </c>
      <c r="BE17">
        <v>7168</v>
      </c>
      <c r="BF17">
        <v>280</v>
      </c>
      <c r="BG17">
        <v>22</v>
      </c>
      <c r="BH17">
        <v>1175</v>
      </c>
      <c r="BI17">
        <v>78</v>
      </c>
      <c r="BJ17">
        <v>4274</v>
      </c>
    </row>
    <row r="18" spans="1:62" x14ac:dyDescent="0.4">
      <c r="A18" s="1" t="s">
        <v>24</v>
      </c>
      <c r="B18" s="1" t="s">
        <v>25</v>
      </c>
      <c r="C18">
        <v>208036</v>
      </c>
      <c r="D18">
        <v>5482</v>
      </c>
      <c r="E18">
        <v>228462</v>
      </c>
      <c r="F18">
        <v>5651</v>
      </c>
      <c r="G18">
        <v>287384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28982</v>
      </c>
      <c r="S18">
        <v>4925</v>
      </c>
      <c r="T18">
        <v>29661</v>
      </c>
      <c r="U18">
        <v>3989</v>
      </c>
      <c r="V18">
        <v>36718</v>
      </c>
      <c r="W18">
        <v>96815</v>
      </c>
      <c r="X18">
        <v>12584</v>
      </c>
      <c r="Y18">
        <v>94025</v>
      </c>
      <c r="Z18">
        <v>7104</v>
      </c>
      <c r="AA18">
        <v>117818</v>
      </c>
      <c r="AB18">
        <v>34642</v>
      </c>
      <c r="AC18">
        <v>858</v>
      </c>
      <c r="AD18">
        <v>7265</v>
      </c>
      <c r="AE18">
        <v>514</v>
      </c>
      <c r="AF18">
        <v>117754</v>
      </c>
      <c r="AG18" t="s">
        <v>73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>
        <v>13090</v>
      </c>
      <c r="AR18">
        <v>1342</v>
      </c>
      <c r="AS18">
        <v>10875</v>
      </c>
      <c r="AT18">
        <v>1114</v>
      </c>
      <c r="AU18">
        <v>84914</v>
      </c>
      <c r="AV18">
        <v>18488</v>
      </c>
      <c r="AW18">
        <v>1587</v>
      </c>
      <c r="AX18">
        <v>11812</v>
      </c>
      <c r="AY18">
        <v>1052</v>
      </c>
      <c r="AZ18">
        <v>27869</v>
      </c>
      <c r="BA18">
        <v>1467</v>
      </c>
      <c r="BB18">
        <v>219</v>
      </c>
      <c r="BC18">
        <v>809</v>
      </c>
      <c r="BD18">
        <v>137</v>
      </c>
      <c r="BE18">
        <v>7922</v>
      </c>
      <c r="BF18">
        <v>520</v>
      </c>
      <c r="BG18">
        <v>40</v>
      </c>
      <c r="BH18">
        <v>1350</v>
      </c>
      <c r="BI18">
        <v>88</v>
      </c>
      <c r="BJ18">
        <v>4107</v>
      </c>
    </row>
    <row r="19" spans="1:62" x14ac:dyDescent="0.4">
      <c r="A19" s="1" t="s">
        <v>26</v>
      </c>
      <c r="B19" s="1" t="s">
        <v>27</v>
      </c>
      <c r="C19">
        <v>172046</v>
      </c>
      <c r="D19">
        <v>4621</v>
      </c>
      <c r="E19">
        <v>186164</v>
      </c>
      <c r="F19">
        <v>4509</v>
      </c>
      <c r="G19">
        <v>281360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24681</v>
      </c>
      <c r="S19">
        <v>4221</v>
      </c>
      <c r="T19">
        <v>25781</v>
      </c>
      <c r="U19">
        <v>3512</v>
      </c>
      <c r="V19">
        <v>35495</v>
      </c>
      <c r="W19">
        <v>82416</v>
      </c>
      <c r="X19">
        <v>10620</v>
      </c>
      <c r="Y19">
        <v>85158</v>
      </c>
      <c r="Z19">
        <v>6420</v>
      </c>
      <c r="AA19">
        <v>115886</v>
      </c>
      <c r="AB19">
        <v>21986</v>
      </c>
      <c r="AC19">
        <v>646</v>
      </c>
      <c r="AD19">
        <v>14795</v>
      </c>
      <c r="AE19">
        <v>573</v>
      </c>
      <c r="AF19">
        <v>124931</v>
      </c>
      <c r="AG19" t="s">
        <v>73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>
        <v>12151</v>
      </c>
      <c r="AR19">
        <v>1346</v>
      </c>
      <c r="AS19">
        <v>18177</v>
      </c>
      <c r="AT19">
        <v>1953</v>
      </c>
      <c r="AU19">
        <v>82364</v>
      </c>
      <c r="AV19">
        <v>16587</v>
      </c>
      <c r="AW19">
        <v>1435</v>
      </c>
      <c r="AX19">
        <v>10158</v>
      </c>
      <c r="AY19">
        <v>918</v>
      </c>
      <c r="AZ19">
        <v>27571</v>
      </c>
      <c r="BA19">
        <v>972</v>
      </c>
      <c r="BB19">
        <v>161</v>
      </c>
      <c r="BC19">
        <v>709</v>
      </c>
      <c r="BD19">
        <v>147</v>
      </c>
      <c r="BE19">
        <v>8295</v>
      </c>
      <c r="BF19">
        <v>516</v>
      </c>
      <c r="BG19">
        <v>42</v>
      </c>
      <c r="BH19">
        <v>1533</v>
      </c>
      <c r="BI19">
        <v>88</v>
      </c>
      <c r="BJ19">
        <v>3884</v>
      </c>
    </row>
    <row r="20" spans="1:62" x14ac:dyDescent="0.4">
      <c r="A20" s="1" t="s">
        <v>28</v>
      </c>
      <c r="B20" s="1" t="s">
        <v>29</v>
      </c>
      <c r="C20">
        <v>206889</v>
      </c>
      <c r="D20">
        <v>5583</v>
      </c>
      <c r="E20">
        <v>206694</v>
      </c>
      <c r="F20">
        <v>5147</v>
      </c>
      <c r="G20">
        <v>290223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29633</v>
      </c>
      <c r="S20">
        <v>5037</v>
      </c>
      <c r="T20">
        <v>30868</v>
      </c>
      <c r="U20">
        <v>4135</v>
      </c>
      <c r="V20">
        <v>34534</v>
      </c>
      <c r="W20">
        <v>94032</v>
      </c>
      <c r="X20">
        <v>11883</v>
      </c>
      <c r="Y20">
        <v>99754</v>
      </c>
      <c r="Z20">
        <v>7535</v>
      </c>
      <c r="AA20">
        <v>111444</v>
      </c>
      <c r="AB20">
        <v>29747</v>
      </c>
      <c r="AC20">
        <v>760</v>
      </c>
      <c r="AD20">
        <v>45205</v>
      </c>
      <c r="AE20">
        <v>1191</v>
      </c>
      <c r="AF20">
        <v>109369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>
        <v>12860</v>
      </c>
      <c r="AR20">
        <v>1253</v>
      </c>
      <c r="AS20">
        <v>20270</v>
      </c>
      <c r="AT20">
        <v>2107</v>
      </c>
      <c r="AU20">
        <v>75171</v>
      </c>
      <c r="AV20">
        <v>20380</v>
      </c>
      <c r="AW20">
        <v>1699</v>
      </c>
      <c r="AX20">
        <v>12479</v>
      </c>
      <c r="AY20">
        <v>1089</v>
      </c>
      <c r="AZ20">
        <v>27203</v>
      </c>
      <c r="BA20">
        <v>913</v>
      </c>
      <c r="BB20">
        <v>171</v>
      </c>
      <c r="BC20">
        <v>1353</v>
      </c>
      <c r="BD20">
        <v>212</v>
      </c>
      <c r="BE20">
        <v>8005</v>
      </c>
      <c r="BF20">
        <v>756</v>
      </c>
      <c r="BG20">
        <v>60</v>
      </c>
      <c r="BH20">
        <v>1529</v>
      </c>
      <c r="BI20">
        <v>105</v>
      </c>
      <c r="BJ20">
        <v>3857</v>
      </c>
    </row>
    <row r="21" spans="1:62" x14ac:dyDescent="0.4">
      <c r="A21" s="1" t="s">
        <v>30</v>
      </c>
      <c r="B21" s="1" t="s">
        <v>31</v>
      </c>
      <c r="C21">
        <v>241417</v>
      </c>
      <c r="D21">
        <v>6516</v>
      </c>
      <c r="E21">
        <v>245001</v>
      </c>
      <c r="F21">
        <v>6037</v>
      </c>
      <c r="G21">
        <v>301691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36812</v>
      </c>
      <c r="S21">
        <v>6488</v>
      </c>
      <c r="T21">
        <v>36796</v>
      </c>
      <c r="U21">
        <v>4896</v>
      </c>
      <c r="V21">
        <v>33719</v>
      </c>
      <c r="W21">
        <v>120435</v>
      </c>
      <c r="X21">
        <v>15578</v>
      </c>
      <c r="Y21">
        <v>113409</v>
      </c>
      <c r="Z21">
        <v>8615</v>
      </c>
      <c r="AA21">
        <v>119770</v>
      </c>
      <c r="AB21">
        <v>29953</v>
      </c>
      <c r="AC21">
        <v>782</v>
      </c>
      <c r="AD21">
        <v>44373</v>
      </c>
      <c r="AE21">
        <v>1298</v>
      </c>
      <c r="AF21">
        <v>94918</v>
      </c>
      <c r="AG21" t="s">
        <v>73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>
        <v>16320</v>
      </c>
      <c r="AR21">
        <v>1676</v>
      </c>
      <c r="AS21">
        <v>24563</v>
      </c>
      <c r="AT21">
        <v>2478</v>
      </c>
      <c r="AU21">
        <v>66065</v>
      </c>
      <c r="AV21">
        <v>25925</v>
      </c>
      <c r="AW21">
        <v>2160</v>
      </c>
      <c r="AX21">
        <v>14965</v>
      </c>
      <c r="AY21">
        <v>1319</v>
      </c>
      <c r="AZ21">
        <v>26785</v>
      </c>
      <c r="BA21">
        <v>1084</v>
      </c>
      <c r="BB21">
        <v>182</v>
      </c>
      <c r="BC21">
        <v>2690</v>
      </c>
      <c r="BD21">
        <v>383</v>
      </c>
      <c r="BE21">
        <v>6975</v>
      </c>
      <c r="BF21">
        <v>740</v>
      </c>
      <c r="BG21">
        <v>59</v>
      </c>
      <c r="BH21">
        <v>1511</v>
      </c>
      <c r="BI21">
        <v>106</v>
      </c>
      <c r="BJ21">
        <v>3988</v>
      </c>
    </row>
    <row r="22" spans="1:62" x14ac:dyDescent="0.4">
      <c r="A22" s="1" t="s">
        <v>32</v>
      </c>
      <c r="B22" s="1" t="s">
        <v>33</v>
      </c>
      <c r="C22">
        <v>236635</v>
      </c>
      <c r="D22">
        <v>6443</v>
      </c>
      <c r="E22">
        <v>248088</v>
      </c>
      <c r="F22">
        <v>6249</v>
      </c>
      <c r="G22">
        <v>303485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37358</v>
      </c>
      <c r="S22">
        <v>6609</v>
      </c>
      <c r="T22">
        <v>40314</v>
      </c>
      <c r="U22">
        <v>5343</v>
      </c>
      <c r="V22">
        <v>29787</v>
      </c>
      <c r="W22">
        <v>119400</v>
      </c>
      <c r="X22">
        <v>15640</v>
      </c>
      <c r="Y22">
        <v>128687</v>
      </c>
      <c r="Z22">
        <v>9805</v>
      </c>
      <c r="AA22">
        <v>112189</v>
      </c>
      <c r="AB22">
        <v>15620</v>
      </c>
      <c r="AC22">
        <v>511</v>
      </c>
      <c r="AD22">
        <v>39298</v>
      </c>
      <c r="AE22">
        <v>1150</v>
      </c>
      <c r="AF22">
        <v>71190</v>
      </c>
      <c r="AG22" t="s">
        <v>73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>
        <v>13147</v>
      </c>
      <c r="AR22">
        <v>1284</v>
      </c>
      <c r="AS22">
        <v>17951</v>
      </c>
      <c r="AT22">
        <v>1740</v>
      </c>
      <c r="AU22">
        <v>61433</v>
      </c>
      <c r="AV22">
        <v>26547</v>
      </c>
      <c r="AW22">
        <v>2265</v>
      </c>
      <c r="AX22">
        <v>16572</v>
      </c>
      <c r="AY22">
        <v>1451</v>
      </c>
      <c r="AZ22">
        <v>26621</v>
      </c>
      <c r="BA22">
        <v>1014</v>
      </c>
      <c r="BB22">
        <v>187</v>
      </c>
      <c r="BC22">
        <v>2915</v>
      </c>
      <c r="BD22">
        <v>411</v>
      </c>
      <c r="BE22">
        <v>5543</v>
      </c>
      <c r="BF22">
        <v>630</v>
      </c>
      <c r="BG22">
        <v>50</v>
      </c>
      <c r="BH22">
        <v>1249</v>
      </c>
      <c r="BI22">
        <v>83</v>
      </c>
      <c r="BJ22">
        <v>4190</v>
      </c>
    </row>
    <row r="23" spans="1:62" x14ac:dyDescent="0.4">
      <c r="A23" s="1" t="s">
        <v>34</v>
      </c>
      <c r="B23" s="1" t="s">
        <v>35</v>
      </c>
      <c r="C23">
        <v>221360</v>
      </c>
      <c r="D23">
        <v>5974</v>
      </c>
      <c r="E23">
        <v>282271</v>
      </c>
      <c r="F23">
        <v>6836</v>
      </c>
      <c r="G23">
        <v>258104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38655</v>
      </c>
      <c r="S23">
        <v>6874</v>
      </c>
      <c r="T23">
        <v>42605</v>
      </c>
      <c r="U23">
        <v>5653</v>
      </c>
      <c r="V23">
        <v>24897</v>
      </c>
      <c r="W23">
        <v>122872</v>
      </c>
      <c r="X23">
        <v>15730</v>
      </c>
      <c r="Y23">
        <v>141864</v>
      </c>
      <c r="Z23">
        <v>10692</v>
      </c>
      <c r="AA23">
        <v>95478</v>
      </c>
      <c r="AB23">
        <v>10862</v>
      </c>
      <c r="AC23">
        <v>413</v>
      </c>
      <c r="AD23">
        <v>29766</v>
      </c>
      <c r="AE23">
        <v>958</v>
      </c>
      <c r="AF23">
        <v>52275</v>
      </c>
      <c r="AG23" t="s">
        <v>73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>
        <v>10075</v>
      </c>
      <c r="AR23">
        <v>1080</v>
      </c>
      <c r="AS23">
        <v>16478</v>
      </c>
      <c r="AT23">
        <v>1541</v>
      </c>
      <c r="AU23">
        <v>55207</v>
      </c>
      <c r="AV23">
        <v>27980</v>
      </c>
      <c r="AW23">
        <v>2332</v>
      </c>
      <c r="AX23">
        <v>21233</v>
      </c>
      <c r="AY23">
        <v>1840</v>
      </c>
      <c r="AZ23">
        <v>22864</v>
      </c>
      <c r="BA23">
        <v>1245</v>
      </c>
      <c r="BB23">
        <v>208</v>
      </c>
      <c r="BC23">
        <v>2538</v>
      </c>
      <c r="BD23">
        <v>356</v>
      </c>
      <c r="BE23">
        <v>4675</v>
      </c>
      <c r="BF23">
        <v>440</v>
      </c>
      <c r="BG23">
        <v>33</v>
      </c>
      <c r="BH23">
        <v>1112</v>
      </c>
      <c r="BI23">
        <v>71</v>
      </c>
      <c r="BJ23">
        <v>4190</v>
      </c>
    </row>
    <row r="24" spans="1:62" x14ac:dyDescent="0.4">
      <c r="A24" s="1" t="s">
        <v>36</v>
      </c>
      <c r="B24" s="1" t="s">
        <v>37</v>
      </c>
      <c r="C24">
        <v>203432</v>
      </c>
      <c r="D24">
        <v>5127</v>
      </c>
      <c r="E24">
        <v>214034</v>
      </c>
      <c r="F24">
        <v>5108</v>
      </c>
      <c r="G24">
        <v>262476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37770</v>
      </c>
      <c r="S24">
        <v>6477</v>
      </c>
      <c r="T24">
        <v>37024</v>
      </c>
      <c r="U24">
        <v>4966</v>
      </c>
      <c r="V24">
        <v>25594</v>
      </c>
      <c r="W24">
        <v>119043</v>
      </c>
      <c r="X24">
        <v>15352</v>
      </c>
      <c r="Y24">
        <v>127015</v>
      </c>
      <c r="Z24">
        <v>9571</v>
      </c>
      <c r="AA24">
        <v>89018</v>
      </c>
      <c r="AB24">
        <v>6061</v>
      </c>
      <c r="AC24">
        <v>356</v>
      </c>
      <c r="AD24">
        <v>11796</v>
      </c>
      <c r="AE24">
        <v>497</v>
      </c>
      <c r="AF24">
        <v>46399</v>
      </c>
      <c r="AG24" t="s">
        <v>73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>
        <v>9712</v>
      </c>
      <c r="AR24">
        <v>1021</v>
      </c>
      <c r="AS24">
        <v>11681</v>
      </c>
      <c r="AT24">
        <v>1095</v>
      </c>
      <c r="AU24">
        <v>53606</v>
      </c>
      <c r="AV24">
        <v>27952</v>
      </c>
      <c r="AW24">
        <v>2333</v>
      </c>
      <c r="AX24">
        <v>16765</v>
      </c>
      <c r="AY24">
        <v>1469</v>
      </c>
      <c r="AZ24">
        <v>23821</v>
      </c>
      <c r="BA24">
        <v>919</v>
      </c>
      <c r="BB24">
        <v>122</v>
      </c>
      <c r="BC24">
        <v>1886</v>
      </c>
      <c r="BD24">
        <v>285</v>
      </c>
      <c r="BE24">
        <v>3830</v>
      </c>
      <c r="BF24">
        <v>270</v>
      </c>
      <c r="BG24">
        <v>20</v>
      </c>
      <c r="BH24">
        <v>894</v>
      </c>
      <c r="BI24">
        <v>62</v>
      </c>
      <c r="BJ24">
        <v>4029</v>
      </c>
    </row>
    <row r="25" spans="1:62" x14ac:dyDescent="0.4">
      <c r="A25" s="1" t="s">
        <v>38</v>
      </c>
      <c r="B25" s="1" t="s">
        <v>39</v>
      </c>
      <c r="C25">
        <v>198934</v>
      </c>
      <c r="D25">
        <v>4986</v>
      </c>
      <c r="E25">
        <v>212182</v>
      </c>
      <c r="F25">
        <v>5005</v>
      </c>
      <c r="G25">
        <v>261524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34506</v>
      </c>
      <c r="S25">
        <v>6114</v>
      </c>
      <c r="T25">
        <v>35662</v>
      </c>
      <c r="U25">
        <v>4792</v>
      </c>
      <c r="V25">
        <v>24473</v>
      </c>
      <c r="W25">
        <v>103900</v>
      </c>
      <c r="X25">
        <v>13741</v>
      </c>
      <c r="Y25">
        <v>112154</v>
      </c>
      <c r="Z25">
        <v>8462</v>
      </c>
      <c r="AA25">
        <v>82094</v>
      </c>
      <c r="AB25">
        <v>6142</v>
      </c>
      <c r="AC25">
        <v>361</v>
      </c>
      <c r="AD25">
        <v>6784</v>
      </c>
      <c r="AE25">
        <v>363</v>
      </c>
      <c r="AF25">
        <v>45748</v>
      </c>
      <c r="AG25" t="s">
        <v>73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>
        <v>9485</v>
      </c>
      <c r="AR25">
        <v>1009</v>
      </c>
      <c r="AS25">
        <v>8021</v>
      </c>
      <c r="AT25">
        <v>798</v>
      </c>
      <c r="AU25">
        <v>55272</v>
      </c>
      <c r="AV25">
        <v>25673</v>
      </c>
      <c r="AW25">
        <v>2225</v>
      </c>
      <c r="AX25">
        <v>14649</v>
      </c>
      <c r="AY25">
        <v>1312</v>
      </c>
      <c r="AZ25">
        <v>25938</v>
      </c>
      <c r="BA25">
        <v>1185</v>
      </c>
      <c r="BB25">
        <v>197</v>
      </c>
      <c r="BC25">
        <v>1483</v>
      </c>
      <c r="BD25">
        <v>220</v>
      </c>
      <c r="BE25">
        <v>3720</v>
      </c>
      <c r="BF25">
        <v>349</v>
      </c>
      <c r="BG25">
        <v>27</v>
      </c>
      <c r="BH25">
        <v>867</v>
      </c>
      <c r="BI25">
        <v>61</v>
      </c>
      <c r="BJ25">
        <v>3816</v>
      </c>
    </row>
    <row r="26" spans="1:62" x14ac:dyDescent="0.4">
      <c r="A26" s="1" t="s">
        <v>40</v>
      </c>
      <c r="B26" s="1" t="s">
        <v>41</v>
      </c>
      <c r="C26">
        <v>226627</v>
      </c>
      <c r="D26">
        <v>5741</v>
      </c>
      <c r="E26">
        <v>245864</v>
      </c>
      <c r="F26">
        <v>5576</v>
      </c>
      <c r="G26">
        <v>256818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36544</v>
      </c>
      <c r="S26">
        <v>6386</v>
      </c>
      <c r="T26">
        <v>35010</v>
      </c>
      <c r="U26">
        <v>4709</v>
      </c>
      <c r="V26">
        <v>26529</v>
      </c>
      <c r="W26">
        <v>109951</v>
      </c>
      <c r="X26">
        <v>14137</v>
      </c>
      <c r="Y26">
        <v>102189</v>
      </c>
      <c r="Z26">
        <v>7797</v>
      </c>
      <c r="AA26">
        <v>90827</v>
      </c>
      <c r="AB26">
        <v>6468</v>
      </c>
      <c r="AC26">
        <v>393</v>
      </c>
      <c r="AD26">
        <v>22403</v>
      </c>
      <c r="AE26">
        <v>727</v>
      </c>
      <c r="AF26">
        <v>29847</v>
      </c>
      <c r="AG26" t="s">
        <v>73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>
        <v>10129</v>
      </c>
      <c r="AR26">
        <v>1008</v>
      </c>
      <c r="AS26">
        <v>7597</v>
      </c>
      <c r="AT26">
        <v>815</v>
      </c>
      <c r="AU26">
        <v>58012</v>
      </c>
      <c r="AV26">
        <v>24192</v>
      </c>
      <c r="AW26">
        <v>2121</v>
      </c>
      <c r="AX26">
        <v>15141</v>
      </c>
      <c r="AY26">
        <v>1359</v>
      </c>
      <c r="AZ26">
        <v>26591</v>
      </c>
      <c r="BA26">
        <v>1497</v>
      </c>
      <c r="BB26">
        <v>250</v>
      </c>
      <c r="BC26">
        <v>1372</v>
      </c>
      <c r="BD26">
        <v>221</v>
      </c>
      <c r="BE26">
        <v>3922</v>
      </c>
      <c r="BF26">
        <v>443</v>
      </c>
      <c r="BG26">
        <v>34</v>
      </c>
      <c r="BH26">
        <v>1202</v>
      </c>
      <c r="BI26">
        <v>85</v>
      </c>
      <c r="BJ26">
        <v>3645</v>
      </c>
    </row>
    <row r="27" spans="1:62" x14ac:dyDescent="0.4">
      <c r="A27" s="1" t="s">
        <v>42</v>
      </c>
      <c r="B27" s="1" t="s">
        <v>43</v>
      </c>
      <c r="C27">
        <v>200705</v>
      </c>
      <c r="D27">
        <v>5184</v>
      </c>
      <c r="E27">
        <v>217077</v>
      </c>
      <c r="F27">
        <v>5188</v>
      </c>
      <c r="G27">
        <v>252254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32493</v>
      </c>
      <c r="S27">
        <v>5783</v>
      </c>
      <c r="T27">
        <v>33055</v>
      </c>
      <c r="U27">
        <v>4544</v>
      </c>
      <c r="V27">
        <v>25961</v>
      </c>
      <c r="W27">
        <v>95225</v>
      </c>
      <c r="X27">
        <v>11789</v>
      </c>
      <c r="Y27">
        <v>95613</v>
      </c>
      <c r="Z27">
        <v>7324</v>
      </c>
      <c r="AA27">
        <v>91203</v>
      </c>
      <c r="AB27">
        <v>3085</v>
      </c>
      <c r="AC27">
        <v>238</v>
      </c>
      <c r="AD27">
        <v>7594</v>
      </c>
      <c r="AE27">
        <v>503</v>
      </c>
      <c r="AF27">
        <v>25336</v>
      </c>
      <c r="AG27" t="s">
        <v>73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>
        <v>13448</v>
      </c>
      <c r="AR27">
        <v>1220</v>
      </c>
      <c r="AS27">
        <v>6728</v>
      </c>
      <c r="AT27">
        <v>580</v>
      </c>
      <c r="AU27">
        <v>59254</v>
      </c>
      <c r="AV27">
        <v>22126</v>
      </c>
      <c r="AW27">
        <v>1974</v>
      </c>
      <c r="AX27">
        <v>14825</v>
      </c>
      <c r="AY27">
        <v>1367</v>
      </c>
      <c r="AZ27">
        <v>20961</v>
      </c>
      <c r="BA27">
        <v>1816</v>
      </c>
      <c r="BB27">
        <v>260</v>
      </c>
      <c r="BC27">
        <v>1065</v>
      </c>
      <c r="BD27">
        <v>172</v>
      </c>
      <c r="BE27">
        <v>4773</v>
      </c>
      <c r="BF27">
        <v>810</v>
      </c>
      <c r="BG27">
        <v>67</v>
      </c>
      <c r="BH27">
        <v>1328</v>
      </c>
      <c r="BI27">
        <v>96</v>
      </c>
      <c r="BJ27">
        <v>3621</v>
      </c>
    </row>
    <row r="28" spans="1:62" x14ac:dyDescent="0.4">
      <c r="A28" s="1" t="s">
        <v>44</v>
      </c>
      <c r="B28" s="1" t="s">
        <v>45</v>
      </c>
      <c r="C28">
        <v>184360</v>
      </c>
      <c r="D28">
        <v>4777</v>
      </c>
      <c r="E28">
        <v>183122</v>
      </c>
      <c r="F28">
        <v>4485</v>
      </c>
      <c r="G28">
        <v>264845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26995</v>
      </c>
      <c r="S28">
        <v>4893</v>
      </c>
      <c r="T28">
        <v>25826</v>
      </c>
      <c r="U28">
        <v>3630</v>
      </c>
      <c r="V28">
        <v>27129</v>
      </c>
      <c r="W28">
        <v>86559</v>
      </c>
      <c r="X28">
        <v>10828</v>
      </c>
      <c r="Y28">
        <v>84851</v>
      </c>
      <c r="Z28">
        <v>6571</v>
      </c>
      <c r="AA28">
        <v>93681</v>
      </c>
      <c r="AB28">
        <v>14376</v>
      </c>
      <c r="AC28">
        <v>468</v>
      </c>
      <c r="AD28">
        <v>1667</v>
      </c>
      <c r="AE28">
        <v>150</v>
      </c>
      <c r="AF28">
        <v>37973</v>
      </c>
      <c r="AG28" t="s">
        <v>73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>
        <v>11266</v>
      </c>
      <c r="AR28">
        <v>1193</v>
      </c>
      <c r="AS28">
        <v>4703</v>
      </c>
      <c r="AT28">
        <v>503</v>
      </c>
      <c r="AU28">
        <v>65878</v>
      </c>
      <c r="AV28">
        <v>20075</v>
      </c>
      <c r="AW28">
        <v>1847</v>
      </c>
      <c r="AX28">
        <v>11789</v>
      </c>
      <c r="AY28">
        <v>1085</v>
      </c>
      <c r="AZ28">
        <v>21287</v>
      </c>
      <c r="BA28">
        <v>1475</v>
      </c>
      <c r="BB28">
        <v>220</v>
      </c>
      <c r="BC28">
        <v>966</v>
      </c>
      <c r="BD28">
        <v>156</v>
      </c>
      <c r="BE28">
        <v>5410</v>
      </c>
      <c r="BF28">
        <v>751</v>
      </c>
      <c r="BG28">
        <v>59</v>
      </c>
      <c r="BH28">
        <v>1265</v>
      </c>
      <c r="BI28">
        <v>92</v>
      </c>
      <c r="BJ28">
        <v>3644</v>
      </c>
    </row>
    <row r="29" spans="1:62" x14ac:dyDescent="0.4">
      <c r="A29" s="1" t="s">
        <v>46</v>
      </c>
      <c r="B29" s="1" t="s">
        <v>47</v>
      </c>
      <c r="C29">
        <v>203668</v>
      </c>
      <c r="D29">
        <v>5390</v>
      </c>
      <c r="E29">
        <v>192370</v>
      </c>
      <c r="F29">
        <v>4696</v>
      </c>
      <c r="G29">
        <v>289150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30776</v>
      </c>
      <c r="S29">
        <v>5602</v>
      </c>
      <c r="T29">
        <v>27071</v>
      </c>
      <c r="U29">
        <v>3770</v>
      </c>
      <c r="V29">
        <v>30959</v>
      </c>
      <c r="W29">
        <v>97709</v>
      </c>
      <c r="X29">
        <v>12898</v>
      </c>
      <c r="Y29">
        <v>88616</v>
      </c>
      <c r="Z29">
        <v>6890</v>
      </c>
      <c r="AA29">
        <v>103711</v>
      </c>
      <c r="AB29">
        <v>23063</v>
      </c>
      <c r="AC29">
        <v>712</v>
      </c>
      <c r="AD29">
        <v>6336</v>
      </c>
      <c r="AE29">
        <v>387</v>
      </c>
      <c r="AF29">
        <v>54687</v>
      </c>
      <c r="AG29" t="s">
        <v>73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>
        <v>12779</v>
      </c>
      <c r="AR29">
        <v>1281</v>
      </c>
      <c r="AS29">
        <v>9210</v>
      </c>
      <c r="AT29">
        <v>917</v>
      </c>
      <c r="AU29">
        <v>69465</v>
      </c>
      <c r="AV29">
        <v>19599</v>
      </c>
      <c r="AW29">
        <v>1824</v>
      </c>
      <c r="AX29">
        <v>9774</v>
      </c>
      <c r="AY29">
        <v>905</v>
      </c>
      <c r="AZ29">
        <v>23117</v>
      </c>
      <c r="BA29">
        <v>1378</v>
      </c>
      <c r="BB29">
        <v>234</v>
      </c>
      <c r="BC29">
        <v>804</v>
      </c>
      <c r="BD29">
        <v>145</v>
      </c>
      <c r="BE29">
        <v>6115</v>
      </c>
      <c r="BF29">
        <v>708</v>
      </c>
      <c r="BG29">
        <v>58</v>
      </c>
      <c r="BH29">
        <v>1087</v>
      </c>
      <c r="BI29">
        <v>74</v>
      </c>
      <c r="BJ29">
        <v>3859</v>
      </c>
    </row>
    <row r="30" spans="1:62" x14ac:dyDescent="0.4">
      <c r="A30" s="1" t="s">
        <v>48</v>
      </c>
      <c r="B30" s="1" t="s">
        <v>49</v>
      </c>
      <c r="C30">
        <v>207185</v>
      </c>
      <c r="D30">
        <v>5591</v>
      </c>
      <c r="E30">
        <v>212268</v>
      </c>
      <c r="F30">
        <v>5263</v>
      </c>
      <c r="G30">
        <v>296553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32282</v>
      </c>
      <c r="S30">
        <v>5835</v>
      </c>
      <c r="T30">
        <v>29205</v>
      </c>
      <c r="U30">
        <v>4068</v>
      </c>
      <c r="V30">
        <v>34342</v>
      </c>
      <c r="W30">
        <v>99510</v>
      </c>
      <c r="X30">
        <v>13383</v>
      </c>
      <c r="Y30">
        <v>90981</v>
      </c>
      <c r="Z30">
        <v>7053</v>
      </c>
      <c r="AA30">
        <v>113113</v>
      </c>
      <c r="AB30">
        <v>25576</v>
      </c>
      <c r="AC30">
        <v>823</v>
      </c>
      <c r="AD30">
        <v>7360</v>
      </c>
      <c r="AE30">
        <v>400</v>
      </c>
      <c r="AF30">
        <v>72900</v>
      </c>
      <c r="AG30" t="s">
        <v>73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>
        <v>14218</v>
      </c>
      <c r="AR30">
        <v>1445</v>
      </c>
      <c r="AS30">
        <v>8649</v>
      </c>
      <c r="AT30">
        <v>935</v>
      </c>
      <c r="AU30">
        <v>75062</v>
      </c>
      <c r="AV30">
        <v>20234</v>
      </c>
      <c r="AW30">
        <v>1867</v>
      </c>
      <c r="AX30">
        <v>10243</v>
      </c>
      <c r="AY30">
        <v>957</v>
      </c>
      <c r="AZ30">
        <v>25098</v>
      </c>
      <c r="BA30">
        <v>1142</v>
      </c>
      <c r="BB30">
        <v>198</v>
      </c>
      <c r="BC30">
        <v>687</v>
      </c>
      <c r="BD30">
        <v>138</v>
      </c>
      <c r="BE30">
        <v>6646</v>
      </c>
      <c r="BF30">
        <v>540</v>
      </c>
      <c r="BG30">
        <v>42</v>
      </c>
      <c r="BH30">
        <v>1291</v>
      </c>
      <c r="BI30">
        <v>89</v>
      </c>
      <c r="BJ30">
        <v>3538</v>
      </c>
    </row>
    <row r="31" spans="1:62" x14ac:dyDescent="0.4">
      <c r="A31" s="1" t="s">
        <v>50</v>
      </c>
      <c r="B31" s="1" t="s">
        <v>51</v>
      </c>
      <c r="C31">
        <v>159060</v>
      </c>
      <c r="D31">
        <v>4281</v>
      </c>
      <c r="E31">
        <v>169880</v>
      </c>
      <c r="F31">
        <v>4207</v>
      </c>
      <c r="G31">
        <v>295648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26858</v>
      </c>
      <c r="S31">
        <v>4827</v>
      </c>
      <c r="T31">
        <v>26580</v>
      </c>
      <c r="U31">
        <v>3711</v>
      </c>
      <c r="V31">
        <v>34655</v>
      </c>
      <c r="W31">
        <v>76930</v>
      </c>
      <c r="X31">
        <v>10735</v>
      </c>
      <c r="Y31">
        <v>76676</v>
      </c>
      <c r="Z31">
        <v>5960</v>
      </c>
      <c r="AA31">
        <v>114254</v>
      </c>
      <c r="AB31">
        <v>16094</v>
      </c>
      <c r="AC31">
        <v>566</v>
      </c>
      <c r="AD31">
        <v>22247</v>
      </c>
      <c r="AE31">
        <v>728</v>
      </c>
      <c r="AF31">
        <v>66732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>
        <v>10963</v>
      </c>
      <c r="AR31">
        <v>1147</v>
      </c>
      <c r="AS31">
        <v>14955</v>
      </c>
      <c r="AT31">
        <v>1492</v>
      </c>
      <c r="AU31">
        <v>71095</v>
      </c>
      <c r="AV31">
        <v>16299</v>
      </c>
      <c r="AW31">
        <v>1472</v>
      </c>
      <c r="AX31">
        <v>9183</v>
      </c>
      <c r="AY31">
        <v>852</v>
      </c>
      <c r="AZ31">
        <v>24753</v>
      </c>
      <c r="BA31">
        <v>978</v>
      </c>
      <c r="BB31">
        <v>159</v>
      </c>
      <c r="BC31">
        <v>608</v>
      </c>
      <c r="BD31">
        <v>175</v>
      </c>
      <c r="BE31">
        <v>7056</v>
      </c>
      <c r="BF31">
        <v>525</v>
      </c>
      <c r="BG31">
        <v>49</v>
      </c>
      <c r="BH31">
        <v>1254</v>
      </c>
      <c r="BI31">
        <v>89</v>
      </c>
      <c r="BJ31">
        <v>3528</v>
      </c>
    </row>
    <row r="32" spans="1:62" x14ac:dyDescent="0.4">
      <c r="A32" s="1" t="s">
        <v>52</v>
      </c>
      <c r="B32" s="1" t="s">
        <v>53</v>
      </c>
      <c r="C32">
        <v>194733</v>
      </c>
      <c r="D32">
        <v>5210</v>
      </c>
      <c r="E32">
        <v>208779</v>
      </c>
      <c r="F32">
        <v>5178</v>
      </c>
      <c r="G32">
        <v>293958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32908</v>
      </c>
      <c r="S32">
        <v>5981</v>
      </c>
      <c r="T32">
        <v>30614</v>
      </c>
      <c r="U32">
        <v>4265</v>
      </c>
      <c r="V32">
        <v>36698</v>
      </c>
      <c r="W32">
        <v>97381</v>
      </c>
      <c r="X32">
        <v>12575</v>
      </c>
      <c r="Y32">
        <v>97244</v>
      </c>
      <c r="Z32">
        <v>7613</v>
      </c>
      <c r="AA32">
        <v>115568</v>
      </c>
      <c r="AB32">
        <v>23453</v>
      </c>
      <c r="AC32">
        <v>756</v>
      </c>
      <c r="AD32">
        <v>35336</v>
      </c>
      <c r="AE32">
        <v>1143</v>
      </c>
      <c r="AF32">
        <v>55157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>
        <v>12795</v>
      </c>
      <c r="AR32">
        <v>1239</v>
      </c>
      <c r="AS32">
        <v>20706</v>
      </c>
      <c r="AT32">
        <v>2156</v>
      </c>
      <c r="AU32">
        <v>63259</v>
      </c>
      <c r="AV32">
        <v>22740</v>
      </c>
      <c r="AW32">
        <v>2046</v>
      </c>
      <c r="AX32">
        <v>11747</v>
      </c>
      <c r="AY32">
        <v>1113</v>
      </c>
      <c r="AZ32">
        <v>25665</v>
      </c>
      <c r="BA32">
        <v>1206</v>
      </c>
      <c r="BB32">
        <v>190</v>
      </c>
      <c r="BC32">
        <v>1350</v>
      </c>
      <c r="BD32">
        <v>233</v>
      </c>
      <c r="BE32">
        <v>7020</v>
      </c>
      <c r="BF32">
        <v>690</v>
      </c>
      <c r="BG32">
        <v>54</v>
      </c>
      <c r="BH32">
        <v>1398</v>
      </c>
      <c r="BI32">
        <v>99</v>
      </c>
      <c r="BJ32">
        <v>3770</v>
      </c>
    </row>
    <row r="33" spans="1:62" x14ac:dyDescent="0.4">
      <c r="A33" s="1" t="s">
        <v>54</v>
      </c>
      <c r="B33" s="1" t="s">
        <v>55</v>
      </c>
      <c r="C33">
        <v>222277</v>
      </c>
      <c r="D33">
        <v>5971</v>
      </c>
      <c r="E33">
        <v>234689</v>
      </c>
      <c r="F33">
        <v>5800</v>
      </c>
      <c r="G33">
        <v>295771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40735</v>
      </c>
      <c r="S33">
        <v>7501</v>
      </c>
      <c r="T33">
        <v>38377</v>
      </c>
      <c r="U33">
        <v>5337</v>
      </c>
      <c r="V33">
        <v>38354</v>
      </c>
      <c r="W33">
        <v>116948</v>
      </c>
      <c r="X33">
        <v>16195</v>
      </c>
      <c r="Y33">
        <v>116894</v>
      </c>
      <c r="Z33">
        <v>9108</v>
      </c>
      <c r="AA33">
        <v>117301</v>
      </c>
      <c r="AB33">
        <v>27649</v>
      </c>
      <c r="AC33">
        <v>900</v>
      </c>
      <c r="AD33">
        <v>39153</v>
      </c>
      <c r="AE33">
        <v>1325</v>
      </c>
      <c r="AF33">
        <v>43265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>
        <v>15226</v>
      </c>
      <c r="AR33">
        <v>1517</v>
      </c>
      <c r="AS33">
        <v>26518</v>
      </c>
      <c r="AT33">
        <v>2715</v>
      </c>
      <c r="AU33">
        <v>46423</v>
      </c>
      <c r="AV33">
        <v>27419</v>
      </c>
      <c r="AW33">
        <v>2389</v>
      </c>
      <c r="AX33">
        <v>14055</v>
      </c>
      <c r="AY33">
        <v>1294</v>
      </c>
      <c r="AZ33">
        <v>22505</v>
      </c>
      <c r="BA33">
        <v>1597</v>
      </c>
      <c r="BB33">
        <v>230</v>
      </c>
      <c r="BC33">
        <v>2835</v>
      </c>
      <c r="BD33">
        <v>384</v>
      </c>
      <c r="BE33">
        <v>6040</v>
      </c>
      <c r="BF33">
        <v>610</v>
      </c>
      <c r="BG33">
        <v>50</v>
      </c>
      <c r="BH33">
        <v>1469</v>
      </c>
      <c r="BI33">
        <v>97</v>
      </c>
      <c r="BJ33">
        <v>3652</v>
      </c>
    </row>
    <row r="34" spans="1:62" x14ac:dyDescent="0.4">
      <c r="A34" s="1" t="s">
        <v>56</v>
      </c>
      <c r="B34" s="1" t="s">
        <v>57</v>
      </c>
      <c r="C34">
        <v>204193</v>
      </c>
      <c r="D34">
        <v>5445</v>
      </c>
      <c r="E34">
        <v>233697</v>
      </c>
      <c r="F34">
        <v>5845</v>
      </c>
      <c r="G34">
        <v>279974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35761</v>
      </c>
      <c r="S34">
        <v>6791</v>
      </c>
      <c r="T34">
        <v>39941</v>
      </c>
      <c r="U34">
        <v>5474</v>
      </c>
      <c r="V34">
        <v>33154</v>
      </c>
      <c r="W34">
        <v>105773</v>
      </c>
      <c r="X34">
        <v>14285</v>
      </c>
      <c r="Y34">
        <v>117906</v>
      </c>
      <c r="Z34">
        <v>9147</v>
      </c>
      <c r="AA34">
        <v>106478</v>
      </c>
      <c r="AB34">
        <v>24463</v>
      </c>
      <c r="AC34">
        <v>788</v>
      </c>
      <c r="AD34">
        <v>35630</v>
      </c>
      <c r="AE34">
        <v>1151</v>
      </c>
      <c r="AF34">
        <v>32108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>
        <v>12870</v>
      </c>
      <c r="AR34">
        <v>1339</v>
      </c>
      <c r="AS34">
        <v>16470</v>
      </c>
      <c r="AT34">
        <v>1671</v>
      </c>
      <c r="AU34">
        <v>43033</v>
      </c>
      <c r="AV34">
        <v>24087</v>
      </c>
      <c r="AW34">
        <v>2058</v>
      </c>
      <c r="AX34">
        <v>15896</v>
      </c>
      <c r="AY34">
        <v>1458</v>
      </c>
      <c r="AZ34">
        <v>19979</v>
      </c>
      <c r="BA34">
        <v>1377</v>
      </c>
      <c r="BB34">
        <v>224</v>
      </c>
      <c r="BC34">
        <v>2632</v>
      </c>
      <c r="BD34">
        <v>366</v>
      </c>
      <c r="BE34">
        <v>5059</v>
      </c>
      <c r="BF34">
        <v>446</v>
      </c>
      <c r="BG34">
        <v>36</v>
      </c>
      <c r="BH34">
        <v>1075</v>
      </c>
      <c r="BI34">
        <v>74</v>
      </c>
      <c r="BJ34">
        <v>3577</v>
      </c>
    </row>
    <row r="35" spans="1:62" x14ac:dyDescent="0.4">
      <c r="A35" s="1" t="s">
        <v>58</v>
      </c>
      <c r="B35" s="1" t="s">
        <v>59</v>
      </c>
      <c r="C35">
        <v>207203</v>
      </c>
      <c r="D35">
        <v>5566</v>
      </c>
      <c r="E35">
        <v>266821</v>
      </c>
      <c r="F35">
        <v>6546</v>
      </c>
      <c r="G35">
        <v>234117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39324</v>
      </c>
      <c r="S35">
        <v>7284</v>
      </c>
      <c r="T35">
        <v>40171</v>
      </c>
      <c r="U35">
        <v>5553</v>
      </c>
      <c r="V35">
        <v>31904</v>
      </c>
      <c r="W35">
        <v>119957</v>
      </c>
      <c r="X35">
        <v>16493</v>
      </c>
      <c r="Y35">
        <v>133437</v>
      </c>
      <c r="Z35">
        <v>10341</v>
      </c>
      <c r="AA35">
        <v>93456</v>
      </c>
      <c r="AB35">
        <v>16838</v>
      </c>
      <c r="AC35">
        <v>630</v>
      </c>
      <c r="AD35">
        <v>26666</v>
      </c>
      <c r="AE35">
        <v>925</v>
      </c>
      <c r="AF35">
        <v>22285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>
        <v>13860</v>
      </c>
      <c r="AR35">
        <v>1421</v>
      </c>
      <c r="AS35">
        <v>14882</v>
      </c>
      <c r="AT35">
        <v>1458</v>
      </c>
      <c r="AU35">
        <v>42224</v>
      </c>
      <c r="AV35">
        <v>30066</v>
      </c>
      <c r="AW35">
        <v>2515</v>
      </c>
      <c r="AX35">
        <v>19461</v>
      </c>
      <c r="AY35">
        <v>1793</v>
      </c>
      <c r="AZ35">
        <v>18292</v>
      </c>
      <c r="BA35">
        <v>1781</v>
      </c>
      <c r="BB35">
        <v>258</v>
      </c>
      <c r="BC35">
        <v>2517</v>
      </c>
      <c r="BD35">
        <v>355</v>
      </c>
      <c r="BE35">
        <v>4599</v>
      </c>
      <c r="BF35">
        <v>444</v>
      </c>
      <c r="BG35">
        <v>35</v>
      </c>
      <c r="BH35">
        <v>1019</v>
      </c>
      <c r="BI35">
        <v>69</v>
      </c>
      <c r="BJ35">
        <v>3657</v>
      </c>
    </row>
    <row r="36" spans="1:62" x14ac:dyDescent="0.4">
      <c r="A36" s="1" t="s">
        <v>60</v>
      </c>
      <c r="B36" s="1" t="s">
        <v>61</v>
      </c>
      <c r="C36">
        <v>192067</v>
      </c>
      <c r="D36">
        <v>4887</v>
      </c>
      <c r="E36">
        <v>204010</v>
      </c>
      <c r="F36">
        <v>4928</v>
      </c>
      <c r="G36">
        <v>235544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36216</v>
      </c>
      <c r="S36">
        <v>6657</v>
      </c>
      <c r="T36">
        <v>35238</v>
      </c>
      <c r="U36">
        <v>4922</v>
      </c>
      <c r="V36">
        <v>32078</v>
      </c>
      <c r="W36">
        <v>117770</v>
      </c>
      <c r="X36">
        <v>15437</v>
      </c>
      <c r="Y36">
        <v>121085</v>
      </c>
      <c r="Z36">
        <v>9343</v>
      </c>
      <c r="AA36">
        <v>90738</v>
      </c>
      <c r="AB36">
        <v>7503</v>
      </c>
      <c r="AC36">
        <v>442</v>
      </c>
      <c r="AD36">
        <v>8740</v>
      </c>
      <c r="AE36">
        <v>459</v>
      </c>
      <c r="AF36">
        <v>21040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>
        <v>9712</v>
      </c>
      <c r="AR36">
        <v>992</v>
      </c>
      <c r="AS36">
        <v>11450</v>
      </c>
      <c r="AT36">
        <v>1318</v>
      </c>
      <c r="AU36">
        <v>40706</v>
      </c>
      <c r="AV36">
        <v>27906</v>
      </c>
      <c r="AW36">
        <v>2398</v>
      </c>
      <c r="AX36">
        <v>16120</v>
      </c>
      <c r="AY36">
        <v>1484</v>
      </c>
      <c r="AZ36">
        <v>18681</v>
      </c>
      <c r="BA36">
        <v>1168</v>
      </c>
      <c r="BB36">
        <v>189</v>
      </c>
      <c r="BC36">
        <v>1633</v>
      </c>
      <c r="BD36">
        <v>271</v>
      </c>
      <c r="BE36">
        <v>4111</v>
      </c>
      <c r="BF36">
        <v>526</v>
      </c>
      <c r="BG36">
        <v>41</v>
      </c>
      <c r="BH36">
        <v>807</v>
      </c>
      <c r="BI36">
        <v>55</v>
      </c>
      <c r="BJ36">
        <v>3970</v>
      </c>
    </row>
    <row r="37" spans="1:62" x14ac:dyDescent="0.4">
      <c r="A37" s="1" t="s">
        <v>62</v>
      </c>
      <c r="B37" s="1" t="s">
        <v>63</v>
      </c>
      <c r="C37">
        <v>188492</v>
      </c>
      <c r="D37">
        <v>4662</v>
      </c>
      <c r="E37">
        <v>197984</v>
      </c>
      <c r="F37">
        <v>4740</v>
      </c>
      <c r="G37">
        <v>238175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30000</v>
      </c>
      <c r="S37">
        <v>5478</v>
      </c>
      <c r="T37">
        <v>31681</v>
      </c>
      <c r="U37">
        <v>4451</v>
      </c>
      <c r="V37">
        <v>31214</v>
      </c>
      <c r="W37">
        <v>102298</v>
      </c>
      <c r="X37">
        <v>13564</v>
      </c>
      <c r="Y37">
        <v>109626</v>
      </c>
      <c r="Z37">
        <v>8433</v>
      </c>
      <c r="AA37">
        <v>83528</v>
      </c>
      <c r="AB37">
        <v>6820</v>
      </c>
      <c r="AC37">
        <v>395</v>
      </c>
      <c r="AD37">
        <v>7757</v>
      </c>
      <c r="AE37">
        <v>453</v>
      </c>
      <c r="AF37">
        <v>20098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>
        <v>11169</v>
      </c>
      <c r="AR37">
        <v>1068</v>
      </c>
      <c r="AS37">
        <v>8826</v>
      </c>
      <c r="AT37">
        <v>854</v>
      </c>
      <c r="AU37">
        <v>43135</v>
      </c>
      <c r="AV37">
        <v>24169</v>
      </c>
      <c r="AW37">
        <v>2163</v>
      </c>
      <c r="AX37">
        <v>14395</v>
      </c>
      <c r="AY37">
        <v>1294</v>
      </c>
      <c r="AZ37">
        <v>19754</v>
      </c>
      <c r="BA37">
        <v>1098</v>
      </c>
      <c r="BB37">
        <v>199</v>
      </c>
      <c r="BC37">
        <v>1373</v>
      </c>
      <c r="BD37">
        <v>219</v>
      </c>
      <c r="BE37">
        <v>3916</v>
      </c>
      <c r="BF37">
        <v>360</v>
      </c>
      <c r="BG37">
        <v>16</v>
      </c>
      <c r="BH37">
        <v>825</v>
      </c>
      <c r="BI37">
        <v>56</v>
      </c>
      <c r="BJ37">
        <v>3979</v>
      </c>
    </row>
    <row r="38" spans="1:62" x14ac:dyDescent="0.4">
      <c r="A38" s="1" t="s">
        <v>64</v>
      </c>
      <c r="B38" s="1" t="s">
        <v>65</v>
      </c>
      <c r="C38">
        <v>204203</v>
      </c>
      <c r="D38">
        <v>5140</v>
      </c>
      <c r="E38">
        <v>242979</v>
      </c>
      <c r="F38">
        <v>5615</v>
      </c>
      <c r="G38">
        <v>211587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30772</v>
      </c>
      <c r="S38">
        <v>5765</v>
      </c>
      <c r="T38">
        <v>33212</v>
      </c>
      <c r="U38">
        <v>4688</v>
      </c>
      <c r="V38">
        <v>28447</v>
      </c>
      <c r="W38">
        <v>103630</v>
      </c>
      <c r="X38">
        <v>13582</v>
      </c>
      <c r="Y38">
        <v>107529</v>
      </c>
      <c r="Z38">
        <v>8305</v>
      </c>
      <c r="AA38">
        <v>79916</v>
      </c>
      <c r="AB38">
        <v>6011</v>
      </c>
      <c r="AC38">
        <v>352</v>
      </c>
      <c r="AD38">
        <v>11438</v>
      </c>
      <c r="AE38">
        <v>608</v>
      </c>
      <c r="AF38">
        <v>14660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>
        <v>14593</v>
      </c>
      <c r="AR38">
        <v>1387</v>
      </c>
      <c r="AS38">
        <v>7819</v>
      </c>
      <c r="AT38">
        <v>792</v>
      </c>
      <c r="AU38">
        <v>50027</v>
      </c>
      <c r="AV38">
        <v>25273</v>
      </c>
      <c r="AW38">
        <v>2342</v>
      </c>
      <c r="AX38">
        <v>13668</v>
      </c>
      <c r="AY38">
        <v>1324</v>
      </c>
      <c r="AZ38">
        <v>21234</v>
      </c>
      <c r="BA38">
        <v>1609</v>
      </c>
      <c r="BB38">
        <v>233</v>
      </c>
      <c r="BC38">
        <v>1071</v>
      </c>
      <c r="BD38">
        <v>197</v>
      </c>
      <c r="BE38">
        <v>4501</v>
      </c>
      <c r="BF38">
        <v>490</v>
      </c>
      <c r="BG38">
        <v>19</v>
      </c>
      <c r="BH38">
        <v>1243</v>
      </c>
      <c r="BI38">
        <v>103</v>
      </c>
      <c r="BJ38">
        <v>3632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D61CB-04BD-4957-89D4-7C37B34450CF}">
  <dimension ref="A1:DG40"/>
  <sheetViews>
    <sheetView workbookViewId="0">
      <selection activeCell="C9" sqref="C9"/>
    </sheetView>
  </sheetViews>
  <sheetFormatPr defaultColWidth="15.625" defaultRowHeight="18.75" x14ac:dyDescent="0.4"/>
  <sheetData>
    <row r="1" spans="1:111" x14ac:dyDescent="0.4">
      <c r="A1" s="1" t="s">
        <v>66</v>
      </c>
      <c r="B1" s="1"/>
    </row>
    <row r="2" spans="1:111" x14ac:dyDescent="0.4">
      <c r="A2" s="4" t="str">
        <f>HYPERLINK("#'目次(Contents)'!A3","目次に戻る(Return to Contents)")</f>
        <v>目次に戻る(Return to Contents)</v>
      </c>
      <c r="B2" s="1"/>
    </row>
    <row r="3" spans="1:111" x14ac:dyDescent="0.4">
      <c r="A3" s="1"/>
      <c r="B3" s="2" t="s">
        <v>0</v>
      </c>
      <c r="C3" t="s">
        <v>924</v>
      </c>
      <c r="D3" t="s">
        <v>924</v>
      </c>
      <c r="E3" t="s">
        <v>924</v>
      </c>
      <c r="F3" t="s">
        <v>926</v>
      </c>
      <c r="G3" t="s">
        <v>926</v>
      </c>
      <c r="H3" t="s">
        <v>926</v>
      </c>
      <c r="I3" t="s">
        <v>929</v>
      </c>
      <c r="J3" t="s">
        <v>929</v>
      </c>
      <c r="K3" t="s">
        <v>929</v>
      </c>
      <c r="L3" t="s">
        <v>931</v>
      </c>
      <c r="M3" t="s">
        <v>931</v>
      </c>
      <c r="N3" t="s">
        <v>931</v>
      </c>
      <c r="O3" t="s">
        <v>933</v>
      </c>
      <c r="P3" t="s">
        <v>933</v>
      </c>
      <c r="Q3" t="s">
        <v>933</v>
      </c>
      <c r="R3" t="s">
        <v>935</v>
      </c>
      <c r="S3" t="s">
        <v>935</v>
      </c>
      <c r="T3" t="s">
        <v>935</v>
      </c>
      <c r="U3" t="s">
        <v>937</v>
      </c>
      <c r="V3" t="s">
        <v>937</v>
      </c>
      <c r="W3" t="s">
        <v>937</v>
      </c>
      <c r="X3" t="s">
        <v>939</v>
      </c>
      <c r="Y3" t="s">
        <v>939</v>
      </c>
      <c r="Z3" t="s">
        <v>939</v>
      </c>
      <c r="AA3" t="s">
        <v>941</v>
      </c>
      <c r="AB3" t="s">
        <v>941</v>
      </c>
      <c r="AC3" t="s">
        <v>941</v>
      </c>
      <c r="AD3" t="s">
        <v>941</v>
      </c>
      <c r="AE3" t="s">
        <v>941</v>
      </c>
      <c r="AF3" t="s">
        <v>941</v>
      </c>
      <c r="AG3" t="s">
        <v>941</v>
      </c>
      <c r="AH3" t="s">
        <v>943</v>
      </c>
      <c r="AI3" t="s">
        <v>943</v>
      </c>
      <c r="AJ3" t="s">
        <v>943</v>
      </c>
      <c r="AK3" t="s">
        <v>943</v>
      </c>
      <c r="AL3" t="s">
        <v>943</v>
      </c>
      <c r="AM3" t="s">
        <v>943</v>
      </c>
      <c r="AN3" t="s">
        <v>943</v>
      </c>
      <c r="AO3" t="s">
        <v>945</v>
      </c>
      <c r="AP3" t="s">
        <v>945</v>
      </c>
      <c r="AQ3" t="s">
        <v>945</v>
      </c>
      <c r="AR3" t="s">
        <v>947</v>
      </c>
      <c r="AS3" t="s">
        <v>947</v>
      </c>
      <c r="AT3" t="s">
        <v>947</v>
      </c>
      <c r="AU3" t="s">
        <v>949</v>
      </c>
      <c r="AV3" t="s">
        <v>949</v>
      </c>
      <c r="AW3" t="s">
        <v>949</v>
      </c>
      <c r="AX3" t="s">
        <v>951</v>
      </c>
      <c r="AY3" t="s">
        <v>951</v>
      </c>
      <c r="AZ3" t="s">
        <v>951</v>
      </c>
      <c r="BA3" t="s">
        <v>953</v>
      </c>
      <c r="BB3" t="s">
        <v>953</v>
      </c>
      <c r="BC3" t="s">
        <v>953</v>
      </c>
      <c r="BD3" t="s">
        <v>955</v>
      </c>
      <c r="BE3" t="s">
        <v>955</v>
      </c>
      <c r="BF3" t="s">
        <v>955</v>
      </c>
      <c r="BG3" t="s">
        <v>957</v>
      </c>
      <c r="BH3" t="s">
        <v>957</v>
      </c>
      <c r="BI3" t="s">
        <v>957</v>
      </c>
      <c r="BJ3" t="s">
        <v>959</v>
      </c>
      <c r="BK3" t="s">
        <v>959</v>
      </c>
      <c r="BL3" t="s">
        <v>959</v>
      </c>
      <c r="BM3" t="s">
        <v>961</v>
      </c>
      <c r="BN3" t="s">
        <v>961</v>
      </c>
      <c r="BO3" t="s">
        <v>963</v>
      </c>
      <c r="BP3" t="s">
        <v>963</v>
      </c>
      <c r="BQ3" t="s">
        <v>965</v>
      </c>
      <c r="BR3" t="s">
        <v>965</v>
      </c>
      <c r="BS3" t="s">
        <v>967</v>
      </c>
      <c r="BT3" t="s">
        <v>967</v>
      </c>
      <c r="BU3" t="s">
        <v>969</v>
      </c>
      <c r="BV3" t="s">
        <v>969</v>
      </c>
      <c r="BW3" t="s">
        <v>971</v>
      </c>
      <c r="BX3" t="s">
        <v>971</v>
      </c>
      <c r="BY3" t="s">
        <v>973</v>
      </c>
      <c r="BZ3" t="s">
        <v>973</v>
      </c>
      <c r="CA3" t="s">
        <v>973</v>
      </c>
      <c r="CB3" t="s">
        <v>973</v>
      </c>
      <c r="CC3" t="s">
        <v>973</v>
      </c>
      <c r="CD3" t="s">
        <v>975</v>
      </c>
      <c r="CE3" t="s">
        <v>975</v>
      </c>
      <c r="CF3" t="s">
        <v>975</v>
      </c>
      <c r="CG3" t="s">
        <v>975</v>
      </c>
      <c r="CH3" t="s">
        <v>975</v>
      </c>
      <c r="CI3" t="s">
        <v>977</v>
      </c>
      <c r="CJ3" t="s">
        <v>977</v>
      </c>
      <c r="CK3" t="s">
        <v>977</v>
      </c>
      <c r="CL3" t="s">
        <v>977</v>
      </c>
      <c r="CM3" t="s">
        <v>977</v>
      </c>
      <c r="CN3" t="s">
        <v>979</v>
      </c>
      <c r="CO3" t="s">
        <v>979</v>
      </c>
      <c r="CP3" t="s">
        <v>979</v>
      </c>
      <c r="CQ3" t="s">
        <v>979</v>
      </c>
      <c r="CR3" t="s">
        <v>979</v>
      </c>
      <c r="CS3" t="s">
        <v>981</v>
      </c>
      <c r="CT3" t="s">
        <v>981</v>
      </c>
      <c r="CU3" t="s">
        <v>981</v>
      </c>
      <c r="CV3" t="s">
        <v>981</v>
      </c>
      <c r="CW3" t="s">
        <v>981</v>
      </c>
      <c r="CX3" t="s">
        <v>983</v>
      </c>
      <c r="CY3" t="s">
        <v>983</v>
      </c>
      <c r="CZ3" t="s">
        <v>983</v>
      </c>
      <c r="DA3" t="s">
        <v>983</v>
      </c>
      <c r="DB3" t="s">
        <v>983</v>
      </c>
      <c r="DC3" t="s">
        <v>985</v>
      </c>
      <c r="DD3" t="s">
        <v>985</v>
      </c>
      <c r="DE3" t="s">
        <v>985</v>
      </c>
      <c r="DF3" t="s">
        <v>985</v>
      </c>
      <c r="DG3" t="s">
        <v>985</v>
      </c>
    </row>
    <row r="4" spans="1:111" x14ac:dyDescent="0.4">
      <c r="A4" s="1"/>
      <c r="B4" s="2" t="s">
        <v>1</v>
      </c>
      <c r="C4" t="s">
        <v>925</v>
      </c>
      <c r="D4" t="s">
        <v>925</v>
      </c>
      <c r="E4" t="s">
        <v>925</v>
      </c>
      <c r="F4" t="s">
        <v>927</v>
      </c>
      <c r="G4" t="s">
        <v>927</v>
      </c>
      <c r="H4" t="s">
        <v>927</v>
      </c>
      <c r="I4" t="s">
        <v>930</v>
      </c>
      <c r="J4" t="s">
        <v>930</v>
      </c>
      <c r="K4" t="s">
        <v>930</v>
      </c>
      <c r="L4" t="s">
        <v>932</v>
      </c>
      <c r="M4" t="s">
        <v>932</v>
      </c>
      <c r="N4" t="s">
        <v>932</v>
      </c>
      <c r="O4" t="s">
        <v>934</v>
      </c>
      <c r="P4" t="s">
        <v>934</v>
      </c>
      <c r="Q4" t="s">
        <v>934</v>
      </c>
      <c r="R4" t="s">
        <v>936</v>
      </c>
      <c r="S4" t="s">
        <v>936</v>
      </c>
      <c r="T4" t="s">
        <v>936</v>
      </c>
      <c r="U4" t="s">
        <v>938</v>
      </c>
      <c r="V4" t="s">
        <v>938</v>
      </c>
      <c r="W4" t="s">
        <v>938</v>
      </c>
      <c r="X4" t="s">
        <v>940</v>
      </c>
      <c r="Y4" t="s">
        <v>940</v>
      </c>
      <c r="Z4" t="s">
        <v>940</v>
      </c>
      <c r="AA4" t="s">
        <v>942</v>
      </c>
      <c r="AB4" t="s">
        <v>942</v>
      </c>
      <c r="AC4" t="s">
        <v>942</v>
      </c>
      <c r="AD4" t="s">
        <v>942</v>
      </c>
      <c r="AE4" t="s">
        <v>942</v>
      </c>
      <c r="AF4" t="s">
        <v>942</v>
      </c>
      <c r="AG4" t="s">
        <v>942</v>
      </c>
      <c r="AH4" t="s">
        <v>944</v>
      </c>
      <c r="AI4" t="s">
        <v>944</v>
      </c>
      <c r="AJ4" t="s">
        <v>944</v>
      </c>
      <c r="AK4" t="s">
        <v>944</v>
      </c>
      <c r="AL4" t="s">
        <v>944</v>
      </c>
      <c r="AM4" t="s">
        <v>944</v>
      </c>
      <c r="AN4" t="s">
        <v>944</v>
      </c>
      <c r="AO4" t="s">
        <v>946</v>
      </c>
      <c r="AP4" t="s">
        <v>946</v>
      </c>
      <c r="AQ4" t="s">
        <v>946</v>
      </c>
      <c r="AR4" t="s">
        <v>948</v>
      </c>
      <c r="AS4" t="s">
        <v>948</v>
      </c>
      <c r="AT4" t="s">
        <v>948</v>
      </c>
      <c r="AU4" t="s">
        <v>950</v>
      </c>
      <c r="AV4" t="s">
        <v>950</v>
      </c>
      <c r="AW4" t="s">
        <v>950</v>
      </c>
      <c r="AX4" t="s">
        <v>952</v>
      </c>
      <c r="AY4" t="s">
        <v>952</v>
      </c>
      <c r="AZ4" t="s">
        <v>952</v>
      </c>
      <c r="BA4" t="s">
        <v>954</v>
      </c>
      <c r="BB4" t="s">
        <v>954</v>
      </c>
      <c r="BC4" t="s">
        <v>954</v>
      </c>
      <c r="BD4" t="s">
        <v>956</v>
      </c>
      <c r="BE4" t="s">
        <v>956</v>
      </c>
      <c r="BF4" t="s">
        <v>956</v>
      </c>
      <c r="BG4" t="s">
        <v>958</v>
      </c>
      <c r="BH4" t="s">
        <v>958</v>
      </c>
      <c r="BI4" t="s">
        <v>958</v>
      </c>
      <c r="BJ4" t="s">
        <v>960</v>
      </c>
      <c r="BK4" t="s">
        <v>960</v>
      </c>
      <c r="BL4" t="s">
        <v>960</v>
      </c>
      <c r="BM4" t="s">
        <v>962</v>
      </c>
      <c r="BN4" t="s">
        <v>962</v>
      </c>
      <c r="BO4" t="s">
        <v>964</v>
      </c>
      <c r="BP4" t="s">
        <v>964</v>
      </c>
      <c r="BQ4" t="s">
        <v>966</v>
      </c>
      <c r="BR4" t="s">
        <v>966</v>
      </c>
      <c r="BS4" t="s">
        <v>968</v>
      </c>
      <c r="BT4" t="s">
        <v>968</v>
      </c>
      <c r="BU4" t="s">
        <v>970</v>
      </c>
      <c r="BV4" t="s">
        <v>970</v>
      </c>
      <c r="BW4" t="s">
        <v>972</v>
      </c>
      <c r="BX4" t="s">
        <v>972</v>
      </c>
      <c r="BY4" t="s">
        <v>974</v>
      </c>
      <c r="BZ4" t="s">
        <v>974</v>
      </c>
      <c r="CA4" t="s">
        <v>974</v>
      </c>
      <c r="CB4" t="s">
        <v>974</v>
      </c>
      <c r="CC4" t="s">
        <v>974</v>
      </c>
      <c r="CD4" t="s">
        <v>976</v>
      </c>
      <c r="CE4" t="s">
        <v>976</v>
      </c>
      <c r="CF4" t="s">
        <v>976</v>
      </c>
      <c r="CG4" t="s">
        <v>976</v>
      </c>
      <c r="CH4" t="s">
        <v>976</v>
      </c>
      <c r="CI4" t="s">
        <v>978</v>
      </c>
      <c r="CJ4" t="s">
        <v>978</v>
      </c>
      <c r="CK4" t="s">
        <v>978</v>
      </c>
      <c r="CL4" t="s">
        <v>978</v>
      </c>
      <c r="CM4" t="s">
        <v>978</v>
      </c>
      <c r="CN4" t="s">
        <v>980</v>
      </c>
      <c r="CO4" t="s">
        <v>980</v>
      </c>
      <c r="CP4" t="s">
        <v>980</v>
      </c>
      <c r="CQ4" t="s">
        <v>980</v>
      </c>
      <c r="CR4" t="s">
        <v>980</v>
      </c>
      <c r="CS4" t="s">
        <v>982</v>
      </c>
      <c r="CT4" t="s">
        <v>982</v>
      </c>
      <c r="CU4" t="s">
        <v>982</v>
      </c>
      <c r="CV4" t="s">
        <v>982</v>
      </c>
      <c r="CW4" t="s">
        <v>982</v>
      </c>
      <c r="CX4" t="s">
        <v>984</v>
      </c>
      <c r="CY4" t="s">
        <v>984</v>
      </c>
      <c r="CZ4" t="s">
        <v>984</v>
      </c>
      <c r="DA4" t="s">
        <v>984</v>
      </c>
      <c r="DB4" t="s">
        <v>984</v>
      </c>
      <c r="DC4" t="s">
        <v>986</v>
      </c>
      <c r="DD4" t="s">
        <v>986</v>
      </c>
      <c r="DE4" t="s">
        <v>986</v>
      </c>
      <c r="DF4" t="s">
        <v>986</v>
      </c>
      <c r="DG4" t="s">
        <v>986</v>
      </c>
    </row>
    <row r="5" spans="1:111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69</v>
      </c>
      <c r="G5" t="s">
        <v>254</v>
      </c>
      <c r="H5" t="s">
        <v>257</v>
      </c>
      <c r="I5" t="s">
        <v>69</v>
      </c>
      <c r="J5" t="s">
        <v>254</v>
      </c>
      <c r="K5" t="s">
        <v>257</v>
      </c>
      <c r="L5" t="s">
        <v>69</v>
      </c>
      <c r="M5" t="s">
        <v>254</v>
      </c>
      <c r="N5" t="s">
        <v>257</v>
      </c>
      <c r="O5" t="s">
        <v>69</v>
      </c>
      <c r="P5" t="s">
        <v>254</v>
      </c>
      <c r="Q5" t="s">
        <v>257</v>
      </c>
      <c r="R5" t="s">
        <v>69</v>
      </c>
      <c r="S5" t="s">
        <v>254</v>
      </c>
      <c r="T5" t="s">
        <v>257</v>
      </c>
      <c r="U5" t="s">
        <v>69</v>
      </c>
      <c r="V5" t="s">
        <v>254</v>
      </c>
      <c r="W5" t="s">
        <v>257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69</v>
      </c>
      <c r="AP5" t="s">
        <v>254</v>
      </c>
      <c r="AQ5" t="s">
        <v>257</v>
      </c>
      <c r="AR5" t="s">
        <v>69</v>
      </c>
      <c r="AS5" t="s">
        <v>254</v>
      </c>
      <c r="AT5" t="s">
        <v>257</v>
      </c>
      <c r="AU5" t="s">
        <v>69</v>
      </c>
      <c r="AV5" t="s">
        <v>254</v>
      </c>
      <c r="AW5" t="s">
        <v>257</v>
      </c>
      <c r="AX5" t="s">
        <v>69</v>
      </c>
      <c r="AY5" t="s">
        <v>254</v>
      </c>
      <c r="AZ5" t="s">
        <v>257</v>
      </c>
      <c r="BA5" t="s">
        <v>69</v>
      </c>
      <c r="BB5" t="s">
        <v>254</v>
      </c>
      <c r="BC5" t="s">
        <v>257</v>
      </c>
      <c r="BD5" t="s">
        <v>69</v>
      </c>
      <c r="BE5" t="s">
        <v>254</v>
      </c>
      <c r="BF5" t="s">
        <v>257</v>
      </c>
      <c r="BG5" t="s">
        <v>69</v>
      </c>
      <c r="BH5" t="s">
        <v>254</v>
      </c>
      <c r="BI5" t="s">
        <v>257</v>
      </c>
      <c r="BJ5" t="s">
        <v>69</v>
      </c>
      <c r="BK5" t="s">
        <v>254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74</v>
      </c>
      <c r="CB5" t="s">
        <v>263</v>
      </c>
      <c r="CC5" t="s">
        <v>76</v>
      </c>
      <c r="CD5" t="s">
        <v>69</v>
      </c>
      <c r="CE5" t="s">
        <v>257</v>
      </c>
      <c r="CF5" t="s">
        <v>74</v>
      </c>
      <c r="CG5" t="s">
        <v>263</v>
      </c>
      <c r="CH5" t="s">
        <v>76</v>
      </c>
      <c r="CI5" t="s">
        <v>69</v>
      </c>
      <c r="CJ5" t="s">
        <v>257</v>
      </c>
      <c r="CK5" t="s">
        <v>74</v>
      </c>
      <c r="CL5" t="s">
        <v>263</v>
      </c>
      <c r="CM5" t="s">
        <v>76</v>
      </c>
      <c r="CN5" t="s">
        <v>69</v>
      </c>
      <c r="CO5" t="s">
        <v>257</v>
      </c>
      <c r="CP5" t="s">
        <v>74</v>
      </c>
      <c r="CQ5" t="s">
        <v>263</v>
      </c>
      <c r="CR5" t="s">
        <v>76</v>
      </c>
      <c r="CS5" t="s">
        <v>69</v>
      </c>
      <c r="CT5" t="s">
        <v>257</v>
      </c>
      <c r="CU5" t="s">
        <v>74</v>
      </c>
      <c r="CV5" t="s">
        <v>263</v>
      </c>
      <c r="CW5" t="s">
        <v>76</v>
      </c>
      <c r="CX5" t="s">
        <v>69</v>
      </c>
      <c r="CY5" t="s">
        <v>257</v>
      </c>
      <c r="CZ5" t="s">
        <v>74</v>
      </c>
      <c r="DA5" t="s">
        <v>263</v>
      </c>
      <c r="DB5" t="s">
        <v>76</v>
      </c>
      <c r="DC5" t="s">
        <v>69</v>
      </c>
      <c r="DD5" t="s">
        <v>257</v>
      </c>
      <c r="DE5" t="s">
        <v>74</v>
      </c>
      <c r="DF5" t="s">
        <v>263</v>
      </c>
      <c r="DG5" t="s">
        <v>76</v>
      </c>
    </row>
    <row r="6" spans="1:111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72</v>
      </c>
      <c r="G6" t="s">
        <v>256</v>
      </c>
      <c r="H6" t="s">
        <v>259</v>
      </c>
      <c r="I6" t="s">
        <v>72</v>
      </c>
      <c r="J6" t="s">
        <v>256</v>
      </c>
      <c r="K6" t="s">
        <v>259</v>
      </c>
      <c r="L6" t="s">
        <v>72</v>
      </c>
      <c r="M6" t="s">
        <v>256</v>
      </c>
      <c r="N6" t="s">
        <v>259</v>
      </c>
      <c r="O6" t="s">
        <v>72</v>
      </c>
      <c r="P6" t="s">
        <v>256</v>
      </c>
      <c r="Q6" t="s">
        <v>259</v>
      </c>
      <c r="R6" t="s">
        <v>72</v>
      </c>
      <c r="S6" t="s">
        <v>256</v>
      </c>
      <c r="T6" t="s">
        <v>259</v>
      </c>
      <c r="U6" t="s">
        <v>72</v>
      </c>
      <c r="V6" t="s">
        <v>256</v>
      </c>
      <c r="W6" t="s">
        <v>259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72</v>
      </c>
      <c r="AP6" t="s">
        <v>256</v>
      </c>
      <c r="AQ6" t="s">
        <v>259</v>
      </c>
      <c r="AR6" t="s">
        <v>72</v>
      </c>
      <c r="AS6" t="s">
        <v>256</v>
      </c>
      <c r="AT6" t="s">
        <v>259</v>
      </c>
      <c r="AU6" t="s">
        <v>72</v>
      </c>
      <c r="AV6" t="s">
        <v>256</v>
      </c>
      <c r="AW6" t="s">
        <v>259</v>
      </c>
      <c r="AX6" t="s">
        <v>72</v>
      </c>
      <c r="AY6" t="s">
        <v>256</v>
      </c>
      <c r="AZ6" t="s">
        <v>259</v>
      </c>
      <c r="BA6" t="s">
        <v>72</v>
      </c>
      <c r="BB6" t="s">
        <v>256</v>
      </c>
      <c r="BC6" t="s">
        <v>259</v>
      </c>
      <c r="BD6" t="s">
        <v>72</v>
      </c>
      <c r="BE6" t="s">
        <v>256</v>
      </c>
      <c r="BF6" t="s">
        <v>259</v>
      </c>
      <c r="BG6" t="s">
        <v>72</v>
      </c>
      <c r="BH6" t="s">
        <v>256</v>
      </c>
      <c r="BI6" t="s">
        <v>259</v>
      </c>
      <c r="BJ6" t="s">
        <v>72</v>
      </c>
      <c r="BK6" t="s">
        <v>256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75</v>
      </c>
      <c r="CB6" t="s">
        <v>264</v>
      </c>
      <c r="CC6" t="s">
        <v>77</v>
      </c>
      <c r="CD6" t="s">
        <v>72</v>
      </c>
      <c r="CE6" t="s">
        <v>259</v>
      </c>
      <c r="CF6" t="s">
        <v>75</v>
      </c>
      <c r="CG6" t="s">
        <v>264</v>
      </c>
      <c r="CH6" t="s">
        <v>77</v>
      </c>
      <c r="CI6" t="s">
        <v>72</v>
      </c>
      <c r="CJ6" t="s">
        <v>259</v>
      </c>
      <c r="CK6" t="s">
        <v>75</v>
      </c>
      <c r="CL6" t="s">
        <v>264</v>
      </c>
      <c r="CM6" t="s">
        <v>77</v>
      </c>
      <c r="CN6" t="s">
        <v>72</v>
      </c>
      <c r="CO6" t="s">
        <v>259</v>
      </c>
      <c r="CP6" t="s">
        <v>75</v>
      </c>
      <c r="CQ6" t="s">
        <v>264</v>
      </c>
      <c r="CR6" t="s">
        <v>77</v>
      </c>
      <c r="CS6" t="s">
        <v>72</v>
      </c>
      <c r="CT6" t="s">
        <v>259</v>
      </c>
      <c r="CU6" t="s">
        <v>75</v>
      </c>
      <c r="CV6" t="s">
        <v>264</v>
      </c>
      <c r="CW6" t="s">
        <v>77</v>
      </c>
      <c r="CX6" t="s">
        <v>72</v>
      </c>
      <c r="CY6" t="s">
        <v>259</v>
      </c>
      <c r="CZ6" t="s">
        <v>75</v>
      </c>
      <c r="DA6" t="s">
        <v>264</v>
      </c>
      <c r="DB6" t="s">
        <v>77</v>
      </c>
      <c r="DC6" t="s">
        <v>72</v>
      </c>
      <c r="DD6" t="s">
        <v>259</v>
      </c>
      <c r="DE6" t="s">
        <v>75</v>
      </c>
      <c r="DF6" t="s">
        <v>264</v>
      </c>
      <c r="DG6" t="s">
        <v>77</v>
      </c>
    </row>
    <row r="7" spans="1:111" x14ac:dyDescent="0.4">
      <c r="A7" s="1"/>
      <c r="B7" s="2" t="s">
        <v>4</v>
      </c>
      <c r="C7" t="s">
        <v>251</v>
      </c>
      <c r="D7" t="s">
        <v>301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928</v>
      </c>
      <c r="K7" t="s">
        <v>258</v>
      </c>
      <c r="L7" t="s">
        <v>251</v>
      </c>
      <c r="M7" t="s">
        <v>928</v>
      </c>
      <c r="N7" t="s">
        <v>258</v>
      </c>
      <c r="O7" t="s">
        <v>251</v>
      </c>
      <c r="P7" t="s">
        <v>928</v>
      </c>
      <c r="Q7" t="s">
        <v>258</v>
      </c>
      <c r="R7" t="s">
        <v>251</v>
      </c>
      <c r="S7" t="s">
        <v>928</v>
      </c>
      <c r="T7" t="s">
        <v>258</v>
      </c>
      <c r="U7" t="s">
        <v>251</v>
      </c>
      <c r="V7" t="s">
        <v>928</v>
      </c>
      <c r="W7" t="s">
        <v>258</v>
      </c>
      <c r="X7" t="s">
        <v>251</v>
      </c>
      <c r="Y7" t="s">
        <v>928</v>
      </c>
      <c r="Z7" t="s">
        <v>258</v>
      </c>
      <c r="AA7" t="s">
        <v>251</v>
      </c>
      <c r="AB7" t="s">
        <v>301</v>
      </c>
      <c r="AC7" t="s">
        <v>258</v>
      </c>
      <c r="AD7" t="s">
        <v>251</v>
      </c>
      <c r="AE7" t="s">
        <v>301</v>
      </c>
      <c r="AF7" t="s">
        <v>258</v>
      </c>
      <c r="AG7" t="s">
        <v>251</v>
      </c>
      <c r="AH7" t="s">
        <v>251</v>
      </c>
      <c r="AI7" t="s">
        <v>301</v>
      </c>
      <c r="AJ7" t="s">
        <v>258</v>
      </c>
      <c r="AK7" t="s">
        <v>251</v>
      </c>
      <c r="AL7" t="s">
        <v>301</v>
      </c>
      <c r="AM7" t="s">
        <v>258</v>
      </c>
      <c r="AN7" t="s">
        <v>251</v>
      </c>
      <c r="AO7" t="s">
        <v>251</v>
      </c>
      <c r="AP7" t="s">
        <v>301</v>
      </c>
      <c r="AQ7" t="s">
        <v>258</v>
      </c>
      <c r="AR7" t="s">
        <v>251</v>
      </c>
      <c r="AS7" t="s">
        <v>301</v>
      </c>
      <c r="AT7" t="s">
        <v>258</v>
      </c>
      <c r="AU7" t="s">
        <v>251</v>
      </c>
      <c r="AV7" t="s">
        <v>301</v>
      </c>
      <c r="AW7" t="s">
        <v>258</v>
      </c>
      <c r="AX7" t="s">
        <v>251</v>
      </c>
      <c r="AY7" t="s">
        <v>301</v>
      </c>
      <c r="AZ7" t="s">
        <v>258</v>
      </c>
      <c r="BA7" t="s">
        <v>251</v>
      </c>
      <c r="BB7" t="s">
        <v>301</v>
      </c>
      <c r="BC7" t="s">
        <v>258</v>
      </c>
      <c r="BD7" t="s">
        <v>251</v>
      </c>
      <c r="BE7" t="s">
        <v>301</v>
      </c>
      <c r="BF7" t="s">
        <v>258</v>
      </c>
      <c r="BG7" t="s">
        <v>251</v>
      </c>
      <c r="BH7" t="s">
        <v>301</v>
      </c>
      <c r="BI7" t="s">
        <v>258</v>
      </c>
      <c r="BJ7" t="s">
        <v>251</v>
      </c>
      <c r="BK7" t="s">
        <v>301</v>
      </c>
      <c r="BL7" t="s">
        <v>258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258</v>
      </c>
      <c r="BS7" t="s">
        <v>251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  <c r="CA7" t="s">
        <v>251</v>
      </c>
      <c r="CB7" t="s">
        <v>258</v>
      </c>
      <c r="CC7" t="s">
        <v>251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251</v>
      </c>
      <c r="CO7" t="s">
        <v>258</v>
      </c>
      <c r="CP7" t="s">
        <v>251</v>
      </c>
      <c r="CQ7" t="s">
        <v>258</v>
      </c>
      <c r="CR7" t="s">
        <v>251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251</v>
      </c>
      <c r="CY7" t="s">
        <v>258</v>
      </c>
      <c r="CZ7" t="s">
        <v>251</v>
      </c>
      <c r="DA7" t="s">
        <v>258</v>
      </c>
      <c r="DB7" t="s">
        <v>251</v>
      </c>
      <c r="DC7" t="s">
        <v>251</v>
      </c>
      <c r="DD7" t="s">
        <v>258</v>
      </c>
      <c r="DE7" t="s">
        <v>251</v>
      </c>
      <c r="DF7" t="s">
        <v>258</v>
      </c>
      <c r="DG7" t="s">
        <v>251</v>
      </c>
    </row>
    <row r="8" spans="1:111" x14ac:dyDescent="0.4">
      <c r="A8" s="1" t="s">
        <v>67</v>
      </c>
      <c r="B8" s="2" t="s">
        <v>5</v>
      </c>
      <c r="C8" t="s">
        <v>253</v>
      </c>
      <c r="D8" t="s">
        <v>301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928</v>
      </c>
      <c r="K8" t="s">
        <v>260</v>
      </c>
      <c r="L8" t="s">
        <v>253</v>
      </c>
      <c r="M8" t="s">
        <v>928</v>
      </c>
      <c r="N8" t="s">
        <v>260</v>
      </c>
      <c r="O8" t="s">
        <v>253</v>
      </c>
      <c r="P8" t="s">
        <v>928</v>
      </c>
      <c r="Q8" t="s">
        <v>260</v>
      </c>
      <c r="R8" t="s">
        <v>253</v>
      </c>
      <c r="S8" t="s">
        <v>928</v>
      </c>
      <c r="T8" t="s">
        <v>260</v>
      </c>
      <c r="U8" t="s">
        <v>253</v>
      </c>
      <c r="V8" t="s">
        <v>928</v>
      </c>
      <c r="W8" t="s">
        <v>260</v>
      </c>
      <c r="X8" t="s">
        <v>253</v>
      </c>
      <c r="Y8" t="s">
        <v>928</v>
      </c>
      <c r="Z8" t="s">
        <v>260</v>
      </c>
      <c r="AA8" t="s">
        <v>253</v>
      </c>
      <c r="AB8" t="s">
        <v>301</v>
      </c>
      <c r="AC8" t="s">
        <v>260</v>
      </c>
      <c r="AD8" t="s">
        <v>253</v>
      </c>
      <c r="AE8" t="s">
        <v>301</v>
      </c>
      <c r="AF8" t="s">
        <v>260</v>
      </c>
      <c r="AG8" t="s">
        <v>253</v>
      </c>
      <c r="AH8" t="s">
        <v>253</v>
      </c>
      <c r="AI8" t="s">
        <v>301</v>
      </c>
      <c r="AJ8" t="s">
        <v>260</v>
      </c>
      <c r="AK8" t="s">
        <v>253</v>
      </c>
      <c r="AL8" t="s">
        <v>301</v>
      </c>
      <c r="AM8" t="s">
        <v>260</v>
      </c>
      <c r="AN8" t="s">
        <v>253</v>
      </c>
      <c r="AO8" t="s">
        <v>253</v>
      </c>
      <c r="AP8" t="s">
        <v>301</v>
      </c>
      <c r="AQ8" t="s">
        <v>260</v>
      </c>
      <c r="AR8" t="s">
        <v>253</v>
      </c>
      <c r="AS8" t="s">
        <v>301</v>
      </c>
      <c r="AT8" t="s">
        <v>260</v>
      </c>
      <c r="AU8" t="s">
        <v>253</v>
      </c>
      <c r="AV8" t="s">
        <v>301</v>
      </c>
      <c r="AW8" t="s">
        <v>260</v>
      </c>
      <c r="AX8" t="s">
        <v>253</v>
      </c>
      <c r="AY8" t="s">
        <v>301</v>
      </c>
      <c r="AZ8" t="s">
        <v>260</v>
      </c>
      <c r="BA8" t="s">
        <v>253</v>
      </c>
      <c r="BB8" t="s">
        <v>301</v>
      </c>
      <c r="BC8" t="s">
        <v>260</v>
      </c>
      <c r="BD8" t="s">
        <v>253</v>
      </c>
      <c r="BE8" t="s">
        <v>301</v>
      </c>
      <c r="BF8" t="s">
        <v>260</v>
      </c>
      <c r="BG8" t="s">
        <v>253</v>
      </c>
      <c r="BH8" t="s">
        <v>301</v>
      </c>
      <c r="BI8" t="s">
        <v>260</v>
      </c>
      <c r="BJ8" t="s">
        <v>253</v>
      </c>
      <c r="BK8" t="s">
        <v>301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253</v>
      </c>
      <c r="CO8" t="s">
        <v>260</v>
      </c>
      <c r="CP8" t="s">
        <v>253</v>
      </c>
      <c r="CQ8" t="s">
        <v>260</v>
      </c>
      <c r="CR8" t="s">
        <v>253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253</v>
      </c>
      <c r="CY8" t="s">
        <v>260</v>
      </c>
      <c r="CZ8" t="s">
        <v>253</v>
      </c>
      <c r="DA8" t="s">
        <v>260</v>
      </c>
      <c r="DB8" t="s">
        <v>253</v>
      </c>
      <c r="DC8" t="s">
        <v>253</v>
      </c>
      <c r="DD8" t="s">
        <v>260</v>
      </c>
      <c r="DE8" t="s">
        <v>253</v>
      </c>
      <c r="DF8" t="s">
        <v>260</v>
      </c>
      <c r="DG8" t="s">
        <v>253</v>
      </c>
    </row>
    <row r="9" spans="1:111" x14ac:dyDescent="0.4">
      <c r="A9" s="1" t="s">
        <v>6</v>
      </c>
      <c r="B9" s="3" t="s">
        <v>7</v>
      </c>
      <c r="C9">
        <v>1586260</v>
      </c>
      <c r="D9">
        <v>363508</v>
      </c>
      <c r="E9">
        <v>3333</v>
      </c>
      <c r="F9">
        <v>65</v>
      </c>
      <c r="G9">
        <v>7066469</v>
      </c>
      <c r="H9">
        <v>17529</v>
      </c>
      <c r="I9">
        <v>251</v>
      </c>
      <c r="J9">
        <v>7779922</v>
      </c>
      <c r="K9">
        <v>15919</v>
      </c>
      <c r="L9">
        <v>22738</v>
      </c>
      <c r="M9">
        <v>63183</v>
      </c>
      <c r="N9">
        <v>1856</v>
      </c>
      <c r="O9">
        <v>70863</v>
      </c>
      <c r="P9">
        <v>425765</v>
      </c>
      <c r="Q9">
        <v>9129</v>
      </c>
      <c r="R9">
        <v>24625</v>
      </c>
      <c r="S9">
        <v>1352065</v>
      </c>
      <c r="T9">
        <v>26075</v>
      </c>
      <c r="U9">
        <v>2460</v>
      </c>
      <c r="V9">
        <v>1306424</v>
      </c>
      <c r="W9">
        <v>9664</v>
      </c>
      <c r="X9">
        <v>1964</v>
      </c>
      <c r="Y9">
        <v>2473937</v>
      </c>
      <c r="Z9">
        <v>9776</v>
      </c>
      <c r="AA9">
        <v>1574086</v>
      </c>
      <c r="AB9">
        <v>1136507</v>
      </c>
      <c r="AC9">
        <v>6825</v>
      </c>
      <c r="AD9">
        <v>1529081</v>
      </c>
      <c r="AE9">
        <v>1098057</v>
      </c>
      <c r="AF9">
        <v>5726</v>
      </c>
      <c r="AG9">
        <v>70563</v>
      </c>
      <c r="AH9">
        <v>210777</v>
      </c>
      <c r="AI9">
        <v>375140</v>
      </c>
      <c r="AJ9">
        <v>6707</v>
      </c>
      <c r="AK9">
        <v>584645</v>
      </c>
      <c r="AL9">
        <v>1433488</v>
      </c>
      <c r="AM9">
        <v>16471</v>
      </c>
      <c r="AN9">
        <v>73236</v>
      </c>
      <c r="AO9">
        <v>1868049</v>
      </c>
      <c r="AP9">
        <v>4111465</v>
      </c>
      <c r="AQ9">
        <v>79852</v>
      </c>
      <c r="AR9">
        <v>97807</v>
      </c>
      <c r="AS9">
        <v>1997686</v>
      </c>
      <c r="AT9">
        <v>21680</v>
      </c>
      <c r="AU9">
        <v>17778</v>
      </c>
      <c r="AV9">
        <v>927140</v>
      </c>
      <c r="AW9">
        <v>8494</v>
      </c>
      <c r="AX9">
        <v>12823</v>
      </c>
      <c r="AY9">
        <v>2719233</v>
      </c>
      <c r="AZ9">
        <v>26297</v>
      </c>
      <c r="BA9">
        <v>516</v>
      </c>
      <c r="BB9">
        <v>1411232</v>
      </c>
      <c r="BC9">
        <v>9361</v>
      </c>
      <c r="BD9">
        <v>1065055</v>
      </c>
      <c r="BE9">
        <v>55394025</v>
      </c>
      <c r="BF9">
        <v>36047</v>
      </c>
      <c r="BG9">
        <v>4335497</v>
      </c>
      <c r="BH9">
        <v>7105102</v>
      </c>
      <c r="BI9">
        <v>139222</v>
      </c>
      <c r="BJ9">
        <v>313343</v>
      </c>
      <c r="BK9">
        <v>1944933</v>
      </c>
      <c r="BL9">
        <v>14460</v>
      </c>
      <c r="BM9">
        <v>3906483</v>
      </c>
      <c r="BN9">
        <v>103322</v>
      </c>
      <c r="BO9">
        <v>202402517</v>
      </c>
      <c r="BP9">
        <v>291589</v>
      </c>
      <c r="BQ9">
        <v>8832270</v>
      </c>
      <c r="BR9">
        <v>28047</v>
      </c>
      <c r="BS9">
        <v>8318485</v>
      </c>
      <c r="BT9">
        <v>32703</v>
      </c>
      <c r="BU9">
        <v>24525382</v>
      </c>
      <c r="BV9">
        <v>12806</v>
      </c>
      <c r="BW9">
        <v>4476107</v>
      </c>
      <c r="BX9">
        <v>4405</v>
      </c>
      <c r="BY9">
        <v>13828</v>
      </c>
      <c r="BZ9">
        <v>9418</v>
      </c>
      <c r="CA9">
        <v>14115</v>
      </c>
      <c r="CB9">
        <v>9494</v>
      </c>
      <c r="CC9">
        <v>1128</v>
      </c>
      <c r="CD9">
        <v>110079</v>
      </c>
      <c r="CE9">
        <v>6754</v>
      </c>
      <c r="CF9">
        <v>112817</v>
      </c>
      <c r="CG9">
        <v>6761</v>
      </c>
      <c r="CH9">
        <v>4278</v>
      </c>
      <c r="CI9">
        <v>174564</v>
      </c>
      <c r="CJ9">
        <v>1818</v>
      </c>
      <c r="CK9">
        <v>636043</v>
      </c>
      <c r="CL9">
        <v>8371</v>
      </c>
      <c r="CM9">
        <v>153537</v>
      </c>
      <c r="CN9">
        <v>271354</v>
      </c>
      <c r="CO9">
        <v>8524</v>
      </c>
      <c r="CP9">
        <v>426378</v>
      </c>
      <c r="CQ9">
        <v>13297</v>
      </c>
      <c r="CR9">
        <v>98222</v>
      </c>
      <c r="CS9">
        <v>940838</v>
      </c>
      <c r="CT9">
        <v>23427</v>
      </c>
      <c r="CU9">
        <v>1859100</v>
      </c>
      <c r="CV9">
        <v>44684</v>
      </c>
      <c r="CW9">
        <v>514584</v>
      </c>
      <c r="CX9">
        <v>319618</v>
      </c>
      <c r="CY9">
        <v>9198</v>
      </c>
      <c r="CZ9">
        <v>825254</v>
      </c>
      <c r="DA9">
        <v>21215</v>
      </c>
      <c r="DB9">
        <v>273016</v>
      </c>
      <c r="DC9">
        <v>1224640</v>
      </c>
      <c r="DD9">
        <v>22783</v>
      </c>
      <c r="DE9">
        <v>1772291</v>
      </c>
      <c r="DF9">
        <v>35692</v>
      </c>
      <c r="DG9">
        <v>357833</v>
      </c>
    </row>
    <row r="10" spans="1:111" x14ac:dyDescent="0.4">
      <c r="A10" s="1" t="s">
        <v>8</v>
      </c>
      <c r="B10" s="3" t="s">
        <v>9</v>
      </c>
      <c r="C10">
        <v>1891676</v>
      </c>
      <c r="D10">
        <v>475346</v>
      </c>
      <c r="E10">
        <v>4512</v>
      </c>
      <c r="F10">
        <v>46</v>
      </c>
      <c r="G10">
        <v>5366180</v>
      </c>
      <c r="H10">
        <v>10263</v>
      </c>
      <c r="I10">
        <v>183</v>
      </c>
      <c r="J10">
        <v>5057736</v>
      </c>
      <c r="K10">
        <v>7512</v>
      </c>
      <c r="L10">
        <v>30045</v>
      </c>
      <c r="M10">
        <v>35140</v>
      </c>
      <c r="N10">
        <v>1250</v>
      </c>
      <c r="O10">
        <v>63935</v>
      </c>
      <c r="P10">
        <v>383842</v>
      </c>
      <c r="Q10">
        <v>8592</v>
      </c>
      <c r="R10">
        <v>27707</v>
      </c>
      <c r="S10">
        <v>1592380</v>
      </c>
      <c r="T10">
        <v>32555</v>
      </c>
      <c r="U10">
        <v>2371</v>
      </c>
      <c r="V10">
        <v>1379186</v>
      </c>
      <c r="W10">
        <v>9856</v>
      </c>
      <c r="X10">
        <v>2195</v>
      </c>
      <c r="Y10">
        <v>2814733</v>
      </c>
      <c r="Z10">
        <v>12260</v>
      </c>
      <c r="AA10">
        <v>1341047</v>
      </c>
      <c r="AB10">
        <v>932667</v>
      </c>
      <c r="AC10">
        <v>3832</v>
      </c>
      <c r="AD10">
        <v>1331920</v>
      </c>
      <c r="AE10">
        <v>921632</v>
      </c>
      <c r="AF10">
        <v>4022</v>
      </c>
      <c r="AG10">
        <v>82171</v>
      </c>
      <c r="AH10">
        <v>208971</v>
      </c>
      <c r="AI10">
        <v>443314</v>
      </c>
      <c r="AJ10">
        <v>9286</v>
      </c>
      <c r="AK10">
        <v>561531</v>
      </c>
      <c r="AL10">
        <v>1555463</v>
      </c>
      <c r="AM10">
        <v>19732</v>
      </c>
      <c r="AN10">
        <v>131744</v>
      </c>
      <c r="AO10">
        <v>1947464</v>
      </c>
      <c r="AP10">
        <v>4488419</v>
      </c>
      <c r="AQ10">
        <v>85497</v>
      </c>
      <c r="AR10">
        <v>120628</v>
      </c>
      <c r="AS10">
        <v>2449146</v>
      </c>
      <c r="AT10">
        <v>27218</v>
      </c>
      <c r="AU10">
        <v>20341</v>
      </c>
      <c r="AV10">
        <v>1032729</v>
      </c>
      <c r="AW10">
        <v>9779</v>
      </c>
      <c r="AX10">
        <v>12209</v>
      </c>
      <c r="AY10">
        <v>2710422</v>
      </c>
      <c r="AZ10">
        <v>26991</v>
      </c>
      <c r="BA10">
        <v>537</v>
      </c>
      <c r="BB10">
        <v>1562992</v>
      </c>
      <c r="BC10">
        <v>10427</v>
      </c>
      <c r="BD10">
        <v>1278583</v>
      </c>
      <c r="BE10">
        <v>61338971</v>
      </c>
      <c r="BF10">
        <v>36165</v>
      </c>
      <c r="BG10">
        <v>4595226</v>
      </c>
      <c r="BH10">
        <v>7592083</v>
      </c>
      <c r="BI10">
        <v>154741</v>
      </c>
      <c r="BJ10">
        <v>320315</v>
      </c>
      <c r="BK10">
        <v>3175364</v>
      </c>
      <c r="BL10">
        <v>21622</v>
      </c>
      <c r="BM10">
        <v>4320770</v>
      </c>
      <c r="BN10">
        <v>119448</v>
      </c>
      <c r="BO10">
        <v>199489834</v>
      </c>
      <c r="BP10">
        <v>278360</v>
      </c>
      <c r="BQ10">
        <v>9379524</v>
      </c>
      <c r="BR10">
        <v>30727</v>
      </c>
      <c r="BS10">
        <v>8437408</v>
      </c>
      <c r="BT10">
        <v>31415</v>
      </c>
      <c r="BU10">
        <v>26795051</v>
      </c>
      <c r="BV10">
        <v>14275</v>
      </c>
      <c r="BW10">
        <v>4572027</v>
      </c>
      <c r="BX10">
        <v>5445</v>
      </c>
      <c r="BY10">
        <v>15470</v>
      </c>
      <c r="BZ10">
        <v>10447</v>
      </c>
      <c r="CA10">
        <v>15393</v>
      </c>
      <c r="CB10">
        <v>10576</v>
      </c>
      <c r="CC10">
        <v>1284</v>
      </c>
      <c r="CD10">
        <v>111514</v>
      </c>
      <c r="CE10">
        <v>9700</v>
      </c>
      <c r="CF10">
        <v>115714</v>
      </c>
      <c r="CG10">
        <v>7850</v>
      </c>
      <c r="CH10">
        <v>5681</v>
      </c>
      <c r="CI10">
        <v>154194</v>
      </c>
      <c r="CJ10">
        <v>1730</v>
      </c>
      <c r="CK10">
        <v>598907</v>
      </c>
      <c r="CL10">
        <v>8165</v>
      </c>
      <c r="CM10">
        <v>133143</v>
      </c>
      <c r="CN10">
        <v>226068</v>
      </c>
      <c r="CO10">
        <v>7502</v>
      </c>
      <c r="CP10">
        <v>391723</v>
      </c>
      <c r="CQ10">
        <v>13571</v>
      </c>
      <c r="CR10">
        <v>68487</v>
      </c>
      <c r="CS10">
        <v>758893</v>
      </c>
      <c r="CT10">
        <v>19271</v>
      </c>
      <c r="CU10">
        <v>1732412</v>
      </c>
      <c r="CV10">
        <v>41933</v>
      </c>
      <c r="CW10">
        <v>411787</v>
      </c>
      <c r="CX10">
        <v>238983</v>
      </c>
      <c r="CY10">
        <v>7274</v>
      </c>
      <c r="CZ10">
        <v>759922</v>
      </c>
      <c r="DA10">
        <v>20255</v>
      </c>
      <c r="DB10">
        <v>278568</v>
      </c>
      <c r="DC10">
        <v>896202</v>
      </c>
      <c r="DD10">
        <v>18884</v>
      </c>
      <c r="DE10">
        <v>1521391</v>
      </c>
      <c r="DF10">
        <v>34053</v>
      </c>
      <c r="DG10">
        <v>307372</v>
      </c>
    </row>
    <row r="11" spans="1:111" x14ac:dyDescent="0.4">
      <c r="A11" s="1" t="s">
        <v>10</v>
      </c>
      <c r="B11" s="3" t="s">
        <v>11</v>
      </c>
      <c r="C11">
        <v>2518537</v>
      </c>
      <c r="D11">
        <v>540642</v>
      </c>
      <c r="E11">
        <v>5218</v>
      </c>
      <c r="F11">
        <v>62</v>
      </c>
      <c r="G11">
        <v>7983304</v>
      </c>
      <c r="H11">
        <v>16541</v>
      </c>
      <c r="I11">
        <v>231</v>
      </c>
      <c r="J11">
        <v>3863398</v>
      </c>
      <c r="K11">
        <v>8096</v>
      </c>
      <c r="L11">
        <v>34534</v>
      </c>
      <c r="M11">
        <v>26145</v>
      </c>
      <c r="N11">
        <v>939</v>
      </c>
      <c r="O11">
        <v>50423</v>
      </c>
      <c r="P11">
        <v>302919</v>
      </c>
      <c r="Q11">
        <v>7354</v>
      </c>
      <c r="R11">
        <v>28829</v>
      </c>
      <c r="S11">
        <v>1640446</v>
      </c>
      <c r="T11">
        <v>36084</v>
      </c>
      <c r="U11">
        <v>2681</v>
      </c>
      <c r="V11">
        <v>1534846</v>
      </c>
      <c r="W11">
        <v>12059</v>
      </c>
      <c r="X11">
        <v>2406</v>
      </c>
      <c r="Y11">
        <v>3482359</v>
      </c>
      <c r="Z11">
        <v>15549</v>
      </c>
      <c r="AA11">
        <v>977325</v>
      </c>
      <c r="AB11">
        <v>652890</v>
      </c>
      <c r="AC11">
        <v>3189</v>
      </c>
      <c r="AD11">
        <v>1033633</v>
      </c>
      <c r="AE11">
        <v>705958</v>
      </c>
      <c r="AF11">
        <v>3656</v>
      </c>
      <c r="AG11">
        <v>23385</v>
      </c>
      <c r="AH11">
        <v>189558</v>
      </c>
      <c r="AI11">
        <v>369879</v>
      </c>
      <c r="AJ11">
        <v>9394</v>
      </c>
      <c r="AK11">
        <v>398178</v>
      </c>
      <c r="AL11">
        <v>1276477</v>
      </c>
      <c r="AM11">
        <v>17569</v>
      </c>
      <c r="AN11">
        <v>186296</v>
      </c>
      <c r="AO11">
        <v>1460474</v>
      </c>
      <c r="AP11">
        <v>3105922</v>
      </c>
      <c r="AQ11">
        <v>61757</v>
      </c>
      <c r="AR11">
        <v>95337</v>
      </c>
      <c r="AS11">
        <v>2034665</v>
      </c>
      <c r="AT11">
        <v>23782</v>
      </c>
      <c r="AU11">
        <v>18037</v>
      </c>
      <c r="AV11">
        <v>950934</v>
      </c>
      <c r="AW11">
        <v>9905</v>
      </c>
      <c r="AX11">
        <v>11826</v>
      </c>
      <c r="AY11">
        <v>2883555</v>
      </c>
      <c r="AZ11">
        <v>30000</v>
      </c>
      <c r="BA11">
        <v>723</v>
      </c>
      <c r="BB11">
        <v>2035987</v>
      </c>
      <c r="BC11">
        <v>15335</v>
      </c>
      <c r="BD11">
        <v>1672276</v>
      </c>
      <c r="BE11">
        <v>82667597</v>
      </c>
      <c r="BF11">
        <v>45196</v>
      </c>
      <c r="BG11">
        <v>3674215</v>
      </c>
      <c r="BH11">
        <v>5936324</v>
      </c>
      <c r="BI11">
        <v>115128</v>
      </c>
      <c r="BJ11">
        <v>284544</v>
      </c>
      <c r="BK11">
        <v>5370038</v>
      </c>
      <c r="BL11">
        <v>35712</v>
      </c>
      <c r="BM11">
        <v>3196835</v>
      </c>
      <c r="BN11">
        <v>107323</v>
      </c>
      <c r="BO11">
        <v>211070003</v>
      </c>
      <c r="BP11">
        <v>298684</v>
      </c>
      <c r="BQ11">
        <v>5792617</v>
      </c>
      <c r="BR11">
        <v>27993</v>
      </c>
      <c r="BS11">
        <v>7862124</v>
      </c>
      <c r="BT11">
        <v>26856</v>
      </c>
      <c r="BU11">
        <v>31373499</v>
      </c>
      <c r="BV11">
        <v>14965</v>
      </c>
      <c r="BW11">
        <v>1993570</v>
      </c>
      <c r="BX11">
        <v>2274</v>
      </c>
      <c r="BY11">
        <v>14416</v>
      </c>
      <c r="BZ11">
        <v>11156</v>
      </c>
      <c r="CA11">
        <v>14817</v>
      </c>
      <c r="CB11">
        <v>11050</v>
      </c>
      <c r="CC11">
        <v>908</v>
      </c>
      <c r="CD11">
        <v>93889</v>
      </c>
      <c r="CE11">
        <v>9434</v>
      </c>
      <c r="CF11">
        <v>95049</v>
      </c>
      <c r="CG11">
        <v>7100</v>
      </c>
      <c r="CH11">
        <v>6079</v>
      </c>
      <c r="CI11">
        <v>112550</v>
      </c>
      <c r="CJ11">
        <v>1327</v>
      </c>
      <c r="CK11">
        <v>525604</v>
      </c>
      <c r="CL11">
        <v>7747</v>
      </c>
      <c r="CM11">
        <v>126709</v>
      </c>
      <c r="CN11">
        <v>153899</v>
      </c>
      <c r="CO11">
        <v>5257</v>
      </c>
      <c r="CP11">
        <v>287442</v>
      </c>
      <c r="CQ11">
        <v>9722</v>
      </c>
      <c r="CR11">
        <v>53571</v>
      </c>
      <c r="CS11">
        <v>707987</v>
      </c>
      <c r="CT11">
        <v>20703</v>
      </c>
      <c r="CU11">
        <v>1542770</v>
      </c>
      <c r="CV11">
        <v>41078</v>
      </c>
      <c r="CW11">
        <v>374126</v>
      </c>
      <c r="CX11">
        <v>180137</v>
      </c>
      <c r="CY11">
        <v>5889</v>
      </c>
      <c r="CZ11">
        <v>712816</v>
      </c>
      <c r="DA11">
        <v>19788</v>
      </c>
      <c r="DB11">
        <v>235810</v>
      </c>
      <c r="DC11">
        <v>646434</v>
      </c>
      <c r="DD11">
        <v>13779</v>
      </c>
      <c r="DE11">
        <v>1251655</v>
      </c>
      <c r="DF11">
        <v>28202</v>
      </c>
      <c r="DG11">
        <v>265900</v>
      </c>
    </row>
    <row r="12" spans="1:111" x14ac:dyDescent="0.4">
      <c r="A12" s="1" t="s">
        <v>12</v>
      </c>
      <c r="B12" s="3" t="s">
        <v>13</v>
      </c>
      <c r="C12">
        <v>2337565</v>
      </c>
      <c r="D12">
        <v>499741</v>
      </c>
      <c r="E12">
        <v>4582</v>
      </c>
      <c r="F12">
        <v>43</v>
      </c>
      <c r="G12">
        <v>3104271</v>
      </c>
      <c r="H12">
        <v>7702</v>
      </c>
      <c r="I12">
        <v>247</v>
      </c>
      <c r="J12">
        <v>7361548</v>
      </c>
      <c r="K12">
        <v>16344</v>
      </c>
      <c r="L12">
        <v>39077</v>
      </c>
      <c r="M12">
        <v>24333</v>
      </c>
      <c r="N12">
        <v>920</v>
      </c>
      <c r="O12">
        <v>19316</v>
      </c>
      <c r="P12">
        <v>114967</v>
      </c>
      <c r="Q12">
        <v>3523</v>
      </c>
      <c r="R12">
        <v>26580</v>
      </c>
      <c r="S12">
        <v>1589038</v>
      </c>
      <c r="T12">
        <v>35198</v>
      </c>
      <c r="U12">
        <v>2892</v>
      </c>
      <c r="V12">
        <v>1598583</v>
      </c>
      <c r="W12">
        <v>14082</v>
      </c>
      <c r="X12">
        <v>2762</v>
      </c>
      <c r="Y12">
        <v>3390767</v>
      </c>
      <c r="Z12">
        <v>16512</v>
      </c>
      <c r="AA12">
        <v>883996</v>
      </c>
      <c r="AB12">
        <v>620699</v>
      </c>
      <c r="AC12">
        <v>2724</v>
      </c>
      <c r="AD12">
        <v>862926</v>
      </c>
      <c r="AE12">
        <v>595448</v>
      </c>
      <c r="AF12">
        <v>3169</v>
      </c>
      <c r="AG12">
        <v>45402</v>
      </c>
      <c r="AH12">
        <v>185977</v>
      </c>
      <c r="AI12">
        <v>309189</v>
      </c>
      <c r="AJ12">
        <v>9199</v>
      </c>
      <c r="AK12">
        <v>361858</v>
      </c>
      <c r="AL12">
        <v>1172799</v>
      </c>
      <c r="AM12">
        <v>16986</v>
      </c>
      <c r="AN12">
        <v>236264</v>
      </c>
      <c r="AO12">
        <v>1371134</v>
      </c>
      <c r="AP12">
        <v>3542916</v>
      </c>
      <c r="AQ12">
        <v>72944</v>
      </c>
      <c r="AR12">
        <v>91333</v>
      </c>
      <c r="AS12">
        <v>1931125</v>
      </c>
      <c r="AT12">
        <v>23655</v>
      </c>
      <c r="AU12">
        <v>16863</v>
      </c>
      <c r="AV12">
        <v>906643</v>
      </c>
      <c r="AW12">
        <v>10100</v>
      </c>
      <c r="AX12">
        <v>12577</v>
      </c>
      <c r="AY12">
        <v>3037167</v>
      </c>
      <c r="AZ12">
        <v>34202</v>
      </c>
      <c r="BA12">
        <v>645</v>
      </c>
      <c r="BB12">
        <v>1903738</v>
      </c>
      <c r="BC12">
        <v>16412</v>
      </c>
      <c r="BD12">
        <v>1556019</v>
      </c>
      <c r="BE12">
        <v>82554992</v>
      </c>
      <c r="BF12">
        <v>41961</v>
      </c>
      <c r="BG12">
        <v>3566386</v>
      </c>
      <c r="BH12">
        <v>5437059</v>
      </c>
      <c r="BI12">
        <v>102427</v>
      </c>
      <c r="BJ12">
        <v>251677</v>
      </c>
      <c r="BK12">
        <v>5649540</v>
      </c>
      <c r="BL12">
        <v>38980</v>
      </c>
      <c r="BM12">
        <v>2077178</v>
      </c>
      <c r="BN12">
        <v>79966</v>
      </c>
      <c r="BO12">
        <v>190163071</v>
      </c>
      <c r="BP12">
        <v>265610</v>
      </c>
      <c r="BQ12">
        <v>5256443</v>
      </c>
      <c r="BR12">
        <v>25036</v>
      </c>
      <c r="BS12">
        <v>6947556</v>
      </c>
      <c r="BT12">
        <v>25559</v>
      </c>
      <c r="BU12">
        <v>31488896</v>
      </c>
      <c r="BV12">
        <v>13697</v>
      </c>
      <c r="BW12">
        <v>1473375</v>
      </c>
      <c r="BX12">
        <v>1618</v>
      </c>
      <c r="BY12">
        <v>13813</v>
      </c>
      <c r="BZ12">
        <v>11476</v>
      </c>
      <c r="CA12">
        <v>13464</v>
      </c>
      <c r="CB12">
        <v>11086</v>
      </c>
      <c r="CC12">
        <v>1257</v>
      </c>
      <c r="CD12">
        <v>83505</v>
      </c>
      <c r="CE12">
        <v>8908</v>
      </c>
      <c r="CF12">
        <v>85118</v>
      </c>
      <c r="CG12">
        <v>6789</v>
      </c>
      <c r="CH12">
        <v>5727</v>
      </c>
      <c r="CI12" t="s">
        <v>73</v>
      </c>
      <c r="CJ12" t="s">
        <v>73</v>
      </c>
      <c r="CK12" t="s">
        <v>73</v>
      </c>
      <c r="CL12" t="s">
        <v>73</v>
      </c>
      <c r="CM12" t="s">
        <v>73</v>
      </c>
      <c r="CN12" t="s">
        <v>73</v>
      </c>
      <c r="CO12" t="s">
        <v>73</v>
      </c>
      <c r="CP12" t="s">
        <v>73</v>
      </c>
      <c r="CQ12" t="s">
        <v>73</v>
      </c>
      <c r="CR12" t="s">
        <v>73</v>
      </c>
      <c r="CS12" t="s">
        <v>73</v>
      </c>
      <c r="CT12" t="s">
        <v>73</v>
      </c>
      <c r="CU12" t="s">
        <v>73</v>
      </c>
      <c r="CV12" t="s">
        <v>73</v>
      </c>
      <c r="CW12" t="s">
        <v>73</v>
      </c>
      <c r="CX12" t="s">
        <v>73</v>
      </c>
      <c r="CY12" t="s">
        <v>73</v>
      </c>
      <c r="CZ12" t="s">
        <v>73</v>
      </c>
      <c r="DA12" t="s">
        <v>73</v>
      </c>
      <c r="DB12" t="s">
        <v>73</v>
      </c>
      <c r="DC12">
        <v>770859</v>
      </c>
      <c r="DD12">
        <v>16037</v>
      </c>
      <c r="DE12">
        <v>1398549</v>
      </c>
      <c r="DF12">
        <v>31372</v>
      </c>
      <c r="DG12">
        <v>257304</v>
      </c>
    </row>
    <row r="13" spans="1:111" x14ac:dyDescent="0.4">
      <c r="A13" s="1" t="s">
        <v>14</v>
      </c>
      <c r="B13" s="3" t="s">
        <v>15</v>
      </c>
      <c r="C13">
        <v>3155035</v>
      </c>
      <c r="D13">
        <v>785369</v>
      </c>
      <c r="E13">
        <v>8257</v>
      </c>
      <c r="F13">
        <v>49</v>
      </c>
      <c r="G13">
        <v>1015347</v>
      </c>
      <c r="H13">
        <v>4729</v>
      </c>
      <c r="I13">
        <v>187</v>
      </c>
      <c r="J13">
        <v>5459807</v>
      </c>
      <c r="K13">
        <v>12394</v>
      </c>
      <c r="L13">
        <v>49111</v>
      </c>
      <c r="M13">
        <v>37563</v>
      </c>
      <c r="N13">
        <v>1358</v>
      </c>
      <c r="O13">
        <v>26286</v>
      </c>
      <c r="P13">
        <v>157784</v>
      </c>
      <c r="Q13">
        <v>4424</v>
      </c>
      <c r="R13">
        <v>22803</v>
      </c>
      <c r="S13">
        <v>1355332</v>
      </c>
      <c r="T13">
        <v>31220</v>
      </c>
      <c r="U13">
        <v>2648</v>
      </c>
      <c r="V13">
        <v>1463348</v>
      </c>
      <c r="W13">
        <v>13335</v>
      </c>
      <c r="X13">
        <v>2888</v>
      </c>
      <c r="Y13">
        <v>3183461</v>
      </c>
      <c r="Z13">
        <v>13901</v>
      </c>
      <c r="AA13">
        <v>870530</v>
      </c>
      <c r="AB13">
        <v>634624</v>
      </c>
      <c r="AC13">
        <v>2754</v>
      </c>
      <c r="AD13">
        <v>869193</v>
      </c>
      <c r="AE13">
        <v>633388</v>
      </c>
      <c r="AF13">
        <v>3200</v>
      </c>
      <c r="AG13">
        <v>46775</v>
      </c>
      <c r="AH13">
        <v>279306</v>
      </c>
      <c r="AI13">
        <v>340665</v>
      </c>
      <c r="AJ13">
        <v>10850</v>
      </c>
      <c r="AK13">
        <v>398559</v>
      </c>
      <c r="AL13">
        <v>1198589</v>
      </c>
      <c r="AM13">
        <v>19513</v>
      </c>
      <c r="AN13">
        <v>331350</v>
      </c>
      <c r="AO13">
        <v>1384179</v>
      </c>
      <c r="AP13">
        <v>3733095</v>
      </c>
      <c r="AQ13">
        <v>79201</v>
      </c>
      <c r="AR13">
        <v>93507</v>
      </c>
      <c r="AS13">
        <v>1978171</v>
      </c>
      <c r="AT13">
        <v>24489</v>
      </c>
      <c r="AU13">
        <v>17546</v>
      </c>
      <c r="AV13">
        <v>928195</v>
      </c>
      <c r="AW13">
        <v>10875</v>
      </c>
      <c r="AX13">
        <v>11530</v>
      </c>
      <c r="AY13">
        <v>2829481</v>
      </c>
      <c r="AZ13">
        <v>34114</v>
      </c>
      <c r="BA13">
        <v>553</v>
      </c>
      <c r="BB13">
        <v>1668126</v>
      </c>
      <c r="BC13">
        <v>16121</v>
      </c>
      <c r="BD13">
        <v>2492647</v>
      </c>
      <c r="BE13">
        <v>112643991</v>
      </c>
      <c r="BF13">
        <v>97855</v>
      </c>
      <c r="BG13">
        <v>3868341</v>
      </c>
      <c r="BH13">
        <v>5816919</v>
      </c>
      <c r="BI13">
        <v>116331</v>
      </c>
      <c r="BJ13">
        <v>170849</v>
      </c>
      <c r="BK13">
        <v>3267092</v>
      </c>
      <c r="BL13">
        <v>29696</v>
      </c>
      <c r="BM13">
        <v>2085389</v>
      </c>
      <c r="BN13">
        <v>83457</v>
      </c>
      <c r="BO13">
        <v>195501990</v>
      </c>
      <c r="BP13">
        <v>309629</v>
      </c>
      <c r="BQ13">
        <v>5182410</v>
      </c>
      <c r="BR13">
        <v>25422</v>
      </c>
      <c r="BS13">
        <v>6860561</v>
      </c>
      <c r="BT13">
        <v>27517</v>
      </c>
      <c r="BU13">
        <v>29886842</v>
      </c>
      <c r="BV13">
        <v>13484</v>
      </c>
      <c r="BW13">
        <v>1402707</v>
      </c>
      <c r="BX13">
        <v>1631</v>
      </c>
      <c r="BY13">
        <v>14013</v>
      </c>
      <c r="BZ13">
        <v>12585</v>
      </c>
      <c r="CA13">
        <v>13437</v>
      </c>
      <c r="CB13">
        <v>12206</v>
      </c>
      <c r="CC13">
        <v>1855</v>
      </c>
      <c r="CD13">
        <v>85858</v>
      </c>
      <c r="CE13">
        <v>9030</v>
      </c>
      <c r="CF13">
        <v>85967</v>
      </c>
      <c r="CG13">
        <v>6832</v>
      </c>
      <c r="CH13">
        <v>5779</v>
      </c>
      <c r="CI13" t="s">
        <v>73</v>
      </c>
      <c r="CJ13" t="s">
        <v>73</v>
      </c>
      <c r="CK13" t="s">
        <v>73</v>
      </c>
      <c r="CL13" t="s">
        <v>73</v>
      </c>
      <c r="CM13" t="s">
        <v>73</v>
      </c>
      <c r="CN13" t="s">
        <v>73</v>
      </c>
      <c r="CO13" t="s">
        <v>73</v>
      </c>
      <c r="CP13" t="s">
        <v>73</v>
      </c>
      <c r="CQ13" t="s">
        <v>73</v>
      </c>
      <c r="CR13" t="s">
        <v>73</v>
      </c>
      <c r="CS13" t="s">
        <v>73</v>
      </c>
      <c r="CT13" t="s">
        <v>73</v>
      </c>
      <c r="CU13" t="s">
        <v>73</v>
      </c>
      <c r="CV13" t="s">
        <v>73</v>
      </c>
      <c r="CW13" t="s">
        <v>73</v>
      </c>
      <c r="CX13" t="s">
        <v>73</v>
      </c>
      <c r="CY13" t="s">
        <v>73</v>
      </c>
      <c r="CZ13" t="s">
        <v>73</v>
      </c>
      <c r="DA13" t="s">
        <v>73</v>
      </c>
      <c r="DB13" t="s">
        <v>73</v>
      </c>
      <c r="DC13">
        <v>812873</v>
      </c>
      <c r="DD13">
        <v>19113</v>
      </c>
      <c r="DE13">
        <v>1469277</v>
      </c>
      <c r="DF13">
        <v>35253</v>
      </c>
      <c r="DG13">
        <v>243692</v>
      </c>
    </row>
    <row r="14" spans="1:111" x14ac:dyDescent="0.4">
      <c r="A14" s="1" t="s">
        <v>16</v>
      </c>
      <c r="B14" s="1" t="s">
        <v>17</v>
      </c>
      <c r="C14">
        <v>176831</v>
      </c>
      <c r="D14">
        <v>38150</v>
      </c>
      <c r="E14">
        <v>405</v>
      </c>
      <c r="F14">
        <v>9</v>
      </c>
      <c r="G14">
        <v>2103292</v>
      </c>
      <c r="H14">
        <v>3332</v>
      </c>
      <c r="I14">
        <v>29</v>
      </c>
      <c r="J14">
        <v>538000</v>
      </c>
      <c r="K14">
        <v>1017</v>
      </c>
      <c r="L14">
        <v>5680</v>
      </c>
      <c r="M14">
        <v>2636</v>
      </c>
      <c r="N14">
        <v>71</v>
      </c>
      <c r="O14">
        <v>1775</v>
      </c>
      <c r="P14">
        <v>10521</v>
      </c>
      <c r="Q14">
        <v>316</v>
      </c>
      <c r="R14">
        <v>2302</v>
      </c>
      <c r="S14">
        <v>137214</v>
      </c>
      <c r="T14">
        <v>2899</v>
      </c>
      <c r="U14">
        <v>253</v>
      </c>
      <c r="V14">
        <v>127409</v>
      </c>
      <c r="W14">
        <v>1403</v>
      </c>
      <c r="X14">
        <v>213</v>
      </c>
      <c r="Y14">
        <v>239593</v>
      </c>
      <c r="Z14">
        <v>1115</v>
      </c>
      <c r="AA14">
        <v>90116</v>
      </c>
      <c r="AB14">
        <v>63939</v>
      </c>
      <c r="AC14">
        <v>236</v>
      </c>
      <c r="AD14">
        <v>81883</v>
      </c>
      <c r="AE14">
        <v>54031</v>
      </c>
      <c r="AF14">
        <v>290</v>
      </c>
      <c r="AG14">
        <v>46275</v>
      </c>
      <c r="AH14">
        <v>14353</v>
      </c>
      <c r="AI14">
        <v>17710</v>
      </c>
      <c r="AJ14">
        <v>663</v>
      </c>
      <c r="AK14">
        <v>26989</v>
      </c>
      <c r="AL14">
        <v>95701</v>
      </c>
      <c r="AM14">
        <v>1310</v>
      </c>
      <c r="AN14">
        <v>205885</v>
      </c>
      <c r="AO14">
        <v>107944</v>
      </c>
      <c r="AP14">
        <v>274408</v>
      </c>
      <c r="AQ14">
        <v>5719</v>
      </c>
      <c r="AR14">
        <v>7218</v>
      </c>
      <c r="AS14">
        <v>154512</v>
      </c>
      <c r="AT14">
        <v>1884</v>
      </c>
      <c r="AU14">
        <v>1293</v>
      </c>
      <c r="AV14">
        <v>69041</v>
      </c>
      <c r="AW14">
        <v>765</v>
      </c>
      <c r="AX14">
        <v>1358</v>
      </c>
      <c r="AY14">
        <v>329639</v>
      </c>
      <c r="AZ14">
        <v>4066</v>
      </c>
      <c r="BA14">
        <v>77</v>
      </c>
      <c r="BB14">
        <v>219219</v>
      </c>
      <c r="BC14">
        <v>1723</v>
      </c>
      <c r="BD14">
        <v>137046</v>
      </c>
      <c r="BE14">
        <v>7207944</v>
      </c>
      <c r="BF14">
        <v>3795</v>
      </c>
      <c r="BG14">
        <v>270346</v>
      </c>
      <c r="BH14">
        <v>421535</v>
      </c>
      <c r="BI14">
        <v>7993</v>
      </c>
      <c r="BJ14">
        <v>21562</v>
      </c>
      <c r="BK14">
        <v>681012</v>
      </c>
      <c r="BL14">
        <v>4866</v>
      </c>
      <c r="BM14">
        <v>175531</v>
      </c>
      <c r="BN14">
        <v>6522</v>
      </c>
      <c r="BO14">
        <v>15758253</v>
      </c>
      <c r="BP14">
        <v>21258</v>
      </c>
      <c r="BQ14">
        <v>446356</v>
      </c>
      <c r="BR14">
        <v>2133</v>
      </c>
      <c r="BS14">
        <v>581863</v>
      </c>
      <c r="BT14">
        <v>2043</v>
      </c>
      <c r="BU14">
        <v>2464166</v>
      </c>
      <c r="BV14">
        <v>1119</v>
      </c>
      <c r="BW14">
        <v>134492</v>
      </c>
      <c r="BX14">
        <v>151</v>
      </c>
      <c r="BY14">
        <v>1218</v>
      </c>
      <c r="BZ14">
        <v>1019</v>
      </c>
      <c r="CA14">
        <v>1319</v>
      </c>
      <c r="CB14">
        <v>1071</v>
      </c>
      <c r="CC14">
        <v>773</v>
      </c>
      <c r="CD14">
        <v>7037</v>
      </c>
      <c r="CE14">
        <v>802</v>
      </c>
      <c r="CF14">
        <v>7120</v>
      </c>
      <c r="CG14">
        <v>582</v>
      </c>
      <c r="CH14">
        <v>6367</v>
      </c>
      <c r="CI14">
        <v>11097</v>
      </c>
      <c r="CJ14">
        <v>122</v>
      </c>
      <c r="CK14">
        <v>52678</v>
      </c>
      <c r="CL14">
        <v>803</v>
      </c>
      <c r="CM14">
        <v>94952</v>
      </c>
      <c r="CN14">
        <v>14470</v>
      </c>
      <c r="CO14">
        <v>527</v>
      </c>
      <c r="CP14">
        <v>31777</v>
      </c>
      <c r="CQ14">
        <v>1118</v>
      </c>
      <c r="CR14">
        <v>43325</v>
      </c>
      <c r="CS14">
        <v>51925</v>
      </c>
      <c r="CT14">
        <v>1488</v>
      </c>
      <c r="CU14">
        <v>164290</v>
      </c>
      <c r="CV14">
        <v>4783</v>
      </c>
      <c r="CW14">
        <v>305349</v>
      </c>
      <c r="CX14">
        <v>13968</v>
      </c>
      <c r="CY14">
        <v>451</v>
      </c>
      <c r="CZ14">
        <v>66200</v>
      </c>
      <c r="DA14">
        <v>2011</v>
      </c>
      <c r="DB14">
        <v>187839</v>
      </c>
      <c r="DC14">
        <v>56869</v>
      </c>
      <c r="DD14">
        <v>1103</v>
      </c>
      <c r="DE14">
        <v>125446</v>
      </c>
      <c r="DF14">
        <v>2813</v>
      </c>
      <c r="DG14">
        <v>232282</v>
      </c>
    </row>
    <row r="15" spans="1:111" x14ac:dyDescent="0.4">
      <c r="A15" s="1" t="s">
        <v>18</v>
      </c>
      <c r="B15" s="1" t="s">
        <v>19</v>
      </c>
      <c r="C15">
        <v>188366</v>
      </c>
      <c r="D15">
        <v>39599</v>
      </c>
      <c r="E15">
        <v>353</v>
      </c>
      <c r="F15">
        <v>2</v>
      </c>
      <c r="G15">
        <v>225211</v>
      </c>
      <c r="H15">
        <v>628</v>
      </c>
      <c r="I15">
        <v>22</v>
      </c>
      <c r="J15">
        <v>733975</v>
      </c>
      <c r="K15">
        <v>1982</v>
      </c>
      <c r="L15">
        <v>696</v>
      </c>
      <c r="M15">
        <v>1578</v>
      </c>
      <c r="N15">
        <v>43</v>
      </c>
      <c r="O15">
        <v>1539</v>
      </c>
      <c r="P15">
        <v>9209</v>
      </c>
      <c r="Q15">
        <v>249</v>
      </c>
      <c r="R15">
        <v>2207</v>
      </c>
      <c r="S15">
        <v>130372</v>
      </c>
      <c r="T15">
        <v>2820</v>
      </c>
      <c r="U15">
        <v>263</v>
      </c>
      <c r="V15">
        <v>127075</v>
      </c>
      <c r="W15">
        <v>1160</v>
      </c>
      <c r="X15">
        <v>254</v>
      </c>
      <c r="Y15">
        <v>277035</v>
      </c>
      <c r="Z15">
        <v>877</v>
      </c>
      <c r="AA15">
        <v>61919</v>
      </c>
      <c r="AB15">
        <v>40040</v>
      </c>
      <c r="AC15">
        <v>219</v>
      </c>
      <c r="AD15">
        <v>71957</v>
      </c>
      <c r="AE15">
        <v>49488</v>
      </c>
      <c r="AF15">
        <v>277</v>
      </c>
      <c r="AG15">
        <v>36296</v>
      </c>
      <c r="AH15">
        <v>17367</v>
      </c>
      <c r="AI15">
        <v>34480</v>
      </c>
      <c r="AJ15">
        <v>836</v>
      </c>
      <c r="AK15">
        <v>30657</v>
      </c>
      <c r="AL15">
        <v>97318</v>
      </c>
      <c r="AM15">
        <v>1369</v>
      </c>
      <c r="AN15">
        <v>209993</v>
      </c>
      <c r="AO15">
        <v>109974</v>
      </c>
      <c r="AP15">
        <v>283396</v>
      </c>
      <c r="AQ15">
        <v>5991</v>
      </c>
      <c r="AR15">
        <v>7517</v>
      </c>
      <c r="AS15">
        <v>158570</v>
      </c>
      <c r="AT15">
        <v>1952</v>
      </c>
      <c r="AU15">
        <v>1435</v>
      </c>
      <c r="AV15">
        <v>76604</v>
      </c>
      <c r="AW15">
        <v>955</v>
      </c>
      <c r="AX15">
        <v>959</v>
      </c>
      <c r="AY15">
        <v>236712</v>
      </c>
      <c r="AZ15">
        <v>2587</v>
      </c>
      <c r="BA15">
        <v>34</v>
      </c>
      <c r="BB15">
        <v>110292</v>
      </c>
      <c r="BC15">
        <v>845</v>
      </c>
      <c r="BD15">
        <v>129923</v>
      </c>
      <c r="BE15">
        <v>6846407</v>
      </c>
      <c r="BF15">
        <v>3319</v>
      </c>
      <c r="BG15">
        <v>332294</v>
      </c>
      <c r="BH15">
        <v>483764</v>
      </c>
      <c r="BI15">
        <v>8952</v>
      </c>
      <c r="BJ15">
        <v>20270</v>
      </c>
      <c r="BK15">
        <v>443517</v>
      </c>
      <c r="BL15">
        <v>2636</v>
      </c>
      <c r="BM15">
        <v>172714</v>
      </c>
      <c r="BN15">
        <v>6820</v>
      </c>
      <c r="BO15">
        <v>15723505</v>
      </c>
      <c r="BP15">
        <v>21842</v>
      </c>
      <c r="BQ15">
        <v>445410</v>
      </c>
      <c r="BR15">
        <v>2109</v>
      </c>
      <c r="BS15">
        <v>711249</v>
      </c>
      <c r="BT15">
        <v>2314</v>
      </c>
      <c r="BU15">
        <v>2773938</v>
      </c>
      <c r="BV15">
        <v>1171</v>
      </c>
      <c r="BW15">
        <v>133963</v>
      </c>
      <c r="BX15">
        <v>147</v>
      </c>
      <c r="BY15">
        <v>1211</v>
      </c>
      <c r="BZ15">
        <v>835</v>
      </c>
      <c r="CA15">
        <v>1054</v>
      </c>
      <c r="CB15">
        <v>757</v>
      </c>
      <c r="CC15">
        <v>930</v>
      </c>
      <c r="CD15">
        <v>6920</v>
      </c>
      <c r="CE15">
        <v>762</v>
      </c>
      <c r="CF15">
        <v>6925</v>
      </c>
      <c r="CG15">
        <v>585</v>
      </c>
      <c r="CH15">
        <v>6691</v>
      </c>
      <c r="CI15">
        <v>9684</v>
      </c>
      <c r="CJ15">
        <v>111</v>
      </c>
      <c r="CK15">
        <v>41158</v>
      </c>
      <c r="CL15">
        <v>621</v>
      </c>
      <c r="CM15">
        <v>96475</v>
      </c>
      <c r="CN15">
        <v>13883</v>
      </c>
      <c r="CO15">
        <v>473</v>
      </c>
      <c r="CP15">
        <v>23052</v>
      </c>
      <c r="CQ15">
        <v>776</v>
      </c>
      <c r="CR15">
        <v>48607</v>
      </c>
      <c r="CS15">
        <v>48503</v>
      </c>
      <c r="CT15">
        <v>1444</v>
      </c>
      <c r="CU15">
        <v>129797</v>
      </c>
      <c r="CV15">
        <v>3377</v>
      </c>
      <c r="CW15">
        <v>296931</v>
      </c>
      <c r="CX15">
        <v>13442</v>
      </c>
      <c r="CY15">
        <v>438</v>
      </c>
      <c r="CZ15">
        <v>54024</v>
      </c>
      <c r="DA15">
        <v>1545</v>
      </c>
      <c r="DB15">
        <v>190477</v>
      </c>
      <c r="DC15">
        <v>63020</v>
      </c>
      <c r="DD15">
        <v>1294</v>
      </c>
      <c r="DE15">
        <v>96417</v>
      </c>
      <c r="DF15">
        <v>2252</v>
      </c>
      <c r="DG15">
        <v>245547</v>
      </c>
    </row>
    <row r="16" spans="1:111" x14ac:dyDescent="0.4">
      <c r="A16" s="1" t="s">
        <v>20</v>
      </c>
      <c r="B16" s="1" t="s">
        <v>21</v>
      </c>
      <c r="C16">
        <v>190085</v>
      </c>
      <c r="D16">
        <v>40912</v>
      </c>
      <c r="E16">
        <v>364</v>
      </c>
      <c r="F16">
        <v>1</v>
      </c>
      <c r="G16">
        <v>1433</v>
      </c>
      <c r="H16">
        <v>24</v>
      </c>
      <c r="I16">
        <v>16</v>
      </c>
      <c r="J16">
        <v>84348</v>
      </c>
      <c r="K16">
        <v>337</v>
      </c>
      <c r="L16">
        <v>511</v>
      </c>
      <c r="M16">
        <v>1288</v>
      </c>
      <c r="N16">
        <v>34</v>
      </c>
      <c r="O16">
        <v>1558</v>
      </c>
      <c r="P16">
        <v>9424</v>
      </c>
      <c r="Q16">
        <v>255</v>
      </c>
      <c r="R16">
        <v>2323</v>
      </c>
      <c r="S16">
        <v>134540</v>
      </c>
      <c r="T16">
        <v>3188</v>
      </c>
      <c r="U16">
        <v>244</v>
      </c>
      <c r="V16">
        <v>152668</v>
      </c>
      <c r="W16">
        <v>1246</v>
      </c>
      <c r="X16">
        <v>219</v>
      </c>
      <c r="Y16">
        <v>248421</v>
      </c>
      <c r="Z16">
        <v>998</v>
      </c>
      <c r="AA16">
        <v>55928</v>
      </c>
      <c r="AB16">
        <v>33319</v>
      </c>
      <c r="AC16">
        <v>219</v>
      </c>
      <c r="AD16">
        <v>73845</v>
      </c>
      <c r="AE16">
        <v>50705</v>
      </c>
      <c r="AF16">
        <v>289</v>
      </c>
      <c r="AG16">
        <v>18487</v>
      </c>
      <c r="AH16">
        <v>14393</v>
      </c>
      <c r="AI16">
        <v>24193</v>
      </c>
      <c r="AJ16">
        <v>704</v>
      </c>
      <c r="AK16">
        <v>28318</v>
      </c>
      <c r="AL16">
        <v>89591</v>
      </c>
      <c r="AM16">
        <v>1290</v>
      </c>
      <c r="AN16">
        <v>214977</v>
      </c>
      <c r="AO16">
        <v>109480</v>
      </c>
      <c r="AP16">
        <v>283511</v>
      </c>
      <c r="AQ16">
        <v>5638</v>
      </c>
      <c r="AR16">
        <v>7259</v>
      </c>
      <c r="AS16">
        <v>150645</v>
      </c>
      <c r="AT16">
        <v>1866</v>
      </c>
      <c r="AU16">
        <v>1279</v>
      </c>
      <c r="AV16">
        <v>66473</v>
      </c>
      <c r="AW16">
        <v>709</v>
      </c>
      <c r="AX16">
        <v>1487</v>
      </c>
      <c r="AY16">
        <v>335220</v>
      </c>
      <c r="AZ16">
        <v>3129</v>
      </c>
      <c r="BA16">
        <v>28</v>
      </c>
      <c r="BB16">
        <v>63230</v>
      </c>
      <c r="BC16">
        <v>525</v>
      </c>
      <c r="BD16">
        <v>114558</v>
      </c>
      <c r="BE16">
        <v>6199190</v>
      </c>
      <c r="BF16">
        <v>3090</v>
      </c>
      <c r="BG16">
        <v>281486</v>
      </c>
      <c r="BH16">
        <v>433648</v>
      </c>
      <c r="BI16">
        <v>8348</v>
      </c>
      <c r="BJ16">
        <v>19730</v>
      </c>
      <c r="BK16">
        <v>423753</v>
      </c>
      <c r="BL16">
        <v>2953</v>
      </c>
      <c r="BM16">
        <v>158940</v>
      </c>
      <c r="BN16">
        <v>6011</v>
      </c>
      <c r="BO16">
        <v>15304447</v>
      </c>
      <c r="BP16">
        <v>21007</v>
      </c>
      <c r="BQ16">
        <v>424385</v>
      </c>
      <c r="BR16">
        <v>2038</v>
      </c>
      <c r="BS16">
        <v>623210</v>
      </c>
      <c r="BT16">
        <v>2169</v>
      </c>
      <c r="BU16">
        <v>1962893</v>
      </c>
      <c r="BV16">
        <v>1001</v>
      </c>
      <c r="BW16">
        <v>117839</v>
      </c>
      <c r="BX16">
        <v>125</v>
      </c>
      <c r="BY16">
        <v>1109</v>
      </c>
      <c r="BZ16">
        <v>832</v>
      </c>
      <c r="CA16">
        <v>1060</v>
      </c>
      <c r="CB16">
        <v>760</v>
      </c>
      <c r="CC16">
        <v>979</v>
      </c>
      <c r="CD16">
        <v>6927</v>
      </c>
      <c r="CE16">
        <v>747</v>
      </c>
      <c r="CF16">
        <v>6848</v>
      </c>
      <c r="CG16">
        <v>586</v>
      </c>
      <c r="CH16">
        <v>6178</v>
      </c>
      <c r="CI16">
        <v>10617</v>
      </c>
      <c r="CJ16">
        <v>131</v>
      </c>
      <c r="CK16">
        <v>43386</v>
      </c>
      <c r="CL16">
        <v>613</v>
      </c>
      <c r="CM16">
        <v>103175</v>
      </c>
      <c r="CN16">
        <v>13872</v>
      </c>
      <c r="CO16">
        <v>488</v>
      </c>
      <c r="CP16">
        <v>22503</v>
      </c>
      <c r="CQ16">
        <v>746</v>
      </c>
      <c r="CR16">
        <v>51524</v>
      </c>
      <c r="CS16">
        <v>52871</v>
      </c>
      <c r="CT16">
        <v>1550</v>
      </c>
      <c r="CU16">
        <v>115777</v>
      </c>
      <c r="CV16">
        <v>3086</v>
      </c>
      <c r="CW16">
        <v>319880</v>
      </c>
      <c r="CX16">
        <v>16766</v>
      </c>
      <c r="CY16">
        <v>527</v>
      </c>
      <c r="CZ16">
        <v>52997</v>
      </c>
      <c r="DA16">
        <v>1445</v>
      </c>
      <c r="DB16">
        <v>193312</v>
      </c>
      <c r="DC16">
        <v>68399</v>
      </c>
      <c r="DD16">
        <v>1383</v>
      </c>
      <c r="DE16">
        <v>108162</v>
      </c>
      <c r="DF16">
        <v>2419</v>
      </c>
      <c r="DG16">
        <v>263480</v>
      </c>
    </row>
    <row r="17" spans="1:111" x14ac:dyDescent="0.4">
      <c r="A17" s="1" t="s">
        <v>22</v>
      </c>
      <c r="B17" s="1" t="s">
        <v>23</v>
      </c>
      <c r="C17">
        <v>175780</v>
      </c>
      <c r="D17">
        <v>37607</v>
      </c>
      <c r="E17">
        <v>345</v>
      </c>
      <c r="F17">
        <v>2</v>
      </c>
      <c r="G17">
        <v>27471</v>
      </c>
      <c r="H17">
        <v>154</v>
      </c>
      <c r="I17">
        <v>20</v>
      </c>
      <c r="J17">
        <v>46374</v>
      </c>
      <c r="K17">
        <v>155</v>
      </c>
      <c r="L17">
        <v>462</v>
      </c>
      <c r="M17">
        <v>1141</v>
      </c>
      <c r="N17">
        <v>34</v>
      </c>
      <c r="O17">
        <v>1495</v>
      </c>
      <c r="P17">
        <v>8981</v>
      </c>
      <c r="Q17">
        <v>248</v>
      </c>
      <c r="R17">
        <v>2157</v>
      </c>
      <c r="S17">
        <v>128996</v>
      </c>
      <c r="T17">
        <v>2864</v>
      </c>
      <c r="U17">
        <v>199</v>
      </c>
      <c r="V17">
        <v>119821</v>
      </c>
      <c r="W17">
        <v>995</v>
      </c>
      <c r="X17">
        <v>249</v>
      </c>
      <c r="Y17">
        <v>307860</v>
      </c>
      <c r="Z17">
        <v>1987</v>
      </c>
      <c r="AA17">
        <v>75691</v>
      </c>
      <c r="AB17">
        <v>51302</v>
      </c>
      <c r="AC17">
        <v>242</v>
      </c>
      <c r="AD17">
        <v>62728</v>
      </c>
      <c r="AE17">
        <v>37743</v>
      </c>
      <c r="AF17">
        <v>261</v>
      </c>
      <c r="AG17">
        <v>31310</v>
      </c>
      <c r="AH17">
        <v>14871</v>
      </c>
      <c r="AI17">
        <v>26247</v>
      </c>
      <c r="AJ17">
        <v>723</v>
      </c>
      <c r="AK17">
        <v>29690</v>
      </c>
      <c r="AL17">
        <v>98573</v>
      </c>
      <c r="AM17">
        <v>1385</v>
      </c>
      <c r="AN17">
        <v>225834</v>
      </c>
      <c r="AO17">
        <v>125057</v>
      </c>
      <c r="AP17">
        <v>335069</v>
      </c>
      <c r="AQ17">
        <v>6621</v>
      </c>
      <c r="AR17">
        <v>8049</v>
      </c>
      <c r="AS17">
        <v>173139</v>
      </c>
      <c r="AT17">
        <v>2147</v>
      </c>
      <c r="AU17">
        <v>1487</v>
      </c>
      <c r="AV17">
        <v>79373</v>
      </c>
      <c r="AW17">
        <v>829</v>
      </c>
      <c r="AX17">
        <v>1105</v>
      </c>
      <c r="AY17">
        <v>243928</v>
      </c>
      <c r="AZ17">
        <v>2822</v>
      </c>
      <c r="BA17">
        <v>37</v>
      </c>
      <c r="BB17">
        <v>124599</v>
      </c>
      <c r="BC17">
        <v>1145</v>
      </c>
      <c r="BD17">
        <v>129421</v>
      </c>
      <c r="BE17">
        <v>6826779</v>
      </c>
      <c r="BF17">
        <v>3393</v>
      </c>
      <c r="BG17">
        <v>318721</v>
      </c>
      <c r="BH17">
        <v>504043</v>
      </c>
      <c r="BI17">
        <v>9596</v>
      </c>
      <c r="BJ17">
        <v>19096</v>
      </c>
      <c r="BK17">
        <v>399745</v>
      </c>
      <c r="BL17">
        <v>2766</v>
      </c>
      <c r="BM17">
        <v>175559</v>
      </c>
      <c r="BN17">
        <v>6558</v>
      </c>
      <c r="BO17">
        <v>15514154</v>
      </c>
      <c r="BP17">
        <v>21468</v>
      </c>
      <c r="BQ17">
        <v>415924</v>
      </c>
      <c r="BR17">
        <v>2001</v>
      </c>
      <c r="BS17">
        <v>616998</v>
      </c>
      <c r="BT17">
        <v>2122</v>
      </c>
      <c r="BU17">
        <v>2675229</v>
      </c>
      <c r="BV17">
        <v>1100</v>
      </c>
      <c r="BW17">
        <v>136557</v>
      </c>
      <c r="BX17">
        <v>134</v>
      </c>
      <c r="BY17">
        <v>1197</v>
      </c>
      <c r="BZ17">
        <v>863</v>
      </c>
      <c r="CA17">
        <v>1069</v>
      </c>
      <c r="CB17">
        <v>852</v>
      </c>
      <c r="CC17">
        <v>1107</v>
      </c>
      <c r="CD17">
        <v>6903</v>
      </c>
      <c r="CE17">
        <v>656</v>
      </c>
      <c r="CF17">
        <v>6766</v>
      </c>
      <c r="CG17">
        <v>506</v>
      </c>
      <c r="CH17">
        <v>6529</v>
      </c>
      <c r="CI17">
        <v>7332</v>
      </c>
      <c r="CJ17">
        <v>90</v>
      </c>
      <c r="CK17">
        <v>45677</v>
      </c>
      <c r="CL17">
        <v>657</v>
      </c>
      <c r="CM17">
        <v>98093</v>
      </c>
      <c r="CN17">
        <v>16480</v>
      </c>
      <c r="CO17">
        <v>571</v>
      </c>
      <c r="CP17">
        <v>25939</v>
      </c>
      <c r="CQ17">
        <v>912</v>
      </c>
      <c r="CR17">
        <v>53583</v>
      </c>
      <c r="CS17">
        <v>47587</v>
      </c>
      <c r="CT17">
        <v>1359</v>
      </c>
      <c r="CU17">
        <v>117171</v>
      </c>
      <c r="CV17">
        <v>3161</v>
      </c>
      <c r="CW17">
        <v>310453</v>
      </c>
      <c r="CX17">
        <v>13895</v>
      </c>
      <c r="CY17">
        <v>409</v>
      </c>
      <c r="CZ17">
        <v>53200</v>
      </c>
      <c r="DA17">
        <v>1502</v>
      </c>
      <c r="DB17">
        <v>186076</v>
      </c>
      <c r="DC17">
        <v>70442</v>
      </c>
      <c r="DD17">
        <v>1392</v>
      </c>
      <c r="DE17">
        <v>118723</v>
      </c>
      <c r="DF17">
        <v>2505</v>
      </c>
      <c r="DG17">
        <v>253429</v>
      </c>
    </row>
    <row r="18" spans="1:111" x14ac:dyDescent="0.4">
      <c r="A18" s="1" t="s">
        <v>24</v>
      </c>
      <c r="B18" s="1" t="s">
        <v>25</v>
      </c>
      <c r="C18">
        <v>238311</v>
      </c>
      <c r="D18">
        <v>50176</v>
      </c>
      <c r="E18">
        <v>400</v>
      </c>
      <c r="F18">
        <v>2</v>
      </c>
      <c r="G18">
        <v>9905</v>
      </c>
      <c r="H18">
        <v>70</v>
      </c>
      <c r="I18">
        <v>31</v>
      </c>
      <c r="J18">
        <v>507862</v>
      </c>
      <c r="K18">
        <v>2001</v>
      </c>
      <c r="L18">
        <v>5872</v>
      </c>
      <c r="M18">
        <v>2052</v>
      </c>
      <c r="N18">
        <v>77</v>
      </c>
      <c r="O18">
        <v>1474</v>
      </c>
      <c r="P18">
        <v>8708</v>
      </c>
      <c r="Q18">
        <v>254</v>
      </c>
      <c r="R18">
        <v>2353</v>
      </c>
      <c r="S18">
        <v>132308</v>
      </c>
      <c r="T18">
        <v>3053</v>
      </c>
      <c r="U18">
        <v>275</v>
      </c>
      <c r="V18">
        <v>131245</v>
      </c>
      <c r="W18">
        <v>1151</v>
      </c>
      <c r="X18">
        <v>263</v>
      </c>
      <c r="Y18">
        <v>312933</v>
      </c>
      <c r="Z18">
        <v>1559</v>
      </c>
      <c r="AA18">
        <v>66753</v>
      </c>
      <c r="AB18">
        <v>47392</v>
      </c>
      <c r="AC18">
        <v>219</v>
      </c>
      <c r="AD18">
        <v>71661</v>
      </c>
      <c r="AE18">
        <v>51946</v>
      </c>
      <c r="AF18">
        <v>253</v>
      </c>
      <c r="AG18">
        <v>26559</v>
      </c>
      <c r="AH18">
        <v>15150</v>
      </c>
      <c r="AI18">
        <v>29652</v>
      </c>
      <c r="AJ18">
        <v>774</v>
      </c>
      <c r="AK18">
        <v>31972</v>
      </c>
      <c r="AL18">
        <v>102334</v>
      </c>
      <c r="AM18">
        <v>1523</v>
      </c>
      <c r="AN18">
        <v>232124</v>
      </c>
      <c r="AO18">
        <v>125741</v>
      </c>
      <c r="AP18">
        <v>331476</v>
      </c>
      <c r="AQ18">
        <v>6718</v>
      </c>
      <c r="AR18">
        <v>8769</v>
      </c>
      <c r="AS18">
        <v>182713</v>
      </c>
      <c r="AT18">
        <v>2278</v>
      </c>
      <c r="AU18">
        <v>1461</v>
      </c>
      <c r="AV18">
        <v>78269</v>
      </c>
      <c r="AW18">
        <v>843</v>
      </c>
      <c r="AX18">
        <v>909</v>
      </c>
      <c r="AY18">
        <v>223043</v>
      </c>
      <c r="AZ18">
        <v>2406</v>
      </c>
      <c r="BA18">
        <v>53</v>
      </c>
      <c r="BB18">
        <v>175859</v>
      </c>
      <c r="BC18">
        <v>1480</v>
      </c>
      <c r="BD18">
        <v>150724</v>
      </c>
      <c r="BE18">
        <v>7867772</v>
      </c>
      <c r="BF18">
        <v>3894</v>
      </c>
      <c r="BG18">
        <v>349183</v>
      </c>
      <c r="BH18">
        <v>538938</v>
      </c>
      <c r="BI18">
        <v>9888</v>
      </c>
      <c r="BJ18">
        <v>20171</v>
      </c>
      <c r="BK18">
        <v>525580</v>
      </c>
      <c r="BL18">
        <v>3841</v>
      </c>
      <c r="BM18">
        <v>176017</v>
      </c>
      <c r="BN18">
        <v>6991</v>
      </c>
      <c r="BO18">
        <v>18419321</v>
      </c>
      <c r="BP18">
        <v>25781</v>
      </c>
      <c r="BQ18">
        <v>471329</v>
      </c>
      <c r="BR18">
        <v>2234</v>
      </c>
      <c r="BS18">
        <v>664400</v>
      </c>
      <c r="BT18">
        <v>2269</v>
      </c>
      <c r="BU18">
        <v>2615289</v>
      </c>
      <c r="BV18">
        <v>1227</v>
      </c>
      <c r="BW18">
        <v>129797</v>
      </c>
      <c r="BX18">
        <v>142</v>
      </c>
      <c r="BY18">
        <v>1272</v>
      </c>
      <c r="BZ18">
        <v>1087</v>
      </c>
      <c r="CA18">
        <v>1282</v>
      </c>
      <c r="CB18">
        <v>1028</v>
      </c>
      <c r="CC18">
        <v>1097</v>
      </c>
      <c r="CD18">
        <v>7265</v>
      </c>
      <c r="CE18">
        <v>765</v>
      </c>
      <c r="CF18">
        <v>7733</v>
      </c>
      <c r="CG18">
        <v>620</v>
      </c>
      <c r="CH18">
        <v>6200</v>
      </c>
      <c r="CI18">
        <v>8336</v>
      </c>
      <c r="CJ18">
        <v>102</v>
      </c>
      <c r="CK18">
        <v>44827</v>
      </c>
      <c r="CL18">
        <v>655</v>
      </c>
      <c r="CM18">
        <v>95415</v>
      </c>
      <c r="CN18">
        <v>16445</v>
      </c>
      <c r="CO18">
        <v>582</v>
      </c>
      <c r="CP18">
        <v>27530</v>
      </c>
      <c r="CQ18">
        <v>1040</v>
      </c>
      <c r="CR18">
        <v>51023</v>
      </c>
      <c r="CS18">
        <v>56869</v>
      </c>
      <c r="CT18">
        <v>1804</v>
      </c>
      <c r="CU18">
        <v>117279</v>
      </c>
      <c r="CV18">
        <v>3163</v>
      </c>
      <c r="CW18">
        <v>324721</v>
      </c>
      <c r="CX18">
        <v>15992</v>
      </c>
      <c r="CY18">
        <v>493</v>
      </c>
      <c r="CZ18">
        <v>53898</v>
      </c>
      <c r="DA18">
        <v>1561</v>
      </c>
      <c r="DB18">
        <v>188632</v>
      </c>
      <c r="DC18">
        <v>65723</v>
      </c>
      <c r="DD18">
        <v>1368</v>
      </c>
      <c r="DE18">
        <v>126958</v>
      </c>
      <c r="DF18">
        <v>2877</v>
      </c>
      <c r="DG18">
        <v>240228</v>
      </c>
    </row>
    <row r="19" spans="1:111" x14ac:dyDescent="0.4">
      <c r="A19" s="1" t="s">
        <v>26</v>
      </c>
      <c r="B19" s="1" t="s">
        <v>27</v>
      </c>
      <c r="C19">
        <v>171649</v>
      </c>
      <c r="D19">
        <v>35814</v>
      </c>
      <c r="E19">
        <v>303</v>
      </c>
      <c r="F19">
        <v>3</v>
      </c>
      <c r="G19">
        <v>12375</v>
      </c>
      <c r="H19">
        <v>76</v>
      </c>
      <c r="I19">
        <v>12</v>
      </c>
      <c r="J19">
        <v>480278</v>
      </c>
      <c r="K19">
        <v>1769</v>
      </c>
      <c r="L19">
        <v>3555</v>
      </c>
      <c r="M19">
        <v>1319</v>
      </c>
      <c r="N19">
        <v>58</v>
      </c>
      <c r="O19">
        <v>1519</v>
      </c>
      <c r="P19">
        <v>9087</v>
      </c>
      <c r="Q19">
        <v>282</v>
      </c>
      <c r="R19">
        <v>1790</v>
      </c>
      <c r="S19">
        <v>93449</v>
      </c>
      <c r="T19">
        <v>2234</v>
      </c>
      <c r="U19">
        <v>210</v>
      </c>
      <c r="V19">
        <v>123252</v>
      </c>
      <c r="W19">
        <v>1135</v>
      </c>
      <c r="X19">
        <v>225</v>
      </c>
      <c r="Y19">
        <v>270546</v>
      </c>
      <c r="Z19">
        <v>1354</v>
      </c>
      <c r="AA19">
        <v>52869</v>
      </c>
      <c r="AB19">
        <v>35195</v>
      </c>
      <c r="AC19">
        <v>195</v>
      </c>
      <c r="AD19">
        <v>61745</v>
      </c>
      <c r="AE19">
        <v>44553</v>
      </c>
      <c r="AF19">
        <v>242</v>
      </c>
      <c r="AG19">
        <v>17682</v>
      </c>
      <c r="AH19">
        <v>15926</v>
      </c>
      <c r="AI19">
        <v>25975</v>
      </c>
      <c r="AJ19">
        <v>817</v>
      </c>
      <c r="AK19">
        <v>27965</v>
      </c>
      <c r="AL19">
        <v>86380</v>
      </c>
      <c r="AM19">
        <v>1330</v>
      </c>
      <c r="AN19">
        <v>237720</v>
      </c>
      <c r="AO19">
        <v>104081</v>
      </c>
      <c r="AP19">
        <v>264433</v>
      </c>
      <c r="AQ19">
        <v>5576</v>
      </c>
      <c r="AR19">
        <v>7229</v>
      </c>
      <c r="AS19">
        <v>152945</v>
      </c>
      <c r="AT19">
        <v>1836</v>
      </c>
      <c r="AU19">
        <v>1303</v>
      </c>
      <c r="AV19">
        <v>73809</v>
      </c>
      <c r="AW19">
        <v>727</v>
      </c>
      <c r="AX19">
        <v>806</v>
      </c>
      <c r="AY19">
        <v>192818</v>
      </c>
      <c r="AZ19">
        <v>2320</v>
      </c>
      <c r="BA19">
        <v>35</v>
      </c>
      <c r="BB19">
        <v>111622</v>
      </c>
      <c r="BC19">
        <v>1165</v>
      </c>
      <c r="BD19">
        <v>108084</v>
      </c>
      <c r="BE19">
        <v>5718246</v>
      </c>
      <c r="BF19">
        <v>2824</v>
      </c>
      <c r="BG19">
        <v>258552</v>
      </c>
      <c r="BH19">
        <v>405638</v>
      </c>
      <c r="BI19">
        <v>7684</v>
      </c>
      <c r="BJ19">
        <v>17474</v>
      </c>
      <c r="BK19">
        <v>387010</v>
      </c>
      <c r="BL19">
        <v>3308</v>
      </c>
      <c r="BM19">
        <v>158724</v>
      </c>
      <c r="BN19">
        <v>6059</v>
      </c>
      <c r="BO19">
        <v>14136338</v>
      </c>
      <c r="BP19">
        <v>19480</v>
      </c>
      <c r="BQ19">
        <v>407461</v>
      </c>
      <c r="BR19">
        <v>1918</v>
      </c>
      <c r="BS19">
        <v>473874</v>
      </c>
      <c r="BT19">
        <v>1920</v>
      </c>
      <c r="BU19">
        <v>2440622</v>
      </c>
      <c r="BV19">
        <v>1057</v>
      </c>
      <c r="BW19">
        <v>115586</v>
      </c>
      <c r="BX19">
        <v>132</v>
      </c>
      <c r="BY19">
        <v>985</v>
      </c>
      <c r="BZ19">
        <v>868</v>
      </c>
      <c r="CA19">
        <v>968</v>
      </c>
      <c r="CB19">
        <v>846</v>
      </c>
      <c r="CC19">
        <v>1114</v>
      </c>
      <c r="CD19">
        <v>6899</v>
      </c>
      <c r="CE19">
        <v>672</v>
      </c>
      <c r="CF19">
        <v>7178</v>
      </c>
      <c r="CG19">
        <v>504</v>
      </c>
      <c r="CH19">
        <v>6091</v>
      </c>
      <c r="CI19" t="s">
        <v>73</v>
      </c>
      <c r="CJ19" t="s">
        <v>73</v>
      </c>
      <c r="CK19" t="s">
        <v>73</v>
      </c>
      <c r="CL19" t="s">
        <v>73</v>
      </c>
      <c r="CM19" t="s">
        <v>73</v>
      </c>
      <c r="CN19" t="s">
        <v>73</v>
      </c>
      <c r="CO19" t="s">
        <v>73</v>
      </c>
      <c r="CP19" t="s">
        <v>73</v>
      </c>
      <c r="CQ19" t="s">
        <v>73</v>
      </c>
      <c r="CR19" t="s">
        <v>73</v>
      </c>
      <c r="CS19" t="s">
        <v>73</v>
      </c>
      <c r="CT19" t="s">
        <v>73</v>
      </c>
      <c r="CU19" t="s">
        <v>73</v>
      </c>
      <c r="CV19" t="s">
        <v>73</v>
      </c>
      <c r="CW19" t="s">
        <v>73</v>
      </c>
      <c r="CX19" t="s">
        <v>73</v>
      </c>
      <c r="CY19" t="s">
        <v>73</v>
      </c>
      <c r="CZ19" t="s">
        <v>73</v>
      </c>
      <c r="DA19" t="s">
        <v>73</v>
      </c>
      <c r="DB19" t="s">
        <v>73</v>
      </c>
      <c r="DC19">
        <v>58532</v>
      </c>
      <c r="DD19">
        <v>1249</v>
      </c>
      <c r="DE19">
        <v>93740</v>
      </c>
      <c r="DF19">
        <v>2099</v>
      </c>
      <c r="DG19">
        <v>253658</v>
      </c>
    </row>
    <row r="20" spans="1:111" x14ac:dyDescent="0.4">
      <c r="A20" s="1" t="s">
        <v>28</v>
      </c>
      <c r="B20" s="1" t="s">
        <v>29</v>
      </c>
      <c r="C20">
        <v>209727</v>
      </c>
      <c r="D20">
        <v>44450</v>
      </c>
      <c r="E20">
        <v>413</v>
      </c>
      <c r="F20">
        <v>3</v>
      </c>
      <c r="G20">
        <v>65211</v>
      </c>
      <c r="H20">
        <v>344</v>
      </c>
      <c r="I20">
        <v>12</v>
      </c>
      <c r="J20">
        <v>37239</v>
      </c>
      <c r="K20">
        <v>132</v>
      </c>
      <c r="L20">
        <v>4513</v>
      </c>
      <c r="M20">
        <v>2270</v>
      </c>
      <c r="N20">
        <v>77</v>
      </c>
      <c r="O20">
        <v>1681</v>
      </c>
      <c r="P20">
        <v>10016</v>
      </c>
      <c r="Q20">
        <v>299</v>
      </c>
      <c r="R20">
        <v>2204</v>
      </c>
      <c r="S20">
        <v>131531</v>
      </c>
      <c r="T20">
        <v>2915</v>
      </c>
      <c r="U20">
        <v>256</v>
      </c>
      <c r="V20">
        <v>138309</v>
      </c>
      <c r="W20">
        <v>1197</v>
      </c>
      <c r="X20">
        <v>231</v>
      </c>
      <c r="Y20">
        <v>316269</v>
      </c>
      <c r="Z20">
        <v>1552</v>
      </c>
      <c r="AA20">
        <v>75476</v>
      </c>
      <c r="AB20">
        <v>56232</v>
      </c>
      <c r="AC20">
        <v>231</v>
      </c>
      <c r="AD20">
        <v>69012</v>
      </c>
      <c r="AE20">
        <v>49103</v>
      </c>
      <c r="AF20">
        <v>263</v>
      </c>
      <c r="AG20">
        <v>24146</v>
      </c>
      <c r="AH20">
        <v>15483</v>
      </c>
      <c r="AI20">
        <v>29214</v>
      </c>
      <c r="AJ20">
        <v>836</v>
      </c>
      <c r="AK20">
        <v>31918</v>
      </c>
      <c r="AL20">
        <v>97302</v>
      </c>
      <c r="AM20">
        <v>1493</v>
      </c>
      <c r="AN20">
        <v>236704</v>
      </c>
      <c r="AO20">
        <v>112448</v>
      </c>
      <c r="AP20">
        <v>288492</v>
      </c>
      <c r="AQ20">
        <v>6099</v>
      </c>
      <c r="AR20">
        <v>7386</v>
      </c>
      <c r="AS20">
        <v>155107</v>
      </c>
      <c r="AT20">
        <v>1928</v>
      </c>
      <c r="AU20">
        <v>1337</v>
      </c>
      <c r="AV20">
        <v>74172</v>
      </c>
      <c r="AW20">
        <v>865</v>
      </c>
      <c r="AX20">
        <v>1033</v>
      </c>
      <c r="AY20">
        <v>250707</v>
      </c>
      <c r="AZ20">
        <v>3015</v>
      </c>
      <c r="BA20">
        <v>95</v>
      </c>
      <c r="BB20">
        <v>310343</v>
      </c>
      <c r="BC20">
        <v>2475</v>
      </c>
      <c r="BD20">
        <v>132786</v>
      </c>
      <c r="BE20">
        <v>7084908</v>
      </c>
      <c r="BF20">
        <v>3630</v>
      </c>
      <c r="BG20">
        <v>299479</v>
      </c>
      <c r="BH20">
        <v>440119</v>
      </c>
      <c r="BI20">
        <v>8102</v>
      </c>
      <c r="BJ20">
        <v>20493</v>
      </c>
      <c r="BK20">
        <v>570372</v>
      </c>
      <c r="BL20">
        <v>4295</v>
      </c>
      <c r="BM20">
        <v>179820</v>
      </c>
      <c r="BN20">
        <v>7043</v>
      </c>
      <c r="BO20">
        <v>16322120</v>
      </c>
      <c r="BP20">
        <v>22828</v>
      </c>
      <c r="BQ20">
        <v>427027</v>
      </c>
      <c r="BR20">
        <v>2092</v>
      </c>
      <c r="BS20">
        <v>525660</v>
      </c>
      <c r="BT20">
        <v>2154</v>
      </c>
      <c r="BU20">
        <v>2733101</v>
      </c>
      <c r="BV20">
        <v>1257</v>
      </c>
      <c r="BW20">
        <v>125327</v>
      </c>
      <c r="BX20">
        <v>126</v>
      </c>
      <c r="BY20">
        <v>1157</v>
      </c>
      <c r="BZ20">
        <v>1095</v>
      </c>
      <c r="CA20">
        <v>1229</v>
      </c>
      <c r="CB20">
        <v>1191</v>
      </c>
      <c r="CC20">
        <v>1042</v>
      </c>
      <c r="CD20">
        <v>6471</v>
      </c>
      <c r="CE20">
        <v>710</v>
      </c>
      <c r="CF20">
        <v>6780</v>
      </c>
      <c r="CG20">
        <v>567</v>
      </c>
      <c r="CH20">
        <v>6061</v>
      </c>
      <c r="CI20" t="s">
        <v>73</v>
      </c>
      <c r="CJ20" t="s">
        <v>73</v>
      </c>
      <c r="CK20" t="s">
        <v>73</v>
      </c>
      <c r="CL20" t="s">
        <v>73</v>
      </c>
      <c r="CM20" t="s">
        <v>73</v>
      </c>
      <c r="CN20" t="s">
        <v>73</v>
      </c>
      <c r="CO20" t="s">
        <v>73</v>
      </c>
      <c r="CP20" t="s">
        <v>73</v>
      </c>
      <c r="CQ20" t="s">
        <v>73</v>
      </c>
      <c r="CR20" t="s">
        <v>73</v>
      </c>
      <c r="CS20" t="s">
        <v>73</v>
      </c>
      <c r="CT20" t="s">
        <v>73</v>
      </c>
      <c r="CU20" t="s">
        <v>73</v>
      </c>
      <c r="CV20" t="s">
        <v>73</v>
      </c>
      <c r="CW20" t="s">
        <v>73</v>
      </c>
      <c r="CX20" t="s">
        <v>73</v>
      </c>
      <c r="CY20" t="s">
        <v>73</v>
      </c>
      <c r="CZ20" t="s">
        <v>73</v>
      </c>
      <c r="DA20" t="s">
        <v>73</v>
      </c>
      <c r="DB20" t="s">
        <v>73</v>
      </c>
      <c r="DC20">
        <v>67232</v>
      </c>
      <c r="DD20">
        <v>1390</v>
      </c>
      <c r="DE20">
        <v>138490</v>
      </c>
      <c r="DF20">
        <v>3046</v>
      </c>
      <c r="DG20">
        <v>223796</v>
      </c>
    </row>
    <row r="21" spans="1:111" x14ac:dyDescent="0.4">
      <c r="A21" s="1" t="s">
        <v>30</v>
      </c>
      <c r="B21" s="1" t="s">
        <v>31</v>
      </c>
      <c r="C21">
        <v>247615</v>
      </c>
      <c r="D21">
        <v>52584</v>
      </c>
      <c r="E21">
        <v>491</v>
      </c>
      <c r="F21">
        <v>6</v>
      </c>
      <c r="G21">
        <v>68083</v>
      </c>
      <c r="H21">
        <v>652</v>
      </c>
      <c r="I21">
        <v>19</v>
      </c>
      <c r="J21">
        <v>196012</v>
      </c>
      <c r="K21">
        <v>1325</v>
      </c>
      <c r="L21">
        <v>6766</v>
      </c>
      <c r="M21">
        <v>2815</v>
      </c>
      <c r="N21">
        <v>125</v>
      </c>
      <c r="O21">
        <v>1340</v>
      </c>
      <c r="P21">
        <v>7985</v>
      </c>
      <c r="Q21">
        <v>260</v>
      </c>
      <c r="R21">
        <v>2349</v>
      </c>
      <c r="S21">
        <v>140798</v>
      </c>
      <c r="T21">
        <v>3174</v>
      </c>
      <c r="U21">
        <v>265</v>
      </c>
      <c r="V21">
        <v>146053</v>
      </c>
      <c r="W21">
        <v>1195</v>
      </c>
      <c r="X21">
        <v>266</v>
      </c>
      <c r="Y21">
        <v>302767</v>
      </c>
      <c r="Z21">
        <v>1298</v>
      </c>
      <c r="AA21">
        <v>93541</v>
      </c>
      <c r="AB21">
        <v>65256</v>
      </c>
      <c r="AC21">
        <v>283</v>
      </c>
      <c r="AD21">
        <v>83317</v>
      </c>
      <c r="AE21">
        <v>56377</v>
      </c>
      <c r="AF21">
        <v>293</v>
      </c>
      <c r="AG21">
        <v>34370</v>
      </c>
      <c r="AH21">
        <v>15037</v>
      </c>
      <c r="AI21">
        <v>29291</v>
      </c>
      <c r="AJ21">
        <v>815</v>
      </c>
      <c r="AK21">
        <v>33384</v>
      </c>
      <c r="AL21">
        <v>105619</v>
      </c>
      <c r="AM21">
        <v>1582</v>
      </c>
      <c r="AN21">
        <v>235047</v>
      </c>
      <c r="AO21">
        <v>124537</v>
      </c>
      <c r="AP21">
        <v>329635</v>
      </c>
      <c r="AQ21">
        <v>6746</v>
      </c>
      <c r="AR21">
        <v>8131</v>
      </c>
      <c r="AS21">
        <v>172560</v>
      </c>
      <c r="AT21">
        <v>2130</v>
      </c>
      <c r="AU21">
        <v>1569</v>
      </c>
      <c r="AV21">
        <v>83282</v>
      </c>
      <c r="AW21">
        <v>975</v>
      </c>
      <c r="AX21">
        <v>977</v>
      </c>
      <c r="AY21">
        <v>227849</v>
      </c>
      <c r="AZ21">
        <v>2423</v>
      </c>
      <c r="BA21">
        <v>42</v>
      </c>
      <c r="BB21">
        <v>114206</v>
      </c>
      <c r="BC21">
        <v>1032</v>
      </c>
      <c r="BD21">
        <v>138456</v>
      </c>
      <c r="BE21">
        <v>7586300</v>
      </c>
      <c r="BF21">
        <v>3892</v>
      </c>
      <c r="BG21">
        <v>319786</v>
      </c>
      <c r="BH21">
        <v>484157</v>
      </c>
      <c r="BI21">
        <v>8982</v>
      </c>
      <c r="BJ21">
        <v>24207</v>
      </c>
      <c r="BK21">
        <v>474045</v>
      </c>
      <c r="BL21">
        <v>3060</v>
      </c>
      <c r="BM21">
        <v>185964</v>
      </c>
      <c r="BN21">
        <v>7221</v>
      </c>
      <c r="BO21">
        <v>17779250</v>
      </c>
      <c r="BP21">
        <v>24861</v>
      </c>
      <c r="BQ21">
        <v>484084</v>
      </c>
      <c r="BR21">
        <v>2283</v>
      </c>
      <c r="BS21">
        <v>579467</v>
      </c>
      <c r="BT21">
        <v>2384</v>
      </c>
      <c r="BU21">
        <v>2733621</v>
      </c>
      <c r="BV21">
        <v>1127</v>
      </c>
      <c r="BW21">
        <v>110577</v>
      </c>
      <c r="BX21">
        <v>137</v>
      </c>
      <c r="BY21">
        <v>1305</v>
      </c>
      <c r="BZ21">
        <v>1047</v>
      </c>
      <c r="CA21">
        <v>1169</v>
      </c>
      <c r="CB21">
        <v>1005</v>
      </c>
      <c r="CC21">
        <v>1178</v>
      </c>
      <c r="CD21">
        <v>7563</v>
      </c>
      <c r="CE21">
        <v>729</v>
      </c>
      <c r="CF21">
        <v>7474</v>
      </c>
      <c r="CG21">
        <v>555</v>
      </c>
      <c r="CH21">
        <v>6099</v>
      </c>
      <c r="CI21" t="s">
        <v>73</v>
      </c>
      <c r="CJ21" t="s">
        <v>73</v>
      </c>
      <c r="CK21" t="s">
        <v>73</v>
      </c>
      <c r="CL21" t="s">
        <v>73</v>
      </c>
      <c r="CM21" t="s">
        <v>73</v>
      </c>
      <c r="CN21" t="s">
        <v>73</v>
      </c>
      <c r="CO21" t="s">
        <v>73</v>
      </c>
      <c r="CP21" t="s">
        <v>73</v>
      </c>
      <c r="CQ21" t="s">
        <v>73</v>
      </c>
      <c r="CR21" t="s">
        <v>73</v>
      </c>
      <c r="CS21" t="s">
        <v>73</v>
      </c>
      <c r="CT21" t="s">
        <v>73</v>
      </c>
      <c r="CU21" t="s">
        <v>73</v>
      </c>
      <c r="CV21" t="s">
        <v>73</v>
      </c>
      <c r="CW21" t="s">
        <v>73</v>
      </c>
      <c r="CX21" t="s">
        <v>73</v>
      </c>
      <c r="CY21" t="s">
        <v>73</v>
      </c>
      <c r="CZ21" t="s">
        <v>73</v>
      </c>
      <c r="DA21" t="s">
        <v>73</v>
      </c>
      <c r="DB21" t="s">
        <v>73</v>
      </c>
      <c r="DC21">
        <v>78947</v>
      </c>
      <c r="DD21">
        <v>1631</v>
      </c>
      <c r="DE21">
        <v>113904</v>
      </c>
      <c r="DF21">
        <v>2597</v>
      </c>
      <c r="DG21">
        <v>249646</v>
      </c>
    </row>
    <row r="22" spans="1:111" x14ac:dyDescent="0.4">
      <c r="A22" s="1" t="s">
        <v>32</v>
      </c>
      <c r="B22" s="1" t="s">
        <v>33</v>
      </c>
      <c r="C22">
        <v>209408</v>
      </c>
      <c r="D22">
        <v>44384</v>
      </c>
      <c r="E22">
        <v>404</v>
      </c>
      <c r="F22">
        <v>2</v>
      </c>
      <c r="G22">
        <v>14689</v>
      </c>
      <c r="H22">
        <v>76</v>
      </c>
      <c r="I22">
        <v>18</v>
      </c>
      <c r="J22">
        <v>620168</v>
      </c>
      <c r="K22">
        <v>2730</v>
      </c>
      <c r="L22">
        <v>3289</v>
      </c>
      <c r="M22">
        <v>2294</v>
      </c>
      <c r="N22">
        <v>85</v>
      </c>
      <c r="O22">
        <v>1540</v>
      </c>
      <c r="P22">
        <v>9244</v>
      </c>
      <c r="Q22">
        <v>347</v>
      </c>
      <c r="R22">
        <v>2253</v>
      </c>
      <c r="S22">
        <v>142941</v>
      </c>
      <c r="T22">
        <v>3137</v>
      </c>
      <c r="U22">
        <v>216</v>
      </c>
      <c r="V22">
        <v>126283</v>
      </c>
      <c r="W22">
        <v>1068</v>
      </c>
      <c r="X22">
        <v>240</v>
      </c>
      <c r="Y22">
        <v>286615</v>
      </c>
      <c r="Z22">
        <v>1324</v>
      </c>
      <c r="AA22">
        <v>82854</v>
      </c>
      <c r="AB22">
        <v>62547</v>
      </c>
      <c r="AC22">
        <v>223</v>
      </c>
      <c r="AD22">
        <v>79813</v>
      </c>
      <c r="AE22">
        <v>59900</v>
      </c>
      <c r="AF22">
        <v>280</v>
      </c>
      <c r="AG22">
        <v>37411</v>
      </c>
      <c r="AH22">
        <v>15509</v>
      </c>
      <c r="AI22">
        <v>26766</v>
      </c>
      <c r="AJ22">
        <v>816</v>
      </c>
      <c r="AK22">
        <v>33193</v>
      </c>
      <c r="AL22">
        <v>102842</v>
      </c>
      <c r="AM22">
        <v>1560</v>
      </c>
      <c r="AN22">
        <v>233388</v>
      </c>
      <c r="AO22">
        <v>118723</v>
      </c>
      <c r="AP22">
        <v>311395</v>
      </c>
      <c r="AQ22">
        <v>6590</v>
      </c>
      <c r="AR22">
        <v>7699</v>
      </c>
      <c r="AS22">
        <v>161099</v>
      </c>
      <c r="AT22">
        <v>1972</v>
      </c>
      <c r="AU22">
        <v>1514</v>
      </c>
      <c r="AV22">
        <v>81280</v>
      </c>
      <c r="AW22">
        <v>915</v>
      </c>
      <c r="AX22">
        <v>884</v>
      </c>
      <c r="AY22">
        <v>223840</v>
      </c>
      <c r="AZ22">
        <v>2623</v>
      </c>
      <c r="BA22">
        <v>65</v>
      </c>
      <c r="BB22">
        <v>183969</v>
      </c>
      <c r="BC22">
        <v>1691</v>
      </c>
      <c r="BD22">
        <v>129219</v>
      </c>
      <c r="BE22">
        <v>7067452</v>
      </c>
      <c r="BF22">
        <v>3497</v>
      </c>
      <c r="BG22">
        <v>296289</v>
      </c>
      <c r="BH22">
        <v>448830</v>
      </c>
      <c r="BI22">
        <v>8410</v>
      </c>
      <c r="BJ22">
        <v>21963</v>
      </c>
      <c r="BK22">
        <v>425515</v>
      </c>
      <c r="BL22">
        <v>2771</v>
      </c>
      <c r="BM22">
        <v>179945</v>
      </c>
      <c r="BN22">
        <v>7303</v>
      </c>
      <c r="BO22">
        <v>16377204</v>
      </c>
      <c r="BP22">
        <v>23005</v>
      </c>
      <c r="BQ22">
        <v>452248</v>
      </c>
      <c r="BR22">
        <v>2118</v>
      </c>
      <c r="BS22">
        <v>592165</v>
      </c>
      <c r="BT22">
        <v>2267</v>
      </c>
      <c r="BU22">
        <v>3074966</v>
      </c>
      <c r="BV22">
        <v>1279</v>
      </c>
      <c r="BW22">
        <v>110114</v>
      </c>
      <c r="BX22">
        <v>127</v>
      </c>
      <c r="BY22">
        <v>1164</v>
      </c>
      <c r="BZ22">
        <v>1035</v>
      </c>
      <c r="CA22">
        <v>1021</v>
      </c>
      <c r="CB22">
        <v>850</v>
      </c>
      <c r="CC22">
        <v>1321</v>
      </c>
      <c r="CD22">
        <v>6200</v>
      </c>
      <c r="CE22">
        <v>741</v>
      </c>
      <c r="CF22">
        <v>7020</v>
      </c>
      <c r="CG22">
        <v>563</v>
      </c>
      <c r="CH22">
        <v>5592</v>
      </c>
      <c r="CI22" t="s">
        <v>73</v>
      </c>
      <c r="CJ22" t="s">
        <v>73</v>
      </c>
      <c r="CK22" t="s">
        <v>73</v>
      </c>
      <c r="CL22" t="s">
        <v>73</v>
      </c>
      <c r="CM22" t="s">
        <v>73</v>
      </c>
      <c r="CN22" t="s">
        <v>73</v>
      </c>
      <c r="CO22" t="s">
        <v>73</v>
      </c>
      <c r="CP22" t="s">
        <v>73</v>
      </c>
      <c r="CQ22" t="s">
        <v>73</v>
      </c>
      <c r="CR22" t="s">
        <v>73</v>
      </c>
      <c r="CS22" t="s">
        <v>73</v>
      </c>
      <c r="CT22" t="s">
        <v>73</v>
      </c>
      <c r="CU22" t="s">
        <v>73</v>
      </c>
      <c r="CV22" t="s">
        <v>73</v>
      </c>
      <c r="CW22" t="s">
        <v>73</v>
      </c>
      <c r="CX22" t="s">
        <v>73</v>
      </c>
      <c r="CY22" t="s">
        <v>73</v>
      </c>
      <c r="CZ22" t="s">
        <v>73</v>
      </c>
      <c r="DA22" t="s">
        <v>73</v>
      </c>
      <c r="DB22" t="s">
        <v>73</v>
      </c>
      <c r="DC22">
        <v>66149</v>
      </c>
      <c r="DD22">
        <v>1486</v>
      </c>
      <c r="DE22">
        <v>107621</v>
      </c>
      <c r="DF22">
        <v>2546</v>
      </c>
      <c r="DG22">
        <v>269815</v>
      </c>
    </row>
    <row r="23" spans="1:111" x14ac:dyDescent="0.4">
      <c r="A23" s="1" t="s">
        <v>34</v>
      </c>
      <c r="B23" s="1" t="s">
        <v>35</v>
      </c>
      <c r="C23">
        <v>190462</v>
      </c>
      <c r="D23">
        <v>42551</v>
      </c>
      <c r="E23">
        <v>419</v>
      </c>
      <c r="F23">
        <v>6</v>
      </c>
      <c r="G23">
        <v>278958</v>
      </c>
      <c r="H23">
        <v>1109</v>
      </c>
      <c r="I23">
        <v>20</v>
      </c>
      <c r="J23">
        <v>538762</v>
      </c>
      <c r="K23">
        <v>1043</v>
      </c>
      <c r="L23">
        <v>740</v>
      </c>
      <c r="M23">
        <v>1873</v>
      </c>
      <c r="N23">
        <v>132</v>
      </c>
      <c r="O23">
        <v>1272</v>
      </c>
      <c r="P23">
        <v>7544</v>
      </c>
      <c r="Q23">
        <v>268</v>
      </c>
      <c r="R23">
        <v>2069</v>
      </c>
      <c r="S23">
        <v>127946</v>
      </c>
      <c r="T23">
        <v>2702</v>
      </c>
      <c r="U23">
        <v>225</v>
      </c>
      <c r="V23">
        <v>118371</v>
      </c>
      <c r="W23">
        <v>1205</v>
      </c>
      <c r="X23">
        <v>248</v>
      </c>
      <c r="Y23">
        <v>355687</v>
      </c>
      <c r="Z23">
        <v>1926</v>
      </c>
      <c r="AA23">
        <v>69039</v>
      </c>
      <c r="AB23">
        <v>46909</v>
      </c>
      <c r="AC23">
        <v>211</v>
      </c>
      <c r="AD23">
        <v>61048</v>
      </c>
      <c r="AE23">
        <v>37844</v>
      </c>
      <c r="AF23">
        <v>236</v>
      </c>
      <c r="AG23">
        <v>45402</v>
      </c>
      <c r="AH23">
        <v>18550</v>
      </c>
      <c r="AI23">
        <v>24692</v>
      </c>
      <c r="AJ23">
        <v>807</v>
      </c>
      <c r="AK23">
        <v>33719</v>
      </c>
      <c r="AL23">
        <v>110605</v>
      </c>
      <c r="AM23">
        <v>1624</v>
      </c>
      <c r="AN23">
        <v>236264</v>
      </c>
      <c r="AO23">
        <v>118766</v>
      </c>
      <c r="AP23">
        <v>319102</v>
      </c>
      <c r="AQ23">
        <v>6774</v>
      </c>
      <c r="AR23">
        <v>7750</v>
      </c>
      <c r="AS23">
        <v>163308</v>
      </c>
      <c r="AT23">
        <v>1975</v>
      </c>
      <c r="AU23">
        <v>1359</v>
      </c>
      <c r="AV23">
        <v>72161</v>
      </c>
      <c r="AW23">
        <v>850</v>
      </c>
      <c r="AX23">
        <v>972</v>
      </c>
      <c r="AY23">
        <v>249975</v>
      </c>
      <c r="AZ23">
        <v>2948</v>
      </c>
      <c r="BA23">
        <v>64</v>
      </c>
      <c r="BB23">
        <v>172722</v>
      </c>
      <c r="BC23">
        <v>1919</v>
      </c>
      <c r="BD23">
        <v>119252</v>
      </c>
      <c r="BE23">
        <v>6559852</v>
      </c>
      <c r="BF23">
        <v>3309</v>
      </c>
      <c r="BG23">
        <v>301201</v>
      </c>
      <c r="BH23">
        <v>457842</v>
      </c>
      <c r="BI23">
        <v>8921</v>
      </c>
      <c r="BJ23">
        <v>19055</v>
      </c>
      <c r="BK23">
        <v>396430</v>
      </c>
      <c r="BL23">
        <v>3276</v>
      </c>
      <c r="BM23">
        <v>175389</v>
      </c>
      <c r="BN23">
        <v>7222</v>
      </c>
      <c r="BO23">
        <v>15833510</v>
      </c>
      <c r="BP23">
        <v>22080</v>
      </c>
      <c r="BQ23">
        <v>424081</v>
      </c>
      <c r="BR23">
        <v>1998</v>
      </c>
      <c r="BS23">
        <v>620577</v>
      </c>
      <c r="BT23">
        <v>2324</v>
      </c>
      <c r="BU23">
        <v>2702434</v>
      </c>
      <c r="BV23">
        <v>1159</v>
      </c>
      <c r="BW23">
        <v>132475</v>
      </c>
      <c r="BX23">
        <v>124</v>
      </c>
      <c r="BY23">
        <v>1107</v>
      </c>
      <c r="BZ23">
        <v>965</v>
      </c>
      <c r="CA23">
        <v>1171</v>
      </c>
      <c r="CB23">
        <v>989</v>
      </c>
      <c r="CC23">
        <v>1257</v>
      </c>
      <c r="CD23">
        <v>6904</v>
      </c>
      <c r="CE23">
        <v>763</v>
      </c>
      <c r="CF23">
        <v>6719</v>
      </c>
      <c r="CG23">
        <v>589</v>
      </c>
      <c r="CH23">
        <v>5727</v>
      </c>
      <c r="CI23" t="s">
        <v>73</v>
      </c>
      <c r="CJ23" t="s">
        <v>73</v>
      </c>
      <c r="CK23" t="s">
        <v>73</v>
      </c>
      <c r="CL23" t="s">
        <v>73</v>
      </c>
      <c r="CM23" t="s">
        <v>73</v>
      </c>
      <c r="CN23" t="s">
        <v>73</v>
      </c>
      <c r="CO23" t="s">
        <v>73</v>
      </c>
      <c r="CP23" t="s">
        <v>73</v>
      </c>
      <c r="CQ23" t="s">
        <v>73</v>
      </c>
      <c r="CR23" t="s">
        <v>73</v>
      </c>
      <c r="CS23" t="s">
        <v>73</v>
      </c>
      <c r="CT23" t="s">
        <v>73</v>
      </c>
      <c r="CU23" t="s">
        <v>73</v>
      </c>
      <c r="CV23" t="s">
        <v>73</v>
      </c>
      <c r="CW23" t="s">
        <v>73</v>
      </c>
      <c r="CX23" t="s">
        <v>73</v>
      </c>
      <c r="CY23" t="s">
        <v>73</v>
      </c>
      <c r="CZ23" t="s">
        <v>73</v>
      </c>
      <c r="DA23" t="s">
        <v>73</v>
      </c>
      <c r="DB23" t="s">
        <v>73</v>
      </c>
      <c r="DC23">
        <v>68348</v>
      </c>
      <c r="DD23">
        <v>1554</v>
      </c>
      <c r="DE23">
        <v>152060</v>
      </c>
      <c r="DF23">
        <v>3545</v>
      </c>
      <c r="DG23">
        <v>257304</v>
      </c>
    </row>
    <row r="24" spans="1:111" x14ac:dyDescent="0.4">
      <c r="A24" s="1" t="s">
        <v>36</v>
      </c>
      <c r="B24" s="1" t="s">
        <v>37</v>
      </c>
      <c r="C24">
        <v>274711</v>
      </c>
      <c r="D24">
        <v>69590</v>
      </c>
      <c r="E24">
        <v>676</v>
      </c>
      <c r="F24">
        <v>5</v>
      </c>
      <c r="G24">
        <v>106153</v>
      </c>
      <c r="H24">
        <v>356</v>
      </c>
      <c r="I24">
        <v>24</v>
      </c>
      <c r="J24">
        <v>1068387</v>
      </c>
      <c r="K24">
        <v>1973</v>
      </c>
      <c r="L24">
        <v>4228</v>
      </c>
      <c r="M24">
        <v>2399</v>
      </c>
      <c r="N24">
        <v>137</v>
      </c>
      <c r="O24">
        <v>1286</v>
      </c>
      <c r="P24">
        <v>7707</v>
      </c>
      <c r="Q24">
        <v>246</v>
      </c>
      <c r="R24">
        <v>1936</v>
      </c>
      <c r="S24">
        <v>110211</v>
      </c>
      <c r="T24">
        <v>2495</v>
      </c>
      <c r="U24">
        <v>173</v>
      </c>
      <c r="V24">
        <v>91092</v>
      </c>
      <c r="W24">
        <v>715</v>
      </c>
      <c r="X24">
        <v>231</v>
      </c>
      <c r="Y24">
        <v>290490</v>
      </c>
      <c r="Z24">
        <v>1119</v>
      </c>
      <c r="AA24">
        <v>60643</v>
      </c>
      <c r="AB24">
        <v>39202</v>
      </c>
      <c r="AC24">
        <v>204</v>
      </c>
      <c r="AD24">
        <v>76099</v>
      </c>
      <c r="AE24">
        <v>56125</v>
      </c>
      <c r="AF24">
        <v>264</v>
      </c>
      <c r="AG24">
        <v>29982</v>
      </c>
      <c r="AH24">
        <v>23563</v>
      </c>
      <c r="AI24">
        <v>27513</v>
      </c>
      <c r="AJ24">
        <v>921</v>
      </c>
      <c r="AK24">
        <v>33444</v>
      </c>
      <c r="AL24">
        <v>105088</v>
      </c>
      <c r="AM24">
        <v>1663</v>
      </c>
      <c r="AN24">
        <v>290114</v>
      </c>
      <c r="AO24">
        <v>118588</v>
      </c>
      <c r="AP24">
        <v>304103</v>
      </c>
      <c r="AQ24">
        <v>6637</v>
      </c>
      <c r="AR24">
        <v>7532</v>
      </c>
      <c r="AS24">
        <v>159184</v>
      </c>
      <c r="AT24">
        <v>2056</v>
      </c>
      <c r="AU24">
        <v>1546</v>
      </c>
      <c r="AV24">
        <v>83360</v>
      </c>
      <c r="AW24">
        <v>976</v>
      </c>
      <c r="AX24">
        <v>897</v>
      </c>
      <c r="AY24">
        <v>212064</v>
      </c>
      <c r="AZ24">
        <v>2339</v>
      </c>
      <c r="BA24">
        <v>47</v>
      </c>
      <c r="BB24">
        <v>172906</v>
      </c>
      <c r="BC24">
        <v>1610</v>
      </c>
      <c r="BD24">
        <v>207663</v>
      </c>
      <c r="BE24">
        <v>9763532</v>
      </c>
      <c r="BF24">
        <v>7655</v>
      </c>
      <c r="BG24">
        <v>334271</v>
      </c>
      <c r="BH24">
        <v>476390</v>
      </c>
      <c r="BI24">
        <v>8985</v>
      </c>
      <c r="BJ24">
        <v>16328</v>
      </c>
      <c r="BK24">
        <v>308730</v>
      </c>
      <c r="BL24">
        <v>3044</v>
      </c>
      <c r="BM24">
        <v>153780</v>
      </c>
      <c r="BN24">
        <v>6426</v>
      </c>
      <c r="BO24">
        <v>15627295</v>
      </c>
      <c r="BP24">
        <v>22024</v>
      </c>
      <c r="BQ24">
        <v>436031</v>
      </c>
      <c r="BR24">
        <v>2096</v>
      </c>
      <c r="BS24">
        <v>630375</v>
      </c>
      <c r="BT24">
        <v>2313</v>
      </c>
      <c r="BU24">
        <v>1965332</v>
      </c>
      <c r="BV24">
        <v>1002</v>
      </c>
      <c r="BW24">
        <v>99557</v>
      </c>
      <c r="BX24">
        <v>121</v>
      </c>
      <c r="BY24">
        <v>1012</v>
      </c>
      <c r="BZ24">
        <v>924</v>
      </c>
      <c r="CA24">
        <v>1147</v>
      </c>
      <c r="CB24">
        <v>1023</v>
      </c>
      <c r="CC24">
        <v>1122</v>
      </c>
      <c r="CD24">
        <v>6504</v>
      </c>
      <c r="CE24">
        <v>678</v>
      </c>
      <c r="CF24">
        <v>6494</v>
      </c>
      <c r="CG24">
        <v>501</v>
      </c>
      <c r="CH24">
        <v>5602</v>
      </c>
      <c r="CI24" t="s">
        <v>73</v>
      </c>
      <c r="CJ24" t="s">
        <v>73</v>
      </c>
      <c r="CK24" t="s">
        <v>73</v>
      </c>
      <c r="CL24" t="s">
        <v>73</v>
      </c>
      <c r="CM24" t="s">
        <v>73</v>
      </c>
      <c r="CN24" t="s">
        <v>73</v>
      </c>
      <c r="CO24" t="s">
        <v>73</v>
      </c>
      <c r="CP24" t="s">
        <v>73</v>
      </c>
      <c r="CQ24" t="s">
        <v>73</v>
      </c>
      <c r="CR24" t="s">
        <v>73</v>
      </c>
      <c r="CS24" t="s">
        <v>73</v>
      </c>
      <c r="CT24" t="s">
        <v>73</v>
      </c>
      <c r="CU24" t="s">
        <v>73</v>
      </c>
      <c r="CV24" t="s">
        <v>73</v>
      </c>
      <c r="CW24" t="s">
        <v>73</v>
      </c>
      <c r="CX24" t="s">
        <v>73</v>
      </c>
      <c r="CY24" t="s">
        <v>73</v>
      </c>
      <c r="CZ24" t="s">
        <v>73</v>
      </c>
      <c r="DA24" t="s">
        <v>73</v>
      </c>
      <c r="DB24" t="s">
        <v>73</v>
      </c>
      <c r="DC24">
        <v>72570</v>
      </c>
      <c r="DD24">
        <v>1691</v>
      </c>
      <c r="DE24">
        <v>93813</v>
      </c>
      <c r="DF24">
        <v>2098</v>
      </c>
      <c r="DG24">
        <v>279118</v>
      </c>
    </row>
    <row r="25" spans="1:111" x14ac:dyDescent="0.4">
      <c r="A25" s="1" t="s">
        <v>38</v>
      </c>
      <c r="B25" s="1" t="s">
        <v>39</v>
      </c>
      <c r="C25">
        <v>271893</v>
      </c>
      <c r="D25">
        <v>68130</v>
      </c>
      <c r="E25">
        <v>663</v>
      </c>
      <c r="F25">
        <v>3</v>
      </c>
      <c r="G25">
        <v>40014</v>
      </c>
      <c r="H25">
        <v>281</v>
      </c>
      <c r="I25">
        <v>10</v>
      </c>
      <c r="J25">
        <v>35400</v>
      </c>
      <c r="K25">
        <v>209</v>
      </c>
      <c r="L25">
        <v>5953</v>
      </c>
      <c r="M25">
        <v>2738</v>
      </c>
      <c r="N25">
        <v>115</v>
      </c>
      <c r="O25">
        <v>1387</v>
      </c>
      <c r="P25">
        <v>8152</v>
      </c>
      <c r="Q25">
        <v>226</v>
      </c>
      <c r="R25">
        <v>2076</v>
      </c>
      <c r="S25">
        <v>122409</v>
      </c>
      <c r="T25">
        <v>2733</v>
      </c>
      <c r="U25">
        <v>225</v>
      </c>
      <c r="V25">
        <v>130302</v>
      </c>
      <c r="W25">
        <v>1042</v>
      </c>
      <c r="X25">
        <v>224</v>
      </c>
      <c r="Y25">
        <v>272922</v>
      </c>
      <c r="Z25">
        <v>1222</v>
      </c>
      <c r="AA25">
        <v>61426</v>
      </c>
      <c r="AB25">
        <v>43436</v>
      </c>
      <c r="AC25">
        <v>209</v>
      </c>
      <c r="AD25">
        <v>67770</v>
      </c>
      <c r="AE25">
        <v>51877</v>
      </c>
      <c r="AF25">
        <v>249</v>
      </c>
      <c r="AG25">
        <v>23638</v>
      </c>
      <c r="AH25">
        <v>18816</v>
      </c>
      <c r="AI25">
        <v>27778</v>
      </c>
      <c r="AJ25">
        <v>898</v>
      </c>
      <c r="AK25">
        <v>30802</v>
      </c>
      <c r="AL25">
        <v>97489</v>
      </c>
      <c r="AM25">
        <v>1638</v>
      </c>
      <c r="AN25">
        <v>296433</v>
      </c>
      <c r="AO25">
        <v>107617</v>
      </c>
      <c r="AP25">
        <v>293213</v>
      </c>
      <c r="AQ25">
        <v>6613</v>
      </c>
      <c r="AR25">
        <v>7034</v>
      </c>
      <c r="AS25">
        <v>150599</v>
      </c>
      <c r="AT25">
        <v>1934</v>
      </c>
      <c r="AU25">
        <v>1422</v>
      </c>
      <c r="AV25">
        <v>74898</v>
      </c>
      <c r="AW25">
        <v>874</v>
      </c>
      <c r="AX25">
        <v>917</v>
      </c>
      <c r="AY25">
        <v>218352</v>
      </c>
      <c r="AZ25">
        <v>2728</v>
      </c>
      <c r="BA25">
        <v>59</v>
      </c>
      <c r="BB25">
        <v>188108</v>
      </c>
      <c r="BC25">
        <v>2421</v>
      </c>
      <c r="BD25">
        <v>227995</v>
      </c>
      <c r="BE25">
        <v>10435408</v>
      </c>
      <c r="BF25">
        <v>8162</v>
      </c>
      <c r="BG25">
        <v>310935</v>
      </c>
      <c r="BH25">
        <v>491810</v>
      </c>
      <c r="BI25">
        <v>9338</v>
      </c>
      <c r="BJ25">
        <v>14789</v>
      </c>
      <c r="BK25">
        <v>292331</v>
      </c>
      <c r="BL25">
        <v>2011</v>
      </c>
      <c r="BM25">
        <v>155904</v>
      </c>
      <c r="BN25">
        <v>6586</v>
      </c>
      <c r="BO25">
        <v>15942997</v>
      </c>
      <c r="BP25">
        <v>22253</v>
      </c>
      <c r="BQ25">
        <v>395619</v>
      </c>
      <c r="BR25">
        <v>1969</v>
      </c>
      <c r="BS25">
        <v>534510</v>
      </c>
      <c r="BT25">
        <v>2056</v>
      </c>
      <c r="BU25">
        <v>2934344</v>
      </c>
      <c r="BV25">
        <v>1210</v>
      </c>
      <c r="BW25">
        <v>119686</v>
      </c>
      <c r="BX25">
        <v>134</v>
      </c>
      <c r="BY25">
        <v>1161</v>
      </c>
      <c r="BZ25">
        <v>1012</v>
      </c>
      <c r="CA25">
        <v>1116</v>
      </c>
      <c r="CB25">
        <v>902</v>
      </c>
      <c r="CC25">
        <v>1167</v>
      </c>
      <c r="CD25">
        <v>7065</v>
      </c>
      <c r="CE25">
        <v>723</v>
      </c>
      <c r="CF25">
        <v>7433</v>
      </c>
      <c r="CG25">
        <v>553</v>
      </c>
      <c r="CH25">
        <v>5399</v>
      </c>
      <c r="CI25" t="s">
        <v>73</v>
      </c>
      <c r="CJ25" t="s">
        <v>73</v>
      </c>
      <c r="CK25" t="s">
        <v>73</v>
      </c>
      <c r="CL25" t="s">
        <v>73</v>
      </c>
      <c r="CM25" t="s">
        <v>73</v>
      </c>
      <c r="CN25" t="s">
        <v>73</v>
      </c>
      <c r="CO25" t="s">
        <v>73</v>
      </c>
      <c r="CP25" t="s">
        <v>73</v>
      </c>
      <c r="CQ25" t="s">
        <v>73</v>
      </c>
      <c r="CR25" t="s">
        <v>73</v>
      </c>
      <c r="CS25" t="s">
        <v>73</v>
      </c>
      <c r="CT25" t="s">
        <v>73</v>
      </c>
      <c r="CU25" t="s">
        <v>73</v>
      </c>
      <c r="CV25" t="s">
        <v>73</v>
      </c>
      <c r="CW25" t="s">
        <v>73</v>
      </c>
      <c r="CX25" t="s">
        <v>73</v>
      </c>
      <c r="CY25" t="s">
        <v>73</v>
      </c>
      <c r="CZ25" t="s">
        <v>73</v>
      </c>
      <c r="DA25" t="s">
        <v>73</v>
      </c>
      <c r="DB25" t="s">
        <v>73</v>
      </c>
      <c r="DC25">
        <v>74835</v>
      </c>
      <c r="DD25">
        <v>1741</v>
      </c>
      <c r="DE25">
        <v>134584</v>
      </c>
      <c r="DF25">
        <v>3303</v>
      </c>
      <c r="DG25">
        <v>261136</v>
      </c>
    </row>
    <row r="26" spans="1:111" x14ac:dyDescent="0.4">
      <c r="A26" s="1" t="s">
        <v>40</v>
      </c>
      <c r="B26" s="1" t="s">
        <v>41</v>
      </c>
      <c r="C26">
        <v>241124</v>
      </c>
      <c r="D26">
        <v>61070</v>
      </c>
      <c r="E26">
        <v>712</v>
      </c>
      <c r="F26">
        <v>5</v>
      </c>
      <c r="G26">
        <v>50229</v>
      </c>
      <c r="H26">
        <v>323</v>
      </c>
      <c r="I26">
        <v>18</v>
      </c>
      <c r="J26">
        <v>1103250</v>
      </c>
      <c r="K26">
        <v>2079</v>
      </c>
      <c r="L26">
        <v>6154</v>
      </c>
      <c r="M26">
        <v>3536</v>
      </c>
      <c r="N26">
        <v>100</v>
      </c>
      <c r="O26">
        <v>1511</v>
      </c>
      <c r="P26">
        <v>8806</v>
      </c>
      <c r="Q26">
        <v>263</v>
      </c>
      <c r="R26">
        <v>1995</v>
      </c>
      <c r="S26">
        <v>124479</v>
      </c>
      <c r="T26">
        <v>2680</v>
      </c>
      <c r="U26">
        <v>231</v>
      </c>
      <c r="V26">
        <v>124322</v>
      </c>
      <c r="W26">
        <v>1189</v>
      </c>
      <c r="X26">
        <v>247</v>
      </c>
      <c r="Y26">
        <v>307147</v>
      </c>
      <c r="Z26">
        <v>1532</v>
      </c>
      <c r="AA26">
        <v>62539</v>
      </c>
      <c r="AB26">
        <v>43199</v>
      </c>
      <c r="AC26">
        <v>195</v>
      </c>
      <c r="AD26">
        <v>65706</v>
      </c>
      <c r="AE26">
        <v>44078</v>
      </c>
      <c r="AF26">
        <v>258</v>
      </c>
      <c r="AG26">
        <v>20471</v>
      </c>
      <c r="AH26">
        <v>18311</v>
      </c>
      <c r="AI26">
        <v>29916</v>
      </c>
      <c r="AJ26">
        <v>817</v>
      </c>
      <c r="AK26">
        <v>42932</v>
      </c>
      <c r="AL26">
        <v>111395</v>
      </c>
      <c r="AM26">
        <v>1757</v>
      </c>
      <c r="AN26">
        <v>296865</v>
      </c>
      <c r="AO26">
        <v>117245</v>
      </c>
      <c r="AP26">
        <v>317948</v>
      </c>
      <c r="AQ26">
        <v>6895</v>
      </c>
      <c r="AR26">
        <v>7647</v>
      </c>
      <c r="AS26">
        <v>164875</v>
      </c>
      <c r="AT26">
        <v>2130</v>
      </c>
      <c r="AU26">
        <v>1476</v>
      </c>
      <c r="AV26">
        <v>79456</v>
      </c>
      <c r="AW26">
        <v>930</v>
      </c>
      <c r="AX26">
        <v>1107</v>
      </c>
      <c r="AY26">
        <v>266130</v>
      </c>
      <c r="AZ26">
        <v>3511</v>
      </c>
      <c r="BA26">
        <v>65</v>
      </c>
      <c r="BB26">
        <v>217128</v>
      </c>
      <c r="BC26">
        <v>1906</v>
      </c>
      <c r="BD26">
        <v>223462</v>
      </c>
      <c r="BE26">
        <v>10310099</v>
      </c>
      <c r="BF26">
        <v>8804</v>
      </c>
      <c r="BG26">
        <v>326717</v>
      </c>
      <c r="BH26">
        <v>490561</v>
      </c>
      <c r="BI26">
        <v>9605</v>
      </c>
      <c r="BJ26">
        <v>14816</v>
      </c>
      <c r="BK26">
        <v>404926</v>
      </c>
      <c r="BL26">
        <v>3043</v>
      </c>
      <c r="BM26">
        <v>159115</v>
      </c>
      <c r="BN26">
        <v>6669</v>
      </c>
      <c r="BO26">
        <v>16450512</v>
      </c>
      <c r="BP26">
        <v>22874</v>
      </c>
      <c r="BQ26">
        <v>447057</v>
      </c>
      <c r="BR26">
        <v>2069</v>
      </c>
      <c r="BS26">
        <v>549524</v>
      </c>
      <c r="BT26">
        <v>2156</v>
      </c>
      <c r="BU26">
        <v>2433632</v>
      </c>
      <c r="BV26">
        <v>1174</v>
      </c>
      <c r="BW26">
        <v>94616</v>
      </c>
      <c r="BX26">
        <v>120</v>
      </c>
      <c r="BY26">
        <v>1219</v>
      </c>
      <c r="BZ26">
        <v>1125</v>
      </c>
      <c r="CA26">
        <v>1185</v>
      </c>
      <c r="CB26">
        <v>1224</v>
      </c>
      <c r="CC26">
        <v>1201</v>
      </c>
      <c r="CD26">
        <v>7776</v>
      </c>
      <c r="CE26">
        <v>834</v>
      </c>
      <c r="CF26">
        <v>7846</v>
      </c>
      <c r="CG26">
        <v>634</v>
      </c>
      <c r="CH26">
        <v>5459</v>
      </c>
      <c r="CI26" t="s">
        <v>73</v>
      </c>
      <c r="CJ26" t="s">
        <v>73</v>
      </c>
      <c r="CK26" t="s">
        <v>73</v>
      </c>
      <c r="CL26" t="s">
        <v>73</v>
      </c>
      <c r="CM26" t="s">
        <v>73</v>
      </c>
      <c r="CN26" t="s">
        <v>73</v>
      </c>
      <c r="CO26" t="s">
        <v>73</v>
      </c>
      <c r="CP26" t="s">
        <v>73</v>
      </c>
      <c r="CQ26" t="s">
        <v>73</v>
      </c>
      <c r="CR26" t="s">
        <v>73</v>
      </c>
      <c r="CS26" t="s">
        <v>73</v>
      </c>
      <c r="CT26" t="s">
        <v>73</v>
      </c>
      <c r="CU26" t="s">
        <v>73</v>
      </c>
      <c r="CV26" t="s">
        <v>73</v>
      </c>
      <c r="CW26" t="s">
        <v>73</v>
      </c>
      <c r="CX26" t="s">
        <v>73</v>
      </c>
      <c r="CY26" t="s">
        <v>73</v>
      </c>
      <c r="CZ26" t="s">
        <v>73</v>
      </c>
      <c r="DA26" t="s">
        <v>73</v>
      </c>
      <c r="DB26" t="s">
        <v>73</v>
      </c>
      <c r="DC26">
        <v>83900</v>
      </c>
      <c r="DD26">
        <v>1876</v>
      </c>
      <c r="DE26">
        <v>154230</v>
      </c>
      <c r="DF26">
        <v>3443</v>
      </c>
      <c r="DG26">
        <v>232295</v>
      </c>
    </row>
    <row r="27" spans="1:111" x14ac:dyDescent="0.4">
      <c r="A27" s="1" t="s">
        <v>42</v>
      </c>
      <c r="B27" s="1" t="s">
        <v>43</v>
      </c>
      <c r="C27">
        <v>238529</v>
      </c>
      <c r="D27">
        <v>57848</v>
      </c>
      <c r="E27">
        <v>591</v>
      </c>
      <c r="F27">
        <v>0</v>
      </c>
      <c r="G27">
        <v>0</v>
      </c>
      <c r="H27">
        <v>0</v>
      </c>
      <c r="I27">
        <v>16</v>
      </c>
      <c r="J27">
        <v>670125</v>
      </c>
      <c r="K27">
        <v>1189</v>
      </c>
      <c r="L27">
        <v>3129</v>
      </c>
      <c r="M27">
        <v>2958</v>
      </c>
      <c r="N27">
        <v>88</v>
      </c>
      <c r="O27">
        <v>1603</v>
      </c>
      <c r="P27">
        <v>9601</v>
      </c>
      <c r="Q27">
        <v>223</v>
      </c>
      <c r="R27">
        <v>2077</v>
      </c>
      <c r="S27">
        <v>122264</v>
      </c>
      <c r="T27">
        <v>2657</v>
      </c>
      <c r="U27">
        <v>235</v>
      </c>
      <c r="V27">
        <v>136132</v>
      </c>
      <c r="W27">
        <v>1195</v>
      </c>
      <c r="X27">
        <v>254</v>
      </c>
      <c r="Y27">
        <v>280862</v>
      </c>
      <c r="Z27">
        <v>947</v>
      </c>
      <c r="AA27">
        <v>95595</v>
      </c>
      <c r="AB27">
        <v>79514</v>
      </c>
      <c r="AC27">
        <v>251</v>
      </c>
      <c r="AD27">
        <v>83873</v>
      </c>
      <c r="AE27">
        <v>68254</v>
      </c>
      <c r="AF27">
        <v>296</v>
      </c>
      <c r="AG27">
        <v>32193</v>
      </c>
      <c r="AH27">
        <v>26234</v>
      </c>
      <c r="AI27">
        <v>33924</v>
      </c>
      <c r="AJ27">
        <v>1032</v>
      </c>
      <c r="AK27">
        <v>32258</v>
      </c>
      <c r="AL27">
        <v>110907</v>
      </c>
      <c r="AM27">
        <v>1505</v>
      </c>
      <c r="AN27">
        <v>311633</v>
      </c>
      <c r="AO27">
        <v>108626</v>
      </c>
      <c r="AP27">
        <v>289582</v>
      </c>
      <c r="AQ27">
        <v>6079</v>
      </c>
      <c r="AR27">
        <v>7246</v>
      </c>
      <c r="AS27">
        <v>157014</v>
      </c>
      <c r="AT27">
        <v>1913</v>
      </c>
      <c r="AU27">
        <v>1483</v>
      </c>
      <c r="AV27">
        <v>78453</v>
      </c>
      <c r="AW27">
        <v>873</v>
      </c>
      <c r="AX27">
        <v>999</v>
      </c>
      <c r="AY27">
        <v>242463</v>
      </c>
      <c r="AZ27">
        <v>2491</v>
      </c>
      <c r="BA27">
        <v>34</v>
      </c>
      <c r="BB27">
        <v>95509</v>
      </c>
      <c r="BC27">
        <v>759</v>
      </c>
      <c r="BD27">
        <v>201113</v>
      </c>
      <c r="BE27">
        <v>9340533</v>
      </c>
      <c r="BF27">
        <v>7720</v>
      </c>
      <c r="BG27">
        <v>371297</v>
      </c>
      <c r="BH27">
        <v>524027</v>
      </c>
      <c r="BI27">
        <v>9633</v>
      </c>
      <c r="BJ27">
        <v>16485</v>
      </c>
      <c r="BK27">
        <v>205642</v>
      </c>
      <c r="BL27">
        <v>1729</v>
      </c>
      <c r="BM27">
        <v>163424</v>
      </c>
      <c r="BN27">
        <v>6413</v>
      </c>
      <c r="BO27">
        <v>15374219</v>
      </c>
      <c r="BP27">
        <v>22801</v>
      </c>
      <c r="BQ27">
        <v>416418</v>
      </c>
      <c r="BR27">
        <v>2065</v>
      </c>
      <c r="BS27">
        <v>571028</v>
      </c>
      <c r="BT27">
        <v>2213</v>
      </c>
      <c r="BU27">
        <v>2739381</v>
      </c>
      <c r="BV27">
        <v>1205</v>
      </c>
      <c r="BW27">
        <v>114698</v>
      </c>
      <c r="BX27">
        <v>135</v>
      </c>
      <c r="BY27">
        <v>1168</v>
      </c>
      <c r="BZ27">
        <v>973</v>
      </c>
      <c r="CA27">
        <v>1105</v>
      </c>
      <c r="CB27">
        <v>913</v>
      </c>
      <c r="CC27">
        <v>1264</v>
      </c>
      <c r="CD27">
        <v>7518</v>
      </c>
      <c r="CE27">
        <v>784</v>
      </c>
      <c r="CF27">
        <v>7235</v>
      </c>
      <c r="CG27">
        <v>594</v>
      </c>
      <c r="CH27">
        <v>5846</v>
      </c>
      <c r="CI27" t="s">
        <v>73</v>
      </c>
      <c r="CJ27" t="s">
        <v>73</v>
      </c>
      <c r="CK27" t="s">
        <v>73</v>
      </c>
      <c r="CL27" t="s">
        <v>73</v>
      </c>
      <c r="CM27" t="s">
        <v>73</v>
      </c>
      <c r="CN27" t="s">
        <v>73</v>
      </c>
      <c r="CO27" t="s">
        <v>73</v>
      </c>
      <c r="CP27" t="s">
        <v>73</v>
      </c>
      <c r="CQ27" t="s">
        <v>73</v>
      </c>
      <c r="CR27" t="s">
        <v>73</v>
      </c>
      <c r="CS27" t="s">
        <v>73</v>
      </c>
      <c r="CT27" t="s">
        <v>73</v>
      </c>
      <c r="CU27" t="s">
        <v>73</v>
      </c>
      <c r="CV27" t="s">
        <v>73</v>
      </c>
      <c r="CW27" t="s">
        <v>73</v>
      </c>
      <c r="CX27" t="s">
        <v>73</v>
      </c>
      <c r="CY27" t="s">
        <v>73</v>
      </c>
      <c r="CZ27" t="s">
        <v>73</v>
      </c>
      <c r="DA27" t="s">
        <v>73</v>
      </c>
      <c r="DB27" t="s">
        <v>73</v>
      </c>
      <c r="DC27">
        <v>74624</v>
      </c>
      <c r="DD27">
        <v>1748</v>
      </c>
      <c r="DE27">
        <v>120454</v>
      </c>
      <c r="DF27">
        <v>2967</v>
      </c>
      <c r="DG27">
        <v>251524</v>
      </c>
    </row>
    <row r="28" spans="1:111" x14ac:dyDescent="0.4">
      <c r="A28" s="1" t="s">
        <v>44</v>
      </c>
      <c r="B28" s="1" t="s">
        <v>45</v>
      </c>
      <c r="C28">
        <v>259435</v>
      </c>
      <c r="D28">
        <v>63306</v>
      </c>
      <c r="E28">
        <v>656</v>
      </c>
      <c r="F28">
        <v>2</v>
      </c>
      <c r="G28">
        <v>25958</v>
      </c>
      <c r="H28">
        <v>135</v>
      </c>
      <c r="I28">
        <v>19</v>
      </c>
      <c r="J28">
        <v>192048</v>
      </c>
      <c r="K28">
        <v>922</v>
      </c>
      <c r="L28">
        <v>2298</v>
      </c>
      <c r="M28">
        <v>2886</v>
      </c>
      <c r="N28">
        <v>87</v>
      </c>
      <c r="O28">
        <v>2362</v>
      </c>
      <c r="P28">
        <v>14242</v>
      </c>
      <c r="Q28">
        <v>319</v>
      </c>
      <c r="R28">
        <v>1760</v>
      </c>
      <c r="S28">
        <v>101297</v>
      </c>
      <c r="T28">
        <v>2376</v>
      </c>
      <c r="U28">
        <v>224</v>
      </c>
      <c r="V28">
        <v>134847</v>
      </c>
      <c r="W28">
        <v>1145</v>
      </c>
      <c r="X28">
        <v>239</v>
      </c>
      <c r="Y28">
        <v>242018</v>
      </c>
      <c r="Z28">
        <v>942</v>
      </c>
      <c r="AA28">
        <v>79671</v>
      </c>
      <c r="AB28">
        <v>60322</v>
      </c>
      <c r="AC28">
        <v>253</v>
      </c>
      <c r="AD28">
        <v>73474</v>
      </c>
      <c r="AE28">
        <v>55299</v>
      </c>
      <c r="AF28">
        <v>280</v>
      </c>
      <c r="AG28">
        <v>38390</v>
      </c>
      <c r="AH28">
        <v>23668</v>
      </c>
      <c r="AI28">
        <v>28211</v>
      </c>
      <c r="AJ28">
        <v>898</v>
      </c>
      <c r="AK28">
        <v>32910</v>
      </c>
      <c r="AL28">
        <v>95642</v>
      </c>
      <c r="AM28">
        <v>1600</v>
      </c>
      <c r="AN28">
        <v>323742</v>
      </c>
      <c r="AO28">
        <v>111762</v>
      </c>
      <c r="AP28">
        <v>305409</v>
      </c>
      <c r="AQ28">
        <v>6063</v>
      </c>
      <c r="AR28">
        <v>7115</v>
      </c>
      <c r="AS28">
        <v>149068</v>
      </c>
      <c r="AT28">
        <v>1957</v>
      </c>
      <c r="AU28">
        <v>1397</v>
      </c>
      <c r="AV28">
        <v>73413</v>
      </c>
      <c r="AW28">
        <v>853</v>
      </c>
      <c r="AX28">
        <v>925</v>
      </c>
      <c r="AY28">
        <v>243090</v>
      </c>
      <c r="AZ28">
        <v>2757</v>
      </c>
      <c r="BA28">
        <v>42</v>
      </c>
      <c r="BB28">
        <v>182888</v>
      </c>
      <c r="BC28">
        <v>1437</v>
      </c>
      <c r="BD28">
        <v>185055</v>
      </c>
      <c r="BE28">
        <v>8306912</v>
      </c>
      <c r="BF28">
        <v>6481</v>
      </c>
      <c r="BG28">
        <v>325361</v>
      </c>
      <c r="BH28">
        <v>478428</v>
      </c>
      <c r="BI28">
        <v>9514</v>
      </c>
      <c r="BJ28">
        <v>12467</v>
      </c>
      <c r="BK28">
        <v>192920</v>
      </c>
      <c r="BL28">
        <v>1998</v>
      </c>
      <c r="BM28">
        <v>166219</v>
      </c>
      <c r="BN28">
        <v>6586</v>
      </c>
      <c r="BO28">
        <v>15533256</v>
      </c>
      <c r="BP28">
        <v>25363</v>
      </c>
      <c r="BQ28">
        <v>398409</v>
      </c>
      <c r="BR28">
        <v>2047</v>
      </c>
      <c r="BS28">
        <v>495015</v>
      </c>
      <c r="BT28">
        <v>2157</v>
      </c>
      <c r="BU28">
        <v>2212638</v>
      </c>
      <c r="BV28">
        <v>1114</v>
      </c>
      <c r="BW28">
        <v>112782</v>
      </c>
      <c r="BX28">
        <v>125</v>
      </c>
      <c r="BY28">
        <v>1077</v>
      </c>
      <c r="BZ28">
        <v>913</v>
      </c>
      <c r="CA28">
        <v>965</v>
      </c>
      <c r="CB28">
        <v>855</v>
      </c>
      <c r="CC28">
        <v>1376</v>
      </c>
      <c r="CD28">
        <v>7041</v>
      </c>
      <c r="CE28">
        <v>723</v>
      </c>
      <c r="CF28">
        <v>7596</v>
      </c>
      <c r="CG28">
        <v>574</v>
      </c>
      <c r="CH28">
        <v>5597</v>
      </c>
      <c r="CI28" t="s">
        <v>73</v>
      </c>
      <c r="CJ28" t="s">
        <v>73</v>
      </c>
      <c r="CK28" t="s">
        <v>73</v>
      </c>
      <c r="CL28" t="s">
        <v>73</v>
      </c>
      <c r="CM28" t="s">
        <v>73</v>
      </c>
      <c r="CN28" t="s">
        <v>73</v>
      </c>
      <c r="CO28" t="s">
        <v>73</v>
      </c>
      <c r="CP28" t="s">
        <v>73</v>
      </c>
      <c r="CQ28" t="s">
        <v>73</v>
      </c>
      <c r="CR28" t="s">
        <v>73</v>
      </c>
      <c r="CS28" t="s">
        <v>73</v>
      </c>
      <c r="CT28" t="s">
        <v>73</v>
      </c>
      <c r="CU28" t="s">
        <v>73</v>
      </c>
      <c r="CV28" t="s">
        <v>73</v>
      </c>
      <c r="CW28" t="s">
        <v>73</v>
      </c>
      <c r="CX28" t="s">
        <v>73</v>
      </c>
      <c r="CY28" t="s">
        <v>73</v>
      </c>
      <c r="CZ28" t="s">
        <v>73</v>
      </c>
      <c r="DA28" t="s">
        <v>73</v>
      </c>
      <c r="DB28" t="s">
        <v>73</v>
      </c>
      <c r="DC28">
        <v>70357</v>
      </c>
      <c r="DD28">
        <v>1641</v>
      </c>
      <c r="DE28">
        <v>113278</v>
      </c>
      <c r="DF28">
        <v>2765</v>
      </c>
      <c r="DG28">
        <v>261564</v>
      </c>
    </row>
    <row r="29" spans="1:111" x14ac:dyDescent="0.4">
      <c r="A29" s="1" t="s">
        <v>46</v>
      </c>
      <c r="B29" s="1" t="s">
        <v>47</v>
      </c>
      <c r="C29">
        <v>258140</v>
      </c>
      <c r="D29">
        <v>64183</v>
      </c>
      <c r="E29">
        <v>691</v>
      </c>
      <c r="F29">
        <v>6</v>
      </c>
      <c r="G29">
        <v>99457</v>
      </c>
      <c r="H29">
        <v>749</v>
      </c>
      <c r="I29">
        <v>12</v>
      </c>
      <c r="J29">
        <v>518398</v>
      </c>
      <c r="K29">
        <v>987</v>
      </c>
      <c r="L29">
        <v>4225</v>
      </c>
      <c r="M29">
        <v>3086</v>
      </c>
      <c r="N29">
        <v>87</v>
      </c>
      <c r="O29">
        <v>2827</v>
      </c>
      <c r="P29">
        <v>17227</v>
      </c>
      <c r="Q29">
        <v>427</v>
      </c>
      <c r="R29">
        <v>1799</v>
      </c>
      <c r="S29">
        <v>108924</v>
      </c>
      <c r="T29">
        <v>2628</v>
      </c>
      <c r="U29">
        <v>220</v>
      </c>
      <c r="V29">
        <v>139510</v>
      </c>
      <c r="W29">
        <v>1316</v>
      </c>
      <c r="X29">
        <v>244</v>
      </c>
      <c r="Y29">
        <v>297797</v>
      </c>
      <c r="Z29">
        <v>1652</v>
      </c>
      <c r="AA29">
        <v>82766</v>
      </c>
      <c r="AB29">
        <v>59976</v>
      </c>
      <c r="AC29">
        <v>243</v>
      </c>
      <c r="AD29">
        <v>71760</v>
      </c>
      <c r="AE29">
        <v>48620</v>
      </c>
      <c r="AF29">
        <v>256</v>
      </c>
      <c r="AG29">
        <v>49396</v>
      </c>
      <c r="AH29">
        <v>24300</v>
      </c>
      <c r="AI29">
        <v>33566</v>
      </c>
      <c r="AJ29">
        <v>963</v>
      </c>
      <c r="AK29">
        <v>33728</v>
      </c>
      <c r="AL29">
        <v>102415</v>
      </c>
      <c r="AM29">
        <v>1667</v>
      </c>
      <c r="AN29">
        <v>326787</v>
      </c>
      <c r="AO29">
        <v>127361</v>
      </c>
      <c r="AP29">
        <v>342098</v>
      </c>
      <c r="AQ29">
        <v>6994</v>
      </c>
      <c r="AR29">
        <v>7936</v>
      </c>
      <c r="AS29">
        <v>165920</v>
      </c>
      <c r="AT29">
        <v>2105</v>
      </c>
      <c r="AU29">
        <v>1470</v>
      </c>
      <c r="AV29">
        <v>78943</v>
      </c>
      <c r="AW29">
        <v>946</v>
      </c>
      <c r="AX29">
        <v>994</v>
      </c>
      <c r="AY29">
        <v>256235</v>
      </c>
      <c r="AZ29">
        <v>3062</v>
      </c>
      <c r="BA29">
        <v>62</v>
      </c>
      <c r="BB29">
        <v>181142</v>
      </c>
      <c r="BC29">
        <v>1668</v>
      </c>
      <c r="BD29">
        <v>226639</v>
      </c>
      <c r="BE29">
        <v>9619306</v>
      </c>
      <c r="BF29">
        <v>14575</v>
      </c>
      <c r="BG29">
        <v>360996</v>
      </c>
      <c r="BH29">
        <v>538872</v>
      </c>
      <c r="BI29">
        <v>10842</v>
      </c>
      <c r="BJ29">
        <v>15352</v>
      </c>
      <c r="BK29">
        <v>288936</v>
      </c>
      <c r="BL29">
        <v>2328</v>
      </c>
      <c r="BM29">
        <v>189787</v>
      </c>
      <c r="BN29">
        <v>7268</v>
      </c>
      <c r="BO29">
        <v>17186688</v>
      </c>
      <c r="BP29">
        <v>28553</v>
      </c>
      <c r="BQ29">
        <v>464233</v>
      </c>
      <c r="BR29">
        <v>2243</v>
      </c>
      <c r="BS29">
        <v>603159</v>
      </c>
      <c r="BT29">
        <v>2284</v>
      </c>
      <c r="BU29">
        <v>2728217</v>
      </c>
      <c r="BV29">
        <v>1174</v>
      </c>
      <c r="BW29">
        <v>129139</v>
      </c>
      <c r="BX29">
        <v>144</v>
      </c>
      <c r="BY29">
        <v>1290</v>
      </c>
      <c r="BZ29">
        <v>1066</v>
      </c>
      <c r="CA29">
        <v>1059</v>
      </c>
      <c r="CB29">
        <v>887</v>
      </c>
      <c r="CC29">
        <v>1607</v>
      </c>
      <c r="CD29">
        <v>7692</v>
      </c>
      <c r="CE29">
        <v>720</v>
      </c>
      <c r="CF29">
        <v>7652</v>
      </c>
      <c r="CG29">
        <v>556</v>
      </c>
      <c r="CH29">
        <v>5431</v>
      </c>
      <c r="CI29" t="s">
        <v>73</v>
      </c>
      <c r="CJ29" t="s">
        <v>73</v>
      </c>
      <c r="CK29" t="s">
        <v>73</v>
      </c>
      <c r="CL29" t="s">
        <v>73</v>
      </c>
      <c r="CM29" t="s">
        <v>73</v>
      </c>
      <c r="CN29" t="s">
        <v>73</v>
      </c>
      <c r="CO29" t="s">
        <v>73</v>
      </c>
      <c r="CP29" t="s">
        <v>73</v>
      </c>
      <c r="CQ29" t="s">
        <v>73</v>
      </c>
      <c r="CR29" t="s">
        <v>73</v>
      </c>
      <c r="CS29" t="s">
        <v>73</v>
      </c>
      <c r="CT29" t="s">
        <v>73</v>
      </c>
      <c r="CU29" t="s">
        <v>73</v>
      </c>
      <c r="CV29" t="s">
        <v>73</v>
      </c>
      <c r="CW29" t="s">
        <v>73</v>
      </c>
      <c r="CX29" t="s">
        <v>73</v>
      </c>
      <c r="CY29" t="s">
        <v>73</v>
      </c>
      <c r="CZ29" t="s">
        <v>73</v>
      </c>
      <c r="DA29" t="s">
        <v>73</v>
      </c>
      <c r="DB29" t="s">
        <v>73</v>
      </c>
      <c r="DC29">
        <v>69638</v>
      </c>
      <c r="DD29">
        <v>1609</v>
      </c>
      <c r="DE29">
        <v>136493</v>
      </c>
      <c r="DF29">
        <v>3128</v>
      </c>
      <c r="DG29">
        <v>245414</v>
      </c>
    </row>
    <row r="30" spans="1:111" x14ac:dyDescent="0.4">
      <c r="A30" s="1" t="s">
        <v>48</v>
      </c>
      <c r="B30" s="1" t="s">
        <v>49</v>
      </c>
      <c r="C30">
        <v>314920</v>
      </c>
      <c r="D30">
        <v>78514</v>
      </c>
      <c r="E30">
        <v>827</v>
      </c>
      <c r="F30">
        <v>9</v>
      </c>
      <c r="G30">
        <v>98547</v>
      </c>
      <c r="H30">
        <v>670</v>
      </c>
      <c r="I30">
        <v>14</v>
      </c>
      <c r="J30">
        <v>22125</v>
      </c>
      <c r="K30">
        <v>91</v>
      </c>
      <c r="L30">
        <v>5423</v>
      </c>
      <c r="M30">
        <v>3697</v>
      </c>
      <c r="N30">
        <v>105</v>
      </c>
      <c r="O30">
        <v>2975</v>
      </c>
      <c r="P30">
        <v>17997</v>
      </c>
      <c r="Q30">
        <v>456</v>
      </c>
      <c r="R30">
        <v>1852</v>
      </c>
      <c r="S30">
        <v>115128</v>
      </c>
      <c r="T30">
        <v>2332</v>
      </c>
      <c r="U30">
        <v>228</v>
      </c>
      <c r="V30">
        <v>124493</v>
      </c>
      <c r="W30">
        <v>1337</v>
      </c>
      <c r="X30">
        <v>263</v>
      </c>
      <c r="Y30">
        <v>279609</v>
      </c>
      <c r="Z30">
        <v>921</v>
      </c>
      <c r="AA30">
        <v>74337</v>
      </c>
      <c r="AB30">
        <v>50857</v>
      </c>
      <c r="AC30">
        <v>223</v>
      </c>
      <c r="AD30">
        <v>85541</v>
      </c>
      <c r="AE30">
        <v>60919</v>
      </c>
      <c r="AF30">
        <v>288</v>
      </c>
      <c r="AG30">
        <v>38192</v>
      </c>
      <c r="AH30">
        <v>24348</v>
      </c>
      <c r="AI30">
        <v>30453</v>
      </c>
      <c r="AJ30">
        <v>938</v>
      </c>
      <c r="AK30">
        <v>34275</v>
      </c>
      <c r="AL30">
        <v>102449</v>
      </c>
      <c r="AM30">
        <v>1676</v>
      </c>
      <c r="AN30">
        <v>329001</v>
      </c>
      <c r="AO30">
        <v>126501</v>
      </c>
      <c r="AP30">
        <v>340353</v>
      </c>
      <c r="AQ30">
        <v>7329</v>
      </c>
      <c r="AR30">
        <v>7900</v>
      </c>
      <c r="AS30">
        <v>166328</v>
      </c>
      <c r="AT30">
        <v>2048</v>
      </c>
      <c r="AU30">
        <v>1623</v>
      </c>
      <c r="AV30">
        <v>85359</v>
      </c>
      <c r="AW30">
        <v>988</v>
      </c>
      <c r="AX30">
        <v>1073</v>
      </c>
      <c r="AY30">
        <v>257698</v>
      </c>
      <c r="AZ30">
        <v>3242</v>
      </c>
      <c r="BA30">
        <v>64</v>
      </c>
      <c r="BB30">
        <v>163964</v>
      </c>
      <c r="BC30">
        <v>1451</v>
      </c>
      <c r="BD30">
        <v>251881</v>
      </c>
      <c r="BE30">
        <v>11151611</v>
      </c>
      <c r="BF30">
        <v>8775</v>
      </c>
      <c r="BG30">
        <v>369769</v>
      </c>
      <c r="BH30">
        <v>537102</v>
      </c>
      <c r="BI30">
        <v>10892</v>
      </c>
      <c r="BJ30">
        <v>15063</v>
      </c>
      <c r="BK30">
        <v>251726</v>
      </c>
      <c r="BL30">
        <v>2023</v>
      </c>
      <c r="BM30">
        <v>181504</v>
      </c>
      <c r="BN30">
        <v>6907</v>
      </c>
      <c r="BO30">
        <v>18197463</v>
      </c>
      <c r="BP30">
        <v>31080</v>
      </c>
      <c r="BQ30">
        <v>457750</v>
      </c>
      <c r="BR30">
        <v>2295</v>
      </c>
      <c r="BS30">
        <v>623281</v>
      </c>
      <c r="BT30">
        <v>2442</v>
      </c>
      <c r="BU30">
        <v>2536757</v>
      </c>
      <c r="BV30">
        <v>1150</v>
      </c>
      <c r="BW30">
        <v>132237</v>
      </c>
      <c r="BX30">
        <v>149</v>
      </c>
      <c r="BY30">
        <v>1306</v>
      </c>
      <c r="BZ30">
        <v>1217</v>
      </c>
      <c r="CA30">
        <v>1309</v>
      </c>
      <c r="CB30">
        <v>1209</v>
      </c>
      <c r="CC30">
        <v>1604</v>
      </c>
      <c r="CD30">
        <v>7973</v>
      </c>
      <c r="CE30">
        <v>816</v>
      </c>
      <c r="CF30">
        <v>7741</v>
      </c>
      <c r="CG30">
        <v>624</v>
      </c>
      <c r="CH30">
        <v>5524</v>
      </c>
      <c r="CI30" t="s">
        <v>73</v>
      </c>
      <c r="CJ30" t="s">
        <v>73</v>
      </c>
      <c r="CK30" t="s">
        <v>73</v>
      </c>
      <c r="CL30" t="s">
        <v>73</v>
      </c>
      <c r="CM30" t="s">
        <v>73</v>
      </c>
      <c r="CN30" t="s">
        <v>73</v>
      </c>
      <c r="CO30" t="s">
        <v>73</v>
      </c>
      <c r="CP30" t="s">
        <v>73</v>
      </c>
      <c r="CQ30" t="s">
        <v>73</v>
      </c>
      <c r="CR30" t="s">
        <v>73</v>
      </c>
      <c r="CS30" t="s">
        <v>73</v>
      </c>
      <c r="CT30" t="s">
        <v>73</v>
      </c>
      <c r="CU30" t="s">
        <v>73</v>
      </c>
      <c r="CV30" t="s">
        <v>73</v>
      </c>
      <c r="CW30" t="s">
        <v>73</v>
      </c>
      <c r="CX30" t="s">
        <v>73</v>
      </c>
      <c r="CY30" t="s">
        <v>73</v>
      </c>
      <c r="CZ30" t="s">
        <v>73</v>
      </c>
      <c r="DA30" t="s">
        <v>73</v>
      </c>
      <c r="DB30" t="s">
        <v>73</v>
      </c>
      <c r="DC30">
        <v>69350</v>
      </c>
      <c r="DD30">
        <v>1628</v>
      </c>
      <c r="DE30">
        <v>120650</v>
      </c>
      <c r="DF30">
        <v>3050</v>
      </c>
      <c r="DG30">
        <v>259850</v>
      </c>
    </row>
    <row r="31" spans="1:111" x14ac:dyDescent="0.4">
      <c r="A31" s="1" t="s">
        <v>50</v>
      </c>
      <c r="B31" s="1" t="s">
        <v>51</v>
      </c>
      <c r="C31">
        <v>236899</v>
      </c>
      <c r="D31">
        <v>60969</v>
      </c>
      <c r="E31">
        <v>673</v>
      </c>
      <c r="F31">
        <v>3</v>
      </c>
      <c r="G31">
        <v>70879</v>
      </c>
      <c r="H31">
        <v>278</v>
      </c>
      <c r="I31">
        <v>13</v>
      </c>
      <c r="J31">
        <v>534100</v>
      </c>
      <c r="K31">
        <v>1247</v>
      </c>
      <c r="L31">
        <v>3163</v>
      </c>
      <c r="M31">
        <v>2611</v>
      </c>
      <c r="N31">
        <v>80</v>
      </c>
      <c r="O31">
        <v>2267</v>
      </c>
      <c r="P31">
        <v>13697</v>
      </c>
      <c r="Q31">
        <v>382</v>
      </c>
      <c r="R31">
        <v>1301</v>
      </c>
      <c r="S31">
        <v>84408</v>
      </c>
      <c r="T31">
        <v>1939</v>
      </c>
      <c r="U31">
        <v>204</v>
      </c>
      <c r="V31">
        <v>88966</v>
      </c>
      <c r="W31">
        <v>893</v>
      </c>
      <c r="X31">
        <v>184</v>
      </c>
      <c r="Y31">
        <v>208192</v>
      </c>
      <c r="Z31">
        <v>1077</v>
      </c>
      <c r="AA31">
        <v>57306</v>
      </c>
      <c r="AB31">
        <v>43197</v>
      </c>
      <c r="AC31">
        <v>205</v>
      </c>
      <c r="AD31">
        <v>60244</v>
      </c>
      <c r="AE31">
        <v>46122</v>
      </c>
      <c r="AF31">
        <v>238</v>
      </c>
      <c r="AG31">
        <v>35254</v>
      </c>
      <c r="AH31">
        <v>24175</v>
      </c>
      <c r="AI31">
        <v>25591</v>
      </c>
      <c r="AJ31">
        <v>882</v>
      </c>
      <c r="AK31">
        <v>29841</v>
      </c>
      <c r="AL31">
        <v>89204</v>
      </c>
      <c r="AM31">
        <v>1532</v>
      </c>
      <c r="AN31">
        <v>331994</v>
      </c>
      <c r="AO31">
        <v>99722</v>
      </c>
      <c r="AP31">
        <v>261123</v>
      </c>
      <c r="AQ31">
        <v>5518</v>
      </c>
      <c r="AR31">
        <v>7510</v>
      </c>
      <c r="AS31">
        <v>159539</v>
      </c>
      <c r="AT31">
        <v>1962</v>
      </c>
      <c r="AU31">
        <v>1448</v>
      </c>
      <c r="AV31">
        <v>74881</v>
      </c>
      <c r="AW31">
        <v>896</v>
      </c>
      <c r="AX31">
        <v>795</v>
      </c>
      <c r="AY31">
        <v>201080</v>
      </c>
      <c r="AZ31">
        <v>2670</v>
      </c>
      <c r="BA31">
        <v>43</v>
      </c>
      <c r="BB31">
        <v>105900</v>
      </c>
      <c r="BC31">
        <v>1154</v>
      </c>
      <c r="BD31">
        <v>153648</v>
      </c>
      <c r="BE31">
        <v>6468298</v>
      </c>
      <c r="BF31">
        <v>5427</v>
      </c>
      <c r="BG31">
        <v>236807</v>
      </c>
      <c r="BH31">
        <v>383789</v>
      </c>
      <c r="BI31">
        <v>8096</v>
      </c>
      <c r="BJ31">
        <v>11226</v>
      </c>
      <c r="BK31">
        <v>179330</v>
      </c>
      <c r="BL31">
        <v>2074</v>
      </c>
      <c r="BM31">
        <v>154344</v>
      </c>
      <c r="BN31">
        <v>6244</v>
      </c>
      <c r="BO31">
        <v>13454792</v>
      </c>
      <c r="BP31">
        <v>22415</v>
      </c>
      <c r="BQ31">
        <v>384795</v>
      </c>
      <c r="BR31">
        <v>1863</v>
      </c>
      <c r="BS31">
        <v>511247</v>
      </c>
      <c r="BT31">
        <v>1946</v>
      </c>
      <c r="BU31">
        <v>2302978</v>
      </c>
      <c r="BV31">
        <v>1047</v>
      </c>
      <c r="BW31">
        <v>120328</v>
      </c>
      <c r="BX31">
        <v>134</v>
      </c>
      <c r="BY31">
        <v>1014</v>
      </c>
      <c r="BZ31">
        <v>970</v>
      </c>
      <c r="CA31">
        <v>1076</v>
      </c>
      <c r="CB31">
        <v>1008</v>
      </c>
      <c r="CC31">
        <v>1551</v>
      </c>
      <c r="CD31">
        <v>6176</v>
      </c>
      <c r="CE31">
        <v>704</v>
      </c>
      <c r="CF31">
        <v>5908</v>
      </c>
      <c r="CG31">
        <v>490</v>
      </c>
      <c r="CH31">
        <v>5631</v>
      </c>
      <c r="CI31" t="s">
        <v>73</v>
      </c>
      <c r="CJ31" t="s">
        <v>73</v>
      </c>
      <c r="CK31" t="s">
        <v>73</v>
      </c>
      <c r="CL31" t="s">
        <v>73</v>
      </c>
      <c r="CM31" t="s">
        <v>73</v>
      </c>
      <c r="CN31" t="s">
        <v>73</v>
      </c>
      <c r="CO31" t="s">
        <v>73</v>
      </c>
      <c r="CP31" t="s">
        <v>73</v>
      </c>
      <c r="CQ31" t="s">
        <v>73</v>
      </c>
      <c r="CR31" t="s">
        <v>73</v>
      </c>
      <c r="CS31" t="s">
        <v>73</v>
      </c>
      <c r="CT31" t="s">
        <v>73</v>
      </c>
      <c r="CU31" t="s">
        <v>73</v>
      </c>
      <c r="CV31" t="s">
        <v>73</v>
      </c>
      <c r="CW31" t="s">
        <v>73</v>
      </c>
      <c r="CX31" t="s">
        <v>73</v>
      </c>
      <c r="CY31" t="s">
        <v>73</v>
      </c>
      <c r="CZ31" t="s">
        <v>73</v>
      </c>
      <c r="DA31" t="s">
        <v>73</v>
      </c>
      <c r="DB31" t="s">
        <v>73</v>
      </c>
      <c r="DC31">
        <v>48368</v>
      </c>
      <c r="DD31">
        <v>1208</v>
      </c>
      <c r="DE31">
        <v>104126</v>
      </c>
      <c r="DF31">
        <v>2583</v>
      </c>
      <c r="DG31">
        <v>248495</v>
      </c>
    </row>
    <row r="32" spans="1:111" x14ac:dyDescent="0.4">
      <c r="A32" s="1" t="s">
        <v>52</v>
      </c>
      <c r="B32" s="1" t="s">
        <v>53</v>
      </c>
      <c r="C32">
        <v>268318</v>
      </c>
      <c r="D32">
        <v>66575</v>
      </c>
      <c r="E32">
        <v>800</v>
      </c>
      <c r="F32">
        <v>2</v>
      </c>
      <c r="G32">
        <v>10158</v>
      </c>
      <c r="H32">
        <v>207</v>
      </c>
      <c r="I32">
        <v>13</v>
      </c>
      <c r="J32">
        <v>25500</v>
      </c>
      <c r="K32">
        <v>142</v>
      </c>
      <c r="L32">
        <v>4133</v>
      </c>
      <c r="M32">
        <v>3321</v>
      </c>
      <c r="N32">
        <v>116</v>
      </c>
      <c r="O32">
        <v>2605</v>
      </c>
      <c r="P32">
        <v>15619</v>
      </c>
      <c r="Q32">
        <v>505</v>
      </c>
      <c r="R32">
        <v>1846</v>
      </c>
      <c r="S32">
        <v>122596</v>
      </c>
      <c r="T32">
        <v>2677</v>
      </c>
      <c r="U32">
        <v>283</v>
      </c>
      <c r="V32">
        <v>155033</v>
      </c>
      <c r="W32">
        <v>1328</v>
      </c>
      <c r="X32">
        <v>249</v>
      </c>
      <c r="Y32">
        <v>256766</v>
      </c>
      <c r="Z32">
        <v>1527</v>
      </c>
      <c r="AA32">
        <v>81443</v>
      </c>
      <c r="AB32">
        <v>59226</v>
      </c>
      <c r="AC32">
        <v>244</v>
      </c>
      <c r="AD32">
        <v>66299</v>
      </c>
      <c r="AE32">
        <v>44309</v>
      </c>
      <c r="AF32">
        <v>242</v>
      </c>
      <c r="AG32">
        <v>50398</v>
      </c>
      <c r="AH32">
        <v>24620</v>
      </c>
      <c r="AI32">
        <v>32219</v>
      </c>
      <c r="AJ32">
        <v>957</v>
      </c>
      <c r="AK32">
        <v>32012</v>
      </c>
      <c r="AL32">
        <v>95442</v>
      </c>
      <c r="AM32">
        <v>1623</v>
      </c>
      <c r="AN32">
        <v>329708</v>
      </c>
      <c r="AO32">
        <v>116334</v>
      </c>
      <c r="AP32">
        <v>315194</v>
      </c>
      <c r="AQ32">
        <v>6763</v>
      </c>
      <c r="AR32">
        <v>9021</v>
      </c>
      <c r="AS32">
        <v>194378</v>
      </c>
      <c r="AT32">
        <v>2286</v>
      </c>
      <c r="AU32">
        <v>1589</v>
      </c>
      <c r="AV32">
        <v>82107</v>
      </c>
      <c r="AW32">
        <v>981</v>
      </c>
      <c r="AX32">
        <v>1048</v>
      </c>
      <c r="AY32">
        <v>270396</v>
      </c>
      <c r="AZ32">
        <v>3280</v>
      </c>
      <c r="BA32">
        <v>64</v>
      </c>
      <c r="BB32">
        <v>166540</v>
      </c>
      <c r="BC32">
        <v>1650</v>
      </c>
      <c r="BD32">
        <v>226304</v>
      </c>
      <c r="BE32">
        <v>9947791</v>
      </c>
      <c r="BF32">
        <v>8269</v>
      </c>
      <c r="BG32">
        <v>289218</v>
      </c>
      <c r="BH32">
        <v>466004</v>
      </c>
      <c r="BI32">
        <v>9527</v>
      </c>
      <c r="BJ32">
        <v>15185</v>
      </c>
      <c r="BK32">
        <v>393270</v>
      </c>
      <c r="BL32">
        <v>4280</v>
      </c>
      <c r="BM32">
        <v>195595</v>
      </c>
      <c r="BN32">
        <v>7755</v>
      </c>
      <c r="BO32">
        <v>17886578</v>
      </c>
      <c r="BP32">
        <v>30234</v>
      </c>
      <c r="BQ32">
        <v>440870</v>
      </c>
      <c r="BR32">
        <v>2121</v>
      </c>
      <c r="BS32">
        <v>608445</v>
      </c>
      <c r="BT32">
        <v>2410</v>
      </c>
      <c r="BU32">
        <v>2656744</v>
      </c>
      <c r="BV32">
        <v>1124</v>
      </c>
      <c r="BW32">
        <v>126874</v>
      </c>
      <c r="BX32">
        <v>148</v>
      </c>
      <c r="BY32">
        <v>1217</v>
      </c>
      <c r="BZ32">
        <v>998</v>
      </c>
      <c r="CA32">
        <v>1133</v>
      </c>
      <c r="CB32">
        <v>918</v>
      </c>
      <c r="CC32">
        <v>1635</v>
      </c>
      <c r="CD32">
        <v>7485</v>
      </c>
      <c r="CE32">
        <v>810</v>
      </c>
      <c r="CF32">
        <v>7686</v>
      </c>
      <c r="CG32">
        <v>630</v>
      </c>
      <c r="CH32">
        <v>5584</v>
      </c>
      <c r="CI32" t="s">
        <v>73</v>
      </c>
      <c r="CJ32" t="s">
        <v>73</v>
      </c>
      <c r="CK32" t="s">
        <v>73</v>
      </c>
      <c r="CL32" t="s">
        <v>73</v>
      </c>
      <c r="CM32" t="s">
        <v>73</v>
      </c>
      <c r="CN32" t="s">
        <v>73</v>
      </c>
      <c r="CO32" t="s">
        <v>73</v>
      </c>
      <c r="CP32" t="s">
        <v>73</v>
      </c>
      <c r="CQ32" t="s">
        <v>73</v>
      </c>
      <c r="CR32" t="s">
        <v>73</v>
      </c>
      <c r="CS32" t="s">
        <v>73</v>
      </c>
      <c r="CT32" t="s">
        <v>73</v>
      </c>
      <c r="CU32" t="s">
        <v>73</v>
      </c>
      <c r="CV32" t="s">
        <v>73</v>
      </c>
      <c r="CW32" t="s">
        <v>73</v>
      </c>
      <c r="CX32" t="s">
        <v>73</v>
      </c>
      <c r="CY32" t="s">
        <v>73</v>
      </c>
      <c r="CZ32" t="s">
        <v>73</v>
      </c>
      <c r="DA32" t="s">
        <v>73</v>
      </c>
      <c r="DB32" t="s">
        <v>73</v>
      </c>
      <c r="DC32">
        <v>62501</v>
      </c>
      <c r="DD32">
        <v>1498</v>
      </c>
      <c r="DE32">
        <v>122806</v>
      </c>
      <c r="DF32">
        <v>2995</v>
      </c>
      <c r="DG32">
        <v>239026</v>
      </c>
    </row>
    <row r="33" spans="1:111" x14ac:dyDescent="0.4">
      <c r="A33" s="1" t="s">
        <v>54</v>
      </c>
      <c r="B33" s="1" t="s">
        <v>55</v>
      </c>
      <c r="C33">
        <v>271264</v>
      </c>
      <c r="D33">
        <v>66386</v>
      </c>
      <c r="E33">
        <v>689</v>
      </c>
      <c r="F33">
        <v>5</v>
      </c>
      <c r="G33">
        <v>17763</v>
      </c>
      <c r="H33">
        <v>236</v>
      </c>
      <c r="I33">
        <v>18</v>
      </c>
      <c r="J33">
        <v>33846</v>
      </c>
      <c r="K33">
        <v>186</v>
      </c>
      <c r="L33">
        <v>7207</v>
      </c>
      <c r="M33">
        <v>4236</v>
      </c>
      <c r="N33">
        <v>186</v>
      </c>
      <c r="O33">
        <v>2654</v>
      </c>
      <c r="P33">
        <v>15760</v>
      </c>
      <c r="Q33">
        <v>471</v>
      </c>
      <c r="R33">
        <v>2206</v>
      </c>
      <c r="S33">
        <v>120236</v>
      </c>
      <c r="T33">
        <v>3013</v>
      </c>
      <c r="U33">
        <v>208</v>
      </c>
      <c r="V33">
        <v>125345</v>
      </c>
      <c r="W33">
        <v>1004</v>
      </c>
      <c r="X33">
        <v>262</v>
      </c>
      <c r="Y33">
        <v>240180</v>
      </c>
      <c r="Z33">
        <v>1033</v>
      </c>
      <c r="AA33">
        <v>93629</v>
      </c>
      <c r="AB33">
        <v>69551</v>
      </c>
      <c r="AC33">
        <v>290</v>
      </c>
      <c r="AD33">
        <v>77913</v>
      </c>
      <c r="AE33">
        <v>54312</v>
      </c>
      <c r="AF33">
        <v>304</v>
      </c>
      <c r="AG33">
        <v>66114</v>
      </c>
      <c r="AH33">
        <v>23926</v>
      </c>
      <c r="AI33">
        <v>25064</v>
      </c>
      <c r="AJ33">
        <v>860</v>
      </c>
      <c r="AK33">
        <v>34922</v>
      </c>
      <c r="AL33">
        <v>106638</v>
      </c>
      <c r="AM33">
        <v>1733</v>
      </c>
      <c r="AN33">
        <v>326821</v>
      </c>
      <c r="AO33">
        <v>118313</v>
      </c>
      <c r="AP33">
        <v>314613</v>
      </c>
      <c r="AQ33">
        <v>6776</v>
      </c>
      <c r="AR33">
        <v>8867</v>
      </c>
      <c r="AS33">
        <v>189014</v>
      </c>
      <c r="AT33">
        <v>2213</v>
      </c>
      <c r="AU33">
        <v>1626</v>
      </c>
      <c r="AV33">
        <v>84633</v>
      </c>
      <c r="AW33">
        <v>938</v>
      </c>
      <c r="AX33">
        <v>990</v>
      </c>
      <c r="AY33">
        <v>226321</v>
      </c>
      <c r="AZ33">
        <v>2726</v>
      </c>
      <c r="BA33">
        <v>27</v>
      </c>
      <c r="BB33">
        <v>72580</v>
      </c>
      <c r="BC33">
        <v>774</v>
      </c>
      <c r="BD33">
        <v>214178</v>
      </c>
      <c r="BE33">
        <v>10298275</v>
      </c>
      <c r="BF33">
        <v>8055</v>
      </c>
      <c r="BG33">
        <v>340026</v>
      </c>
      <c r="BH33">
        <v>507620</v>
      </c>
      <c r="BI33">
        <v>10668</v>
      </c>
      <c r="BJ33">
        <v>14533</v>
      </c>
      <c r="BK33">
        <v>170118</v>
      </c>
      <c r="BL33">
        <v>1566</v>
      </c>
      <c r="BM33">
        <v>204976</v>
      </c>
      <c r="BN33">
        <v>8130</v>
      </c>
      <c r="BO33">
        <v>18437303</v>
      </c>
      <c r="BP33">
        <v>30570</v>
      </c>
      <c r="BQ33">
        <v>479662</v>
      </c>
      <c r="BR33">
        <v>2343</v>
      </c>
      <c r="BS33">
        <v>646157</v>
      </c>
      <c r="BT33">
        <v>2645</v>
      </c>
      <c r="BU33">
        <v>2304220</v>
      </c>
      <c r="BV33">
        <v>1114</v>
      </c>
      <c r="BW33">
        <v>121887</v>
      </c>
      <c r="BX33">
        <v>146</v>
      </c>
      <c r="BY33">
        <v>1244</v>
      </c>
      <c r="BZ33">
        <v>1131</v>
      </c>
      <c r="CA33">
        <v>1176</v>
      </c>
      <c r="CB33">
        <v>1062</v>
      </c>
      <c r="CC33">
        <v>1703</v>
      </c>
      <c r="CD33">
        <v>7382</v>
      </c>
      <c r="CE33">
        <v>756</v>
      </c>
      <c r="CF33">
        <v>7001</v>
      </c>
      <c r="CG33">
        <v>561</v>
      </c>
      <c r="CH33">
        <v>5591</v>
      </c>
      <c r="CI33" t="s">
        <v>73</v>
      </c>
      <c r="CJ33" t="s">
        <v>73</v>
      </c>
      <c r="CK33" t="s">
        <v>73</v>
      </c>
      <c r="CL33" t="s">
        <v>73</v>
      </c>
      <c r="CM33" t="s">
        <v>73</v>
      </c>
      <c r="CN33" t="s">
        <v>73</v>
      </c>
      <c r="CO33" t="s">
        <v>73</v>
      </c>
      <c r="CP33" t="s">
        <v>73</v>
      </c>
      <c r="CQ33" t="s">
        <v>73</v>
      </c>
      <c r="CR33" t="s">
        <v>73</v>
      </c>
      <c r="CS33" t="s">
        <v>73</v>
      </c>
      <c r="CT33" t="s">
        <v>73</v>
      </c>
      <c r="CU33" t="s">
        <v>73</v>
      </c>
      <c r="CV33" t="s">
        <v>73</v>
      </c>
      <c r="CW33" t="s">
        <v>73</v>
      </c>
      <c r="CX33" t="s">
        <v>73</v>
      </c>
      <c r="CY33" t="s">
        <v>73</v>
      </c>
      <c r="CZ33" t="s">
        <v>73</v>
      </c>
      <c r="DA33" t="s">
        <v>73</v>
      </c>
      <c r="DB33" t="s">
        <v>73</v>
      </c>
      <c r="DC33">
        <v>69109</v>
      </c>
      <c r="DD33">
        <v>1625</v>
      </c>
      <c r="DE33">
        <v>116765</v>
      </c>
      <c r="DF33">
        <v>2749</v>
      </c>
      <c r="DG33">
        <v>254694</v>
      </c>
    </row>
    <row r="34" spans="1:111" x14ac:dyDescent="0.4">
      <c r="A34" s="1" t="s">
        <v>56</v>
      </c>
      <c r="B34" s="1" t="s">
        <v>57</v>
      </c>
      <c r="C34">
        <v>246474</v>
      </c>
      <c r="D34">
        <v>61010</v>
      </c>
      <c r="E34">
        <v>627</v>
      </c>
      <c r="F34">
        <v>6</v>
      </c>
      <c r="G34">
        <v>444036</v>
      </c>
      <c r="H34">
        <v>1174</v>
      </c>
      <c r="I34">
        <v>11</v>
      </c>
      <c r="J34">
        <v>582750</v>
      </c>
      <c r="K34">
        <v>1573</v>
      </c>
      <c r="L34">
        <v>1698</v>
      </c>
      <c r="M34">
        <v>3103</v>
      </c>
      <c r="N34">
        <v>156</v>
      </c>
      <c r="O34">
        <v>2351</v>
      </c>
      <c r="P34">
        <v>14177</v>
      </c>
      <c r="Q34">
        <v>427</v>
      </c>
      <c r="R34">
        <v>1935</v>
      </c>
      <c r="S34">
        <v>107729</v>
      </c>
      <c r="T34">
        <v>2724</v>
      </c>
      <c r="U34">
        <v>198</v>
      </c>
      <c r="V34">
        <v>107381</v>
      </c>
      <c r="W34">
        <v>1028</v>
      </c>
      <c r="X34">
        <v>229</v>
      </c>
      <c r="Y34">
        <v>236874</v>
      </c>
      <c r="Z34">
        <v>1060</v>
      </c>
      <c r="AA34">
        <v>59246</v>
      </c>
      <c r="AB34">
        <v>42296</v>
      </c>
      <c r="AC34">
        <v>224</v>
      </c>
      <c r="AD34">
        <v>67433</v>
      </c>
      <c r="AE34">
        <v>50642</v>
      </c>
      <c r="AF34">
        <v>257</v>
      </c>
      <c r="AG34">
        <v>57927</v>
      </c>
      <c r="AH34">
        <v>23633</v>
      </c>
      <c r="AI34">
        <v>20805</v>
      </c>
      <c r="AJ34">
        <v>815</v>
      </c>
      <c r="AK34">
        <v>29500</v>
      </c>
      <c r="AL34">
        <v>84252</v>
      </c>
      <c r="AM34">
        <v>1476</v>
      </c>
      <c r="AN34">
        <v>328049</v>
      </c>
      <c r="AO34">
        <v>109886</v>
      </c>
      <c r="AP34">
        <v>306093</v>
      </c>
      <c r="AQ34">
        <v>6283</v>
      </c>
      <c r="AR34">
        <v>7484</v>
      </c>
      <c r="AS34">
        <v>157924</v>
      </c>
      <c r="AT34">
        <v>1874</v>
      </c>
      <c r="AU34">
        <v>1143</v>
      </c>
      <c r="AV34">
        <v>60977</v>
      </c>
      <c r="AW34">
        <v>777</v>
      </c>
      <c r="AX34">
        <v>871</v>
      </c>
      <c r="AY34">
        <v>214203</v>
      </c>
      <c r="AZ34">
        <v>2528</v>
      </c>
      <c r="BA34">
        <v>25</v>
      </c>
      <c r="BB34">
        <v>58463</v>
      </c>
      <c r="BC34">
        <v>576</v>
      </c>
      <c r="BD34">
        <v>187089</v>
      </c>
      <c r="BE34">
        <v>8088014</v>
      </c>
      <c r="BF34">
        <v>6568</v>
      </c>
      <c r="BG34">
        <v>283618</v>
      </c>
      <c r="BH34">
        <v>435526</v>
      </c>
      <c r="BI34">
        <v>9036</v>
      </c>
      <c r="BJ34">
        <v>12672</v>
      </c>
      <c r="BK34">
        <v>174642</v>
      </c>
      <c r="BL34">
        <v>1643</v>
      </c>
      <c r="BM34">
        <v>180457</v>
      </c>
      <c r="BN34">
        <v>7202</v>
      </c>
      <c r="BO34">
        <v>15596139</v>
      </c>
      <c r="BP34">
        <v>25075</v>
      </c>
      <c r="BQ34">
        <v>420114</v>
      </c>
      <c r="BR34">
        <v>2079</v>
      </c>
      <c r="BS34">
        <v>515018</v>
      </c>
      <c r="BT34">
        <v>2313</v>
      </c>
      <c r="BU34">
        <v>2746092</v>
      </c>
      <c r="BV34">
        <v>1168</v>
      </c>
      <c r="BW34">
        <v>102873</v>
      </c>
      <c r="BX34">
        <v>127</v>
      </c>
      <c r="BY34">
        <v>1118</v>
      </c>
      <c r="BZ34">
        <v>1116</v>
      </c>
      <c r="CA34">
        <v>1072</v>
      </c>
      <c r="CB34">
        <v>1148</v>
      </c>
      <c r="CC34">
        <v>1763</v>
      </c>
      <c r="CD34">
        <v>6113</v>
      </c>
      <c r="CE34">
        <v>698</v>
      </c>
      <c r="CF34">
        <v>6434</v>
      </c>
      <c r="CG34">
        <v>528</v>
      </c>
      <c r="CH34">
        <v>5423</v>
      </c>
      <c r="CI34" t="s">
        <v>73</v>
      </c>
      <c r="CJ34" t="s">
        <v>73</v>
      </c>
      <c r="CK34" t="s">
        <v>73</v>
      </c>
      <c r="CL34" t="s">
        <v>73</v>
      </c>
      <c r="CM34" t="s">
        <v>73</v>
      </c>
      <c r="CN34" t="s">
        <v>73</v>
      </c>
      <c r="CO34" t="s">
        <v>73</v>
      </c>
      <c r="CP34" t="s">
        <v>73</v>
      </c>
      <c r="CQ34" t="s">
        <v>73</v>
      </c>
      <c r="CR34" t="s">
        <v>73</v>
      </c>
      <c r="CS34" t="s">
        <v>73</v>
      </c>
      <c r="CT34" t="s">
        <v>73</v>
      </c>
      <c r="CU34" t="s">
        <v>73</v>
      </c>
      <c r="CV34" t="s">
        <v>73</v>
      </c>
      <c r="CW34" t="s">
        <v>73</v>
      </c>
      <c r="CX34" t="s">
        <v>73</v>
      </c>
      <c r="CY34" t="s">
        <v>73</v>
      </c>
      <c r="CZ34" t="s">
        <v>73</v>
      </c>
      <c r="DA34" t="s">
        <v>73</v>
      </c>
      <c r="DB34" t="s">
        <v>73</v>
      </c>
      <c r="DC34">
        <v>57279</v>
      </c>
      <c r="DD34">
        <v>1370</v>
      </c>
      <c r="DE34">
        <v>118466</v>
      </c>
      <c r="DF34">
        <v>2883</v>
      </c>
      <c r="DG34">
        <v>255428</v>
      </c>
    </row>
    <row r="35" spans="1:111" x14ac:dyDescent="0.4">
      <c r="A35" s="1" t="s">
        <v>58</v>
      </c>
      <c r="B35" s="1" t="s">
        <v>59</v>
      </c>
      <c r="C35">
        <v>273328</v>
      </c>
      <c r="D35">
        <v>67788</v>
      </c>
      <c r="E35">
        <v>652</v>
      </c>
      <c r="F35">
        <v>3</v>
      </c>
      <c r="G35">
        <v>52153</v>
      </c>
      <c r="H35">
        <v>320</v>
      </c>
      <c r="I35">
        <v>19</v>
      </c>
      <c r="J35">
        <v>673878</v>
      </c>
      <c r="K35">
        <v>1796</v>
      </c>
      <c r="L35">
        <v>1500</v>
      </c>
      <c r="M35">
        <v>2992</v>
      </c>
      <c r="N35">
        <v>101</v>
      </c>
      <c r="O35">
        <v>2458</v>
      </c>
      <c r="P35">
        <v>14799</v>
      </c>
      <c r="Q35">
        <v>479</v>
      </c>
      <c r="R35">
        <v>2020</v>
      </c>
      <c r="S35">
        <v>115651</v>
      </c>
      <c r="T35">
        <v>2966</v>
      </c>
      <c r="U35">
        <v>219</v>
      </c>
      <c r="V35">
        <v>105925</v>
      </c>
      <c r="W35">
        <v>1143</v>
      </c>
      <c r="X35">
        <v>262</v>
      </c>
      <c r="Y35">
        <v>270604</v>
      </c>
      <c r="Z35">
        <v>869</v>
      </c>
      <c r="AA35">
        <v>61929</v>
      </c>
      <c r="AB35">
        <v>43848</v>
      </c>
      <c r="AC35">
        <v>213</v>
      </c>
      <c r="AD35">
        <v>73081</v>
      </c>
      <c r="AE35">
        <v>52831</v>
      </c>
      <c r="AF35">
        <v>268</v>
      </c>
      <c r="AG35">
        <v>46775</v>
      </c>
      <c r="AH35">
        <v>23712</v>
      </c>
      <c r="AI35">
        <v>25625</v>
      </c>
      <c r="AJ35">
        <v>869</v>
      </c>
      <c r="AK35">
        <v>31935</v>
      </c>
      <c r="AL35">
        <v>97668</v>
      </c>
      <c r="AM35">
        <v>1643</v>
      </c>
      <c r="AN35">
        <v>331350</v>
      </c>
      <c r="AO35">
        <v>122224</v>
      </c>
      <c r="AP35">
        <v>343366</v>
      </c>
      <c r="AQ35">
        <v>7251</v>
      </c>
      <c r="AR35">
        <v>8215</v>
      </c>
      <c r="AS35">
        <v>164328</v>
      </c>
      <c r="AT35">
        <v>2011</v>
      </c>
      <c r="AU35">
        <v>1323</v>
      </c>
      <c r="AV35">
        <v>71715</v>
      </c>
      <c r="AW35">
        <v>843</v>
      </c>
      <c r="AX35">
        <v>914</v>
      </c>
      <c r="AY35">
        <v>221449</v>
      </c>
      <c r="AZ35">
        <v>2780</v>
      </c>
      <c r="BA35">
        <v>21</v>
      </c>
      <c r="BB35">
        <v>62998</v>
      </c>
      <c r="BC35">
        <v>715</v>
      </c>
      <c r="BD35">
        <v>187620</v>
      </c>
      <c r="BE35">
        <v>8914212</v>
      </c>
      <c r="BF35">
        <v>7364</v>
      </c>
      <c r="BG35">
        <v>319326</v>
      </c>
      <c r="BH35">
        <v>486790</v>
      </c>
      <c r="BI35">
        <v>10195</v>
      </c>
      <c r="BJ35">
        <v>11933</v>
      </c>
      <c r="BK35">
        <v>404521</v>
      </c>
      <c r="BL35">
        <v>3957</v>
      </c>
      <c r="BM35">
        <v>180284</v>
      </c>
      <c r="BN35">
        <v>7271</v>
      </c>
      <c r="BO35">
        <v>15814748</v>
      </c>
      <c r="BP35">
        <v>26387</v>
      </c>
      <c r="BQ35">
        <v>441452</v>
      </c>
      <c r="BR35">
        <v>2232</v>
      </c>
      <c r="BS35">
        <v>572802</v>
      </c>
      <c r="BT35">
        <v>2582</v>
      </c>
      <c r="BU35">
        <v>2326507</v>
      </c>
      <c r="BV35">
        <v>1002</v>
      </c>
      <c r="BW35">
        <v>128030</v>
      </c>
      <c r="BX35">
        <v>148</v>
      </c>
      <c r="BY35">
        <v>1187</v>
      </c>
      <c r="BZ35">
        <v>1140</v>
      </c>
      <c r="CA35">
        <v>1094</v>
      </c>
      <c r="CB35">
        <v>1057</v>
      </c>
      <c r="CC35">
        <v>1855</v>
      </c>
      <c r="CD35">
        <v>7133</v>
      </c>
      <c r="CE35">
        <v>784</v>
      </c>
      <c r="CF35">
        <v>6941</v>
      </c>
      <c r="CG35">
        <v>587</v>
      </c>
      <c r="CH35">
        <v>5779</v>
      </c>
      <c r="CI35" t="s">
        <v>73</v>
      </c>
      <c r="CJ35" t="s">
        <v>73</v>
      </c>
      <c r="CK35" t="s">
        <v>73</v>
      </c>
      <c r="CL35" t="s">
        <v>73</v>
      </c>
      <c r="CM35" t="s">
        <v>73</v>
      </c>
      <c r="CN35" t="s">
        <v>73</v>
      </c>
      <c r="CO35" t="s">
        <v>73</v>
      </c>
      <c r="CP35" t="s">
        <v>73</v>
      </c>
      <c r="CQ35" t="s">
        <v>73</v>
      </c>
      <c r="CR35" t="s">
        <v>73</v>
      </c>
      <c r="CS35" t="s">
        <v>73</v>
      </c>
      <c r="CT35" t="s">
        <v>73</v>
      </c>
      <c r="CU35" t="s">
        <v>73</v>
      </c>
      <c r="CV35" t="s">
        <v>73</v>
      </c>
      <c r="CW35" t="s">
        <v>73</v>
      </c>
      <c r="CX35" t="s">
        <v>73</v>
      </c>
      <c r="CY35" t="s">
        <v>73</v>
      </c>
      <c r="CZ35" t="s">
        <v>73</v>
      </c>
      <c r="DA35" t="s">
        <v>73</v>
      </c>
      <c r="DB35" t="s">
        <v>73</v>
      </c>
      <c r="DC35">
        <v>60342</v>
      </c>
      <c r="DD35">
        <v>1478</v>
      </c>
      <c r="DE35">
        <v>133612</v>
      </c>
      <c r="DF35">
        <v>3289</v>
      </c>
      <c r="DG35">
        <v>243692</v>
      </c>
    </row>
    <row r="36" spans="1:111" x14ac:dyDescent="0.4">
      <c r="A36" s="1" t="s">
        <v>60</v>
      </c>
      <c r="B36" s="1" t="s">
        <v>61</v>
      </c>
      <c r="C36">
        <v>247099</v>
      </c>
      <c r="D36">
        <v>61269</v>
      </c>
      <c r="E36">
        <v>643</v>
      </c>
      <c r="F36">
        <v>1</v>
      </c>
      <c r="G36">
        <v>8278</v>
      </c>
      <c r="H36">
        <v>58</v>
      </c>
      <c r="I36">
        <v>19</v>
      </c>
      <c r="J36">
        <v>602375</v>
      </c>
      <c r="K36">
        <v>1516</v>
      </c>
      <c r="L36">
        <v>7148</v>
      </c>
      <c r="M36">
        <v>3622</v>
      </c>
      <c r="N36">
        <v>111</v>
      </c>
      <c r="O36">
        <v>2854</v>
      </c>
      <c r="P36">
        <v>17075</v>
      </c>
      <c r="Q36">
        <v>474</v>
      </c>
      <c r="R36">
        <v>1979</v>
      </c>
      <c r="S36">
        <v>102951</v>
      </c>
      <c r="T36">
        <v>2648</v>
      </c>
      <c r="U36">
        <v>221</v>
      </c>
      <c r="V36">
        <v>114395</v>
      </c>
      <c r="W36">
        <v>1018</v>
      </c>
      <c r="X36">
        <v>240</v>
      </c>
      <c r="Y36">
        <v>243666</v>
      </c>
      <c r="Z36">
        <v>1259</v>
      </c>
      <c r="AA36">
        <v>56542</v>
      </c>
      <c r="AB36">
        <v>32335</v>
      </c>
      <c r="AC36">
        <v>198</v>
      </c>
      <c r="AD36">
        <v>64057</v>
      </c>
      <c r="AE36">
        <v>40518</v>
      </c>
      <c r="AF36">
        <v>239</v>
      </c>
      <c r="AG36">
        <v>39260</v>
      </c>
      <c r="AH36">
        <v>24139</v>
      </c>
      <c r="AI36">
        <v>23914</v>
      </c>
      <c r="AJ36">
        <v>861</v>
      </c>
      <c r="AK36">
        <v>34265</v>
      </c>
      <c r="AL36">
        <v>104783</v>
      </c>
      <c r="AM36">
        <v>1719</v>
      </c>
      <c r="AN36">
        <v>324727</v>
      </c>
      <c r="AO36">
        <v>113399</v>
      </c>
      <c r="AP36">
        <v>319155</v>
      </c>
      <c r="AQ36">
        <v>6827</v>
      </c>
      <c r="AR36">
        <v>8381</v>
      </c>
      <c r="AS36">
        <v>169733</v>
      </c>
      <c r="AT36">
        <v>2038</v>
      </c>
      <c r="AU36">
        <v>1394</v>
      </c>
      <c r="AV36">
        <v>74311</v>
      </c>
      <c r="AW36">
        <v>884</v>
      </c>
      <c r="AX36">
        <v>884</v>
      </c>
      <c r="AY36">
        <v>234932</v>
      </c>
      <c r="AZ36">
        <v>2824</v>
      </c>
      <c r="BA36">
        <v>25</v>
      </c>
      <c r="BB36">
        <v>71029</v>
      </c>
      <c r="BC36">
        <v>585</v>
      </c>
      <c r="BD36">
        <v>161376</v>
      </c>
      <c r="BE36">
        <v>8226768</v>
      </c>
      <c r="BF36">
        <v>5975</v>
      </c>
      <c r="BG36">
        <v>299481</v>
      </c>
      <c r="BH36">
        <v>456192</v>
      </c>
      <c r="BI36">
        <v>9875</v>
      </c>
      <c r="BJ36">
        <v>11569</v>
      </c>
      <c r="BK36">
        <v>224047</v>
      </c>
      <c r="BL36">
        <v>2374</v>
      </c>
      <c r="BM36">
        <v>184690</v>
      </c>
      <c r="BN36">
        <v>7847</v>
      </c>
      <c r="BO36">
        <v>14757043</v>
      </c>
      <c r="BP36">
        <v>27082</v>
      </c>
      <c r="BQ36">
        <v>440247</v>
      </c>
      <c r="BR36">
        <v>2148</v>
      </c>
      <c r="BS36">
        <v>575765</v>
      </c>
      <c r="BT36">
        <v>2637</v>
      </c>
      <c r="BU36">
        <v>1873687</v>
      </c>
      <c r="BV36">
        <v>862</v>
      </c>
      <c r="BW36">
        <v>112304</v>
      </c>
      <c r="BX36">
        <v>140</v>
      </c>
      <c r="BY36">
        <v>1133</v>
      </c>
      <c r="BZ36">
        <v>1032</v>
      </c>
      <c r="CA36">
        <v>1052</v>
      </c>
      <c r="CB36">
        <v>992</v>
      </c>
      <c r="CC36">
        <v>1935</v>
      </c>
      <c r="CD36">
        <v>6656</v>
      </c>
      <c r="CE36">
        <v>783</v>
      </c>
      <c r="CF36">
        <v>7014</v>
      </c>
      <c r="CG36">
        <v>614</v>
      </c>
      <c r="CH36">
        <v>5390</v>
      </c>
      <c r="CI36" t="s">
        <v>73</v>
      </c>
      <c r="CJ36" t="s">
        <v>73</v>
      </c>
      <c r="CK36" t="s">
        <v>73</v>
      </c>
      <c r="CL36" t="s">
        <v>73</v>
      </c>
      <c r="CM36" t="s">
        <v>73</v>
      </c>
      <c r="CN36" t="s">
        <v>73</v>
      </c>
      <c r="CO36" t="s">
        <v>73</v>
      </c>
      <c r="CP36" t="s">
        <v>73</v>
      </c>
      <c r="CQ36" t="s">
        <v>73</v>
      </c>
      <c r="CR36" t="s">
        <v>73</v>
      </c>
      <c r="CS36" t="s">
        <v>73</v>
      </c>
      <c r="CT36" t="s">
        <v>73</v>
      </c>
      <c r="CU36" t="s">
        <v>73</v>
      </c>
      <c r="CV36" t="s">
        <v>73</v>
      </c>
      <c r="CW36" t="s">
        <v>73</v>
      </c>
      <c r="CX36" t="s">
        <v>73</v>
      </c>
      <c r="CY36" t="s">
        <v>73</v>
      </c>
      <c r="CZ36" t="s">
        <v>73</v>
      </c>
      <c r="DA36" t="s">
        <v>73</v>
      </c>
      <c r="DB36" t="s">
        <v>73</v>
      </c>
      <c r="DC36">
        <v>47331</v>
      </c>
      <c r="DD36">
        <v>1171</v>
      </c>
      <c r="DE36">
        <v>92922</v>
      </c>
      <c r="DF36">
        <v>2439</v>
      </c>
      <c r="DG36">
        <v>247318</v>
      </c>
    </row>
    <row r="37" spans="1:111" x14ac:dyDescent="0.4">
      <c r="A37" s="1" t="s">
        <v>62</v>
      </c>
      <c r="B37" s="1" t="s">
        <v>63</v>
      </c>
      <c r="C37">
        <v>235447</v>
      </c>
      <c r="D37">
        <v>56638</v>
      </c>
      <c r="E37">
        <v>545</v>
      </c>
      <c r="F37">
        <v>3</v>
      </c>
      <c r="G37">
        <v>93325</v>
      </c>
      <c r="H37">
        <v>704</v>
      </c>
      <c r="I37">
        <v>22</v>
      </c>
      <c r="J37">
        <v>1278496</v>
      </c>
      <c r="K37">
        <v>2851</v>
      </c>
      <c r="L37">
        <v>3407</v>
      </c>
      <c r="M37">
        <v>2899</v>
      </c>
      <c r="N37">
        <v>122</v>
      </c>
      <c r="O37">
        <v>3052</v>
      </c>
      <c r="P37">
        <v>18467</v>
      </c>
      <c r="Q37">
        <v>456</v>
      </c>
      <c r="R37">
        <v>1944</v>
      </c>
      <c r="S37">
        <v>100688</v>
      </c>
      <c r="T37">
        <v>2743</v>
      </c>
      <c r="U37">
        <v>218</v>
      </c>
      <c r="V37">
        <v>110268</v>
      </c>
      <c r="W37">
        <v>1024</v>
      </c>
      <c r="X37">
        <v>248</v>
      </c>
      <c r="Y37">
        <v>296665</v>
      </c>
      <c r="Z37">
        <v>2622</v>
      </c>
      <c r="AA37">
        <v>67447</v>
      </c>
      <c r="AB37">
        <v>45733</v>
      </c>
      <c r="AC37">
        <v>210</v>
      </c>
      <c r="AD37">
        <v>76503</v>
      </c>
      <c r="AE37">
        <v>55079</v>
      </c>
      <c r="AF37">
        <v>265</v>
      </c>
      <c r="AG37">
        <v>30198</v>
      </c>
      <c r="AH37">
        <v>24284</v>
      </c>
      <c r="AI37">
        <v>22969</v>
      </c>
      <c r="AJ37">
        <v>853</v>
      </c>
      <c r="AK37">
        <v>33309</v>
      </c>
      <c r="AL37">
        <v>92523</v>
      </c>
      <c r="AM37">
        <v>1605</v>
      </c>
      <c r="AN37">
        <v>322743</v>
      </c>
      <c r="AO37">
        <v>113936</v>
      </c>
      <c r="AP37">
        <v>336995</v>
      </c>
      <c r="AQ37">
        <v>6815</v>
      </c>
      <c r="AR37">
        <v>8229</v>
      </c>
      <c r="AS37">
        <v>164686</v>
      </c>
      <c r="AT37">
        <v>1965</v>
      </c>
      <c r="AU37">
        <v>1366</v>
      </c>
      <c r="AV37">
        <v>73365</v>
      </c>
      <c r="AW37">
        <v>883</v>
      </c>
      <c r="AX37">
        <v>947</v>
      </c>
      <c r="AY37">
        <v>222511</v>
      </c>
      <c r="AZ37">
        <v>2803</v>
      </c>
      <c r="BA37">
        <v>37</v>
      </c>
      <c r="BB37">
        <v>104973</v>
      </c>
      <c r="BC37">
        <v>1021</v>
      </c>
      <c r="BD37">
        <v>194584</v>
      </c>
      <c r="BE37">
        <v>8729550</v>
      </c>
      <c r="BF37">
        <v>7091</v>
      </c>
      <c r="BG37">
        <v>312896</v>
      </c>
      <c r="BH37">
        <v>463016</v>
      </c>
      <c r="BI37">
        <v>10201</v>
      </c>
      <c r="BJ37">
        <v>11877</v>
      </c>
      <c r="BK37">
        <v>212975</v>
      </c>
      <c r="BL37">
        <v>1977</v>
      </c>
      <c r="BM37">
        <v>181941</v>
      </c>
      <c r="BN37">
        <v>7947</v>
      </c>
      <c r="BO37">
        <v>15892989</v>
      </c>
      <c r="BP37">
        <v>27011</v>
      </c>
      <c r="BQ37">
        <v>422054</v>
      </c>
      <c r="BR37">
        <v>2193</v>
      </c>
      <c r="BS37">
        <v>508866</v>
      </c>
      <c r="BT37">
        <v>2600</v>
      </c>
      <c r="BU37">
        <v>2517635</v>
      </c>
      <c r="BV37">
        <v>1132</v>
      </c>
      <c r="BW37">
        <v>106666</v>
      </c>
      <c r="BX37">
        <v>142</v>
      </c>
      <c r="BY37">
        <v>1123</v>
      </c>
      <c r="BZ37">
        <v>1144</v>
      </c>
      <c r="CA37">
        <v>1185</v>
      </c>
      <c r="CB37">
        <v>1231</v>
      </c>
      <c r="CC37">
        <v>1881</v>
      </c>
      <c r="CD37">
        <v>6432</v>
      </c>
      <c r="CE37">
        <v>728</v>
      </c>
      <c r="CF37">
        <v>7257</v>
      </c>
      <c r="CG37">
        <v>568</v>
      </c>
      <c r="CH37">
        <v>5086</v>
      </c>
      <c r="CI37" t="s">
        <v>73</v>
      </c>
      <c r="CJ37" t="s">
        <v>73</v>
      </c>
      <c r="CK37" t="s">
        <v>73</v>
      </c>
      <c r="CL37" t="s">
        <v>73</v>
      </c>
      <c r="CM37" t="s">
        <v>73</v>
      </c>
      <c r="CN37" t="s">
        <v>73</v>
      </c>
      <c r="CO37" t="s">
        <v>73</v>
      </c>
      <c r="CP37" t="s">
        <v>73</v>
      </c>
      <c r="CQ37" t="s">
        <v>73</v>
      </c>
      <c r="CR37" t="s">
        <v>73</v>
      </c>
      <c r="CS37" t="s">
        <v>73</v>
      </c>
      <c r="CT37" t="s">
        <v>73</v>
      </c>
      <c r="CU37" t="s">
        <v>73</v>
      </c>
      <c r="CV37" t="s">
        <v>73</v>
      </c>
      <c r="CW37" t="s">
        <v>73</v>
      </c>
      <c r="CX37" t="s">
        <v>73</v>
      </c>
      <c r="CY37" t="s">
        <v>73</v>
      </c>
      <c r="CZ37" t="s">
        <v>73</v>
      </c>
      <c r="DA37" t="s">
        <v>73</v>
      </c>
      <c r="DB37" t="s">
        <v>73</v>
      </c>
      <c r="DC37">
        <v>56290</v>
      </c>
      <c r="DD37">
        <v>1322</v>
      </c>
      <c r="DE37">
        <v>114590</v>
      </c>
      <c r="DF37">
        <v>2710</v>
      </c>
      <c r="DG37">
        <v>242228</v>
      </c>
    </row>
    <row r="38" spans="1:111" x14ac:dyDescent="0.4">
      <c r="A38" s="1" t="s">
        <v>64</v>
      </c>
      <c r="B38" s="1" t="s">
        <v>65</v>
      </c>
      <c r="C38">
        <v>251900</v>
      </c>
      <c r="D38">
        <v>61079</v>
      </c>
      <c r="E38">
        <v>650</v>
      </c>
      <c r="F38">
        <v>5</v>
      </c>
      <c r="G38">
        <v>679149</v>
      </c>
      <c r="H38">
        <v>2029</v>
      </c>
      <c r="I38">
        <v>13</v>
      </c>
      <c r="J38">
        <v>575625</v>
      </c>
      <c r="K38">
        <v>1364</v>
      </c>
      <c r="L38">
        <v>4637</v>
      </c>
      <c r="M38">
        <v>3211</v>
      </c>
      <c r="N38">
        <v>95</v>
      </c>
      <c r="O38">
        <v>2962</v>
      </c>
      <c r="P38">
        <v>17786</v>
      </c>
      <c r="Q38">
        <v>495</v>
      </c>
      <c r="R38">
        <v>2307</v>
      </c>
      <c r="S38">
        <v>120873</v>
      </c>
      <c r="T38">
        <v>3222</v>
      </c>
      <c r="U38">
        <v>213</v>
      </c>
      <c r="V38">
        <v>122197</v>
      </c>
      <c r="W38">
        <v>1107</v>
      </c>
      <c r="X38">
        <v>278</v>
      </c>
      <c r="Y38">
        <v>339631</v>
      </c>
      <c r="Z38">
        <v>2530</v>
      </c>
      <c r="AA38">
        <v>85499</v>
      </c>
      <c r="AB38">
        <v>60136</v>
      </c>
      <c r="AC38">
        <v>240</v>
      </c>
      <c r="AD38">
        <v>69047</v>
      </c>
      <c r="AE38">
        <v>44363</v>
      </c>
      <c r="AF38">
        <v>235</v>
      </c>
      <c r="AG38">
        <v>46650</v>
      </c>
      <c r="AH38">
        <v>23052</v>
      </c>
      <c r="AI38">
        <v>23495</v>
      </c>
      <c r="AJ38">
        <v>832</v>
      </c>
      <c r="AK38">
        <v>32261</v>
      </c>
      <c r="AL38">
        <v>92047</v>
      </c>
      <c r="AM38">
        <v>1570</v>
      </c>
      <c r="AN38">
        <v>318412</v>
      </c>
      <c r="AO38">
        <v>118466</v>
      </c>
      <c r="AP38">
        <v>361603</v>
      </c>
      <c r="AQ38">
        <v>7655</v>
      </c>
      <c r="AR38">
        <v>8178</v>
      </c>
      <c r="AS38">
        <v>164023</v>
      </c>
      <c r="AT38">
        <v>2056</v>
      </c>
      <c r="AU38">
        <v>1254</v>
      </c>
      <c r="AV38">
        <v>68961</v>
      </c>
      <c r="AW38">
        <v>891</v>
      </c>
      <c r="AX38">
        <v>1072</v>
      </c>
      <c r="AY38">
        <v>259784</v>
      </c>
      <c r="AZ38">
        <v>3886</v>
      </c>
      <c r="BA38">
        <v>88</v>
      </c>
      <c r="BB38">
        <v>196232</v>
      </c>
      <c r="BC38">
        <v>2194</v>
      </c>
      <c r="BD38">
        <v>192818</v>
      </c>
      <c r="BE38">
        <v>9175610</v>
      </c>
      <c r="BF38">
        <v>8030</v>
      </c>
      <c r="BG38">
        <v>350733</v>
      </c>
      <c r="BH38">
        <v>545067</v>
      </c>
      <c r="BI38">
        <v>11808</v>
      </c>
      <c r="BJ38">
        <v>12365</v>
      </c>
      <c r="BK38">
        <v>267595</v>
      </c>
      <c r="BL38">
        <v>2326</v>
      </c>
      <c r="BM38">
        <v>198733</v>
      </c>
      <c r="BN38">
        <v>7929</v>
      </c>
      <c r="BO38">
        <v>17398825</v>
      </c>
      <c r="BP38">
        <v>30082</v>
      </c>
      <c r="BQ38">
        <v>459144</v>
      </c>
      <c r="BR38">
        <v>2405</v>
      </c>
      <c r="BS38">
        <v>527765</v>
      </c>
      <c r="BT38">
        <v>2862</v>
      </c>
      <c r="BU38">
        <v>2293453</v>
      </c>
      <c r="BV38">
        <v>1037</v>
      </c>
      <c r="BW38">
        <v>118813</v>
      </c>
      <c r="BX38">
        <v>154</v>
      </c>
      <c r="BY38">
        <v>1155</v>
      </c>
      <c r="BZ38">
        <v>1396</v>
      </c>
      <c r="CA38">
        <v>1233</v>
      </c>
      <c r="CB38">
        <v>1409</v>
      </c>
      <c r="CC38">
        <v>1805</v>
      </c>
      <c r="CD38">
        <v>7659</v>
      </c>
      <c r="CE38">
        <v>801</v>
      </c>
      <c r="CF38">
        <v>7963</v>
      </c>
      <c r="CG38">
        <v>702</v>
      </c>
      <c r="CH38">
        <v>5073</v>
      </c>
      <c r="CI38" t="s">
        <v>73</v>
      </c>
      <c r="CJ38" t="s">
        <v>73</v>
      </c>
      <c r="CK38" t="s">
        <v>73</v>
      </c>
      <c r="CL38" t="s">
        <v>73</v>
      </c>
      <c r="CM38" t="s">
        <v>73</v>
      </c>
      <c r="CN38" t="s">
        <v>73</v>
      </c>
      <c r="CO38" t="s">
        <v>73</v>
      </c>
      <c r="CP38" t="s">
        <v>73</v>
      </c>
      <c r="CQ38" t="s">
        <v>73</v>
      </c>
      <c r="CR38" t="s">
        <v>73</v>
      </c>
      <c r="CS38" t="s">
        <v>73</v>
      </c>
      <c r="CT38" t="s">
        <v>73</v>
      </c>
      <c r="CU38" t="s">
        <v>73</v>
      </c>
      <c r="CV38" t="s">
        <v>73</v>
      </c>
      <c r="CW38" t="s">
        <v>73</v>
      </c>
      <c r="CX38" t="s">
        <v>73</v>
      </c>
      <c r="CY38" t="s">
        <v>73</v>
      </c>
      <c r="CZ38" t="s">
        <v>73</v>
      </c>
      <c r="DA38" t="s">
        <v>73</v>
      </c>
      <c r="DB38" t="s">
        <v>73</v>
      </c>
      <c r="DC38">
        <v>72738</v>
      </c>
      <c r="DD38">
        <v>1826</v>
      </c>
      <c r="DE38">
        <v>157311</v>
      </c>
      <c r="DF38">
        <v>3913</v>
      </c>
      <c r="DG38">
        <v>206878</v>
      </c>
    </row>
    <row r="39" spans="1:111" x14ac:dyDescent="0.4">
      <c r="A39" s="1"/>
      <c r="B39" s="1"/>
    </row>
    <row r="40" spans="1:111" x14ac:dyDescent="0.4">
      <c r="A40" s="1"/>
      <c r="B40" s="1"/>
    </row>
  </sheetData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FCBF8-C0BD-4348-A7FE-4149CACFBE42}">
  <dimension ref="A1:BZ40"/>
  <sheetViews>
    <sheetView workbookViewId="0">
      <selection activeCell="C9" sqref="C9"/>
    </sheetView>
  </sheetViews>
  <sheetFormatPr defaultColWidth="15.625" defaultRowHeight="18.75" x14ac:dyDescent="0.4"/>
  <sheetData>
    <row r="1" spans="1:78" x14ac:dyDescent="0.4">
      <c r="A1" s="1" t="s">
        <v>66</v>
      </c>
      <c r="B1" s="1"/>
    </row>
    <row r="2" spans="1:78" x14ac:dyDescent="0.4">
      <c r="A2" s="4" t="str">
        <f>HYPERLINK("#'目次(Contents)'!A3","目次に戻る(Return to Contents)")</f>
        <v>目次に戻る(Return to Contents)</v>
      </c>
      <c r="B2" s="1"/>
    </row>
    <row r="3" spans="1:78" x14ac:dyDescent="0.4">
      <c r="A3" s="1"/>
      <c r="B3" s="2" t="s">
        <v>0</v>
      </c>
      <c r="C3" t="s">
        <v>987</v>
      </c>
      <c r="D3" t="s">
        <v>987</v>
      </c>
      <c r="E3" t="s">
        <v>987</v>
      </c>
      <c r="F3" t="s">
        <v>987</v>
      </c>
      <c r="G3" t="s">
        <v>987</v>
      </c>
      <c r="H3" t="s">
        <v>987</v>
      </c>
      <c r="I3" t="s">
        <v>987</v>
      </c>
      <c r="J3" t="s">
        <v>989</v>
      </c>
      <c r="K3" t="s">
        <v>989</v>
      </c>
      <c r="L3" t="s">
        <v>989</v>
      </c>
      <c r="M3" t="s">
        <v>989</v>
      </c>
      <c r="N3" t="s">
        <v>989</v>
      </c>
      <c r="O3" t="s">
        <v>989</v>
      </c>
      <c r="P3" t="s">
        <v>989</v>
      </c>
      <c r="Q3" t="s">
        <v>991</v>
      </c>
      <c r="R3" t="s">
        <v>991</v>
      </c>
      <c r="S3" t="s">
        <v>991</v>
      </c>
      <c r="T3" t="s">
        <v>991</v>
      </c>
      <c r="U3" t="s">
        <v>991</v>
      </c>
      <c r="V3" t="s">
        <v>991</v>
      </c>
      <c r="W3" t="s">
        <v>991</v>
      </c>
      <c r="X3" t="s">
        <v>993</v>
      </c>
      <c r="Y3" t="s">
        <v>993</v>
      </c>
      <c r="Z3" t="s">
        <v>993</v>
      </c>
      <c r="AA3" t="s">
        <v>995</v>
      </c>
      <c r="AB3" t="s">
        <v>995</v>
      </c>
      <c r="AC3" t="s">
        <v>995</v>
      </c>
      <c r="AD3" t="s">
        <v>997</v>
      </c>
      <c r="AE3" t="s">
        <v>997</v>
      </c>
      <c r="AF3" t="s">
        <v>997</v>
      </c>
      <c r="AG3" t="s">
        <v>999</v>
      </c>
      <c r="AH3" t="s">
        <v>999</v>
      </c>
      <c r="AI3" t="s">
        <v>999</v>
      </c>
      <c r="AJ3" t="s">
        <v>1001</v>
      </c>
      <c r="AK3" t="s">
        <v>1001</v>
      </c>
      <c r="AL3" t="s">
        <v>1001</v>
      </c>
      <c r="AM3" t="s">
        <v>1003</v>
      </c>
      <c r="AN3" t="s">
        <v>1003</v>
      </c>
      <c r="AO3" t="s">
        <v>1003</v>
      </c>
      <c r="AP3" t="s">
        <v>1005</v>
      </c>
      <c r="AQ3" t="s">
        <v>1005</v>
      </c>
      <c r="AR3" t="s">
        <v>1005</v>
      </c>
      <c r="AS3" t="s">
        <v>1007</v>
      </c>
      <c r="AT3" t="s">
        <v>1007</v>
      </c>
      <c r="AU3" t="s">
        <v>1009</v>
      </c>
      <c r="AV3" t="s">
        <v>1009</v>
      </c>
      <c r="AW3" t="s">
        <v>1011</v>
      </c>
      <c r="AX3" t="s">
        <v>1011</v>
      </c>
      <c r="AY3" t="s">
        <v>1013</v>
      </c>
      <c r="AZ3" t="s">
        <v>1013</v>
      </c>
      <c r="BA3" t="s">
        <v>1015</v>
      </c>
      <c r="BB3" t="s">
        <v>1015</v>
      </c>
      <c r="BC3" t="s">
        <v>1017</v>
      </c>
      <c r="BD3" t="s">
        <v>1017</v>
      </c>
      <c r="BE3" t="s">
        <v>1019</v>
      </c>
      <c r="BF3" t="s">
        <v>1019</v>
      </c>
      <c r="BG3" t="s">
        <v>1021</v>
      </c>
      <c r="BH3" t="s">
        <v>1021</v>
      </c>
      <c r="BI3" t="s">
        <v>1023</v>
      </c>
      <c r="BJ3" t="s">
        <v>1023</v>
      </c>
      <c r="BK3" t="s">
        <v>1023</v>
      </c>
      <c r="BL3" t="s">
        <v>1025</v>
      </c>
      <c r="BM3" t="s">
        <v>1025</v>
      </c>
      <c r="BN3" t="s">
        <v>1027</v>
      </c>
      <c r="BO3" t="s">
        <v>1027</v>
      </c>
      <c r="BP3" t="s">
        <v>1029</v>
      </c>
      <c r="BQ3" t="s">
        <v>1029</v>
      </c>
      <c r="BR3" t="s">
        <v>1031</v>
      </c>
      <c r="BS3" t="s">
        <v>1031</v>
      </c>
      <c r="BT3" t="s">
        <v>1031</v>
      </c>
      <c r="BU3" t="s">
        <v>1033</v>
      </c>
      <c r="BV3" t="s">
        <v>1033</v>
      </c>
      <c r="BW3" t="s">
        <v>1035</v>
      </c>
      <c r="BX3" t="s">
        <v>1035</v>
      </c>
      <c r="BY3" t="s">
        <v>1037</v>
      </c>
      <c r="BZ3" t="s">
        <v>1037</v>
      </c>
    </row>
    <row r="4" spans="1:78" x14ac:dyDescent="0.4">
      <c r="A4" s="1"/>
      <c r="B4" s="2" t="s">
        <v>1</v>
      </c>
      <c r="C4" t="s">
        <v>988</v>
      </c>
      <c r="D4" t="s">
        <v>988</v>
      </c>
      <c r="E4" t="s">
        <v>988</v>
      </c>
      <c r="F4" t="s">
        <v>988</v>
      </c>
      <c r="G4" t="s">
        <v>988</v>
      </c>
      <c r="H4" t="s">
        <v>988</v>
      </c>
      <c r="I4" t="s">
        <v>988</v>
      </c>
      <c r="J4" t="s">
        <v>990</v>
      </c>
      <c r="K4" t="s">
        <v>990</v>
      </c>
      <c r="L4" t="s">
        <v>990</v>
      </c>
      <c r="M4" t="s">
        <v>990</v>
      </c>
      <c r="N4" t="s">
        <v>990</v>
      </c>
      <c r="O4" t="s">
        <v>990</v>
      </c>
      <c r="P4" t="s">
        <v>990</v>
      </c>
      <c r="Q4" t="s">
        <v>992</v>
      </c>
      <c r="R4" t="s">
        <v>992</v>
      </c>
      <c r="S4" t="s">
        <v>992</v>
      </c>
      <c r="T4" t="s">
        <v>992</v>
      </c>
      <c r="U4" t="s">
        <v>992</v>
      </c>
      <c r="V4" t="s">
        <v>992</v>
      </c>
      <c r="W4" t="s">
        <v>992</v>
      </c>
      <c r="X4" t="s">
        <v>994</v>
      </c>
      <c r="Y4" t="s">
        <v>994</v>
      </c>
      <c r="Z4" t="s">
        <v>994</v>
      </c>
      <c r="AA4" t="s">
        <v>996</v>
      </c>
      <c r="AB4" t="s">
        <v>996</v>
      </c>
      <c r="AC4" t="s">
        <v>996</v>
      </c>
      <c r="AD4" t="s">
        <v>998</v>
      </c>
      <c r="AE4" t="s">
        <v>998</v>
      </c>
      <c r="AF4" t="s">
        <v>998</v>
      </c>
      <c r="AG4" t="s">
        <v>1000</v>
      </c>
      <c r="AH4" t="s">
        <v>1000</v>
      </c>
      <c r="AI4" t="s">
        <v>1000</v>
      </c>
      <c r="AJ4" t="s">
        <v>1002</v>
      </c>
      <c r="AK4" t="s">
        <v>1002</v>
      </c>
      <c r="AL4" t="s">
        <v>1002</v>
      </c>
      <c r="AM4" t="s">
        <v>1004</v>
      </c>
      <c r="AN4" t="s">
        <v>1004</v>
      </c>
      <c r="AO4" t="s">
        <v>1004</v>
      </c>
      <c r="AP4" t="s">
        <v>1006</v>
      </c>
      <c r="AQ4" t="s">
        <v>1006</v>
      </c>
      <c r="AR4" t="s">
        <v>1006</v>
      </c>
      <c r="AS4" t="s">
        <v>1008</v>
      </c>
      <c r="AT4" t="s">
        <v>1008</v>
      </c>
      <c r="AU4" t="s">
        <v>1010</v>
      </c>
      <c r="AV4" t="s">
        <v>1010</v>
      </c>
      <c r="AW4" t="s">
        <v>1012</v>
      </c>
      <c r="AX4" t="s">
        <v>1012</v>
      </c>
      <c r="AY4" t="s">
        <v>1014</v>
      </c>
      <c r="AZ4" t="s">
        <v>1014</v>
      </c>
      <c r="BA4" t="s">
        <v>1016</v>
      </c>
      <c r="BB4" t="s">
        <v>1016</v>
      </c>
      <c r="BC4" t="s">
        <v>1018</v>
      </c>
      <c r="BD4" t="s">
        <v>1018</v>
      </c>
      <c r="BE4" t="s">
        <v>1020</v>
      </c>
      <c r="BF4" t="s">
        <v>1020</v>
      </c>
      <c r="BG4" t="s">
        <v>1022</v>
      </c>
      <c r="BH4" t="s">
        <v>1022</v>
      </c>
      <c r="BI4" t="s">
        <v>1024</v>
      </c>
      <c r="BJ4" t="s">
        <v>1024</v>
      </c>
      <c r="BK4" t="s">
        <v>1024</v>
      </c>
      <c r="BL4" t="s">
        <v>1026</v>
      </c>
      <c r="BM4" t="s">
        <v>1026</v>
      </c>
      <c r="BN4" t="s">
        <v>1028</v>
      </c>
      <c r="BO4" t="s">
        <v>1028</v>
      </c>
      <c r="BP4" t="s">
        <v>1030</v>
      </c>
      <c r="BQ4" t="s">
        <v>1030</v>
      </c>
      <c r="BR4" t="s">
        <v>1032</v>
      </c>
      <c r="BS4" t="s">
        <v>1032</v>
      </c>
      <c r="BT4" t="s">
        <v>1032</v>
      </c>
      <c r="BU4" t="s">
        <v>1034</v>
      </c>
      <c r="BV4" t="s">
        <v>1034</v>
      </c>
      <c r="BW4" t="s">
        <v>1036</v>
      </c>
      <c r="BX4" t="s">
        <v>1036</v>
      </c>
      <c r="BY4" t="s">
        <v>1038</v>
      </c>
      <c r="BZ4" t="s">
        <v>1038</v>
      </c>
    </row>
    <row r="5" spans="1:7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69</v>
      </c>
      <c r="K5" t="s">
        <v>254</v>
      </c>
      <c r="L5" t="s">
        <v>257</v>
      </c>
      <c r="M5" t="s">
        <v>74</v>
      </c>
      <c r="N5" t="s">
        <v>261</v>
      </c>
      <c r="O5" t="s">
        <v>263</v>
      </c>
      <c r="P5" t="s">
        <v>76</v>
      </c>
      <c r="Q5" t="s">
        <v>69</v>
      </c>
      <c r="R5" t="s">
        <v>254</v>
      </c>
      <c r="S5" t="s">
        <v>257</v>
      </c>
      <c r="T5" t="s">
        <v>74</v>
      </c>
      <c r="U5" t="s">
        <v>261</v>
      </c>
      <c r="V5" t="s">
        <v>263</v>
      </c>
      <c r="W5" t="s">
        <v>76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69</v>
      </c>
      <c r="AE5" t="s">
        <v>254</v>
      </c>
      <c r="AF5" t="s">
        <v>257</v>
      </c>
      <c r="AG5" t="s">
        <v>69</v>
      </c>
      <c r="AH5" t="s">
        <v>254</v>
      </c>
      <c r="AI5" t="s">
        <v>257</v>
      </c>
      <c r="AJ5" t="s">
        <v>69</v>
      </c>
      <c r="AK5" t="s">
        <v>254</v>
      </c>
      <c r="AL5" t="s">
        <v>257</v>
      </c>
      <c r="AM5" t="s">
        <v>69</v>
      </c>
      <c r="AN5" t="s">
        <v>254</v>
      </c>
      <c r="AO5" t="s">
        <v>257</v>
      </c>
      <c r="AP5" t="s">
        <v>69</v>
      </c>
      <c r="AQ5" t="s">
        <v>254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254</v>
      </c>
      <c r="BK5" t="s">
        <v>257</v>
      </c>
      <c r="BL5" t="s">
        <v>69</v>
      </c>
      <c r="BM5" t="s">
        <v>257</v>
      </c>
      <c r="BN5" t="s">
        <v>69</v>
      </c>
      <c r="BO5" t="s">
        <v>257</v>
      </c>
      <c r="BP5" t="s">
        <v>69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</row>
    <row r="6" spans="1:7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72</v>
      </c>
      <c r="K6" t="s">
        <v>256</v>
      </c>
      <c r="L6" t="s">
        <v>259</v>
      </c>
      <c r="M6" t="s">
        <v>75</v>
      </c>
      <c r="N6" t="s">
        <v>262</v>
      </c>
      <c r="O6" t="s">
        <v>264</v>
      </c>
      <c r="P6" t="s">
        <v>77</v>
      </c>
      <c r="Q6" t="s">
        <v>72</v>
      </c>
      <c r="R6" t="s">
        <v>256</v>
      </c>
      <c r="S6" t="s">
        <v>259</v>
      </c>
      <c r="T6" t="s">
        <v>75</v>
      </c>
      <c r="U6" t="s">
        <v>262</v>
      </c>
      <c r="V6" t="s">
        <v>264</v>
      </c>
      <c r="W6" t="s">
        <v>77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72</v>
      </c>
      <c r="AE6" t="s">
        <v>256</v>
      </c>
      <c r="AF6" t="s">
        <v>259</v>
      </c>
      <c r="AG6" t="s">
        <v>72</v>
      </c>
      <c r="AH6" t="s">
        <v>256</v>
      </c>
      <c r="AI6" t="s">
        <v>259</v>
      </c>
      <c r="AJ6" t="s">
        <v>72</v>
      </c>
      <c r="AK6" t="s">
        <v>256</v>
      </c>
      <c r="AL6" t="s">
        <v>259</v>
      </c>
      <c r="AM6" t="s">
        <v>72</v>
      </c>
      <c r="AN6" t="s">
        <v>256</v>
      </c>
      <c r="AO6" t="s">
        <v>259</v>
      </c>
      <c r="AP6" t="s">
        <v>72</v>
      </c>
      <c r="AQ6" t="s">
        <v>256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256</v>
      </c>
      <c r="BK6" t="s">
        <v>259</v>
      </c>
      <c r="BL6" t="s">
        <v>72</v>
      </c>
      <c r="BM6" t="s">
        <v>259</v>
      </c>
      <c r="BN6" t="s">
        <v>72</v>
      </c>
      <c r="BO6" t="s">
        <v>259</v>
      </c>
      <c r="BP6" t="s">
        <v>72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</row>
    <row r="7" spans="1:78" x14ac:dyDescent="0.4">
      <c r="A7" s="1"/>
      <c r="B7" s="2" t="s">
        <v>4</v>
      </c>
      <c r="C7" t="s">
        <v>251</v>
      </c>
      <c r="D7" t="s">
        <v>928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251</v>
      </c>
      <c r="K7" t="s">
        <v>928</v>
      </c>
      <c r="L7" t="s">
        <v>258</v>
      </c>
      <c r="M7" t="s">
        <v>251</v>
      </c>
      <c r="N7" t="s">
        <v>928</v>
      </c>
      <c r="O7" t="s">
        <v>258</v>
      </c>
      <c r="P7" t="s">
        <v>251</v>
      </c>
      <c r="Q7" t="s">
        <v>251</v>
      </c>
      <c r="R7" t="s">
        <v>928</v>
      </c>
      <c r="S7" t="s">
        <v>258</v>
      </c>
      <c r="T7" t="s">
        <v>251</v>
      </c>
      <c r="U7" t="s">
        <v>928</v>
      </c>
      <c r="V7" t="s">
        <v>258</v>
      </c>
      <c r="W7" t="s">
        <v>251</v>
      </c>
      <c r="X7" t="s">
        <v>251</v>
      </c>
      <c r="Y7" t="s">
        <v>928</v>
      </c>
      <c r="Z7" t="s">
        <v>258</v>
      </c>
      <c r="AA7" t="s">
        <v>251</v>
      </c>
      <c r="AB7" t="s">
        <v>928</v>
      </c>
      <c r="AC7" t="s">
        <v>258</v>
      </c>
      <c r="AD7" t="s">
        <v>251</v>
      </c>
      <c r="AE7" t="s">
        <v>928</v>
      </c>
      <c r="AF7" t="s">
        <v>258</v>
      </c>
      <c r="AG7" t="s">
        <v>251</v>
      </c>
      <c r="AH7" t="s">
        <v>928</v>
      </c>
      <c r="AI7" t="s">
        <v>258</v>
      </c>
      <c r="AJ7" t="s">
        <v>251</v>
      </c>
      <c r="AK7" t="s">
        <v>928</v>
      </c>
      <c r="AL7" t="s">
        <v>258</v>
      </c>
      <c r="AM7" t="s">
        <v>251</v>
      </c>
      <c r="AN7" t="s">
        <v>928</v>
      </c>
      <c r="AO7" t="s">
        <v>258</v>
      </c>
      <c r="AP7" t="s">
        <v>251</v>
      </c>
      <c r="AQ7" t="s">
        <v>928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481</v>
      </c>
      <c r="AX7" t="s">
        <v>258</v>
      </c>
      <c r="AY7" t="s">
        <v>481</v>
      </c>
      <c r="AZ7" t="s">
        <v>258</v>
      </c>
      <c r="BA7" t="s">
        <v>481</v>
      </c>
      <c r="BB7" t="s">
        <v>258</v>
      </c>
      <c r="BC7" t="s">
        <v>481</v>
      </c>
      <c r="BD7" t="s">
        <v>258</v>
      </c>
      <c r="BE7" t="s">
        <v>251</v>
      </c>
      <c r="BF7" t="s">
        <v>258</v>
      </c>
      <c r="BG7" t="s">
        <v>481</v>
      </c>
      <c r="BH7" t="s">
        <v>258</v>
      </c>
      <c r="BI7" t="s">
        <v>251</v>
      </c>
      <c r="BJ7" t="s">
        <v>928</v>
      </c>
      <c r="BK7" t="s">
        <v>258</v>
      </c>
      <c r="BL7" t="s">
        <v>251</v>
      </c>
      <c r="BM7" t="s">
        <v>258</v>
      </c>
      <c r="BN7" t="s">
        <v>251</v>
      </c>
      <c r="BO7" t="s">
        <v>258</v>
      </c>
      <c r="BP7" t="s">
        <v>251</v>
      </c>
      <c r="BQ7" t="s">
        <v>258</v>
      </c>
      <c r="BR7" t="s">
        <v>360</v>
      </c>
      <c r="BS7" t="s">
        <v>301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</row>
    <row r="8" spans="1:78" x14ac:dyDescent="0.4">
      <c r="A8" s="1" t="s">
        <v>67</v>
      </c>
      <c r="B8" s="2" t="s">
        <v>5</v>
      </c>
      <c r="C8" t="s">
        <v>253</v>
      </c>
      <c r="D8" t="s">
        <v>928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253</v>
      </c>
      <c r="K8" t="s">
        <v>928</v>
      </c>
      <c r="L8" t="s">
        <v>260</v>
      </c>
      <c r="M8" t="s">
        <v>253</v>
      </c>
      <c r="N8" t="s">
        <v>928</v>
      </c>
      <c r="O8" t="s">
        <v>260</v>
      </c>
      <c r="P8" t="s">
        <v>253</v>
      </c>
      <c r="Q8" t="s">
        <v>253</v>
      </c>
      <c r="R8" t="s">
        <v>928</v>
      </c>
      <c r="S8" t="s">
        <v>260</v>
      </c>
      <c r="T8" t="s">
        <v>253</v>
      </c>
      <c r="U8" t="s">
        <v>928</v>
      </c>
      <c r="V8" t="s">
        <v>260</v>
      </c>
      <c r="W8" t="s">
        <v>253</v>
      </c>
      <c r="X8" t="s">
        <v>253</v>
      </c>
      <c r="Y8" t="s">
        <v>928</v>
      </c>
      <c r="Z8" t="s">
        <v>260</v>
      </c>
      <c r="AA8" t="s">
        <v>253</v>
      </c>
      <c r="AB8" t="s">
        <v>928</v>
      </c>
      <c r="AC8" t="s">
        <v>260</v>
      </c>
      <c r="AD8" t="s">
        <v>253</v>
      </c>
      <c r="AE8" t="s">
        <v>928</v>
      </c>
      <c r="AF8" t="s">
        <v>260</v>
      </c>
      <c r="AG8" t="s">
        <v>253</v>
      </c>
      <c r="AH8" t="s">
        <v>928</v>
      </c>
      <c r="AI8" t="s">
        <v>260</v>
      </c>
      <c r="AJ8" t="s">
        <v>253</v>
      </c>
      <c r="AK8" t="s">
        <v>928</v>
      </c>
      <c r="AL8" t="s">
        <v>260</v>
      </c>
      <c r="AM8" t="s">
        <v>253</v>
      </c>
      <c r="AN8" t="s">
        <v>928</v>
      </c>
      <c r="AO8" t="s">
        <v>260</v>
      </c>
      <c r="AP8" t="s">
        <v>253</v>
      </c>
      <c r="AQ8" t="s">
        <v>928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928</v>
      </c>
      <c r="BK8" t="s">
        <v>260</v>
      </c>
      <c r="BL8" t="s">
        <v>253</v>
      </c>
      <c r="BM8" t="s">
        <v>260</v>
      </c>
      <c r="BN8" t="s">
        <v>253</v>
      </c>
      <c r="BO8" t="s">
        <v>260</v>
      </c>
      <c r="BP8" t="s">
        <v>253</v>
      </c>
      <c r="BQ8" t="s">
        <v>260</v>
      </c>
      <c r="BR8" t="s">
        <v>253</v>
      </c>
      <c r="BS8" t="s">
        <v>301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</row>
    <row r="9" spans="1:78" x14ac:dyDescent="0.4">
      <c r="A9" s="1" t="s">
        <v>6</v>
      </c>
      <c r="B9" s="3" t="s">
        <v>7</v>
      </c>
      <c r="C9">
        <v>300615</v>
      </c>
      <c r="D9">
        <v>8040929</v>
      </c>
      <c r="E9">
        <v>36340</v>
      </c>
      <c r="F9">
        <v>314513</v>
      </c>
      <c r="G9">
        <v>8426238</v>
      </c>
      <c r="H9">
        <v>38803</v>
      </c>
      <c r="I9">
        <v>36772</v>
      </c>
      <c r="J9">
        <v>64319</v>
      </c>
      <c r="K9">
        <v>11311721</v>
      </c>
      <c r="L9">
        <v>31970</v>
      </c>
      <c r="M9">
        <v>73307</v>
      </c>
      <c r="N9">
        <v>12795441</v>
      </c>
      <c r="O9">
        <v>36324</v>
      </c>
      <c r="P9">
        <v>8681</v>
      </c>
      <c r="Q9">
        <v>4230</v>
      </c>
      <c r="R9">
        <v>1667276</v>
      </c>
      <c r="S9">
        <v>6308</v>
      </c>
      <c r="T9">
        <v>5839</v>
      </c>
      <c r="U9">
        <v>2273886</v>
      </c>
      <c r="V9">
        <v>8795</v>
      </c>
      <c r="W9">
        <v>284</v>
      </c>
      <c r="X9">
        <v>16609</v>
      </c>
      <c r="Y9">
        <v>3775501</v>
      </c>
      <c r="Z9">
        <v>19189</v>
      </c>
      <c r="AA9">
        <v>1185</v>
      </c>
      <c r="AB9">
        <v>5263076</v>
      </c>
      <c r="AC9">
        <v>14161</v>
      </c>
      <c r="AD9">
        <v>550</v>
      </c>
      <c r="AE9">
        <v>12015547</v>
      </c>
      <c r="AF9">
        <v>30257</v>
      </c>
      <c r="AG9">
        <v>50</v>
      </c>
      <c r="AH9">
        <v>17626300</v>
      </c>
      <c r="AI9">
        <v>18832</v>
      </c>
      <c r="AJ9">
        <v>9927</v>
      </c>
      <c r="AK9">
        <v>2286905</v>
      </c>
      <c r="AL9">
        <v>11559</v>
      </c>
      <c r="AM9">
        <v>105</v>
      </c>
      <c r="AN9">
        <v>318850</v>
      </c>
      <c r="AO9">
        <v>1703</v>
      </c>
      <c r="AP9">
        <v>208630</v>
      </c>
      <c r="AQ9">
        <v>3453575</v>
      </c>
      <c r="AR9">
        <v>21317</v>
      </c>
      <c r="AS9">
        <v>236840</v>
      </c>
      <c r="AT9">
        <v>3323</v>
      </c>
      <c r="AU9">
        <v>987596</v>
      </c>
      <c r="AV9">
        <v>20779</v>
      </c>
      <c r="AW9">
        <v>130164</v>
      </c>
      <c r="AX9">
        <v>44223</v>
      </c>
      <c r="AY9">
        <v>40129</v>
      </c>
      <c r="AZ9">
        <v>31393</v>
      </c>
      <c r="BA9">
        <v>1890642</v>
      </c>
      <c r="BB9">
        <v>51143</v>
      </c>
      <c r="BC9">
        <v>105437</v>
      </c>
      <c r="BD9">
        <v>55488</v>
      </c>
      <c r="BE9">
        <v>2651892</v>
      </c>
      <c r="BF9">
        <v>99679</v>
      </c>
      <c r="BG9">
        <v>45791</v>
      </c>
      <c r="BH9">
        <v>17847</v>
      </c>
      <c r="BI9">
        <v>46500</v>
      </c>
      <c r="BJ9">
        <v>5281215</v>
      </c>
      <c r="BK9">
        <v>5262</v>
      </c>
      <c r="BL9">
        <v>19648511</v>
      </c>
      <c r="BM9">
        <v>17358</v>
      </c>
      <c r="BN9">
        <v>1072621</v>
      </c>
      <c r="BO9">
        <v>5190</v>
      </c>
      <c r="BP9">
        <v>121602</v>
      </c>
      <c r="BQ9">
        <v>9716</v>
      </c>
      <c r="BR9">
        <v>653</v>
      </c>
      <c r="BS9">
        <v>51318</v>
      </c>
      <c r="BT9">
        <v>11227</v>
      </c>
      <c r="BU9">
        <v>50607</v>
      </c>
      <c r="BV9">
        <v>6421</v>
      </c>
      <c r="BW9">
        <v>34364</v>
      </c>
      <c r="BX9">
        <v>7852</v>
      </c>
      <c r="BY9">
        <v>12686</v>
      </c>
      <c r="BZ9">
        <v>7675</v>
      </c>
    </row>
    <row r="10" spans="1:78" x14ac:dyDescent="0.4">
      <c r="A10" s="1" t="s">
        <v>8</v>
      </c>
      <c r="B10" s="3" t="s">
        <v>9</v>
      </c>
      <c r="C10">
        <v>336059</v>
      </c>
      <c r="D10">
        <v>8991750</v>
      </c>
      <c r="E10">
        <v>42668</v>
      </c>
      <c r="F10">
        <v>324965</v>
      </c>
      <c r="G10">
        <v>8660002</v>
      </c>
      <c r="H10">
        <v>42131</v>
      </c>
      <c r="I10">
        <v>47836</v>
      </c>
      <c r="J10">
        <v>65232</v>
      </c>
      <c r="K10">
        <v>11756424</v>
      </c>
      <c r="L10">
        <v>35177</v>
      </c>
      <c r="M10">
        <v>74140</v>
      </c>
      <c r="N10">
        <v>13436970</v>
      </c>
      <c r="O10">
        <v>39925</v>
      </c>
      <c r="P10">
        <v>9605</v>
      </c>
      <c r="Q10">
        <v>4743</v>
      </c>
      <c r="R10">
        <v>2111997</v>
      </c>
      <c r="S10">
        <v>7802</v>
      </c>
      <c r="T10">
        <v>6154</v>
      </c>
      <c r="U10">
        <v>2562482</v>
      </c>
      <c r="V10">
        <v>9846</v>
      </c>
      <c r="W10">
        <v>283</v>
      </c>
      <c r="X10">
        <v>16631</v>
      </c>
      <c r="Y10">
        <v>3605229</v>
      </c>
      <c r="Z10">
        <v>20077</v>
      </c>
      <c r="AA10">
        <v>1098</v>
      </c>
      <c r="AB10">
        <v>4894760</v>
      </c>
      <c r="AC10">
        <v>13377</v>
      </c>
      <c r="AD10">
        <v>583</v>
      </c>
      <c r="AE10">
        <v>13216960</v>
      </c>
      <c r="AF10">
        <v>33735</v>
      </c>
      <c r="AG10">
        <v>49</v>
      </c>
      <c r="AH10">
        <v>14320980</v>
      </c>
      <c r="AI10">
        <v>16406</v>
      </c>
      <c r="AJ10">
        <v>9869</v>
      </c>
      <c r="AK10">
        <v>2215657</v>
      </c>
      <c r="AL10">
        <v>11534</v>
      </c>
      <c r="AM10">
        <v>128</v>
      </c>
      <c r="AN10">
        <v>408090</v>
      </c>
      <c r="AO10">
        <v>1987</v>
      </c>
      <c r="AP10">
        <v>202604</v>
      </c>
      <c r="AQ10">
        <v>4047936</v>
      </c>
      <c r="AR10">
        <v>23278</v>
      </c>
      <c r="AS10">
        <v>223589</v>
      </c>
      <c r="AT10">
        <v>2899</v>
      </c>
      <c r="AU10">
        <v>1084216</v>
      </c>
      <c r="AV10">
        <v>20309</v>
      </c>
      <c r="AW10">
        <v>148150</v>
      </c>
      <c r="AX10">
        <v>44564</v>
      </c>
      <c r="AY10">
        <v>26999</v>
      </c>
      <c r="AZ10">
        <v>29213</v>
      </c>
      <c r="BA10">
        <v>2180374</v>
      </c>
      <c r="BB10">
        <v>67558</v>
      </c>
      <c r="BC10">
        <v>103509</v>
      </c>
      <c r="BD10">
        <v>52935</v>
      </c>
      <c r="BE10">
        <v>3044803</v>
      </c>
      <c r="BF10">
        <v>112797</v>
      </c>
      <c r="BG10">
        <v>50470</v>
      </c>
      <c r="BH10">
        <v>18396</v>
      </c>
      <c r="BI10">
        <v>46348</v>
      </c>
      <c r="BJ10">
        <v>5645075</v>
      </c>
      <c r="BK10">
        <v>6205</v>
      </c>
      <c r="BL10">
        <v>19052964</v>
      </c>
      <c r="BM10">
        <v>19746</v>
      </c>
      <c r="BN10">
        <v>1053052</v>
      </c>
      <c r="BO10">
        <v>6039</v>
      </c>
      <c r="BP10">
        <v>128947</v>
      </c>
      <c r="BQ10">
        <v>11056</v>
      </c>
      <c r="BR10">
        <v>843</v>
      </c>
      <c r="BS10">
        <v>100992</v>
      </c>
      <c r="BT10">
        <v>13279</v>
      </c>
      <c r="BU10">
        <v>54470</v>
      </c>
      <c r="BV10">
        <v>5514</v>
      </c>
      <c r="BW10">
        <v>34622</v>
      </c>
      <c r="BX10">
        <v>7959</v>
      </c>
      <c r="BY10">
        <v>11756</v>
      </c>
      <c r="BZ10">
        <v>7464</v>
      </c>
    </row>
    <row r="11" spans="1:78" x14ac:dyDescent="0.4">
      <c r="A11" s="1" t="s">
        <v>10</v>
      </c>
      <c r="B11" s="3" t="s">
        <v>11</v>
      </c>
      <c r="C11">
        <v>331293</v>
      </c>
      <c r="D11">
        <v>8750818</v>
      </c>
      <c r="E11">
        <v>42925</v>
      </c>
      <c r="F11">
        <v>339212</v>
      </c>
      <c r="G11">
        <v>9035935</v>
      </c>
      <c r="H11">
        <v>45336</v>
      </c>
      <c r="I11">
        <v>39897</v>
      </c>
      <c r="J11">
        <v>67444</v>
      </c>
      <c r="K11">
        <v>12381794</v>
      </c>
      <c r="L11">
        <v>41713</v>
      </c>
      <c r="M11">
        <v>76804</v>
      </c>
      <c r="N11">
        <v>14181625</v>
      </c>
      <c r="O11">
        <v>47988</v>
      </c>
      <c r="P11">
        <v>9685</v>
      </c>
      <c r="Q11">
        <v>4701</v>
      </c>
      <c r="R11">
        <v>2105917</v>
      </c>
      <c r="S11">
        <v>9193</v>
      </c>
      <c r="T11">
        <v>6294</v>
      </c>
      <c r="U11">
        <v>2694402</v>
      </c>
      <c r="V11">
        <v>12230</v>
      </c>
      <c r="W11">
        <v>294</v>
      </c>
      <c r="X11">
        <v>16565</v>
      </c>
      <c r="Y11">
        <v>3432985</v>
      </c>
      <c r="Z11">
        <v>21807</v>
      </c>
      <c r="AA11">
        <v>1103</v>
      </c>
      <c r="AB11">
        <v>4805430</v>
      </c>
      <c r="AC11">
        <v>13610</v>
      </c>
      <c r="AD11">
        <v>561</v>
      </c>
      <c r="AE11">
        <v>13228815</v>
      </c>
      <c r="AF11">
        <v>36212</v>
      </c>
      <c r="AG11">
        <v>56</v>
      </c>
      <c r="AH11">
        <v>16122380</v>
      </c>
      <c r="AI11">
        <v>22448</v>
      </c>
      <c r="AJ11">
        <v>10862</v>
      </c>
      <c r="AK11">
        <v>2440613</v>
      </c>
      <c r="AL11">
        <v>13619</v>
      </c>
      <c r="AM11">
        <v>134</v>
      </c>
      <c r="AN11">
        <v>473155</v>
      </c>
      <c r="AO11">
        <v>2273</v>
      </c>
      <c r="AP11">
        <v>176245</v>
      </c>
      <c r="AQ11">
        <v>3625469</v>
      </c>
      <c r="AR11">
        <v>23224</v>
      </c>
      <c r="AS11">
        <v>72407</v>
      </c>
      <c r="AT11">
        <v>1665</v>
      </c>
      <c r="AU11">
        <v>956173</v>
      </c>
      <c r="AV11">
        <v>22168</v>
      </c>
      <c r="AW11">
        <v>175707</v>
      </c>
      <c r="AX11">
        <v>46922</v>
      </c>
      <c r="AY11">
        <v>49394</v>
      </c>
      <c r="AZ11">
        <v>31662</v>
      </c>
      <c r="BA11">
        <v>3114009</v>
      </c>
      <c r="BB11">
        <v>99105</v>
      </c>
      <c r="BC11">
        <v>134810</v>
      </c>
      <c r="BD11">
        <v>60573</v>
      </c>
      <c r="BE11">
        <v>2746943</v>
      </c>
      <c r="BF11">
        <v>107890</v>
      </c>
      <c r="BG11">
        <v>41611</v>
      </c>
      <c r="BH11">
        <v>17315</v>
      </c>
      <c r="BI11">
        <v>49637</v>
      </c>
      <c r="BJ11">
        <v>5853758</v>
      </c>
      <c r="BK11">
        <v>6449</v>
      </c>
      <c r="BL11">
        <v>19156689</v>
      </c>
      <c r="BM11">
        <v>21168</v>
      </c>
      <c r="BN11">
        <v>930691</v>
      </c>
      <c r="BO11">
        <v>6142</v>
      </c>
      <c r="BP11">
        <v>104533</v>
      </c>
      <c r="BQ11">
        <v>10642</v>
      </c>
      <c r="BR11">
        <v>829</v>
      </c>
      <c r="BS11">
        <v>100151</v>
      </c>
      <c r="BT11">
        <v>17936</v>
      </c>
      <c r="BU11">
        <v>50427</v>
      </c>
      <c r="BV11">
        <v>5915</v>
      </c>
      <c r="BW11">
        <v>26884</v>
      </c>
      <c r="BX11">
        <v>7558</v>
      </c>
      <c r="BY11">
        <v>11242</v>
      </c>
      <c r="BZ11">
        <v>7552</v>
      </c>
    </row>
    <row r="12" spans="1:78" x14ac:dyDescent="0.4">
      <c r="A12" s="1" t="s">
        <v>12</v>
      </c>
      <c r="B12" s="3" t="s">
        <v>13</v>
      </c>
      <c r="C12">
        <v>325613</v>
      </c>
      <c r="D12">
        <v>8641225</v>
      </c>
      <c r="E12">
        <v>45082</v>
      </c>
      <c r="F12">
        <v>330244</v>
      </c>
      <c r="G12">
        <v>8772216</v>
      </c>
      <c r="H12">
        <v>46800</v>
      </c>
      <c r="I12">
        <v>35244</v>
      </c>
      <c r="J12">
        <v>65900</v>
      </c>
      <c r="K12">
        <v>12149632</v>
      </c>
      <c r="L12">
        <v>47078</v>
      </c>
      <c r="M12">
        <v>75219</v>
      </c>
      <c r="N12">
        <v>13968323</v>
      </c>
      <c r="O12">
        <v>55204</v>
      </c>
      <c r="P12">
        <v>9345</v>
      </c>
      <c r="Q12">
        <v>5136</v>
      </c>
      <c r="R12">
        <v>2303221</v>
      </c>
      <c r="S12">
        <v>12086</v>
      </c>
      <c r="T12">
        <v>6412</v>
      </c>
      <c r="U12">
        <v>2711616</v>
      </c>
      <c r="V12">
        <v>14967</v>
      </c>
      <c r="W12">
        <v>387</v>
      </c>
      <c r="X12">
        <v>16044</v>
      </c>
      <c r="Y12">
        <v>3627575</v>
      </c>
      <c r="Z12">
        <v>27202</v>
      </c>
      <c r="AA12">
        <v>988</v>
      </c>
      <c r="AB12">
        <v>4297327</v>
      </c>
      <c r="AC12">
        <v>15553</v>
      </c>
      <c r="AD12">
        <v>496</v>
      </c>
      <c r="AE12">
        <v>10759998</v>
      </c>
      <c r="AF12">
        <v>32339</v>
      </c>
      <c r="AG12">
        <v>44</v>
      </c>
      <c r="AH12">
        <v>13304200</v>
      </c>
      <c r="AI12">
        <v>19724</v>
      </c>
      <c r="AJ12">
        <v>11257</v>
      </c>
      <c r="AK12">
        <v>2352738</v>
      </c>
      <c r="AL12">
        <v>14558</v>
      </c>
      <c r="AM12">
        <v>86</v>
      </c>
      <c r="AN12">
        <v>276130</v>
      </c>
      <c r="AO12">
        <v>1422</v>
      </c>
      <c r="AP12">
        <v>172416</v>
      </c>
      <c r="AQ12">
        <v>3578501</v>
      </c>
      <c r="AR12">
        <v>18594</v>
      </c>
      <c r="AS12">
        <v>40216</v>
      </c>
      <c r="AT12">
        <v>1691</v>
      </c>
      <c r="AU12">
        <v>868861</v>
      </c>
      <c r="AV12">
        <v>23788</v>
      </c>
      <c r="AW12">
        <v>173459</v>
      </c>
      <c r="AX12">
        <v>47199</v>
      </c>
      <c r="AY12">
        <v>47160</v>
      </c>
      <c r="AZ12">
        <v>34611</v>
      </c>
      <c r="BA12">
        <v>2039516</v>
      </c>
      <c r="BB12">
        <v>81472</v>
      </c>
      <c r="BC12">
        <v>87397</v>
      </c>
      <c r="BD12">
        <v>55780</v>
      </c>
      <c r="BE12">
        <v>2051324</v>
      </c>
      <c r="BF12">
        <v>80040</v>
      </c>
      <c r="BG12">
        <v>28197</v>
      </c>
      <c r="BH12">
        <v>16053</v>
      </c>
      <c r="BI12">
        <v>57227</v>
      </c>
      <c r="BJ12">
        <v>6776095</v>
      </c>
      <c r="BK12">
        <v>6724</v>
      </c>
      <c r="BL12">
        <v>15605087</v>
      </c>
      <c r="BM12">
        <v>22718</v>
      </c>
      <c r="BN12">
        <v>1036374</v>
      </c>
      <c r="BO12">
        <v>6845</v>
      </c>
      <c r="BP12">
        <v>97624</v>
      </c>
      <c r="BQ12">
        <v>11204</v>
      </c>
      <c r="BR12">
        <v>764</v>
      </c>
      <c r="BS12">
        <v>78063</v>
      </c>
      <c r="BT12">
        <v>15896</v>
      </c>
      <c r="BU12">
        <v>47510</v>
      </c>
      <c r="BV12">
        <v>5122</v>
      </c>
      <c r="BW12">
        <v>28607</v>
      </c>
      <c r="BX12">
        <v>8304</v>
      </c>
      <c r="BY12">
        <v>8244</v>
      </c>
      <c r="BZ12">
        <v>6033</v>
      </c>
    </row>
    <row r="13" spans="1:78" x14ac:dyDescent="0.4">
      <c r="A13" s="1" t="s">
        <v>14</v>
      </c>
      <c r="B13" s="3" t="s">
        <v>15</v>
      </c>
      <c r="C13">
        <v>289014</v>
      </c>
      <c r="D13">
        <v>7796895</v>
      </c>
      <c r="E13">
        <v>42082</v>
      </c>
      <c r="F13">
        <v>284605</v>
      </c>
      <c r="G13">
        <v>7747027</v>
      </c>
      <c r="H13">
        <v>43212</v>
      </c>
      <c r="I13">
        <v>39671</v>
      </c>
      <c r="J13">
        <v>72016</v>
      </c>
      <c r="K13">
        <v>13399577</v>
      </c>
      <c r="L13">
        <v>54308</v>
      </c>
      <c r="M13">
        <v>83695</v>
      </c>
      <c r="N13">
        <v>15430988</v>
      </c>
      <c r="O13">
        <v>63069</v>
      </c>
      <c r="P13">
        <v>9980</v>
      </c>
      <c r="Q13">
        <v>6155</v>
      </c>
      <c r="R13">
        <v>2529517</v>
      </c>
      <c r="S13">
        <v>14528</v>
      </c>
      <c r="T13">
        <v>7524</v>
      </c>
      <c r="U13">
        <v>2981066</v>
      </c>
      <c r="V13">
        <v>17718</v>
      </c>
      <c r="W13">
        <v>377</v>
      </c>
      <c r="X13">
        <v>15753</v>
      </c>
      <c r="Y13">
        <v>3587895</v>
      </c>
      <c r="Z13">
        <v>26917</v>
      </c>
      <c r="AA13">
        <v>873</v>
      </c>
      <c r="AB13">
        <v>3759990</v>
      </c>
      <c r="AC13">
        <v>15004</v>
      </c>
      <c r="AD13">
        <v>491</v>
      </c>
      <c r="AE13">
        <v>11241253</v>
      </c>
      <c r="AF13">
        <v>38392</v>
      </c>
      <c r="AG13">
        <v>44</v>
      </c>
      <c r="AH13">
        <v>12538900</v>
      </c>
      <c r="AI13">
        <v>25485</v>
      </c>
      <c r="AJ13">
        <v>10273</v>
      </c>
      <c r="AK13">
        <v>2034425</v>
      </c>
      <c r="AL13">
        <v>14390</v>
      </c>
      <c r="AM13">
        <v>95</v>
      </c>
      <c r="AN13">
        <v>508553</v>
      </c>
      <c r="AO13">
        <v>2435</v>
      </c>
      <c r="AP13">
        <v>163649</v>
      </c>
      <c r="AQ13">
        <v>3000913</v>
      </c>
      <c r="AR13">
        <v>15841</v>
      </c>
      <c r="AS13">
        <v>27783</v>
      </c>
      <c r="AT13">
        <v>1920</v>
      </c>
      <c r="AU13">
        <v>865012</v>
      </c>
      <c r="AV13">
        <v>22847</v>
      </c>
      <c r="AW13">
        <v>186196</v>
      </c>
      <c r="AX13">
        <v>48732</v>
      </c>
      <c r="AY13">
        <v>44394</v>
      </c>
      <c r="AZ13">
        <v>32967</v>
      </c>
      <c r="BA13" t="s">
        <v>73</v>
      </c>
      <c r="BB13" t="s">
        <v>73</v>
      </c>
      <c r="BC13" t="s">
        <v>73</v>
      </c>
      <c r="BD13" t="s">
        <v>73</v>
      </c>
      <c r="BE13">
        <v>2016153</v>
      </c>
      <c r="BF13">
        <v>79343</v>
      </c>
      <c r="BG13">
        <v>28970</v>
      </c>
      <c r="BH13">
        <v>15125</v>
      </c>
      <c r="BI13">
        <v>56493</v>
      </c>
      <c r="BJ13">
        <v>6345325</v>
      </c>
      <c r="BK13">
        <v>9304</v>
      </c>
      <c r="BL13">
        <v>14807420</v>
      </c>
      <c r="BM13">
        <v>23879</v>
      </c>
      <c r="BN13">
        <v>1038381</v>
      </c>
      <c r="BO13">
        <v>7325</v>
      </c>
      <c r="BP13">
        <v>63229</v>
      </c>
      <c r="BQ13">
        <v>10696</v>
      </c>
      <c r="BR13">
        <v>769</v>
      </c>
      <c r="BS13">
        <v>89478</v>
      </c>
      <c r="BT13">
        <v>19493</v>
      </c>
      <c r="BU13">
        <v>42913</v>
      </c>
      <c r="BV13">
        <v>5949</v>
      </c>
      <c r="BW13">
        <v>26765</v>
      </c>
      <c r="BX13">
        <v>7710</v>
      </c>
      <c r="BY13">
        <v>10139</v>
      </c>
      <c r="BZ13">
        <v>6897</v>
      </c>
    </row>
    <row r="14" spans="1:78" x14ac:dyDescent="0.4">
      <c r="A14" s="1" t="s">
        <v>16</v>
      </c>
      <c r="B14" s="1" t="s">
        <v>17</v>
      </c>
      <c r="C14">
        <v>29009</v>
      </c>
      <c r="D14">
        <v>778990</v>
      </c>
      <c r="E14">
        <v>3977</v>
      </c>
      <c r="F14">
        <v>28302</v>
      </c>
      <c r="G14">
        <v>742659</v>
      </c>
      <c r="H14">
        <v>4017</v>
      </c>
      <c r="I14">
        <v>40120</v>
      </c>
      <c r="J14">
        <v>5330</v>
      </c>
      <c r="K14">
        <v>984476</v>
      </c>
      <c r="L14">
        <v>3822</v>
      </c>
      <c r="M14">
        <v>6108</v>
      </c>
      <c r="N14">
        <v>1223989</v>
      </c>
      <c r="O14">
        <v>4870</v>
      </c>
      <c r="P14">
        <v>10089</v>
      </c>
      <c r="Q14">
        <v>469</v>
      </c>
      <c r="R14">
        <v>234810</v>
      </c>
      <c r="S14">
        <v>1065</v>
      </c>
      <c r="T14">
        <v>596</v>
      </c>
      <c r="U14">
        <v>276910</v>
      </c>
      <c r="V14">
        <v>1285</v>
      </c>
      <c r="W14">
        <v>316</v>
      </c>
      <c r="X14">
        <v>1349</v>
      </c>
      <c r="Y14">
        <v>312795</v>
      </c>
      <c r="Z14">
        <v>2690</v>
      </c>
      <c r="AA14">
        <v>111</v>
      </c>
      <c r="AB14">
        <v>473990</v>
      </c>
      <c r="AC14">
        <v>1692</v>
      </c>
      <c r="AD14">
        <v>40</v>
      </c>
      <c r="AE14">
        <v>993278</v>
      </c>
      <c r="AF14">
        <v>2436</v>
      </c>
      <c r="AG14">
        <v>3</v>
      </c>
      <c r="AH14">
        <v>1378000</v>
      </c>
      <c r="AI14">
        <v>2125</v>
      </c>
      <c r="AJ14">
        <v>908</v>
      </c>
      <c r="AK14">
        <v>189765</v>
      </c>
      <c r="AL14">
        <v>1036</v>
      </c>
      <c r="AM14">
        <v>14</v>
      </c>
      <c r="AN14">
        <v>38970</v>
      </c>
      <c r="AO14">
        <v>205</v>
      </c>
      <c r="AP14">
        <v>14465</v>
      </c>
      <c r="AQ14">
        <v>564499</v>
      </c>
      <c r="AR14">
        <v>2001</v>
      </c>
      <c r="AS14">
        <v>4196</v>
      </c>
      <c r="AT14">
        <v>110</v>
      </c>
      <c r="AU14">
        <v>70925</v>
      </c>
      <c r="AV14">
        <v>1921</v>
      </c>
      <c r="AW14">
        <v>16025</v>
      </c>
      <c r="AX14">
        <v>6488</v>
      </c>
      <c r="AY14">
        <v>3854</v>
      </c>
      <c r="AZ14">
        <v>5039</v>
      </c>
      <c r="BA14">
        <v>231192</v>
      </c>
      <c r="BB14">
        <v>8473</v>
      </c>
      <c r="BC14">
        <v>9656</v>
      </c>
      <c r="BD14">
        <v>9932</v>
      </c>
      <c r="BE14">
        <v>181996</v>
      </c>
      <c r="BF14">
        <v>6964</v>
      </c>
      <c r="BG14">
        <v>3019</v>
      </c>
      <c r="BH14">
        <v>1171</v>
      </c>
      <c r="BI14">
        <v>4717</v>
      </c>
      <c r="BJ14">
        <v>531225</v>
      </c>
      <c r="BK14">
        <v>505</v>
      </c>
      <c r="BL14">
        <v>1607251</v>
      </c>
      <c r="BM14">
        <v>2173</v>
      </c>
      <c r="BN14">
        <v>83222</v>
      </c>
      <c r="BO14">
        <v>726</v>
      </c>
      <c r="BP14">
        <v>10497</v>
      </c>
      <c r="BQ14">
        <v>899</v>
      </c>
      <c r="BR14">
        <v>78</v>
      </c>
      <c r="BS14">
        <v>12351</v>
      </c>
      <c r="BT14">
        <v>2839</v>
      </c>
      <c r="BU14">
        <v>2361</v>
      </c>
      <c r="BV14">
        <v>363</v>
      </c>
      <c r="BW14">
        <v>2458</v>
      </c>
      <c r="BX14">
        <v>977</v>
      </c>
      <c r="BY14">
        <v>1416</v>
      </c>
      <c r="BZ14">
        <v>1024</v>
      </c>
    </row>
    <row r="15" spans="1:78" x14ac:dyDescent="0.4">
      <c r="A15" s="1" t="s">
        <v>18</v>
      </c>
      <c r="B15" s="1" t="s">
        <v>19</v>
      </c>
      <c r="C15">
        <v>27136</v>
      </c>
      <c r="D15">
        <v>717105</v>
      </c>
      <c r="E15">
        <v>3735</v>
      </c>
      <c r="F15">
        <v>28493</v>
      </c>
      <c r="G15">
        <v>731786</v>
      </c>
      <c r="H15">
        <v>3753</v>
      </c>
      <c r="I15">
        <v>38760</v>
      </c>
      <c r="J15">
        <v>5292</v>
      </c>
      <c r="K15">
        <v>1017541</v>
      </c>
      <c r="L15">
        <v>3949</v>
      </c>
      <c r="M15">
        <v>5638</v>
      </c>
      <c r="N15">
        <v>1116069</v>
      </c>
      <c r="O15">
        <v>4297</v>
      </c>
      <c r="P15">
        <v>10466</v>
      </c>
      <c r="Q15">
        <v>317</v>
      </c>
      <c r="R15">
        <v>158140</v>
      </c>
      <c r="S15">
        <v>788</v>
      </c>
      <c r="T15">
        <v>408</v>
      </c>
      <c r="U15">
        <v>184830</v>
      </c>
      <c r="V15">
        <v>1086</v>
      </c>
      <c r="W15">
        <v>310</v>
      </c>
      <c r="X15">
        <v>1225</v>
      </c>
      <c r="Y15">
        <v>287141</v>
      </c>
      <c r="Z15">
        <v>2049</v>
      </c>
      <c r="AA15">
        <v>78</v>
      </c>
      <c r="AB15">
        <v>343980</v>
      </c>
      <c r="AC15">
        <v>1059</v>
      </c>
      <c r="AD15">
        <v>35</v>
      </c>
      <c r="AE15">
        <v>817300</v>
      </c>
      <c r="AF15">
        <v>2245</v>
      </c>
      <c r="AG15">
        <v>1</v>
      </c>
      <c r="AH15">
        <v>200000</v>
      </c>
      <c r="AI15">
        <v>346</v>
      </c>
      <c r="AJ15">
        <v>881</v>
      </c>
      <c r="AK15">
        <v>194823</v>
      </c>
      <c r="AL15">
        <v>1116</v>
      </c>
      <c r="AM15">
        <v>7</v>
      </c>
      <c r="AN15">
        <v>28970</v>
      </c>
      <c r="AO15">
        <v>116</v>
      </c>
      <c r="AP15">
        <v>14473</v>
      </c>
      <c r="AQ15">
        <v>297189</v>
      </c>
      <c r="AR15">
        <v>1799</v>
      </c>
      <c r="AS15">
        <v>2185</v>
      </c>
      <c r="AT15">
        <v>100</v>
      </c>
      <c r="AU15">
        <v>80294</v>
      </c>
      <c r="AV15">
        <v>1998</v>
      </c>
      <c r="AW15">
        <v>15066</v>
      </c>
      <c r="AX15">
        <v>2907</v>
      </c>
      <c r="AY15">
        <v>3541</v>
      </c>
      <c r="AZ15">
        <v>2017</v>
      </c>
      <c r="BA15">
        <v>186996</v>
      </c>
      <c r="BB15">
        <v>7372</v>
      </c>
      <c r="BC15">
        <v>6951</v>
      </c>
      <c r="BD15">
        <v>3594</v>
      </c>
      <c r="BE15">
        <v>177162</v>
      </c>
      <c r="BF15">
        <v>6600</v>
      </c>
      <c r="BG15">
        <v>2454</v>
      </c>
      <c r="BH15">
        <v>1799</v>
      </c>
      <c r="BI15">
        <v>5076</v>
      </c>
      <c r="BJ15">
        <v>566148</v>
      </c>
      <c r="BK15">
        <v>548</v>
      </c>
      <c r="BL15">
        <v>1599425</v>
      </c>
      <c r="BM15">
        <v>1874</v>
      </c>
      <c r="BN15">
        <v>105052</v>
      </c>
      <c r="BO15">
        <v>430</v>
      </c>
      <c r="BP15">
        <v>10600</v>
      </c>
      <c r="BQ15">
        <v>822</v>
      </c>
      <c r="BR15">
        <v>36</v>
      </c>
      <c r="BS15">
        <v>2266</v>
      </c>
      <c r="BT15">
        <v>401</v>
      </c>
      <c r="BU15">
        <v>2610</v>
      </c>
      <c r="BV15">
        <v>377</v>
      </c>
      <c r="BW15">
        <v>2646</v>
      </c>
      <c r="BX15">
        <v>790</v>
      </c>
      <c r="BY15">
        <v>500</v>
      </c>
      <c r="BZ15">
        <v>344</v>
      </c>
    </row>
    <row r="16" spans="1:78" x14ac:dyDescent="0.4">
      <c r="A16" s="1" t="s">
        <v>20</v>
      </c>
      <c r="B16" s="1" t="s">
        <v>21</v>
      </c>
      <c r="C16">
        <v>26051</v>
      </c>
      <c r="D16">
        <v>685465</v>
      </c>
      <c r="E16">
        <v>3509</v>
      </c>
      <c r="F16">
        <v>26766</v>
      </c>
      <c r="G16">
        <v>692004</v>
      </c>
      <c r="H16">
        <v>3715</v>
      </c>
      <c r="I16">
        <v>38045</v>
      </c>
      <c r="J16">
        <v>5305</v>
      </c>
      <c r="K16">
        <v>949561</v>
      </c>
      <c r="L16">
        <v>3549</v>
      </c>
      <c r="M16">
        <v>5404</v>
      </c>
      <c r="N16">
        <v>978309</v>
      </c>
      <c r="O16">
        <v>3814</v>
      </c>
      <c r="P16">
        <v>11039</v>
      </c>
      <c r="Q16">
        <v>370</v>
      </c>
      <c r="R16">
        <v>156365</v>
      </c>
      <c r="S16">
        <v>835</v>
      </c>
      <c r="T16">
        <v>430</v>
      </c>
      <c r="U16">
        <v>164610</v>
      </c>
      <c r="V16">
        <v>860</v>
      </c>
      <c r="W16">
        <v>309</v>
      </c>
      <c r="X16">
        <v>1008</v>
      </c>
      <c r="Y16">
        <v>212384</v>
      </c>
      <c r="Z16">
        <v>1842</v>
      </c>
      <c r="AA16">
        <v>80</v>
      </c>
      <c r="AB16">
        <v>333320</v>
      </c>
      <c r="AC16">
        <v>1165</v>
      </c>
      <c r="AD16">
        <v>45</v>
      </c>
      <c r="AE16">
        <v>1006310</v>
      </c>
      <c r="AF16">
        <v>3065</v>
      </c>
      <c r="AG16">
        <v>3</v>
      </c>
      <c r="AH16">
        <v>633000</v>
      </c>
      <c r="AI16">
        <v>1831</v>
      </c>
      <c r="AJ16">
        <v>865</v>
      </c>
      <c r="AK16">
        <v>203041</v>
      </c>
      <c r="AL16">
        <v>1074</v>
      </c>
      <c r="AM16">
        <v>8</v>
      </c>
      <c r="AN16">
        <v>26970</v>
      </c>
      <c r="AO16">
        <v>153</v>
      </c>
      <c r="AP16">
        <v>13414</v>
      </c>
      <c r="AQ16">
        <v>500377</v>
      </c>
      <c r="AR16">
        <v>1751</v>
      </c>
      <c r="AS16">
        <v>1842</v>
      </c>
      <c r="AT16">
        <v>79</v>
      </c>
      <c r="AU16">
        <v>75003</v>
      </c>
      <c r="AV16">
        <v>1870</v>
      </c>
      <c r="AW16">
        <v>12057</v>
      </c>
      <c r="AX16">
        <v>2963</v>
      </c>
      <c r="AY16">
        <v>3763</v>
      </c>
      <c r="AZ16">
        <v>3333</v>
      </c>
      <c r="BA16">
        <v>184102</v>
      </c>
      <c r="BB16">
        <v>7002</v>
      </c>
      <c r="BC16">
        <v>6543</v>
      </c>
      <c r="BD16">
        <v>3382</v>
      </c>
      <c r="BE16">
        <v>168358</v>
      </c>
      <c r="BF16">
        <v>6538</v>
      </c>
      <c r="BG16">
        <v>1951</v>
      </c>
      <c r="BH16">
        <v>1185</v>
      </c>
      <c r="BI16">
        <v>3931</v>
      </c>
      <c r="BJ16">
        <v>520406</v>
      </c>
      <c r="BK16">
        <v>634</v>
      </c>
      <c r="BL16">
        <v>1480209</v>
      </c>
      <c r="BM16">
        <v>1842</v>
      </c>
      <c r="BN16">
        <v>76552</v>
      </c>
      <c r="BO16">
        <v>669</v>
      </c>
      <c r="BP16">
        <v>8253</v>
      </c>
      <c r="BQ16">
        <v>914</v>
      </c>
      <c r="BR16">
        <v>93</v>
      </c>
      <c r="BS16">
        <v>4599</v>
      </c>
      <c r="BT16">
        <v>1286</v>
      </c>
      <c r="BU16">
        <v>3984</v>
      </c>
      <c r="BV16">
        <v>384</v>
      </c>
      <c r="BW16">
        <v>2403</v>
      </c>
      <c r="BX16">
        <v>721</v>
      </c>
      <c r="BY16">
        <v>642</v>
      </c>
      <c r="BZ16">
        <v>451</v>
      </c>
    </row>
    <row r="17" spans="1:78" x14ac:dyDescent="0.4">
      <c r="A17" s="1" t="s">
        <v>22</v>
      </c>
      <c r="B17" s="1" t="s">
        <v>23</v>
      </c>
      <c r="C17">
        <v>26470</v>
      </c>
      <c r="D17">
        <v>698900</v>
      </c>
      <c r="E17">
        <v>3636</v>
      </c>
      <c r="F17">
        <v>28018</v>
      </c>
      <c r="G17">
        <v>742369</v>
      </c>
      <c r="H17">
        <v>3999</v>
      </c>
      <c r="I17">
        <v>36497</v>
      </c>
      <c r="J17">
        <v>5405</v>
      </c>
      <c r="K17">
        <v>943416</v>
      </c>
      <c r="L17">
        <v>3487</v>
      </c>
      <c r="M17">
        <v>5565</v>
      </c>
      <c r="N17">
        <v>960124</v>
      </c>
      <c r="O17">
        <v>3719</v>
      </c>
      <c r="P17">
        <v>11437</v>
      </c>
      <c r="Q17">
        <v>337</v>
      </c>
      <c r="R17">
        <v>130860</v>
      </c>
      <c r="S17">
        <v>775</v>
      </c>
      <c r="T17">
        <v>368</v>
      </c>
      <c r="U17">
        <v>128595</v>
      </c>
      <c r="V17">
        <v>807</v>
      </c>
      <c r="W17">
        <v>362</v>
      </c>
      <c r="X17">
        <v>1146</v>
      </c>
      <c r="Y17">
        <v>239488</v>
      </c>
      <c r="Z17">
        <v>1790</v>
      </c>
      <c r="AA17">
        <v>85</v>
      </c>
      <c r="AB17">
        <v>380610</v>
      </c>
      <c r="AC17">
        <v>1513</v>
      </c>
      <c r="AD17">
        <v>43</v>
      </c>
      <c r="AE17">
        <v>978550</v>
      </c>
      <c r="AF17">
        <v>3015</v>
      </c>
      <c r="AG17">
        <v>4</v>
      </c>
      <c r="AH17">
        <v>1350000</v>
      </c>
      <c r="AI17">
        <v>2519</v>
      </c>
      <c r="AJ17">
        <v>861</v>
      </c>
      <c r="AK17">
        <v>158490</v>
      </c>
      <c r="AL17">
        <v>1039</v>
      </c>
      <c r="AM17">
        <v>8</v>
      </c>
      <c r="AN17">
        <v>23140</v>
      </c>
      <c r="AO17">
        <v>106</v>
      </c>
      <c r="AP17">
        <v>14438</v>
      </c>
      <c r="AQ17">
        <v>175902</v>
      </c>
      <c r="AR17">
        <v>1271</v>
      </c>
      <c r="AS17">
        <v>1948</v>
      </c>
      <c r="AT17">
        <v>101</v>
      </c>
      <c r="AU17">
        <v>75156</v>
      </c>
      <c r="AV17">
        <v>1993</v>
      </c>
      <c r="AW17">
        <v>11272</v>
      </c>
      <c r="AX17">
        <v>3017</v>
      </c>
      <c r="AY17">
        <v>4033</v>
      </c>
      <c r="AZ17">
        <v>3441</v>
      </c>
      <c r="BA17">
        <v>167644</v>
      </c>
      <c r="BB17">
        <v>6641</v>
      </c>
      <c r="BC17">
        <v>6885</v>
      </c>
      <c r="BD17">
        <v>5814</v>
      </c>
      <c r="BE17">
        <v>164166</v>
      </c>
      <c r="BF17">
        <v>6599</v>
      </c>
      <c r="BG17">
        <v>2866</v>
      </c>
      <c r="BH17">
        <v>1671</v>
      </c>
      <c r="BI17">
        <v>4183</v>
      </c>
      <c r="BJ17">
        <v>526362</v>
      </c>
      <c r="BK17">
        <v>727</v>
      </c>
      <c r="BL17">
        <v>964563</v>
      </c>
      <c r="BM17">
        <v>1715</v>
      </c>
      <c r="BN17">
        <v>66996</v>
      </c>
      <c r="BO17">
        <v>523</v>
      </c>
      <c r="BP17">
        <v>9040</v>
      </c>
      <c r="BQ17">
        <v>1019</v>
      </c>
      <c r="BR17">
        <v>54</v>
      </c>
      <c r="BS17">
        <v>6013</v>
      </c>
      <c r="BT17">
        <v>855</v>
      </c>
      <c r="BU17">
        <v>4509</v>
      </c>
      <c r="BV17">
        <v>393</v>
      </c>
      <c r="BW17">
        <v>2386</v>
      </c>
      <c r="BX17">
        <v>718</v>
      </c>
      <c r="BY17">
        <v>629</v>
      </c>
      <c r="BZ17">
        <v>394</v>
      </c>
    </row>
    <row r="18" spans="1:78" x14ac:dyDescent="0.4">
      <c r="A18" s="1" t="s">
        <v>24</v>
      </c>
      <c r="B18" s="1" t="s">
        <v>25</v>
      </c>
      <c r="C18">
        <v>28801</v>
      </c>
      <c r="D18">
        <v>760925</v>
      </c>
      <c r="E18">
        <v>4035</v>
      </c>
      <c r="F18">
        <v>29669</v>
      </c>
      <c r="G18">
        <v>745589</v>
      </c>
      <c r="H18">
        <v>4094</v>
      </c>
      <c r="I18">
        <v>35629</v>
      </c>
      <c r="J18">
        <v>5279</v>
      </c>
      <c r="K18">
        <v>984811</v>
      </c>
      <c r="L18">
        <v>3823</v>
      </c>
      <c r="M18">
        <v>5871</v>
      </c>
      <c r="N18">
        <v>1073934</v>
      </c>
      <c r="O18">
        <v>4201</v>
      </c>
      <c r="P18">
        <v>11443</v>
      </c>
      <c r="Q18">
        <v>412</v>
      </c>
      <c r="R18">
        <v>181327</v>
      </c>
      <c r="S18">
        <v>957</v>
      </c>
      <c r="T18">
        <v>500</v>
      </c>
      <c r="U18">
        <v>195657</v>
      </c>
      <c r="V18">
        <v>1118</v>
      </c>
      <c r="W18">
        <v>388</v>
      </c>
      <c r="X18">
        <v>1342</v>
      </c>
      <c r="Y18">
        <v>289887</v>
      </c>
      <c r="Z18">
        <v>2097</v>
      </c>
      <c r="AA18">
        <v>66</v>
      </c>
      <c r="AB18">
        <v>333650</v>
      </c>
      <c r="AC18">
        <v>1028</v>
      </c>
      <c r="AD18">
        <v>34</v>
      </c>
      <c r="AE18">
        <v>681300</v>
      </c>
      <c r="AF18">
        <v>2036</v>
      </c>
      <c r="AG18">
        <v>3</v>
      </c>
      <c r="AH18">
        <v>1365000</v>
      </c>
      <c r="AI18">
        <v>1411</v>
      </c>
      <c r="AJ18">
        <v>916</v>
      </c>
      <c r="AK18">
        <v>186219</v>
      </c>
      <c r="AL18">
        <v>1263</v>
      </c>
      <c r="AM18">
        <v>5</v>
      </c>
      <c r="AN18">
        <v>15000</v>
      </c>
      <c r="AO18">
        <v>127</v>
      </c>
      <c r="AP18">
        <v>15397</v>
      </c>
      <c r="AQ18">
        <v>430232</v>
      </c>
      <c r="AR18">
        <v>2117</v>
      </c>
      <c r="AS18">
        <v>2747</v>
      </c>
      <c r="AT18">
        <v>108</v>
      </c>
      <c r="AU18">
        <v>76605</v>
      </c>
      <c r="AV18">
        <v>2048</v>
      </c>
      <c r="AW18">
        <v>14412</v>
      </c>
      <c r="AX18">
        <v>2820</v>
      </c>
      <c r="AY18">
        <v>3169</v>
      </c>
      <c r="AZ18">
        <v>1645</v>
      </c>
      <c r="BA18">
        <v>162755</v>
      </c>
      <c r="BB18">
        <v>6726</v>
      </c>
      <c r="BC18">
        <v>6331</v>
      </c>
      <c r="BD18">
        <v>3811</v>
      </c>
      <c r="BE18">
        <v>177831</v>
      </c>
      <c r="BF18">
        <v>7071</v>
      </c>
      <c r="BG18">
        <v>3264</v>
      </c>
      <c r="BH18">
        <v>1193</v>
      </c>
      <c r="BI18">
        <v>4844</v>
      </c>
      <c r="BJ18">
        <v>581502</v>
      </c>
      <c r="BK18">
        <v>595</v>
      </c>
      <c r="BL18">
        <v>1019448</v>
      </c>
      <c r="BM18">
        <v>1762</v>
      </c>
      <c r="BN18">
        <v>111003</v>
      </c>
      <c r="BO18">
        <v>524</v>
      </c>
      <c r="BP18">
        <v>7197</v>
      </c>
      <c r="BQ18">
        <v>856</v>
      </c>
      <c r="BR18">
        <v>74</v>
      </c>
      <c r="BS18">
        <v>7726</v>
      </c>
      <c r="BT18">
        <v>1671</v>
      </c>
      <c r="BU18">
        <v>4802</v>
      </c>
      <c r="BV18">
        <v>439</v>
      </c>
      <c r="BW18">
        <v>2686</v>
      </c>
      <c r="BX18">
        <v>747</v>
      </c>
      <c r="BY18">
        <v>675</v>
      </c>
      <c r="BZ18">
        <v>431</v>
      </c>
    </row>
    <row r="19" spans="1:78" x14ac:dyDescent="0.4">
      <c r="A19" s="1" t="s">
        <v>26</v>
      </c>
      <c r="B19" s="1" t="s">
        <v>27</v>
      </c>
      <c r="C19">
        <v>23151</v>
      </c>
      <c r="D19">
        <v>604255</v>
      </c>
      <c r="E19">
        <v>3268</v>
      </c>
      <c r="F19">
        <v>22253</v>
      </c>
      <c r="G19">
        <v>584945</v>
      </c>
      <c r="H19">
        <v>3328</v>
      </c>
      <c r="I19">
        <v>36527</v>
      </c>
      <c r="J19">
        <v>4720</v>
      </c>
      <c r="K19">
        <v>877286</v>
      </c>
      <c r="L19">
        <v>3438</v>
      </c>
      <c r="M19">
        <v>5994</v>
      </c>
      <c r="N19">
        <v>1100524</v>
      </c>
      <c r="O19">
        <v>4398</v>
      </c>
      <c r="P19">
        <v>10854</v>
      </c>
      <c r="Q19">
        <v>347</v>
      </c>
      <c r="R19">
        <v>169166</v>
      </c>
      <c r="S19">
        <v>902</v>
      </c>
      <c r="T19">
        <v>488</v>
      </c>
      <c r="U19">
        <v>237441</v>
      </c>
      <c r="V19">
        <v>1327</v>
      </c>
      <c r="W19">
        <v>352</v>
      </c>
      <c r="X19">
        <v>1217</v>
      </c>
      <c r="Y19">
        <v>266269</v>
      </c>
      <c r="Z19">
        <v>2034</v>
      </c>
      <c r="AA19">
        <v>65</v>
      </c>
      <c r="AB19">
        <v>291840</v>
      </c>
      <c r="AC19">
        <v>926</v>
      </c>
      <c r="AD19">
        <v>40</v>
      </c>
      <c r="AE19">
        <v>933090</v>
      </c>
      <c r="AF19">
        <v>3160</v>
      </c>
      <c r="AG19">
        <v>4</v>
      </c>
      <c r="AH19">
        <v>1190000</v>
      </c>
      <c r="AI19">
        <v>2144</v>
      </c>
      <c r="AJ19">
        <v>848</v>
      </c>
      <c r="AK19">
        <v>167495</v>
      </c>
      <c r="AL19">
        <v>1044</v>
      </c>
      <c r="AM19">
        <v>7</v>
      </c>
      <c r="AN19">
        <v>18940</v>
      </c>
      <c r="AO19">
        <v>91</v>
      </c>
      <c r="AP19">
        <v>13699</v>
      </c>
      <c r="AQ19">
        <v>296864</v>
      </c>
      <c r="AR19">
        <v>1598</v>
      </c>
      <c r="AS19">
        <v>2131</v>
      </c>
      <c r="AT19">
        <v>84</v>
      </c>
      <c r="AU19">
        <v>64768</v>
      </c>
      <c r="AV19">
        <v>1781</v>
      </c>
      <c r="AW19">
        <v>13273</v>
      </c>
      <c r="AX19">
        <v>2810</v>
      </c>
      <c r="AY19">
        <v>3936</v>
      </c>
      <c r="AZ19">
        <v>2730</v>
      </c>
      <c r="BA19">
        <v>126505</v>
      </c>
      <c r="BB19">
        <v>5369</v>
      </c>
      <c r="BC19">
        <v>5197</v>
      </c>
      <c r="BD19">
        <v>2790</v>
      </c>
      <c r="BE19">
        <v>147454</v>
      </c>
      <c r="BF19">
        <v>5947</v>
      </c>
      <c r="BG19">
        <v>1423</v>
      </c>
      <c r="BH19">
        <v>1075</v>
      </c>
      <c r="BI19">
        <v>5908</v>
      </c>
      <c r="BJ19">
        <v>637662</v>
      </c>
      <c r="BK19">
        <v>568</v>
      </c>
      <c r="BL19">
        <v>948275</v>
      </c>
      <c r="BM19">
        <v>1835</v>
      </c>
      <c r="BN19">
        <v>62198</v>
      </c>
      <c r="BO19">
        <v>547</v>
      </c>
      <c r="BP19">
        <v>7340</v>
      </c>
      <c r="BQ19">
        <v>1076</v>
      </c>
      <c r="BR19">
        <v>39</v>
      </c>
      <c r="BS19">
        <v>4548</v>
      </c>
      <c r="BT19">
        <v>396</v>
      </c>
      <c r="BU19">
        <v>3522</v>
      </c>
      <c r="BV19">
        <v>412</v>
      </c>
      <c r="BW19">
        <v>1974</v>
      </c>
      <c r="BX19">
        <v>503</v>
      </c>
      <c r="BY19">
        <v>706</v>
      </c>
      <c r="BZ19">
        <v>534</v>
      </c>
    </row>
    <row r="20" spans="1:78" x14ac:dyDescent="0.4">
      <c r="A20" s="1" t="s">
        <v>28</v>
      </c>
      <c r="B20" s="1" t="s">
        <v>29</v>
      </c>
      <c r="C20">
        <v>28340</v>
      </c>
      <c r="D20">
        <v>768655</v>
      </c>
      <c r="E20">
        <v>4085</v>
      </c>
      <c r="F20">
        <v>28767</v>
      </c>
      <c r="G20">
        <v>774716</v>
      </c>
      <c r="H20">
        <v>4208</v>
      </c>
      <c r="I20">
        <v>36099</v>
      </c>
      <c r="J20">
        <v>5286</v>
      </c>
      <c r="K20">
        <v>988791</v>
      </c>
      <c r="L20">
        <v>3902</v>
      </c>
      <c r="M20">
        <v>6812</v>
      </c>
      <c r="N20">
        <v>1308864</v>
      </c>
      <c r="O20">
        <v>5219</v>
      </c>
      <c r="P20">
        <v>10048</v>
      </c>
      <c r="Q20">
        <v>528</v>
      </c>
      <c r="R20">
        <v>259968</v>
      </c>
      <c r="S20">
        <v>1380</v>
      </c>
      <c r="T20">
        <v>694</v>
      </c>
      <c r="U20">
        <v>332853</v>
      </c>
      <c r="V20">
        <v>1903</v>
      </c>
      <c r="W20">
        <v>295</v>
      </c>
      <c r="X20">
        <v>1566</v>
      </c>
      <c r="Y20">
        <v>323954</v>
      </c>
      <c r="Z20">
        <v>2414</v>
      </c>
      <c r="AA20">
        <v>97</v>
      </c>
      <c r="AB20">
        <v>396080</v>
      </c>
      <c r="AC20">
        <v>1508</v>
      </c>
      <c r="AD20">
        <v>39</v>
      </c>
      <c r="AE20">
        <v>765150</v>
      </c>
      <c r="AF20">
        <v>2343</v>
      </c>
      <c r="AG20">
        <v>4</v>
      </c>
      <c r="AH20">
        <v>1050000</v>
      </c>
      <c r="AI20">
        <v>2028</v>
      </c>
      <c r="AJ20">
        <v>1023</v>
      </c>
      <c r="AK20">
        <v>220933</v>
      </c>
      <c r="AL20">
        <v>1369</v>
      </c>
      <c r="AM20">
        <v>3</v>
      </c>
      <c r="AN20">
        <v>12500</v>
      </c>
      <c r="AO20">
        <v>45</v>
      </c>
      <c r="AP20">
        <v>15230</v>
      </c>
      <c r="AQ20">
        <v>164315</v>
      </c>
      <c r="AR20">
        <v>1200</v>
      </c>
      <c r="AS20">
        <v>2906</v>
      </c>
      <c r="AT20">
        <v>348</v>
      </c>
      <c r="AU20">
        <v>71320</v>
      </c>
      <c r="AV20">
        <v>2033</v>
      </c>
      <c r="AW20">
        <v>14544</v>
      </c>
      <c r="AX20">
        <v>4764</v>
      </c>
      <c r="AY20">
        <v>3950</v>
      </c>
      <c r="AZ20">
        <v>3570</v>
      </c>
      <c r="BA20">
        <v>129170</v>
      </c>
      <c r="BB20">
        <v>5954</v>
      </c>
      <c r="BC20">
        <v>6276</v>
      </c>
      <c r="BD20">
        <v>5269</v>
      </c>
      <c r="BE20">
        <v>169227</v>
      </c>
      <c r="BF20">
        <v>6613</v>
      </c>
      <c r="BG20">
        <v>2514</v>
      </c>
      <c r="BH20">
        <v>1616</v>
      </c>
      <c r="BI20">
        <v>4537</v>
      </c>
      <c r="BJ20">
        <v>533547</v>
      </c>
      <c r="BK20">
        <v>573</v>
      </c>
      <c r="BL20">
        <v>888885</v>
      </c>
      <c r="BM20">
        <v>1852</v>
      </c>
      <c r="BN20">
        <v>121245</v>
      </c>
      <c r="BO20">
        <v>624</v>
      </c>
      <c r="BP20">
        <v>6298</v>
      </c>
      <c r="BQ20">
        <v>852</v>
      </c>
      <c r="BR20">
        <v>85</v>
      </c>
      <c r="BS20">
        <v>5660</v>
      </c>
      <c r="BT20">
        <v>2048</v>
      </c>
      <c r="BU20">
        <v>3968</v>
      </c>
      <c r="BV20">
        <v>505</v>
      </c>
      <c r="BW20">
        <v>2292</v>
      </c>
      <c r="BX20">
        <v>618</v>
      </c>
      <c r="BY20">
        <v>682</v>
      </c>
      <c r="BZ20">
        <v>657</v>
      </c>
    </row>
    <row r="21" spans="1:78" x14ac:dyDescent="0.4">
      <c r="A21" s="1" t="s">
        <v>30</v>
      </c>
      <c r="B21" s="1" t="s">
        <v>31</v>
      </c>
      <c r="C21">
        <v>27840</v>
      </c>
      <c r="D21">
        <v>722285</v>
      </c>
      <c r="E21">
        <v>3842</v>
      </c>
      <c r="F21">
        <v>27975</v>
      </c>
      <c r="G21">
        <v>766298</v>
      </c>
      <c r="H21">
        <v>4270</v>
      </c>
      <c r="I21">
        <v>35964</v>
      </c>
      <c r="J21">
        <v>6097</v>
      </c>
      <c r="K21">
        <v>1163071</v>
      </c>
      <c r="L21">
        <v>4653</v>
      </c>
      <c r="M21">
        <v>7152</v>
      </c>
      <c r="N21">
        <v>1280079</v>
      </c>
      <c r="O21">
        <v>5215</v>
      </c>
      <c r="P21">
        <v>9669</v>
      </c>
      <c r="Q21">
        <v>559</v>
      </c>
      <c r="R21">
        <v>242835</v>
      </c>
      <c r="S21">
        <v>1266</v>
      </c>
      <c r="T21">
        <v>621</v>
      </c>
      <c r="U21">
        <v>242380</v>
      </c>
      <c r="V21">
        <v>1304</v>
      </c>
      <c r="W21">
        <v>351</v>
      </c>
      <c r="X21">
        <v>1450</v>
      </c>
      <c r="Y21">
        <v>347019</v>
      </c>
      <c r="Z21">
        <v>2436</v>
      </c>
      <c r="AA21">
        <v>95</v>
      </c>
      <c r="AB21">
        <v>396490</v>
      </c>
      <c r="AC21">
        <v>1742</v>
      </c>
      <c r="AD21">
        <v>43</v>
      </c>
      <c r="AE21">
        <v>903680</v>
      </c>
      <c r="AF21">
        <v>2660</v>
      </c>
      <c r="AG21">
        <v>2</v>
      </c>
      <c r="AH21">
        <v>420000</v>
      </c>
      <c r="AI21">
        <v>979</v>
      </c>
      <c r="AJ21">
        <v>993</v>
      </c>
      <c r="AK21">
        <v>187575</v>
      </c>
      <c r="AL21">
        <v>1331</v>
      </c>
      <c r="AM21">
        <v>12</v>
      </c>
      <c r="AN21">
        <v>38140</v>
      </c>
      <c r="AO21">
        <v>182</v>
      </c>
      <c r="AP21">
        <v>15609</v>
      </c>
      <c r="AQ21">
        <v>465575</v>
      </c>
      <c r="AR21">
        <v>2133</v>
      </c>
      <c r="AS21">
        <v>2999</v>
      </c>
      <c r="AT21">
        <v>213</v>
      </c>
      <c r="AU21">
        <v>68674</v>
      </c>
      <c r="AV21">
        <v>2191</v>
      </c>
      <c r="AW21">
        <v>17237</v>
      </c>
      <c r="AX21">
        <v>4361</v>
      </c>
      <c r="AY21">
        <v>4494</v>
      </c>
      <c r="AZ21">
        <v>2656</v>
      </c>
      <c r="BA21">
        <v>142074</v>
      </c>
      <c r="BB21">
        <v>6553</v>
      </c>
      <c r="BC21">
        <v>6909</v>
      </c>
      <c r="BD21">
        <v>3591</v>
      </c>
      <c r="BE21">
        <v>195115</v>
      </c>
      <c r="BF21">
        <v>7558</v>
      </c>
      <c r="BG21">
        <v>2170</v>
      </c>
      <c r="BH21">
        <v>1160</v>
      </c>
      <c r="BI21">
        <v>5436</v>
      </c>
      <c r="BJ21">
        <v>738807</v>
      </c>
      <c r="BK21">
        <v>513</v>
      </c>
      <c r="BL21">
        <v>1280102</v>
      </c>
      <c r="BM21">
        <v>1932</v>
      </c>
      <c r="BN21">
        <v>77084</v>
      </c>
      <c r="BO21">
        <v>578</v>
      </c>
      <c r="BP21">
        <v>7746</v>
      </c>
      <c r="BQ21">
        <v>1122</v>
      </c>
      <c r="BR21">
        <v>69</v>
      </c>
      <c r="BS21">
        <v>1662</v>
      </c>
      <c r="BT21">
        <v>426</v>
      </c>
      <c r="BU21">
        <v>5475</v>
      </c>
      <c r="BV21">
        <v>511</v>
      </c>
      <c r="BW21">
        <v>2695</v>
      </c>
      <c r="BX21">
        <v>664</v>
      </c>
      <c r="BY21">
        <v>697</v>
      </c>
      <c r="BZ21">
        <v>502</v>
      </c>
    </row>
    <row r="22" spans="1:78" x14ac:dyDescent="0.4">
      <c r="A22" s="1" t="s">
        <v>32</v>
      </c>
      <c r="B22" s="1" t="s">
        <v>33</v>
      </c>
      <c r="C22">
        <v>26816</v>
      </c>
      <c r="D22">
        <v>709255</v>
      </c>
      <c r="E22">
        <v>3832</v>
      </c>
      <c r="F22">
        <v>30332</v>
      </c>
      <c r="G22">
        <v>809419</v>
      </c>
      <c r="H22">
        <v>4365</v>
      </c>
      <c r="I22">
        <v>32447</v>
      </c>
      <c r="J22">
        <v>6079</v>
      </c>
      <c r="K22">
        <v>1140476</v>
      </c>
      <c r="L22">
        <v>4609</v>
      </c>
      <c r="M22">
        <v>7142</v>
      </c>
      <c r="N22">
        <v>1301284</v>
      </c>
      <c r="O22">
        <v>5350</v>
      </c>
      <c r="P22">
        <v>9367</v>
      </c>
      <c r="Q22">
        <v>528</v>
      </c>
      <c r="R22">
        <v>300930</v>
      </c>
      <c r="S22">
        <v>1516</v>
      </c>
      <c r="T22">
        <v>701</v>
      </c>
      <c r="U22">
        <v>387125</v>
      </c>
      <c r="V22">
        <v>2056</v>
      </c>
      <c r="W22">
        <v>327</v>
      </c>
      <c r="X22">
        <v>1581</v>
      </c>
      <c r="Y22">
        <v>403849</v>
      </c>
      <c r="Z22">
        <v>2797</v>
      </c>
      <c r="AA22">
        <v>68</v>
      </c>
      <c r="AB22">
        <v>331622</v>
      </c>
      <c r="AC22">
        <v>1273</v>
      </c>
      <c r="AD22">
        <v>53</v>
      </c>
      <c r="AE22">
        <v>995800</v>
      </c>
      <c r="AF22">
        <v>3208</v>
      </c>
      <c r="AG22">
        <v>3</v>
      </c>
      <c r="AH22">
        <v>915000</v>
      </c>
      <c r="AI22">
        <v>1042</v>
      </c>
      <c r="AJ22">
        <v>1007</v>
      </c>
      <c r="AK22">
        <v>198827</v>
      </c>
      <c r="AL22">
        <v>1374</v>
      </c>
      <c r="AM22">
        <v>7</v>
      </c>
      <c r="AN22">
        <v>26000</v>
      </c>
      <c r="AO22">
        <v>151</v>
      </c>
      <c r="AP22">
        <v>14944</v>
      </c>
      <c r="AQ22">
        <v>163221</v>
      </c>
      <c r="AR22">
        <v>1206</v>
      </c>
      <c r="AS22">
        <v>2647</v>
      </c>
      <c r="AT22">
        <v>109</v>
      </c>
      <c r="AU22">
        <v>69489</v>
      </c>
      <c r="AV22">
        <v>2154</v>
      </c>
      <c r="AW22">
        <v>16048</v>
      </c>
      <c r="AX22">
        <v>4095</v>
      </c>
      <c r="AY22">
        <v>3852</v>
      </c>
      <c r="AZ22">
        <v>2107</v>
      </c>
      <c r="BA22">
        <v>130762</v>
      </c>
      <c r="BB22">
        <v>5971</v>
      </c>
      <c r="BC22">
        <v>6725</v>
      </c>
      <c r="BD22">
        <v>3702</v>
      </c>
      <c r="BE22">
        <v>173664</v>
      </c>
      <c r="BF22">
        <v>6824</v>
      </c>
      <c r="BG22">
        <v>2262</v>
      </c>
      <c r="BH22">
        <v>732</v>
      </c>
      <c r="BI22">
        <v>5231</v>
      </c>
      <c r="BJ22">
        <v>631644</v>
      </c>
      <c r="BK22">
        <v>559</v>
      </c>
      <c r="BL22">
        <v>1130768</v>
      </c>
      <c r="BM22">
        <v>1837</v>
      </c>
      <c r="BN22">
        <v>90601</v>
      </c>
      <c r="BO22">
        <v>549</v>
      </c>
      <c r="BP22">
        <v>6225</v>
      </c>
      <c r="BQ22">
        <v>1017</v>
      </c>
      <c r="BR22">
        <v>55</v>
      </c>
      <c r="BS22">
        <v>4691</v>
      </c>
      <c r="BT22">
        <v>2183</v>
      </c>
      <c r="BU22">
        <v>4575</v>
      </c>
      <c r="BV22">
        <v>479</v>
      </c>
      <c r="BW22">
        <v>2096</v>
      </c>
      <c r="BX22">
        <v>633</v>
      </c>
      <c r="BY22">
        <v>541</v>
      </c>
      <c r="BZ22">
        <v>424</v>
      </c>
    </row>
    <row r="23" spans="1:78" x14ac:dyDescent="0.4">
      <c r="A23" s="1" t="s">
        <v>34</v>
      </c>
      <c r="B23" s="1" t="s">
        <v>35</v>
      </c>
      <c r="C23">
        <v>26615</v>
      </c>
      <c r="D23">
        <v>695475</v>
      </c>
      <c r="E23">
        <v>3786</v>
      </c>
      <c r="F23">
        <v>23818</v>
      </c>
      <c r="G23">
        <v>650968</v>
      </c>
      <c r="H23">
        <v>3389</v>
      </c>
      <c r="I23">
        <v>35244</v>
      </c>
      <c r="J23">
        <v>6000</v>
      </c>
      <c r="K23">
        <v>1129406</v>
      </c>
      <c r="L23">
        <v>4628</v>
      </c>
      <c r="M23">
        <v>6902</v>
      </c>
      <c r="N23">
        <v>1376379</v>
      </c>
      <c r="O23">
        <v>5687</v>
      </c>
      <c r="P23">
        <v>9345</v>
      </c>
      <c r="Q23">
        <v>494</v>
      </c>
      <c r="R23">
        <v>188975</v>
      </c>
      <c r="S23">
        <v>1120</v>
      </c>
      <c r="T23">
        <v>605</v>
      </c>
      <c r="U23">
        <v>215725</v>
      </c>
      <c r="V23">
        <v>1335</v>
      </c>
      <c r="W23">
        <v>387</v>
      </c>
      <c r="X23">
        <v>1547</v>
      </c>
      <c r="Y23">
        <v>388551</v>
      </c>
      <c r="Z23">
        <v>2736</v>
      </c>
      <c r="AA23">
        <v>71</v>
      </c>
      <c r="AB23">
        <v>304035</v>
      </c>
      <c r="AC23">
        <v>1316</v>
      </c>
      <c r="AD23">
        <v>36</v>
      </c>
      <c r="AE23">
        <v>685000</v>
      </c>
      <c r="AF23">
        <v>2045</v>
      </c>
      <c r="AG23">
        <v>3</v>
      </c>
      <c r="AH23">
        <v>900000</v>
      </c>
      <c r="AI23">
        <v>1828</v>
      </c>
      <c r="AJ23">
        <v>1146</v>
      </c>
      <c r="AK23">
        <v>262363</v>
      </c>
      <c r="AL23">
        <v>1684</v>
      </c>
      <c r="AM23">
        <v>4</v>
      </c>
      <c r="AN23">
        <v>13000</v>
      </c>
      <c r="AO23">
        <v>61</v>
      </c>
      <c r="AP23">
        <v>14307</v>
      </c>
      <c r="AQ23">
        <v>210085</v>
      </c>
      <c r="AR23">
        <v>1419</v>
      </c>
      <c r="AS23">
        <v>2285</v>
      </c>
      <c r="AT23">
        <v>192</v>
      </c>
      <c r="AU23">
        <v>76993</v>
      </c>
      <c r="AV23">
        <v>2104</v>
      </c>
      <c r="AW23">
        <v>15243</v>
      </c>
      <c r="AX23">
        <v>4181</v>
      </c>
      <c r="AY23">
        <v>4486</v>
      </c>
      <c r="AZ23">
        <v>3614</v>
      </c>
      <c r="BA23">
        <v>120224</v>
      </c>
      <c r="BB23">
        <v>5420</v>
      </c>
      <c r="BC23">
        <v>7253</v>
      </c>
      <c r="BD23">
        <v>5856</v>
      </c>
      <c r="BE23">
        <v>170468</v>
      </c>
      <c r="BF23">
        <v>6707</v>
      </c>
      <c r="BG23">
        <v>1905</v>
      </c>
      <c r="BH23">
        <v>1488</v>
      </c>
      <c r="BI23">
        <v>4543</v>
      </c>
      <c r="BJ23">
        <v>562391</v>
      </c>
      <c r="BK23">
        <v>500</v>
      </c>
      <c r="BL23">
        <v>1396762</v>
      </c>
      <c r="BM23">
        <v>1919</v>
      </c>
      <c r="BN23">
        <v>94138</v>
      </c>
      <c r="BO23">
        <v>636</v>
      </c>
      <c r="BP23">
        <v>6841</v>
      </c>
      <c r="BQ23">
        <v>925</v>
      </c>
      <c r="BR23">
        <v>77</v>
      </c>
      <c r="BS23">
        <v>4658</v>
      </c>
      <c r="BT23">
        <v>1274</v>
      </c>
      <c r="BU23">
        <v>4559</v>
      </c>
      <c r="BV23">
        <v>540</v>
      </c>
      <c r="BW23">
        <v>2226</v>
      </c>
      <c r="BX23">
        <v>634</v>
      </c>
      <c r="BY23">
        <v>664</v>
      </c>
      <c r="BZ23">
        <v>507</v>
      </c>
    </row>
    <row r="24" spans="1:78" x14ac:dyDescent="0.4">
      <c r="A24" s="1" t="s">
        <v>36</v>
      </c>
      <c r="B24" s="1" t="s">
        <v>37</v>
      </c>
      <c r="C24">
        <v>27107</v>
      </c>
      <c r="D24">
        <v>707610</v>
      </c>
      <c r="E24">
        <v>3829</v>
      </c>
      <c r="F24">
        <v>26030</v>
      </c>
      <c r="G24">
        <v>696649</v>
      </c>
      <c r="H24">
        <v>3915</v>
      </c>
      <c r="I24">
        <v>36344</v>
      </c>
      <c r="J24">
        <v>5687</v>
      </c>
      <c r="K24">
        <v>1053076</v>
      </c>
      <c r="L24">
        <v>4161</v>
      </c>
      <c r="M24">
        <v>6844</v>
      </c>
      <c r="N24">
        <v>1221554</v>
      </c>
      <c r="O24">
        <v>4825</v>
      </c>
      <c r="P24">
        <v>9134</v>
      </c>
      <c r="Q24">
        <v>471</v>
      </c>
      <c r="R24">
        <v>233687</v>
      </c>
      <c r="S24">
        <v>1312</v>
      </c>
      <c r="T24">
        <v>638</v>
      </c>
      <c r="U24">
        <v>284697</v>
      </c>
      <c r="V24">
        <v>1639</v>
      </c>
      <c r="W24">
        <v>364</v>
      </c>
      <c r="X24">
        <v>1413</v>
      </c>
      <c r="Y24">
        <v>310005</v>
      </c>
      <c r="Z24">
        <v>2576</v>
      </c>
      <c r="AA24">
        <v>73</v>
      </c>
      <c r="AB24">
        <v>304700</v>
      </c>
      <c r="AC24">
        <v>1128</v>
      </c>
      <c r="AD24">
        <v>50</v>
      </c>
      <c r="AE24">
        <v>1088400</v>
      </c>
      <c r="AF24">
        <v>3401</v>
      </c>
      <c r="AG24">
        <v>2</v>
      </c>
      <c r="AH24">
        <v>210000</v>
      </c>
      <c r="AI24">
        <v>519</v>
      </c>
      <c r="AJ24">
        <v>954</v>
      </c>
      <c r="AK24">
        <v>171251</v>
      </c>
      <c r="AL24">
        <v>1248</v>
      </c>
      <c r="AM24">
        <v>4</v>
      </c>
      <c r="AN24">
        <v>10000</v>
      </c>
      <c r="AO24">
        <v>54</v>
      </c>
      <c r="AP24">
        <v>14247</v>
      </c>
      <c r="AQ24">
        <v>166382</v>
      </c>
      <c r="AR24">
        <v>1227</v>
      </c>
      <c r="AS24">
        <v>2192</v>
      </c>
      <c r="AT24">
        <v>148</v>
      </c>
      <c r="AU24">
        <v>77840</v>
      </c>
      <c r="AV24">
        <v>1742</v>
      </c>
      <c r="AW24">
        <v>16942</v>
      </c>
      <c r="AX24">
        <v>3993</v>
      </c>
      <c r="AY24">
        <v>6837</v>
      </c>
      <c r="AZ24">
        <v>2553</v>
      </c>
      <c r="BA24" t="s">
        <v>73</v>
      </c>
      <c r="BB24" t="s">
        <v>73</v>
      </c>
      <c r="BC24" t="s">
        <v>73</v>
      </c>
      <c r="BD24" t="s">
        <v>73</v>
      </c>
      <c r="BE24">
        <v>162489</v>
      </c>
      <c r="BF24">
        <v>6308</v>
      </c>
      <c r="BG24">
        <v>1589</v>
      </c>
      <c r="BH24">
        <v>1008</v>
      </c>
      <c r="BI24">
        <v>4083</v>
      </c>
      <c r="BJ24">
        <v>470700</v>
      </c>
      <c r="BK24">
        <v>573</v>
      </c>
      <c r="BL24">
        <v>1181568</v>
      </c>
      <c r="BM24">
        <v>2116</v>
      </c>
      <c r="BN24">
        <v>73180</v>
      </c>
      <c r="BO24">
        <v>517</v>
      </c>
      <c r="BP24">
        <v>7134</v>
      </c>
      <c r="BQ24">
        <v>768</v>
      </c>
      <c r="BR24">
        <v>71</v>
      </c>
      <c r="BS24">
        <v>16091</v>
      </c>
      <c r="BT24">
        <v>1867</v>
      </c>
      <c r="BU24">
        <v>3144</v>
      </c>
      <c r="BV24">
        <v>399</v>
      </c>
      <c r="BW24">
        <v>2339</v>
      </c>
      <c r="BX24">
        <v>756</v>
      </c>
      <c r="BY24">
        <v>410</v>
      </c>
      <c r="BZ24">
        <v>390</v>
      </c>
    </row>
    <row r="25" spans="1:78" x14ac:dyDescent="0.4">
      <c r="A25" s="1" t="s">
        <v>38</v>
      </c>
      <c r="B25" s="1" t="s">
        <v>39</v>
      </c>
      <c r="C25">
        <v>26238</v>
      </c>
      <c r="D25">
        <v>687180</v>
      </c>
      <c r="E25">
        <v>3699</v>
      </c>
      <c r="F25">
        <v>24661</v>
      </c>
      <c r="G25">
        <v>664028</v>
      </c>
      <c r="H25">
        <v>3567</v>
      </c>
      <c r="I25">
        <v>37921</v>
      </c>
      <c r="J25">
        <v>5787</v>
      </c>
      <c r="K25">
        <v>1047816</v>
      </c>
      <c r="L25">
        <v>4148</v>
      </c>
      <c r="M25">
        <v>6644</v>
      </c>
      <c r="N25">
        <v>1207829</v>
      </c>
      <c r="O25">
        <v>4866</v>
      </c>
      <c r="P25">
        <v>9146</v>
      </c>
      <c r="Q25">
        <v>435</v>
      </c>
      <c r="R25">
        <v>162765</v>
      </c>
      <c r="S25">
        <v>970</v>
      </c>
      <c r="T25">
        <v>634</v>
      </c>
      <c r="U25">
        <v>219680</v>
      </c>
      <c r="V25">
        <v>1348</v>
      </c>
      <c r="W25">
        <v>308</v>
      </c>
      <c r="X25">
        <v>1367</v>
      </c>
      <c r="Y25">
        <v>318288</v>
      </c>
      <c r="Z25">
        <v>2492</v>
      </c>
      <c r="AA25">
        <v>40</v>
      </c>
      <c r="AB25">
        <v>185470</v>
      </c>
      <c r="AC25">
        <v>1038</v>
      </c>
      <c r="AD25">
        <v>49</v>
      </c>
      <c r="AE25">
        <v>1166800</v>
      </c>
      <c r="AF25">
        <v>3513</v>
      </c>
      <c r="AG25">
        <v>6</v>
      </c>
      <c r="AH25">
        <v>894900</v>
      </c>
      <c r="AI25">
        <v>2329</v>
      </c>
      <c r="AJ25">
        <v>917</v>
      </c>
      <c r="AK25">
        <v>159630</v>
      </c>
      <c r="AL25">
        <v>1196</v>
      </c>
      <c r="AM25">
        <v>6</v>
      </c>
      <c r="AN25">
        <v>21740</v>
      </c>
      <c r="AO25">
        <v>105</v>
      </c>
      <c r="AP25">
        <v>13167</v>
      </c>
      <c r="AQ25">
        <v>287963</v>
      </c>
      <c r="AR25">
        <v>1475</v>
      </c>
      <c r="AS25">
        <v>2518</v>
      </c>
      <c r="AT25">
        <v>130</v>
      </c>
      <c r="AU25">
        <v>68832</v>
      </c>
      <c r="AV25">
        <v>1817</v>
      </c>
      <c r="AW25">
        <v>15698</v>
      </c>
      <c r="AX25">
        <v>4177</v>
      </c>
      <c r="AY25">
        <v>4353</v>
      </c>
      <c r="AZ25">
        <v>3732</v>
      </c>
      <c r="BA25" t="s">
        <v>73</v>
      </c>
      <c r="BB25" t="s">
        <v>73</v>
      </c>
      <c r="BC25" t="s">
        <v>73</v>
      </c>
      <c r="BD25" t="s">
        <v>73</v>
      </c>
      <c r="BE25">
        <v>164490</v>
      </c>
      <c r="BF25">
        <v>6226</v>
      </c>
      <c r="BG25">
        <v>2626</v>
      </c>
      <c r="BH25">
        <v>1285</v>
      </c>
      <c r="BI25">
        <v>3985</v>
      </c>
      <c r="BJ25">
        <v>504318</v>
      </c>
      <c r="BK25">
        <v>616</v>
      </c>
      <c r="BL25">
        <v>1225214</v>
      </c>
      <c r="BM25">
        <v>1926</v>
      </c>
      <c r="BN25">
        <v>92418</v>
      </c>
      <c r="BO25">
        <v>633</v>
      </c>
      <c r="BP25">
        <v>7736</v>
      </c>
      <c r="BQ25">
        <v>890</v>
      </c>
      <c r="BR25">
        <v>90</v>
      </c>
      <c r="BS25">
        <v>5753</v>
      </c>
      <c r="BT25">
        <v>829</v>
      </c>
      <c r="BU25">
        <v>2664</v>
      </c>
      <c r="BV25">
        <v>635</v>
      </c>
      <c r="BW25">
        <v>2291</v>
      </c>
      <c r="BX25">
        <v>672</v>
      </c>
      <c r="BY25">
        <v>447</v>
      </c>
      <c r="BZ25">
        <v>503</v>
      </c>
    </row>
    <row r="26" spans="1:78" x14ac:dyDescent="0.4">
      <c r="A26" s="1" t="s">
        <v>40</v>
      </c>
      <c r="B26" s="1" t="s">
        <v>41</v>
      </c>
      <c r="C26">
        <v>26743</v>
      </c>
      <c r="D26">
        <v>692465</v>
      </c>
      <c r="E26">
        <v>3666</v>
      </c>
      <c r="F26">
        <v>27570</v>
      </c>
      <c r="G26">
        <v>722792</v>
      </c>
      <c r="H26">
        <v>3915</v>
      </c>
      <c r="I26">
        <v>37094</v>
      </c>
      <c r="J26">
        <v>6136</v>
      </c>
      <c r="K26">
        <v>1130516</v>
      </c>
      <c r="L26">
        <v>4497</v>
      </c>
      <c r="M26">
        <v>6247</v>
      </c>
      <c r="N26">
        <v>1189619</v>
      </c>
      <c r="O26">
        <v>4884</v>
      </c>
      <c r="P26">
        <v>9960</v>
      </c>
      <c r="Q26">
        <v>498</v>
      </c>
      <c r="R26">
        <v>215285</v>
      </c>
      <c r="S26">
        <v>1126</v>
      </c>
      <c r="T26">
        <v>616</v>
      </c>
      <c r="U26">
        <v>249235</v>
      </c>
      <c r="V26">
        <v>1386</v>
      </c>
      <c r="W26">
        <v>310</v>
      </c>
      <c r="X26">
        <v>1435</v>
      </c>
      <c r="Y26">
        <v>298557</v>
      </c>
      <c r="Z26">
        <v>2522</v>
      </c>
      <c r="AA26">
        <v>66</v>
      </c>
      <c r="AB26">
        <v>288400</v>
      </c>
      <c r="AC26">
        <v>1259</v>
      </c>
      <c r="AD26">
        <v>53</v>
      </c>
      <c r="AE26">
        <v>1112010</v>
      </c>
      <c r="AF26">
        <v>4151</v>
      </c>
      <c r="AG26">
        <v>2</v>
      </c>
      <c r="AH26">
        <v>450000</v>
      </c>
      <c r="AI26">
        <v>1205</v>
      </c>
      <c r="AJ26">
        <v>809</v>
      </c>
      <c r="AK26">
        <v>175931</v>
      </c>
      <c r="AL26">
        <v>1173</v>
      </c>
      <c r="AM26">
        <v>9</v>
      </c>
      <c r="AN26">
        <v>35140</v>
      </c>
      <c r="AO26">
        <v>154</v>
      </c>
      <c r="AP26">
        <v>13682</v>
      </c>
      <c r="AQ26">
        <v>837526</v>
      </c>
      <c r="AR26">
        <v>2392</v>
      </c>
      <c r="AS26">
        <v>2719</v>
      </c>
      <c r="AT26">
        <v>133</v>
      </c>
      <c r="AU26">
        <v>68348</v>
      </c>
      <c r="AV26">
        <v>1959</v>
      </c>
      <c r="AW26">
        <v>13593</v>
      </c>
      <c r="AX26">
        <v>4436</v>
      </c>
      <c r="AY26">
        <v>3709</v>
      </c>
      <c r="AZ26">
        <v>3951</v>
      </c>
      <c r="BA26" t="s">
        <v>73</v>
      </c>
      <c r="BB26" t="s">
        <v>73</v>
      </c>
      <c r="BC26" t="s">
        <v>73</v>
      </c>
      <c r="BD26" t="s">
        <v>73</v>
      </c>
      <c r="BE26">
        <v>178407</v>
      </c>
      <c r="BF26">
        <v>6976</v>
      </c>
      <c r="BG26">
        <v>3322</v>
      </c>
      <c r="BH26">
        <v>1895</v>
      </c>
      <c r="BI26">
        <v>5017</v>
      </c>
      <c r="BJ26">
        <v>539017</v>
      </c>
      <c r="BK26">
        <v>650</v>
      </c>
      <c r="BL26">
        <v>1150776</v>
      </c>
      <c r="BM26">
        <v>2396</v>
      </c>
      <c r="BN26">
        <v>76716</v>
      </c>
      <c r="BO26">
        <v>611</v>
      </c>
      <c r="BP26">
        <v>6572</v>
      </c>
      <c r="BQ26">
        <v>719</v>
      </c>
      <c r="BR26">
        <v>109</v>
      </c>
      <c r="BS26">
        <v>6503</v>
      </c>
      <c r="BT26">
        <v>1810</v>
      </c>
      <c r="BU26">
        <v>2376</v>
      </c>
      <c r="BV26">
        <v>633</v>
      </c>
      <c r="BW26">
        <v>2412</v>
      </c>
      <c r="BX26">
        <v>780</v>
      </c>
      <c r="BY26">
        <v>1180</v>
      </c>
      <c r="BZ26">
        <v>943</v>
      </c>
    </row>
    <row r="27" spans="1:78" x14ac:dyDescent="0.4">
      <c r="A27" s="1" t="s">
        <v>42</v>
      </c>
      <c r="B27" s="1" t="s">
        <v>43</v>
      </c>
      <c r="C27">
        <v>26159</v>
      </c>
      <c r="D27">
        <v>647055</v>
      </c>
      <c r="E27">
        <v>3651</v>
      </c>
      <c r="F27">
        <v>25907</v>
      </c>
      <c r="G27">
        <v>660507</v>
      </c>
      <c r="H27">
        <v>3792</v>
      </c>
      <c r="I27">
        <v>37374</v>
      </c>
      <c r="J27">
        <v>6446</v>
      </c>
      <c r="K27">
        <v>1187866</v>
      </c>
      <c r="L27">
        <v>5051</v>
      </c>
      <c r="M27">
        <v>6188</v>
      </c>
      <c r="N27">
        <v>1165059</v>
      </c>
      <c r="O27">
        <v>4673</v>
      </c>
      <c r="P27">
        <v>11145</v>
      </c>
      <c r="Q27">
        <v>433</v>
      </c>
      <c r="R27">
        <v>191315</v>
      </c>
      <c r="S27">
        <v>1113</v>
      </c>
      <c r="T27">
        <v>467</v>
      </c>
      <c r="U27">
        <v>201345</v>
      </c>
      <c r="V27">
        <v>1169</v>
      </c>
      <c r="W27">
        <v>344</v>
      </c>
      <c r="X27">
        <v>1111</v>
      </c>
      <c r="Y27">
        <v>259914</v>
      </c>
      <c r="Z27">
        <v>1958</v>
      </c>
      <c r="AA27">
        <v>69</v>
      </c>
      <c r="AB27">
        <v>312040</v>
      </c>
      <c r="AC27">
        <v>1039</v>
      </c>
      <c r="AD27">
        <v>38</v>
      </c>
      <c r="AE27">
        <v>826300</v>
      </c>
      <c r="AF27">
        <v>2745</v>
      </c>
      <c r="AG27">
        <v>1</v>
      </c>
      <c r="AH27">
        <v>300000</v>
      </c>
      <c r="AI27">
        <v>578</v>
      </c>
      <c r="AJ27">
        <v>699</v>
      </c>
      <c r="AK27">
        <v>134953</v>
      </c>
      <c r="AL27">
        <v>1000</v>
      </c>
      <c r="AM27">
        <v>1</v>
      </c>
      <c r="AN27">
        <v>2500</v>
      </c>
      <c r="AO27">
        <v>32</v>
      </c>
      <c r="AP27">
        <v>14548</v>
      </c>
      <c r="AQ27">
        <v>468052</v>
      </c>
      <c r="AR27">
        <v>1890</v>
      </c>
      <c r="AS27">
        <v>2681</v>
      </c>
      <c r="AT27">
        <v>138</v>
      </c>
      <c r="AU27">
        <v>70822</v>
      </c>
      <c r="AV27">
        <v>1876</v>
      </c>
      <c r="AW27">
        <v>15847</v>
      </c>
      <c r="AX27">
        <v>3401</v>
      </c>
      <c r="AY27">
        <v>3541</v>
      </c>
      <c r="AZ27">
        <v>3440</v>
      </c>
      <c r="BA27" t="s">
        <v>73</v>
      </c>
      <c r="BB27" t="s">
        <v>73</v>
      </c>
      <c r="BC27" t="s">
        <v>73</v>
      </c>
      <c r="BD27" t="s">
        <v>73</v>
      </c>
      <c r="BE27">
        <v>163382</v>
      </c>
      <c r="BF27">
        <v>6623</v>
      </c>
      <c r="BG27">
        <v>2450</v>
      </c>
      <c r="BH27">
        <v>1765</v>
      </c>
      <c r="BI27">
        <v>4876</v>
      </c>
      <c r="BJ27">
        <v>510627</v>
      </c>
      <c r="BK27">
        <v>707</v>
      </c>
      <c r="BL27">
        <v>1201851</v>
      </c>
      <c r="BM27">
        <v>1881</v>
      </c>
      <c r="BN27">
        <v>109857</v>
      </c>
      <c r="BO27">
        <v>631</v>
      </c>
      <c r="BP27">
        <v>4866</v>
      </c>
      <c r="BQ27">
        <v>859</v>
      </c>
      <c r="BR27">
        <v>52</v>
      </c>
      <c r="BS27">
        <v>8396</v>
      </c>
      <c r="BT27">
        <v>2014</v>
      </c>
      <c r="BU27">
        <v>3842</v>
      </c>
      <c r="BV27">
        <v>606</v>
      </c>
      <c r="BW27">
        <v>2671</v>
      </c>
      <c r="BX27">
        <v>691</v>
      </c>
      <c r="BY27">
        <v>896</v>
      </c>
      <c r="BZ27">
        <v>381</v>
      </c>
    </row>
    <row r="28" spans="1:78" x14ac:dyDescent="0.4">
      <c r="A28" s="1" t="s">
        <v>44</v>
      </c>
      <c r="B28" s="1" t="s">
        <v>45</v>
      </c>
      <c r="C28">
        <v>23543</v>
      </c>
      <c r="D28">
        <v>653915</v>
      </c>
      <c r="E28">
        <v>3544</v>
      </c>
      <c r="F28">
        <v>24285</v>
      </c>
      <c r="G28">
        <v>639645</v>
      </c>
      <c r="H28">
        <v>3811</v>
      </c>
      <c r="I28">
        <v>36632</v>
      </c>
      <c r="J28">
        <v>5597</v>
      </c>
      <c r="K28">
        <v>1015991</v>
      </c>
      <c r="L28">
        <v>4051</v>
      </c>
      <c r="M28">
        <v>5674</v>
      </c>
      <c r="N28">
        <v>1033474</v>
      </c>
      <c r="O28">
        <v>4167</v>
      </c>
      <c r="P28">
        <v>11930</v>
      </c>
      <c r="Q28">
        <v>382</v>
      </c>
      <c r="R28">
        <v>163005</v>
      </c>
      <c r="S28">
        <v>934</v>
      </c>
      <c r="T28">
        <v>411</v>
      </c>
      <c r="U28">
        <v>169335</v>
      </c>
      <c r="V28">
        <v>960</v>
      </c>
      <c r="W28">
        <v>391</v>
      </c>
      <c r="X28">
        <v>1142</v>
      </c>
      <c r="Y28">
        <v>244664</v>
      </c>
      <c r="Z28">
        <v>1923</v>
      </c>
      <c r="AA28">
        <v>65</v>
      </c>
      <c r="AB28">
        <v>285760</v>
      </c>
      <c r="AC28">
        <v>914</v>
      </c>
      <c r="AD28">
        <v>37</v>
      </c>
      <c r="AE28">
        <v>1000883</v>
      </c>
      <c r="AF28">
        <v>2739</v>
      </c>
      <c r="AG28">
        <v>3</v>
      </c>
      <c r="AH28">
        <v>1150000</v>
      </c>
      <c r="AI28">
        <v>1724</v>
      </c>
      <c r="AJ28">
        <v>711</v>
      </c>
      <c r="AK28">
        <v>147202</v>
      </c>
      <c r="AL28">
        <v>994</v>
      </c>
      <c r="AM28">
        <v>9</v>
      </c>
      <c r="AN28">
        <v>40980</v>
      </c>
      <c r="AO28">
        <v>330</v>
      </c>
      <c r="AP28">
        <v>12939</v>
      </c>
      <c r="AQ28">
        <v>143500</v>
      </c>
      <c r="AR28">
        <v>1007</v>
      </c>
      <c r="AS28">
        <v>2484</v>
      </c>
      <c r="AT28">
        <v>139</v>
      </c>
      <c r="AU28">
        <v>64215</v>
      </c>
      <c r="AV28">
        <v>1708</v>
      </c>
      <c r="AW28">
        <v>11631</v>
      </c>
      <c r="AX28">
        <v>2895</v>
      </c>
      <c r="AY28">
        <v>3506</v>
      </c>
      <c r="AZ28">
        <v>2388</v>
      </c>
      <c r="BA28" t="s">
        <v>73</v>
      </c>
      <c r="BB28" t="s">
        <v>73</v>
      </c>
      <c r="BC28" t="s">
        <v>73</v>
      </c>
      <c r="BD28" t="s">
        <v>73</v>
      </c>
      <c r="BE28">
        <v>170747</v>
      </c>
      <c r="BF28">
        <v>6641</v>
      </c>
      <c r="BG28">
        <v>2906</v>
      </c>
      <c r="BH28">
        <v>1249</v>
      </c>
      <c r="BI28">
        <v>5255</v>
      </c>
      <c r="BJ28">
        <v>540469</v>
      </c>
      <c r="BK28">
        <v>899</v>
      </c>
      <c r="BL28">
        <v>1193831</v>
      </c>
      <c r="BM28">
        <v>1743</v>
      </c>
      <c r="BN28">
        <v>85627</v>
      </c>
      <c r="BO28">
        <v>583</v>
      </c>
      <c r="BP28">
        <v>4599</v>
      </c>
      <c r="BQ28">
        <v>725</v>
      </c>
      <c r="BR28">
        <v>84</v>
      </c>
      <c r="BS28">
        <v>9986</v>
      </c>
      <c r="BT28">
        <v>2648</v>
      </c>
      <c r="BU28">
        <v>3973</v>
      </c>
      <c r="BV28">
        <v>567</v>
      </c>
      <c r="BW28">
        <v>2068</v>
      </c>
      <c r="BX28">
        <v>543</v>
      </c>
      <c r="BY28">
        <v>455</v>
      </c>
      <c r="BZ28">
        <v>445</v>
      </c>
    </row>
    <row r="29" spans="1:78" x14ac:dyDescent="0.4">
      <c r="A29" s="1" t="s">
        <v>46</v>
      </c>
      <c r="B29" s="1" t="s">
        <v>47</v>
      </c>
      <c r="C29">
        <v>26648</v>
      </c>
      <c r="D29">
        <v>728755</v>
      </c>
      <c r="E29">
        <v>3790</v>
      </c>
      <c r="F29">
        <v>25956</v>
      </c>
      <c r="G29">
        <v>701755</v>
      </c>
      <c r="H29">
        <v>3852</v>
      </c>
      <c r="I29">
        <v>37323</v>
      </c>
      <c r="J29">
        <v>5768</v>
      </c>
      <c r="K29">
        <v>1073896</v>
      </c>
      <c r="L29">
        <v>4310</v>
      </c>
      <c r="M29">
        <v>6310</v>
      </c>
      <c r="N29">
        <v>1163184</v>
      </c>
      <c r="O29">
        <v>4789</v>
      </c>
      <c r="P29">
        <v>12589</v>
      </c>
      <c r="Q29">
        <v>510</v>
      </c>
      <c r="R29">
        <v>228720</v>
      </c>
      <c r="S29">
        <v>1293</v>
      </c>
      <c r="T29">
        <v>619</v>
      </c>
      <c r="U29">
        <v>276785</v>
      </c>
      <c r="V29">
        <v>1636</v>
      </c>
      <c r="W29">
        <v>361</v>
      </c>
      <c r="X29">
        <v>1209</v>
      </c>
      <c r="Y29">
        <v>255382</v>
      </c>
      <c r="Z29">
        <v>2069</v>
      </c>
      <c r="AA29">
        <v>71</v>
      </c>
      <c r="AB29">
        <v>319260</v>
      </c>
      <c r="AC29">
        <v>1305</v>
      </c>
      <c r="AD29">
        <v>38</v>
      </c>
      <c r="AE29">
        <v>865300</v>
      </c>
      <c r="AF29">
        <v>2601</v>
      </c>
      <c r="AG29">
        <v>6</v>
      </c>
      <c r="AH29">
        <v>1350000</v>
      </c>
      <c r="AI29">
        <v>3501</v>
      </c>
      <c r="AJ29">
        <v>762</v>
      </c>
      <c r="AK29">
        <v>161553</v>
      </c>
      <c r="AL29">
        <v>1149</v>
      </c>
      <c r="AM29">
        <v>9</v>
      </c>
      <c r="AN29">
        <v>29200</v>
      </c>
      <c r="AO29">
        <v>144</v>
      </c>
      <c r="AP29">
        <v>12953</v>
      </c>
      <c r="AQ29">
        <v>151349</v>
      </c>
      <c r="AR29">
        <v>981</v>
      </c>
      <c r="AS29">
        <v>2020</v>
      </c>
      <c r="AT29">
        <v>159</v>
      </c>
      <c r="AU29">
        <v>72642</v>
      </c>
      <c r="AV29">
        <v>2000</v>
      </c>
      <c r="AW29">
        <v>14738</v>
      </c>
      <c r="AX29">
        <v>3770</v>
      </c>
      <c r="AY29">
        <v>3737</v>
      </c>
      <c r="AZ29">
        <v>3071</v>
      </c>
      <c r="BA29" t="s">
        <v>73</v>
      </c>
      <c r="BB29" t="s">
        <v>73</v>
      </c>
      <c r="BC29" t="s">
        <v>73</v>
      </c>
      <c r="BD29" t="s">
        <v>73</v>
      </c>
      <c r="BE29">
        <v>179413</v>
      </c>
      <c r="BF29">
        <v>7200</v>
      </c>
      <c r="BG29">
        <v>3756</v>
      </c>
      <c r="BH29">
        <v>1172</v>
      </c>
      <c r="BI29">
        <v>4711</v>
      </c>
      <c r="BJ29">
        <v>626464</v>
      </c>
      <c r="BK29">
        <v>940</v>
      </c>
      <c r="BL29">
        <v>887469</v>
      </c>
      <c r="BM29">
        <v>1946</v>
      </c>
      <c r="BN29">
        <v>97600</v>
      </c>
      <c r="BO29">
        <v>579</v>
      </c>
      <c r="BP29">
        <v>5491</v>
      </c>
      <c r="BQ29">
        <v>854</v>
      </c>
      <c r="BR29">
        <v>49</v>
      </c>
      <c r="BS29">
        <v>19968</v>
      </c>
      <c r="BT29">
        <v>953</v>
      </c>
      <c r="BU29">
        <v>3879</v>
      </c>
      <c r="BV29">
        <v>598</v>
      </c>
      <c r="BW29">
        <v>2244</v>
      </c>
      <c r="BX29">
        <v>522</v>
      </c>
      <c r="BY29">
        <v>993</v>
      </c>
      <c r="BZ29">
        <v>555</v>
      </c>
    </row>
    <row r="30" spans="1:78" x14ac:dyDescent="0.4">
      <c r="A30" s="1" t="s">
        <v>48</v>
      </c>
      <c r="B30" s="1" t="s">
        <v>49</v>
      </c>
      <c r="C30">
        <v>26152</v>
      </c>
      <c r="D30">
        <v>715405</v>
      </c>
      <c r="E30">
        <v>3872</v>
      </c>
      <c r="F30">
        <v>24549</v>
      </c>
      <c r="G30">
        <v>671125</v>
      </c>
      <c r="H30">
        <v>3899</v>
      </c>
      <c r="I30">
        <v>38926</v>
      </c>
      <c r="J30">
        <v>6046</v>
      </c>
      <c r="K30">
        <v>1132476</v>
      </c>
      <c r="L30">
        <v>4628</v>
      </c>
      <c r="M30">
        <v>7223</v>
      </c>
      <c r="N30">
        <v>1256309</v>
      </c>
      <c r="O30">
        <v>5018</v>
      </c>
      <c r="P30">
        <v>12475</v>
      </c>
      <c r="Q30">
        <v>443</v>
      </c>
      <c r="R30">
        <v>203045</v>
      </c>
      <c r="S30">
        <v>1203</v>
      </c>
      <c r="T30">
        <v>477</v>
      </c>
      <c r="U30">
        <v>214055</v>
      </c>
      <c r="V30">
        <v>1256</v>
      </c>
      <c r="W30">
        <v>392</v>
      </c>
      <c r="X30">
        <v>1124</v>
      </c>
      <c r="Y30">
        <v>240043</v>
      </c>
      <c r="Z30">
        <v>1956</v>
      </c>
      <c r="AA30">
        <v>68</v>
      </c>
      <c r="AB30">
        <v>280130</v>
      </c>
      <c r="AC30">
        <v>1185</v>
      </c>
      <c r="AD30">
        <v>35</v>
      </c>
      <c r="AE30">
        <v>804460</v>
      </c>
      <c r="AF30">
        <v>3084</v>
      </c>
      <c r="AG30">
        <v>2</v>
      </c>
      <c r="AH30">
        <v>600000</v>
      </c>
      <c r="AI30">
        <v>1089</v>
      </c>
      <c r="AJ30">
        <v>852</v>
      </c>
      <c r="AK30">
        <v>189599</v>
      </c>
      <c r="AL30">
        <v>1185</v>
      </c>
      <c r="AM30">
        <v>10</v>
      </c>
      <c r="AN30">
        <v>31000</v>
      </c>
      <c r="AO30">
        <v>180</v>
      </c>
      <c r="AP30">
        <v>14555</v>
      </c>
      <c r="AQ30">
        <v>149260</v>
      </c>
      <c r="AR30">
        <v>1113</v>
      </c>
      <c r="AS30">
        <v>1995</v>
      </c>
      <c r="AT30">
        <v>125</v>
      </c>
      <c r="AU30">
        <v>72955</v>
      </c>
      <c r="AV30">
        <v>2016</v>
      </c>
      <c r="AW30">
        <v>17950</v>
      </c>
      <c r="AX30">
        <v>4300</v>
      </c>
      <c r="AY30">
        <v>3790</v>
      </c>
      <c r="AZ30">
        <v>2031</v>
      </c>
      <c r="BA30" t="s">
        <v>73</v>
      </c>
      <c r="BB30" t="s">
        <v>73</v>
      </c>
      <c r="BC30" t="s">
        <v>73</v>
      </c>
      <c r="BD30" t="s">
        <v>73</v>
      </c>
      <c r="BE30">
        <v>182671</v>
      </c>
      <c r="BF30">
        <v>7214</v>
      </c>
      <c r="BG30">
        <v>1988</v>
      </c>
      <c r="BH30">
        <v>930</v>
      </c>
      <c r="BI30">
        <v>4518</v>
      </c>
      <c r="BJ30">
        <v>582245</v>
      </c>
      <c r="BK30">
        <v>998</v>
      </c>
      <c r="BL30">
        <v>1393016</v>
      </c>
      <c r="BM30">
        <v>1939</v>
      </c>
      <c r="BN30">
        <v>83637</v>
      </c>
      <c r="BO30">
        <v>627</v>
      </c>
      <c r="BP30">
        <v>5181</v>
      </c>
      <c r="BQ30">
        <v>891</v>
      </c>
      <c r="BR30">
        <v>58</v>
      </c>
      <c r="BS30">
        <v>3879</v>
      </c>
      <c r="BT30">
        <v>930</v>
      </c>
      <c r="BU30">
        <v>4857</v>
      </c>
      <c r="BV30">
        <v>602</v>
      </c>
      <c r="BW30">
        <v>2277</v>
      </c>
      <c r="BX30">
        <v>556</v>
      </c>
      <c r="BY30">
        <v>702</v>
      </c>
      <c r="BZ30">
        <v>663</v>
      </c>
    </row>
    <row r="31" spans="1:78" x14ac:dyDescent="0.4">
      <c r="A31" s="1" t="s">
        <v>50</v>
      </c>
      <c r="B31" s="1" t="s">
        <v>51</v>
      </c>
      <c r="C31">
        <v>20616</v>
      </c>
      <c r="D31">
        <v>568065</v>
      </c>
      <c r="E31">
        <v>3110</v>
      </c>
      <c r="F31">
        <v>17263</v>
      </c>
      <c r="G31">
        <v>475904</v>
      </c>
      <c r="H31">
        <v>2665</v>
      </c>
      <c r="I31">
        <v>42275</v>
      </c>
      <c r="J31">
        <v>5359</v>
      </c>
      <c r="K31">
        <v>984671</v>
      </c>
      <c r="L31">
        <v>3934</v>
      </c>
      <c r="M31">
        <v>6718</v>
      </c>
      <c r="N31">
        <v>1246024</v>
      </c>
      <c r="O31">
        <v>5189</v>
      </c>
      <c r="P31">
        <v>11954</v>
      </c>
      <c r="Q31">
        <v>480</v>
      </c>
      <c r="R31">
        <v>201385</v>
      </c>
      <c r="S31">
        <v>1177</v>
      </c>
      <c r="T31">
        <v>572</v>
      </c>
      <c r="U31">
        <v>226605</v>
      </c>
      <c r="V31">
        <v>1345</v>
      </c>
      <c r="W31">
        <v>417</v>
      </c>
      <c r="X31">
        <v>1188</v>
      </c>
      <c r="Y31">
        <v>260595</v>
      </c>
      <c r="Z31">
        <v>1867</v>
      </c>
      <c r="AA31">
        <v>69</v>
      </c>
      <c r="AB31">
        <v>293790</v>
      </c>
      <c r="AC31">
        <v>1031</v>
      </c>
      <c r="AD31">
        <v>25</v>
      </c>
      <c r="AE31">
        <v>658000</v>
      </c>
      <c r="AF31">
        <v>2463</v>
      </c>
      <c r="AG31">
        <v>6</v>
      </c>
      <c r="AH31">
        <v>1330000</v>
      </c>
      <c r="AI31">
        <v>2961</v>
      </c>
      <c r="AJ31">
        <v>851</v>
      </c>
      <c r="AK31">
        <v>186215</v>
      </c>
      <c r="AL31">
        <v>1247</v>
      </c>
      <c r="AM31">
        <v>12</v>
      </c>
      <c r="AN31">
        <v>228973</v>
      </c>
      <c r="AO31">
        <v>743</v>
      </c>
      <c r="AP31">
        <v>11511</v>
      </c>
      <c r="AQ31">
        <v>134696</v>
      </c>
      <c r="AR31">
        <v>938</v>
      </c>
      <c r="AS31">
        <v>1947</v>
      </c>
      <c r="AT31">
        <v>161</v>
      </c>
      <c r="AU31">
        <v>63015</v>
      </c>
      <c r="AV31">
        <v>1681</v>
      </c>
      <c r="AW31">
        <v>14512</v>
      </c>
      <c r="AX31">
        <v>3750</v>
      </c>
      <c r="AY31">
        <v>2657</v>
      </c>
      <c r="AZ31">
        <v>2088</v>
      </c>
      <c r="BA31" t="s">
        <v>73</v>
      </c>
      <c r="BB31" t="s">
        <v>73</v>
      </c>
      <c r="BC31" t="s">
        <v>73</v>
      </c>
      <c r="BD31" t="s">
        <v>73</v>
      </c>
      <c r="BE31">
        <v>134297</v>
      </c>
      <c r="BF31">
        <v>5448</v>
      </c>
      <c r="BG31">
        <v>2093</v>
      </c>
      <c r="BH31">
        <v>862</v>
      </c>
      <c r="BI31">
        <v>3764</v>
      </c>
      <c r="BJ31">
        <v>381841</v>
      </c>
      <c r="BK31">
        <v>676</v>
      </c>
      <c r="BL31">
        <v>947866</v>
      </c>
      <c r="BM31">
        <v>1671</v>
      </c>
      <c r="BN31">
        <v>76904</v>
      </c>
      <c r="BO31">
        <v>540</v>
      </c>
      <c r="BP31">
        <v>3256</v>
      </c>
      <c r="BQ31">
        <v>797</v>
      </c>
      <c r="BR31">
        <v>31</v>
      </c>
      <c r="BS31">
        <v>6519</v>
      </c>
      <c r="BT31">
        <v>1845</v>
      </c>
      <c r="BU31">
        <v>3142</v>
      </c>
      <c r="BV31">
        <v>400</v>
      </c>
      <c r="BW31">
        <v>1735</v>
      </c>
      <c r="BX31">
        <v>514</v>
      </c>
      <c r="BY31">
        <v>785</v>
      </c>
      <c r="BZ31">
        <v>367</v>
      </c>
    </row>
    <row r="32" spans="1:78" x14ac:dyDescent="0.4">
      <c r="A32" s="1" t="s">
        <v>52</v>
      </c>
      <c r="B32" s="1" t="s">
        <v>53</v>
      </c>
      <c r="C32">
        <v>24750</v>
      </c>
      <c r="D32">
        <v>690095</v>
      </c>
      <c r="E32">
        <v>3624</v>
      </c>
      <c r="F32">
        <v>24759</v>
      </c>
      <c r="G32">
        <v>684681</v>
      </c>
      <c r="H32">
        <v>3806</v>
      </c>
      <c r="I32">
        <v>42238</v>
      </c>
      <c r="J32">
        <v>6415</v>
      </c>
      <c r="K32">
        <v>1154666</v>
      </c>
      <c r="L32">
        <v>4646</v>
      </c>
      <c r="M32">
        <v>8192</v>
      </c>
      <c r="N32">
        <v>1446284</v>
      </c>
      <c r="O32">
        <v>5852</v>
      </c>
      <c r="P32">
        <v>11216</v>
      </c>
      <c r="Q32">
        <v>635</v>
      </c>
      <c r="R32">
        <v>228355</v>
      </c>
      <c r="S32">
        <v>1319</v>
      </c>
      <c r="T32">
        <v>780</v>
      </c>
      <c r="U32">
        <v>276920</v>
      </c>
      <c r="V32">
        <v>1677</v>
      </c>
      <c r="W32">
        <v>399</v>
      </c>
      <c r="X32">
        <v>1314</v>
      </c>
      <c r="Y32">
        <v>297691</v>
      </c>
      <c r="Z32">
        <v>2262</v>
      </c>
      <c r="AA32">
        <v>78</v>
      </c>
      <c r="AB32">
        <v>325060</v>
      </c>
      <c r="AC32">
        <v>1287</v>
      </c>
      <c r="AD32">
        <v>37</v>
      </c>
      <c r="AE32">
        <v>744000</v>
      </c>
      <c r="AF32">
        <v>2829</v>
      </c>
      <c r="AG32">
        <v>2</v>
      </c>
      <c r="AH32">
        <v>2360000</v>
      </c>
      <c r="AI32">
        <v>2848</v>
      </c>
      <c r="AJ32">
        <v>861</v>
      </c>
      <c r="AK32">
        <v>172616</v>
      </c>
      <c r="AL32">
        <v>1278</v>
      </c>
      <c r="AM32">
        <v>11</v>
      </c>
      <c r="AN32">
        <v>39140</v>
      </c>
      <c r="AO32">
        <v>223</v>
      </c>
      <c r="AP32">
        <v>13314</v>
      </c>
      <c r="AQ32">
        <v>152737</v>
      </c>
      <c r="AR32">
        <v>1088</v>
      </c>
      <c r="AS32">
        <v>2250</v>
      </c>
      <c r="AT32">
        <v>193</v>
      </c>
      <c r="AU32">
        <v>74847</v>
      </c>
      <c r="AV32">
        <v>1940</v>
      </c>
      <c r="AW32">
        <v>14010</v>
      </c>
      <c r="AX32">
        <v>4650</v>
      </c>
      <c r="AY32">
        <v>3357</v>
      </c>
      <c r="AZ32">
        <v>3142</v>
      </c>
      <c r="BA32" t="s">
        <v>73</v>
      </c>
      <c r="BB32" t="s">
        <v>73</v>
      </c>
      <c r="BC32" t="s">
        <v>73</v>
      </c>
      <c r="BD32" t="s">
        <v>73</v>
      </c>
      <c r="BE32">
        <v>172271</v>
      </c>
      <c r="BF32">
        <v>6815</v>
      </c>
      <c r="BG32">
        <v>2141</v>
      </c>
      <c r="BH32">
        <v>1049</v>
      </c>
      <c r="BI32">
        <v>4970</v>
      </c>
      <c r="BJ32">
        <v>504057</v>
      </c>
      <c r="BK32">
        <v>1052</v>
      </c>
      <c r="BL32">
        <v>1110316</v>
      </c>
      <c r="BM32">
        <v>2019</v>
      </c>
      <c r="BN32">
        <v>80543</v>
      </c>
      <c r="BO32">
        <v>732</v>
      </c>
      <c r="BP32">
        <v>4920</v>
      </c>
      <c r="BQ32">
        <v>909</v>
      </c>
      <c r="BR32">
        <v>44</v>
      </c>
      <c r="BS32">
        <v>6990</v>
      </c>
      <c r="BT32">
        <v>4127</v>
      </c>
      <c r="BU32">
        <v>3924</v>
      </c>
      <c r="BV32">
        <v>426</v>
      </c>
      <c r="BW32">
        <v>2396</v>
      </c>
      <c r="BX32">
        <v>691</v>
      </c>
      <c r="BY32">
        <v>901</v>
      </c>
      <c r="BZ32">
        <v>658</v>
      </c>
    </row>
    <row r="33" spans="1:78" x14ac:dyDescent="0.4">
      <c r="A33" s="1" t="s">
        <v>54</v>
      </c>
      <c r="B33" s="1" t="s">
        <v>55</v>
      </c>
      <c r="C33">
        <v>22781</v>
      </c>
      <c r="D33">
        <v>635315</v>
      </c>
      <c r="E33">
        <v>3328</v>
      </c>
      <c r="F33">
        <v>23793</v>
      </c>
      <c r="G33">
        <v>685770</v>
      </c>
      <c r="H33">
        <v>3829</v>
      </c>
      <c r="I33">
        <v>41226</v>
      </c>
      <c r="J33">
        <v>6707</v>
      </c>
      <c r="K33">
        <v>1282631</v>
      </c>
      <c r="L33">
        <v>5165</v>
      </c>
      <c r="M33">
        <v>8893</v>
      </c>
      <c r="N33">
        <v>1624809</v>
      </c>
      <c r="O33">
        <v>6607</v>
      </c>
      <c r="P33">
        <v>10387</v>
      </c>
      <c r="Q33">
        <v>691</v>
      </c>
      <c r="R33">
        <v>244080</v>
      </c>
      <c r="S33">
        <v>1432</v>
      </c>
      <c r="T33">
        <v>797</v>
      </c>
      <c r="U33">
        <v>275765</v>
      </c>
      <c r="V33">
        <v>1664</v>
      </c>
      <c r="W33">
        <v>452</v>
      </c>
      <c r="X33">
        <v>1447</v>
      </c>
      <c r="Y33">
        <v>368561</v>
      </c>
      <c r="Z33">
        <v>2535</v>
      </c>
      <c r="AA33">
        <v>101</v>
      </c>
      <c r="AB33">
        <v>428960</v>
      </c>
      <c r="AC33">
        <v>1606</v>
      </c>
      <c r="AD33">
        <v>50</v>
      </c>
      <c r="AE33">
        <v>1200000</v>
      </c>
      <c r="AF33">
        <v>4330</v>
      </c>
      <c r="AG33">
        <v>4</v>
      </c>
      <c r="AH33">
        <v>1072000</v>
      </c>
      <c r="AI33">
        <v>2817</v>
      </c>
      <c r="AJ33">
        <v>1062</v>
      </c>
      <c r="AK33">
        <v>195768</v>
      </c>
      <c r="AL33">
        <v>1441</v>
      </c>
      <c r="AM33">
        <v>4</v>
      </c>
      <c r="AN33">
        <v>11500</v>
      </c>
      <c r="AO33">
        <v>68</v>
      </c>
      <c r="AP33">
        <v>15590</v>
      </c>
      <c r="AQ33">
        <v>185942</v>
      </c>
      <c r="AR33">
        <v>1426</v>
      </c>
      <c r="AS33">
        <v>2261</v>
      </c>
      <c r="AT33">
        <v>179</v>
      </c>
      <c r="AU33">
        <v>76950</v>
      </c>
      <c r="AV33">
        <v>2127</v>
      </c>
      <c r="AW33">
        <v>16469</v>
      </c>
      <c r="AX33">
        <v>4257</v>
      </c>
      <c r="AY33">
        <v>3072</v>
      </c>
      <c r="AZ33">
        <v>1821</v>
      </c>
      <c r="BA33" t="s">
        <v>73</v>
      </c>
      <c r="BB33" t="s">
        <v>73</v>
      </c>
      <c r="BC33" t="s">
        <v>73</v>
      </c>
      <c r="BD33" t="s">
        <v>73</v>
      </c>
      <c r="BE33">
        <v>188659</v>
      </c>
      <c r="BF33">
        <v>7335</v>
      </c>
      <c r="BG33">
        <v>2618</v>
      </c>
      <c r="BH33">
        <v>1478</v>
      </c>
      <c r="BI33">
        <v>5504</v>
      </c>
      <c r="BJ33">
        <v>586275</v>
      </c>
      <c r="BK33">
        <v>735</v>
      </c>
      <c r="BL33">
        <v>1529570</v>
      </c>
      <c r="BM33">
        <v>2109</v>
      </c>
      <c r="BN33">
        <v>79026</v>
      </c>
      <c r="BO33">
        <v>673</v>
      </c>
      <c r="BP33">
        <v>5282</v>
      </c>
      <c r="BQ33">
        <v>1257</v>
      </c>
      <c r="BR33">
        <v>94</v>
      </c>
      <c r="BS33">
        <v>1324</v>
      </c>
      <c r="BT33">
        <v>633</v>
      </c>
      <c r="BU33">
        <v>3914</v>
      </c>
      <c r="BV33">
        <v>381</v>
      </c>
      <c r="BW33">
        <v>2212</v>
      </c>
      <c r="BX33">
        <v>664</v>
      </c>
      <c r="BY33">
        <v>978</v>
      </c>
      <c r="BZ33">
        <v>518</v>
      </c>
    </row>
    <row r="34" spans="1:78" x14ac:dyDescent="0.4">
      <c r="A34" s="1" t="s">
        <v>56</v>
      </c>
      <c r="B34" s="1" t="s">
        <v>57</v>
      </c>
      <c r="C34">
        <v>17359</v>
      </c>
      <c r="D34">
        <v>487365</v>
      </c>
      <c r="E34">
        <v>2575</v>
      </c>
      <c r="F34">
        <v>19467</v>
      </c>
      <c r="G34">
        <v>553844</v>
      </c>
      <c r="H34">
        <v>2909</v>
      </c>
      <c r="I34">
        <v>39118</v>
      </c>
      <c r="J34">
        <v>5947</v>
      </c>
      <c r="K34">
        <v>1122476</v>
      </c>
      <c r="L34">
        <v>4529</v>
      </c>
      <c r="M34">
        <v>7538</v>
      </c>
      <c r="N34">
        <v>1398144</v>
      </c>
      <c r="O34">
        <v>5804</v>
      </c>
      <c r="P34">
        <v>10058</v>
      </c>
      <c r="Q34">
        <v>584</v>
      </c>
      <c r="R34">
        <v>233130</v>
      </c>
      <c r="S34">
        <v>1332</v>
      </c>
      <c r="T34">
        <v>718</v>
      </c>
      <c r="U34">
        <v>284729</v>
      </c>
      <c r="V34">
        <v>1710</v>
      </c>
      <c r="W34">
        <v>412</v>
      </c>
      <c r="X34">
        <v>1467</v>
      </c>
      <c r="Y34">
        <v>365570</v>
      </c>
      <c r="Z34">
        <v>2328</v>
      </c>
      <c r="AA34">
        <v>89</v>
      </c>
      <c r="AB34">
        <v>394320</v>
      </c>
      <c r="AC34">
        <v>1669</v>
      </c>
      <c r="AD34">
        <v>41</v>
      </c>
      <c r="AE34">
        <v>989700</v>
      </c>
      <c r="AF34">
        <v>3439</v>
      </c>
      <c r="AG34">
        <v>7</v>
      </c>
      <c r="AH34">
        <v>2222000</v>
      </c>
      <c r="AI34">
        <v>4561</v>
      </c>
      <c r="AJ34">
        <v>840</v>
      </c>
      <c r="AK34">
        <v>167596</v>
      </c>
      <c r="AL34">
        <v>1147</v>
      </c>
      <c r="AM34">
        <v>10</v>
      </c>
      <c r="AN34">
        <v>31380</v>
      </c>
      <c r="AO34">
        <v>197</v>
      </c>
      <c r="AP34">
        <v>13303</v>
      </c>
      <c r="AQ34">
        <v>133648</v>
      </c>
      <c r="AR34">
        <v>953</v>
      </c>
      <c r="AS34">
        <v>2082</v>
      </c>
      <c r="AT34">
        <v>255</v>
      </c>
      <c r="AU34">
        <v>76955</v>
      </c>
      <c r="AV34">
        <v>2040</v>
      </c>
      <c r="AW34">
        <v>16274</v>
      </c>
      <c r="AX34">
        <v>4347</v>
      </c>
      <c r="AY34">
        <v>2476</v>
      </c>
      <c r="AZ34">
        <v>2116</v>
      </c>
      <c r="BA34" t="s">
        <v>73</v>
      </c>
      <c r="BB34" t="s">
        <v>73</v>
      </c>
      <c r="BC34" t="s">
        <v>73</v>
      </c>
      <c r="BD34" t="s">
        <v>73</v>
      </c>
      <c r="BE34">
        <v>159060</v>
      </c>
      <c r="BF34">
        <v>6327</v>
      </c>
      <c r="BG34">
        <v>1858</v>
      </c>
      <c r="BH34">
        <v>1090</v>
      </c>
      <c r="BI34">
        <v>4854</v>
      </c>
      <c r="BJ34">
        <v>553635</v>
      </c>
      <c r="BK34">
        <v>746</v>
      </c>
      <c r="BL34">
        <v>1147384</v>
      </c>
      <c r="BM34">
        <v>1945</v>
      </c>
      <c r="BN34">
        <v>81522</v>
      </c>
      <c r="BO34">
        <v>641</v>
      </c>
      <c r="BP34">
        <v>3447</v>
      </c>
      <c r="BQ34">
        <v>970</v>
      </c>
      <c r="BR34">
        <v>41</v>
      </c>
      <c r="BS34">
        <v>2089</v>
      </c>
      <c r="BT34">
        <v>877</v>
      </c>
      <c r="BU34">
        <v>3086</v>
      </c>
      <c r="BV34">
        <v>328</v>
      </c>
      <c r="BW34">
        <v>1906</v>
      </c>
      <c r="BX34">
        <v>560</v>
      </c>
      <c r="BY34">
        <v>1246</v>
      </c>
      <c r="BZ34">
        <v>760</v>
      </c>
    </row>
    <row r="35" spans="1:78" x14ac:dyDescent="0.4">
      <c r="A35" s="1" t="s">
        <v>58</v>
      </c>
      <c r="B35" s="1" t="s">
        <v>59</v>
      </c>
      <c r="C35">
        <v>20918</v>
      </c>
      <c r="D35">
        <v>583670</v>
      </c>
      <c r="E35">
        <v>3394</v>
      </c>
      <c r="F35">
        <v>20365</v>
      </c>
      <c r="G35">
        <v>590327</v>
      </c>
      <c r="H35">
        <v>3252</v>
      </c>
      <c r="I35">
        <v>39671</v>
      </c>
      <c r="J35">
        <v>6121</v>
      </c>
      <c r="K35">
        <v>1213496</v>
      </c>
      <c r="L35">
        <v>5188</v>
      </c>
      <c r="M35">
        <v>7224</v>
      </c>
      <c r="N35">
        <v>1478699</v>
      </c>
      <c r="O35">
        <v>6395</v>
      </c>
      <c r="P35">
        <v>9980</v>
      </c>
      <c r="Q35">
        <v>593</v>
      </c>
      <c r="R35">
        <v>224745</v>
      </c>
      <c r="S35">
        <v>1317</v>
      </c>
      <c r="T35">
        <v>795</v>
      </c>
      <c r="U35">
        <v>301915</v>
      </c>
      <c r="V35">
        <v>1928</v>
      </c>
      <c r="W35">
        <v>377</v>
      </c>
      <c r="X35">
        <v>1536</v>
      </c>
      <c r="Y35">
        <v>368625</v>
      </c>
      <c r="Z35">
        <v>2429</v>
      </c>
      <c r="AA35">
        <v>84</v>
      </c>
      <c r="AB35">
        <v>342100</v>
      </c>
      <c r="AC35">
        <v>1543</v>
      </c>
      <c r="AD35">
        <v>38</v>
      </c>
      <c r="AE35">
        <v>785400</v>
      </c>
      <c r="AF35">
        <v>3097</v>
      </c>
      <c r="AG35">
        <v>3</v>
      </c>
      <c r="AH35">
        <v>600000</v>
      </c>
      <c r="AI35">
        <v>1353</v>
      </c>
      <c r="AJ35">
        <v>955</v>
      </c>
      <c r="AK35">
        <v>172111</v>
      </c>
      <c r="AL35">
        <v>1332</v>
      </c>
      <c r="AM35">
        <v>10</v>
      </c>
      <c r="AN35">
        <v>27000</v>
      </c>
      <c r="AO35">
        <v>205</v>
      </c>
      <c r="AP35">
        <v>13840</v>
      </c>
      <c r="AQ35">
        <v>189858</v>
      </c>
      <c r="AR35">
        <v>1351</v>
      </c>
      <c r="AS35">
        <v>2634</v>
      </c>
      <c r="AT35">
        <v>160</v>
      </c>
      <c r="AU35">
        <v>77591</v>
      </c>
      <c r="AV35">
        <v>1941</v>
      </c>
      <c r="AW35">
        <v>18532</v>
      </c>
      <c r="AX35">
        <v>4756</v>
      </c>
      <c r="AY35">
        <v>3359</v>
      </c>
      <c r="AZ35">
        <v>2634</v>
      </c>
      <c r="BA35" t="s">
        <v>73</v>
      </c>
      <c r="BB35" t="s">
        <v>73</v>
      </c>
      <c r="BC35" t="s">
        <v>73</v>
      </c>
      <c r="BD35" t="s">
        <v>73</v>
      </c>
      <c r="BE35">
        <v>160267</v>
      </c>
      <c r="BF35">
        <v>6230</v>
      </c>
      <c r="BG35">
        <v>1623</v>
      </c>
      <c r="BH35">
        <v>1342</v>
      </c>
      <c r="BI35">
        <v>4956</v>
      </c>
      <c r="BJ35">
        <v>545677</v>
      </c>
      <c r="BK35">
        <v>712</v>
      </c>
      <c r="BL35">
        <v>1838559</v>
      </c>
      <c r="BM35">
        <v>2188</v>
      </c>
      <c r="BN35">
        <v>101351</v>
      </c>
      <c r="BO35">
        <v>558</v>
      </c>
      <c r="BP35">
        <v>4745</v>
      </c>
      <c r="BQ35">
        <v>1057</v>
      </c>
      <c r="BR35">
        <v>46</v>
      </c>
      <c r="BS35">
        <v>1980</v>
      </c>
      <c r="BT35">
        <v>960</v>
      </c>
      <c r="BU35">
        <v>4112</v>
      </c>
      <c r="BV35">
        <v>374</v>
      </c>
      <c r="BW35">
        <v>2214</v>
      </c>
      <c r="BX35">
        <v>761</v>
      </c>
      <c r="BY35">
        <v>1146</v>
      </c>
      <c r="BZ35">
        <v>714</v>
      </c>
    </row>
    <row r="36" spans="1:78" x14ac:dyDescent="0.4">
      <c r="A36" s="1" t="s">
        <v>60</v>
      </c>
      <c r="B36" s="1" t="s">
        <v>61</v>
      </c>
      <c r="C36">
        <v>19372</v>
      </c>
      <c r="D36">
        <v>541680</v>
      </c>
      <c r="E36">
        <v>2898</v>
      </c>
      <c r="F36">
        <v>19882</v>
      </c>
      <c r="G36">
        <v>555941</v>
      </c>
      <c r="H36">
        <v>3190</v>
      </c>
      <c r="I36">
        <v>39161</v>
      </c>
      <c r="J36">
        <v>5886</v>
      </c>
      <c r="K36">
        <v>1158501</v>
      </c>
      <c r="L36">
        <v>4748</v>
      </c>
      <c r="M36">
        <v>7010</v>
      </c>
      <c r="N36">
        <v>1259564</v>
      </c>
      <c r="O36">
        <v>5299</v>
      </c>
      <c r="P36">
        <v>9438</v>
      </c>
      <c r="Q36">
        <v>596</v>
      </c>
      <c r="R36">
        <v>214550</v>
      </c>
      <c r="S36">
        <v>1322</v>
      </c>
      <c r="T36">
        <v>720</v>
      </c>
      <c r="U36">
        <v>247800</v>
      </c>
      <c r="V36">
        <v>1574</v>
      </c>
      <c r="W36">
        <v>349</v>
      </c>
      <c r="X36">
        <v>1471</v>
      </c>
      <c r="Y36">
        <v>352590</v>
      </c>
      <c r="Z36">
        <v>2304</v>
      </c>
      <c r="AA36">
        <v>84</v>
      </c>
      <c r="AB36">
        <v>342210</v>
      </c>
      <c r="AC36">
        <v>1382</v>
      </c>
      <c r="AD36">
        <v>42</v>
      </c>
      <c r="AE36">
        <v>960900</v>
      </c>
      <c r="AF36">
        <v>4346</v>
      </c>
      <c r="AG36">
        <v>2</v>
      </c>
      <c r="AH36">
        <v>250000</v>
      </c>
      <c r="AI36">
        <v>772</v>
      </c>
      <c r="AJ36">
        <v>885</v>
      </c>
      <c r="AK36">
        <v>162509</v>
      </c>
      <c r="AL36">
        <v>1278</v>
      </c>
      <c r="AM36">
        <v>3</v>
      </c>
      <c r="AN36">
        <v>9000</v>
      </c>
      <c r="AO36">
        <v>40</v>
      </c>
      <c r="AP36">
        <v>13419</v>
      </c>
      <c r="AQ36">
        <v>136644</v>
      </c>
      <c r="AR36">
        <v>1031</v>
      </c>
      <c r="AS36">
        <v>2042</v>
      </c>
      <c r="AT36">
        <v>125</v>
      </c>
      <c r="AU36">
        <v>72083</v>
      </c>
      <c r="AV36">
        <v>2086</v>
      </c>
      <c r="AW36">
        <v>15821</v>
      </c>
      <c r="AX36">
        <v>4627</v>
      </c>
      <c r="AY36">
        <v>3198</v>
      </c>
      <c r="AZ36">
        <v>3341</v>
      </c>
      <c r="BA36" t="s">
        <v>73</v>
      </c>
      <c r="BB36" t="s">
        <v>73</v>
      </c>
      <c r="BC36" t="s">
        <v>73</v>
      </c>
      <c r="BD36" t="s">
        <v>73</v>
      </c>
      <c r="BE36">
        <v>174402</v>
      </c>
      <c r="BF36">
        <v>6946</v>
      </c>
      <c r="BG36">
        <v>1197</v>
      </c>
      <c r="BH36">
        <v>788</v>
      </c>
      <c r="BI36">
        <v>5620</v>
      </c>
      <c r="BJ36">
        <v>654528</v>
      </c>
      <c r="BK36">
        <v>966</v>
      </c>
      <c r="BL36">
        <v>1088568</v>
      </c>
      <c r="BM36">
        <v>2415</v>
      </c>
      <c r="BN36">
        <v>101763</v>
      </c>
      <c r="BO36">
        <v>642</v>
      </c>
      <c r="BP36">
        <v>5541</v>
      </c>
      <c r="BQ36">
        <v>1028</v>
      </c>
      <c r="BR36">
        <v>69</v>
      </c>
      <c r="BS36">
        <v>10181</v>
      </c>
      <c r="BT36">
        <v>3134</v>
      </c>
      <c r="BU36">
        <v>3386</v>
      </c>
      <c r="BV36">
        <v>364</v>
      </c>
      <c r="BW36">
        <v>2264</v>
      </c>
      <c r="BX36">
        <v>675</v>
      </c>
      <c r="BY36">
        <v>1149</v>
      </c>
      <c r="BZ36">
        <v>650</v>
      </c>
    </row>
    <row r="37" spans="1:78" x14ac:dyDescent="0.4">
      <c r="A37" s="1" t="s">
        <v>62</v>
      </c>
      <c r="B37" s="1" t="s">
        <v>63</v>
      </c>
      <c r="C37">
        <v>19230</v>
      </c>
      <c r="D37">
        <v>556955</v>
      </c>
      <c r="E37">
        <v>2967</v>
      </c>
      <c r="F37">
        <v>17483</v>
      </c>
      <c r="G37">
        <v>504509</v>
      </c>
      <c r="H37">
        <v>2737</v>
      </c>
      <c r="I37">
        <v>40906</v>
      </c>
      <c r="J37">
        <v>5505</v>
      </c>
      <c r="K37">
        <v>1114101</v>
      </c>
      <c r="L37">
        <v>4526</v>
      </c>
      <c r="M37">
        <v>6457</v>
      </c>
      <c r="N37">
        <v>1239029</v>
      </c>
      <c r="O37">
        <v>5348</v>
      </c>
      <c r="P37">
        <v>9432</v>
      </c>
      <c r="Q37">
        <v>619</v>
      </c>
      <c r="R37">
        <v>276925</v>
      </c>
      <c r="S37">
        <v>1543</v>
      </c>
      <c r="T37">
        <v>615</v>
      </c>
      <c r="U37">
        <v>286845</v>
      </c>
      <c r="V37">
        <v>1544</v>
      </c>
      <c r="W37">
        <v>419</v>
      </c>
      <c r="X37">
        <v>1318</v>
      </c>
      <c r="Y37">
        <v>345270</v>
      </c>
      <c r="Z37">
        <v>2101</v>
      </c>
      <c r="AA37">
        <v>78</v>
      </c>
      <c r="AB37">
        <v>327300</v>
      </c>
      <c r="AC37">
        <v>1545</v>
      </c>
      <c r="AD37">
        <v>39</v>
      </c>
      <c r="AE37">
        <v>889005</v>
      </c>
      <c r="AF37">
        <v>3833</v>
      </c>
      <c r="AG37">
        <v>4</v>
      </c>
      <c r="AH37">
        <v>1150000</v>
      </c>
      <c r="AI37">
        <v>2478</v>
      </c>
      <c r="AJ37">
        <v>698</v>
      </c>
      <c r="AK37">
        <v>147019</v>
      </c>
      <c r="AL37">
        <v>936</v>
      </c>
      <c r="AM37">
        <v>8</v>
      </c>
      <c r="AN37">
        <v>19200</v>
      </c>
      <c r="AO37">
        <v>157</v>
      </c>
      <c r="AP37">
        <v>14355</v>
      </c>
      <c r="AQ37">
        <v>199512</v>
      </c>
      <c r="AR37">
        <v>1348</v>
      </c>
      <c r="AS37">
        <v>2005</v>
      </c>
      <c r="AT37">
        <v>255</v>
      </c>
      <c r="AU37">
        <v>72365</v>
      </c>
      <c r="AV37">
        <v>2162</v>
      </c>
      <c r="AW37">
        <v>16744</v>
      </c>
      <c r="AX37">
        <v>5611</v>
      </c>
      <c r="AY37">
        <v>3926</v>
      </c>
      <c r="AZ37">
        <v>3363</v>
      </c>
      <c r="BA37" t="s">
        <v>73</v>
      </c>
      <c r="BB37" t="s">
        <v>73</v>
      </c>
      <c r="BC37" t="s">
        <v>73</v>
      </c>
      <c r="BD37" t="s">
        <v>73</v>
      </c>
      <c r="BE37">
        <v>168594</v>
      </c>
      <c r="BF37">
        <v>6624</v>
      </c>
      <c r="BG37">
        <v>1752</v>
      </c>
      <c r="BH37">
        <v>964</v>
      </c>
      <c r="BI37">
        <v>5099</v>
      </c>
      <c r="BJ37">
        <v>591574</v>
      </c>
      <c r="BK37">
        <v>962</v>
      </c>
      <c r="BL37">
        <v>907825</v>
      </c>
      <c r="BM37">
        <v>2458</v>
      </c>
      <c r="BN37">
        <v>75569</v>
      </c>
      <c r="BO37">
        <v>528</v>
      </c>
      <c r="BP37">
        <v>6713</v>
      </c>
      <c r="BQ37">
        <v>1180</v>
      </c>
      <c r="BR37">
        <v>54</v>
      </c>
      <c r="BS37">
        <v>5190</v>
      </c>
      <c r="BT37">
        <v>2580</v>
      </c>
      <c r="BU37">
        <v>2232</v>
      </c>
      <c r="BV37">
        <v>385</v>
      </c>
      <c r="BW37">
        <v>1760</v>
      </c>
      <c r="BX37">
        <v>567</v>
      </c>
      <c r="BY37">
        <v>1013</v>
      </c>
      <c r="BZ37">
        <v>620</v>
      </c>
    </row>
    <row r="38" spans="1:78" x14ac:dyDescent="0.4">
      <c r="A38" s="1" t="s">
        <v>64</v>
      </c>
      <c r="B38" s="1" t="s">
        <v>65</v>
      </c>
      <c r="C38">
        <v>23555</v>
      </c>
      <c r="D38">
        <v>637490</v>
      </c>
      <c r="E38">
        <v>3678</v>
      </c>
      <c r="F38">
        <v>25547</v>
      </c>
      <c r="G38">
        <v>658427</v>
      </c>
      <c r="H38">
        <v>3762</v>
      </c>
      <c r="I38">
        <v>38911</v>
      </c>
      <c r="J38">
        <v>4998</v>
      </c>
      <c r="K38">
        <v>1027811</v>
      </c>
      <c r="L38">
        <v>4757</v>
      </c>
      <c r="M38">
        <v>8783</v>
      </c>
      <c r="N38">
        <v>1796394</v>
      </c>
      <c r="O38">
        <v>8123</v>
      </c>
      <c r="P38">
        <v>7105</v>
      </c>
      <c r="Q38">
        <v>767</v>
      </c>
      <c r="R38">
        <v>354275</v>
      </c>
      <c r="S38">
        <v>2356</v>
      </c>
      <c r="T38">
        <v>964</v>
      </c>
      <c r="U38">
        <v>469135</v>
      </c>
      <c r="V38">
        <v>3239</v>
      </c>
      <c r="W38">
        <v>335</v>
      </c>
      <c r="X38">
        <v>1459</v>
      </c>
      <c r="Y38">
        <v>302193</v>
      </c>
      <c r="Z38">
        <v>2527</v>
      </c>
      <c r="AA38">
        <v>82</v>
      </c>
      <c r="AB38">
        <v>370980</v>
      </c>
      <c r="AC38">
        <v>1504</v>
      </c>
      <c r="AD38">
        <v>49</v>
      </c>
      <c r="AE38">
        <v>1089440</v>
      </c>
      <c r="AF38">
        <v>3636</v>
      </c>
      <c r="AG38">
        <v>6</v>
      </c>
      <c r="AH38">
        <v>1950000</v>
      </c>
      <c r="AI38">
        <v>3587</v>
      </c>
      <c r="AJ38">
        <v>980</v>
      </c>
      <c r="AK38">
        <v>243840</v>
      </c>
      <c r="AL38">
        <v>1470</v>
      </c>
      <c r="AM38">
        <v>1</v>
      </c>
      <c r="AN38">
        <v>5000</v>
      </c>
      <c r="AO38">
        <v>23</v>
      </c>
      <c r="AP38">
        <v>12845</v>
      </c>
      <c r="AQ38">
        <v>142499</v>
      </c>
      <c r="AR38">
        <v>1039</v>
      </c>
      <c r="AS38">
        <v>1979</v>
      </c>
      <c r="AT38">
        <v>124</v>
      </c>
      <c r="AU38">
        <v>68301</v>
      </c>
      <c r="AV38">
        <v>2656</v>
      </c>
      <c r="AW38">
        <v>14785</v>
      </c>
      <c r="AX38">
        <v>6510</v>
      </c>
      <c r="AY38">
        <v>2584</v>
      </c>
      <c r="AZ38">
        <v>1863</v>
      </c>
      <c r="BA38" t="s">
        <v>73</v>
      </c>
      <c r="BB38" t="s">
        <v>73</v>
      </c>
      <c r="BC38" t="s">
        <v>73</v>
      </c>
      <c r="BD38" t="s">
        <v>73</v>
      </c>
      <c r="BE38">
        <v>188995</v>
      </c>
      <c r="BF38">
        <v>7393</v>
      </c>
      <c r="BG38">
        <v>2861</v>
      </c>
      <c r="BH38">
        <v>1950</v>
      </c>
      <c r="BI38">
        <v>5296</v>
      </c>
      <c r="BJ38">
        <v>529902</v>
      </c>
      <c r="BK38">
        <v>851</v>
      </c>
      <c r="BL38">
        <v>938682</v>
      </c>
      <c r="BM38">
        <v>2754</v>
      </c>
      <c r="BN38">
        <v>134248</v>
      </c>
      <c r="BO38">
        <v>1131</v>
      </c>
      <c r="BP38">
        <v>6741</v>
      </c>
      <c r="BQ38">
        <v>1192</v>
      </c>
      <c r="BR38">
        <v>80</v>
      </c>
      <c r="BS38">
        <v>4902</v>
      </c>
      <c r="BT38">
        <v>1955</v>
      </c>
      <c r="BU38">
        <v>2700</v>
      </c>
      <c r="BV38">
        <v>420</v>
      </c>
      <c r="BW38">
        <v>2009</v>
      </c>
      <c r="BX38">
        <v>757</v>
      </c>
      <c r="BY38">
        <v>1154</v>
      </c>
      <c r="BZ38">
        <v>699</v>
      </c>
    </row>
    <row r="39" spans="1:78" x14ac:dyDescent="0.4">
      <c r="A39" s="1"/>
      <c r="B39" s="1"/>
    </row>
    <row r="40" spans="1:78" x14ac:dyDescent="0.4">
      <c r="A40" s="1"/>
      <c r="B40" s="1"/>
    </row>
  </sheetData>
  <phoneticPr fontId="2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EFA71-7FAB-475D-A5E2-D2A66344FE22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1039</v>
      </c>
      <c r="D3" t="s">
        <v>1039</v>
      </c>
      <c r="E3" t="s">
        <v>1041</v>
      </c>
      <c r="F3" t="s">
        <v>1041</v>
      </c>
      <c r="G3" t="s">
        <v>1044</v>
      </c>
      <c r="H3" t="s">
        <v>1044</v>
      </c>
      <c r="I3" t="s">
        <v>1046</v>
      </c>
      <c r="J3" t="s">
        <v>1046</v>
      </c>
      <c r="K3" t="s">
        <v>1048</v>
      </c>
      <c r="L3" t="s">
        <v>1048</v>
      </c>
      <c r="M3" t="s">
        <v>1050</v>
      </c>
      <c r="N3" t="s">
        <v>1050</v>
      </c>
      <c r="O3" t="s">
        <v>1052</v>
      </c>
      <c r="P3" t="s">
        <v>1052</v>
      </c>
      <c r="Q3" t="s">
        <v>1054</v>
      </c>
      <c r="R3" t="s">
        <v>1054</v>
      </c>
      <c r="S3" t="s">
        <v>1056</v>
      </c>
      <c r="T3" t="s">
        <v>1056</v>
      </c>
      <c r="U3" t="s">
        <v>1058</v>
      </c>
      <c r="V3" t="s">
        <v>1058</v>
      </c>
      <c r="W3" t="s">
        <v>1060</v>
      </c>
      <c r="X3" t="s">
        <v>1060</v>
      </c>
      <c r="Y3" t="s">
        <v>1062</v>
      </c>
      <c r="Z3" t="s">
        <v>1062</v>
      </c>
      <c r="AA3" t="s">
        <v>1064</v>
      </c>
      <c r="AB3" t="s">
        <v>1064</v>
      </c>
      <c r="AC3" t="s">
        <v>1066</v>
      </c>
      <c r="AD3" t="s">
        <v>1066</v>
      </c>
      <c r="AE3" t="s">
        <v>1068</v>
      </c>
      <c r="AF3" t="s">
        <v>1068</v>
      </c>
      <c r="AG3" t="s">
        <v>1070</v>
      </c>
      <c r="AH3" t="s">
        <v>1070</v>
      </c>
      <c r="AI3" t="s">
        <v>1072</v>
      </c>
      <c r="AJ3" t="s">
        <v>1072</v>
      </c>
      <c r="AK3" t="s">
        <v>1074</v>
      </c>
      <c r="AL3" t="s">
        <v>1074</v>
      </c>
      <c r="AM3" t="s">
        <v>1076</v>
      </c>
      <c r="AN3" t="s">
        <v>1076</v>
      </c>
      <c r="AO3" t="s">
        <v>1078</v>
      </c>
      <c r="AP3" t="s">
        <v>1078</v>
      </c>
      <c r="AQ3" t="s">
        <v>1080</v>
      </c>
      <c r="AR3" t="s">
        <v>1080</v>
      </c>
      <c r="AS3" t="s">
        <v>1082</v>
      </c>
      <c r="AT3" t="s">
        <v>1082</v>
      </c>
      <c r="AU3" t="s">
        <v>1084</v>
      </c>
      <c r="AV3" t="s">
        <v>1084</v>
      </c>
      <c r="AW3" t="s">
        <v>1086</v>
      </c>
      <c r="AX3" t="s">
        <v>1086</v>
      </c>
      <c r="AY3" t="s">
        <v>1088</v>
      </c>
      <c r="AZ3" t="s">
        <v>1088</v>
      </c>
      <c r="BA3" t="s">
        <v>1090</v>
      </c>
      <c r="BB3" t="s">
        <v>1090</v>
      </c>
    </row>
    <row r="4" spans="1:54" x14ac:dyDescent="0.4">
      <c r="A4" s="1"/>
      <c r="B4" s="2" t="s">
        <v>1</v>
      </c>
      <c r="C4" t="s">
        <v>1040</v>
      </c>
      <c r="D4" t="s">
        <v>1040</v>
      </c>
      <c r="E4" t="s">
        <v>1043</v>
      </c>
      <c r="F4" t="s">
        <v>1043</v>
      </c>
      <c r="G4" t="s">
        <v>1045</v>
      </c>
      <c r="H4" t="s">
        <v>1045</v>
      </c>
      <c r="I4" t="s">
        <v>1047</v>
      </c>
      <c r="J4" t="s">
        <v>1047</v>
      </c>
      <c r="K4" t="s">
        <v>1049</v>
      </c>
      <c r="L4" t="s">
        <v>1049</v>
      </c>
      <c r="M4" t="s">
        <v>1051</v>
      </c>
      <c r="N4" t="s">
        <v>1051</v>
      </c>
      <c r="O4" t="s">
        <v>1053</v>
      </c>
      <c r="P4" t="s">
        <v>1053</v>
      </c>
      <c r="Q4" t="s">
        <v>1055</v>
      </c>
      <c r="R4" t="s">
        <v>1055</v>
      </c>
      <c r="S4" t="s">
        <v>1057</v>
      </c>
      <c r="T4" t="s">
        <v>1057</v>
      </c>
      <c r="U4" t="s">
        <v>1059</v>
      </c>
      <c r="V4" t="s">
        <v>1059</v>
      </c>
      <c r="W4" t="s">
        <v>1061</v>
      </c>
      <c r="X4" t="s">
        <v>1061</v>
      </c>
      <c r="Y4" t="s">
        <v>1063</v>
      </c>
      <c r="Z4" t="s">
        <v>1063</v>
      </c>
      <c r="AA4" t="s">
        <v>1065</v>
      </c>
      <c r="AB4" t="s">
        <v>1065</v>
      </c>
      <c r="AC4" t="s">
        <v>1067</v>
      </c>
      <c r="AD4" t="s">
        <v>1067</v>
      </c>
      <c r="AE4" t="s">
        <v>1069</v>
      </c>
      <c r="AF4" t="s">
        <v>1069</v>
      </c>
      <c r="AG4" t="s">
        <v>1071</v>
      </c>
      <c r="AH4" t="s">
        <v>1071</v>
      </c>
      <c r="AI4" t="s">
        <v>1073</v>
      </c>
      <c r="AJ4" t="s">
        <v>1073</v>
      </c>
      <c r="AK4" t="s">
        <v>1075</v>
      </c>
      <c r="AL4" t="s">
        <v>1075</v>
      </c>
      <c r="AM4" t="s">
        <v>1077</v>
      </c>
      <c r="AN4" t="s">
        <v>1077</v>
      </c>
      <c r="AO4" t="s">
        <v>1079</v>
      </c>
      <c r="AP4" t="s">
        <v>1079</v>
      </c>
      <c r="AQ4" t="s">
        <v>1081</v>
      </c>
      <c r="AR4" t="s">
        <v>1081</v>
      </c>
      <c r="AS4" t="s">
        <v>1083</v>
      </c>
      <c r="AT4" t="s">
        <v>1083</v>
      </c>
      <c r="AU4" t="s">
        <v>1085</v>
      </c>
      <c r="AV4" t="s">
        <v>1085</v>
      </c>
      <c r="AW4" t="s">
        <v>1087</v>
      </c>
      <c r="AX4" t="s">
        <v>1087</v>
      </c>
      <c r="AY4" t="s">
        <v>1089</v>
      </c>
      <c r="AZ4" t="s">
        <v>1089</v>
      </c>
      <c r="BA4" t="s">
        <v>1091</v>
      </c>
      <c r="BB4" t="s">
        <v>1091</v>
      </c>
    </row>
    <row r="5" spans="1:54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481</v>
      </c>
      <c r="D7" t="s">
        <v>258</v>
      </c>
      <c r="E7" t="s">
        <v>1042</v>
      </c>
      <c r="F7" t="s">
        <v>258</v>
      </c>
      <c r="G7" t="s">
        <v>1042</v>
      </c>
      <c r="H7" t="s">
        <v>258</v>
      </c>
      <c r="I7" t="s">
        <v>251</v>
      </c>
      <c r="J7" t="s">
        <v>258</v>
      </c>
      <c r="K7" t="s">
        <v>251</v>
      </c>
      <c r="L7" t="s">
        <v>258</v>
      </c>
      <c r="M7" t="s">
        <v>481</v>
      </c>
      <c r="N7" t="s">
        <v>258</v>
      </c>
      <c r="O7" t="s">
        <v>251</v>
      </c>
      <c r="P7" t="s">
        <v>258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</row>
    <row r="9" spans="1:54" x14ac:dyDescent="0.4">
      <c r="A9" s="1" t="s">
        <v>6</v>
      </c>
      <c r="B9" s="3" t="s">
        <v>7</v>
      </c>
      <c r="C9">
        <v>2452</v>
      </c>
      <c r="D9">
        <v>66084</v>
      </c>
      <c r="E9">
        <v>59636</v>
      </c>
      <c r="F9">
        <v>134318</v>
      </c>
      <c r="G9">
        <v>51568</v>
      </c>
      <c r="H9">
        <v>62896</v>
      </c>
      <c r="I9">
        <v>369465</v>
      </c>
      <c r="J9">
        <v>69855</v>
      </c>
      <c r="K9">
        <v>2369127</v>
      </c>
      <c r="L9">
        <v>33466</v>
      </c>
      <c r="M9">
        <v>509876</v>
      </c>
      <c r="N9">
        <v>228716</v>
      </c>
      <c r="O9">
        <v>434490</v>
      </c>
      <c r="P9">
        <v>93238</v>
      </c>
      <c r="Q9">
        <v>1645459</v>
      </c>
      <c r="R9">
        <v>17433</v>
      </c>
      <c r="S9">
        <v>15574029</v>
      </c>
      <c r="T9">
        <v>29448</v>
      </c>
      <c r="U9">
        <v>1012752448</v>
      </c>
      <c r="V9">
        <v>122812</v>
      </c>
      <c r="W9">
        <v>292534340</v>
      </c>
      <c r="X9">
        <v>136525</v>
      </c>
      <c r="Y9">
        <v>567694</v>
      </c>
      <c r="Z9">
        <v>22279</v>
      </c>
      <c r="AA9">
        <v>1074505</v>
      </c>
      <c r="AB9">
        <v>81715</v>
      </c>
      <c r="AC9">
        <v>30700059</v>
      </c>
      <c r="AD9">
        <v>23238</v>
      </c>
      <c r="AE9">
        <v>92753089</v>
      </c>
      <c r="AF9">
        <v>53658</v>
      </c>
      <c r="AG9">
        <v>554087398</v>
      </c>
      <c r="AH9">
        <v>25951</v>
      </c>
      <c r="AI9">
        <v>52469725</v>
      </c>
      <c r="AJ9">
        <v>29523</v>
      </c>
      <c r="AK9">
        <v>1910133</v>
      </c>
      <c r="AL9">
        <v>29129</v>
      </c>
      <c r="AM9">
        <v>10762212</v>
      </c>
      <c r="AN9">
        <v>44321</v>
      </c>
      <c r="AO9">
        <v>9749992</v>
      </c>
      <c r="AP9">
        <v>35006</v>
      </c>
      <c r="AQ9">
        <v>20894507</v>
      </c>
      <c r="AR9">
        <v>7544</v>
      </c>
      <c r="AS9">
        <v>6567401</v>
      </c>
      <c r="AT9">
        <v>10925</v>
      </c>
      <c r="AU9">
        <v>62785</v>
      </c>
      <c r="AV9">
        <v>14929</v>
      </c>
      <c r="AW9">
        <v>1198</v>
      </c>
      <c r="AX9">
        <v>14961</v>
      </c>
      <c r="AY9">
        <v>7578</v>
      </c>
      <c r="AZ9">
        <v>1399</v>
      </c>
      <c r="BA9">
        <v>11260138</v>
      </c>
      <c r="BB9">
        <v>53697</v>
      </c>
    </row>
    <row r="10" spans="1:54" x14ac:dyDescent="0.4">
      <c r="A10" s="1" t="s">
        <v>8</v>
      </c>
      <c r="B10" s="3" t="s">
        <v>9</v>
      </c>
      <c r="C10">
        <v>2441</v>
      </c>
      <c r="D10">
        <v>61719</v>
      </c>
      <c r="E10">
        <v>57648</v>
      </c>
      <c r="F10">
        <v>130971</v>
      </c>
      <c r="G10">
        <v>48197</v>
      </c>
      <c r="H10">
        <v>60986</v>
      </c>
      <c r="I10">
        <v>356174</v>
      </c>
      <c r="J10">
        <v>69708</v>
      </c>
      <c r="K10">
        <v>2556213</v>
      </c>
      <c r="L10">
        <v>37920</v>
      </c>
      <c r="M10">
        <v>557222</v>
      </c>
      <c r="N10">
        <v>204980</v>
      </c>
      <c r="O10">
        <v>452794</v>
      </c>
      <c r="P10">
        <v>90666</v>
      </c>
      <c r="Q10">
        <v>1632382</v>
      </c>
      <c r="R10">
        <v>15144</v>
      </c>
      <c r="S10">
        <v>18514734</v>
      </c>
      <c r="T10">
        <v>33068</v>
      </c>
      <c r="U10">
        <v>992744195</v>
      </c>
      <c r="V10">
        <v>127219</v>
      </c>
      <c r="W10">
        <v>283647574</v>
      </c>
      <c r="X10">
        <v>134637</v>
      </c>
      <c r="Y10">
        <v>858736</v>
      </c>
      <c r="Z10">
        <v>32687</v>
      </c>
      <c r="AA10">
        <v>1212561</v>
      </c>
      <c r="AB10">
        <v>101686</v>
      </c>
      <c r="AC10">
        <v>33687443</v>
      </c>
      <c r="AD10">
        <v>27891</v>
      </c>
      <c r="AE10">
        <v>109594885</v>
      </c>
      <c r="AF10">
        <v>61969</v>
      </c>
      <c r="AG10">
        <v>560606987</v>
      </c>
      <c r="AH10">
        <v>25943</v>
      </c>
      <c r="AI10">
        <v>53391293</v>
      </c>
      <c r="AJ10">
        <v>33531</v>
      </c>
      <c r="AK10">
        <v>2063036</v>
      </c>
      <c r="AL10">
        <v>30284</v>
      </c>
      <c r="AM10">
        <v>11559357</v>
      </c>
      <c r="AN10">
        <v>51304</v>
      </c>
      <c r="AO10">
        <v>11677267</v>
      </c>
      <c r="AP10">
        <v>40954</v>
      </c>
      <c r="AQ10">
        <v>20832137</v>
      </c>
      <c r="AR10">
        <v>8237</v>
      </c>
      <c r="AS10">
        <v>7029921</v>
      </c>
      <c r="AT10">
        <v>12042</v>
      </c>
      <c r="AU10">
        <v>72732</v>
      </c>
      <c r="AV10">
        <v>15597</v>
      </c>
      <c r="AW10">
        <v>1078</v>
      </c>
      <c r="AX10">
        <v>14858</v>
      </c>
      <c r="AY10">
        <v>6785</v>
      </c>
      <c r="AZ10">
        <v>944</v>
      </c>
      <c r="BA10">
        <v>10899578</v>
      </c>
      <c r="BB10">
        <v>61258</v>
      </c>
    </row>
    <row r="11" spans="1:54" x14ac:dyDescent="0.4">
      <c r="A11" s="1" t="s">
        <v>10</v>
      </c>
      <c r="B11" s="3" t="s">
        <v>11</v>
      </c>
      <c r="C11">
        <v>2201</v>
      </c>
      <c r="D11">
        <v>65566</v>
      </c>
      <c r="E11">
        <v>62146</v>
      </c>
      <c r="F11">
        <v>149009</v>
      </c>
      <c r="G11">
        <v>51342</v>
      </c>
      <c r="H11">
        <v>69620</v>
      </c>
      <c r="I11">
        <v>359962</v>
      </c>
      <c r="J11">
        <v>75791</v>
      </c>
      <c r="K11">
        <v>2465942</v>
      </c>
      <c r="L11">
        <v>41833</v>
      </c>
      <c r="M11">
        <v>490766</v>
      </c>
      <c r="N11">
        <v>226715</v>
      </c>
      <c r="O11">
        <v>462686</v>
      </c>
      <c r="P11">
        <v>91632</v>
      </c>
      <c r="Q11">
        <v>1329088</v>
      </c>
      <c r="R11">
        <v>17489</v>
      </c>
      <c r="S11">
        <v>13498043</v>
      </c>
      <c r="T11">
        <v>30336</v>
      </c>
      <c r="U11">
        <v>903256351</v>
      </c>
      <c r="V11">
        <v>126209</v>
      </c>
      <c r="W11">
        <v>253068985</v>
      </c>
      <c r="X11">
        <v>143667</v>
      </c>
      <c r="Y11">
        <v>730426</v>
      </c>
      <c r="Z11">
        <v>26589</v>
      </c>
      <c r="AA11">
        <v>761014</v>
      </c>
      <c r="AB11">
        <v>113397</v>
      </c>
      <c r="AC11">
        <v>21764587</v>
      </c>
      <c r="AD11">
        <v>20539</v>
      </c>
      <c r="AE11">
        <v>67957556</v>
      </c>
      <c r="AF11">
        <v>50551</v>
      </c>
      <c r="AG11">
        <v>366274604</v>
      </c>
      <c r="AH11">
        <v>23806</v>
      </c>
      <c r="AI11">
        <v>42733597</v>
      </c>
      <c r="AJ11">
        <v>32450</v>
      </c>
      <c r="AK11">
        <v>2194525</v>
      </c>
      <c r="AL11">
        <v>34290</v>
      </c>
      <c r="AM11">
        <v>9126319</v>
      </c>
      <c r="AN11">
        <v>46651</v>
      </c>
      <c r="AO11">
        <v>9633719</v>
      </c>
      <c r="AP11">
        <v>38509</v>
      </c>
      <c r="AQ11">
        <v>20666943</v>
      </c>
      <c r="AR11">
        <v>8697</v>
      </c>
      <c r="AS11">
        <v>5365313</v>
      </c>
      <c r="AT11">
        <v>10217</v>
      </c>
      <c r="AU11">
        <v>64396</v>
      </c>
      <c r="AV11">
        <v>15374</v>
      </c>
      <c r="AW11">
        <v>1198</v>
      </c>
      <c r="AX11">
        <v>15223</v>
      </c>
      <c r="AY11">
        <v>8499</v>
      </c>
      <c r="AZ11">
        <v>1373</v>
      </c>
      <c r="BA11">
        <v>10542847</v>
      </c>
      <c r="BB11">
        <v>50824</v>
      </c>
    </row>
    <row r="12" spans="1:54" x14ac:dyDescent="0.4">
      <c r="A12" s="1" t="s">
        <v>12</v>
      </c>
      <c r="B12" s="3" t="s">
        <v>13</v>
      </c>
      <c r="C12">
        <v>2546</v>
      </c>
      <c r="D12">
        <v>81548</v>
      </c>
      <c r="E12">
        <v>66900</v>
      </c>
      <c r="F12">
        <v>174271</v>
      </c>
      <c r="G12">
        <v>58181</v>
      </c>
      <c r="H12">
        <v>80336</v>
      </c>
      <c r="I12">
        <v>342638</v>
      </c>
      <c r="J12">
        <v>79735</v>
      </c>
      <c r="K12">
        <v>2276619</v>
      </c>
      <c r="L12">
        <v>41443</v>
      </c>
      <c r="M12">
        <v>392769</v>
      </c>
      <c r="N12">
        <v>234393</v>
      </c>
      <c r="O12">
        <v>341102</v>
      </c>
      <c r="P12">
        <v>103434</v>
      </c>
      <c r="Q12">
        <v>1520816</v>
      </c>
      <c r="R12">
        <v>17198</v>
      </c>
      <c r="S12">
        <v>10898728</v>
      </c>
      <c r="T12">
        <v>26801</v>
      </c>
      <c r="U12">
        <v>782085196</v>
      </c>
      <c r="V12">
        <v>115653</v>
      </c>
      <c r="W12">
        <v>209454840</v>
      </c>
      <c r="X12">
        <v>134844</v>
      </c>
      <c r="Y12">
        <v>376441</v>
      </c>
      <c r="Z12">
        <v>18328</v>
      </c>
      <c r="AA12">
        <v>726298</v>
      </c>
      <c r="AB12">
        <v>71411</v>
      </c>
      <c r="AC12">
        <v>19421588</v>
      </c>
      <c r="AD12">
        <v>18991</v>
      </c>
      <c r="AE12">
        <v>57490444</v>
      </c>
      <c r="AF12">
        <v>44899</v>
      </c>
      <c r="AG12">
        <v>300226593</v>
      </c>
      <c r="AH12">
        <v>20664</v>
      </c>
      <c r="AI12">
        <v>35211987</v>
      </c>
      <c r="AJ12">
        <v>30937</v>
      </c>
      <c r="AK12">
        <v>2034239</v>
      </c>
      <c r="AL12">
        <v>35297</v>
      </c>
      <c r="AM12">
        <v>7891417</v>
      </c>
      <c r="AN12">
        <v>44431</v>
      </c>
      <c r="AO12">
        <v>6959153</v>
      </c>
      <c r="AP12">
        <v>32027</v>
      </c>
      <c r="AQ12">
        <v>18825792</v>
      </c>
      <c r="AR12">
        <v>7600</v>
      </c>
      <c r="AS12">
        <v>3213287</v>
      </c>
      <c r="AT12">
        <v>9248</v>
      </c>
      <c r="AU12">
        <v>60768</v>
      </c>
      <c r="AV12">
        <v>17750</v>
      </c>
      <c r="AW12">
        <v>1145</v>
      </c>
      <c r="AX12">
        <v>15980</v>
      </c>
      <c r="AY12">
        <v>17049</v>
      </c>
      <c r="AZ12">
        <v>1861</v>
      </c>
      <c r="BA12">
        <v>9620273</v>
      </c>
      <c r="BB12">
        <v>52091</v>
      </c>
    </row>
    <row r="13" spans="1:54" x14ac:dyDescent="0.4">
      <c r="A13" s="1" t="s">
        <v>14</v>
      </c>
      <c r="B13" s="3" t="s">
        <v>15</v>
      </c>
      <c r="C13">
        <v>2375</v>
      </c>
      <c r="D13">
        <v>79250</v>
      </c>
      <c r="E13">
        <v>62880</v>
      </c>
      <c r="F13">
        <v>183293</v>
      </c>
      <c r="G13">
        <v>56908</v>
      </c>
      <c r="H13">
        <v>91747</v>
      </c>
      <c r="I13">
        <v>335085</v>
      </c>
      <c r="J13">
        <v>81454</v>
      </c>
      <c r="K13">
        <v>2449860</v>
      </c>
      <c r="L13">
        <v>48747</v>
      </c>
      <c r="M13">
        <v>359203</v>
      </c>
      <c r="N13">
        <v>250318</v>
      </c>
      <c r="O13">
        <v>381084</v>
      </c>
      <c r="P13">
        <v>108344</v>
      </c>
      <c r="Q13">
        <v>1424600</v>
      </c>
      <c r="R13">
        <v>17798</v>
      </c>
      <c r="S13">
        <v>10782282</v>
      </c>
      <c r="T13">
        <v>29581</v>
      </c>
      <c r="U13">
        <v>846185634</v>
      </c>
      <c r="V13">
        <v>128141</v>
      </c>
      <c r="W13">
        <v>239212061</v>
      </c>
      <c r="X13">
        <v>154177</v>
      </c>
      <c r="Y13">
        <v>619036</v>
      </c>
      <c r="Z13">
        <v>22989</v>
      </c>
      <c r="AA13">
        <v>938206</v>
      </c>
      <c r="AB13">
        <v>71249</v>
      </c>
      <c r="AC13">
        <v>20270129</v>
      </c>
      <c r="AD13">
        <v>20815</v>
      </c>
      <c r="AE13">
        <v>61750659</v>
      </c>
      <c r="AF13">
        <v>52621</v>
      </c>
      <c r="AG13">
        <v>323119369</v>
      </c>
      <c r="AH13">
        <v>22156</v>
      </c>
      <c r="AI13">
        <v>41015582</v>
      </c>
      <c r="AJ13">
        <v>34131</v>
      </c>
      <c r="AK13">
        <v>2124010</v>
      </c>
      <c r="AL13">
        <v>36570</v>
      </c>
      <c r="AM13">
        <v>8419382</v>
      </c>
      <c r="AN13">
        <v>50098</v>
      </c>
      <c r="AO13">
        <v>7181955</v>
      </c>
      <c r="AP13">
        <v>37110</v>
      </c>
      <c r="AQ13">
        <v>19788919</v>
      </c>
      <c r="AR13">
        <v>8223</v>
      </c>
      <c r="AS13">
        <v>3551919</v>
      </c>
      <c r="AT13">
        <v>10382</v>
      </c>
      <c r="AU13">
        <v>58116</v>
      </c>
      <c r="AV13">
        <v>20133</v>
      </c>
      <c r="AW13">
        <v>1035</v>
      </c>
      <c r="AX13">
        <v>16255</v>
      </c>
      <c r="AY13">
        <v>10651</v>
      </c>
      <c r="AZ13">
        <v>1606</v>
      </c>
      <c r="BA13">
        <v>9782366</v>
      </c>
      <c r="BB13">
        <v>61764</v>
      </c>
    </row>
    <row r="14" spans="1:54" x14ac:dyDescent="0.4">
      <c r="A14" s="1" t="s">
        <v>16</v>
      </c>
      <c r="B14" s="1" t="s">
        <v>17</v>
      </c>
      <c r="C14">
        <v>369</v>
      </c>
      <c r="D14">
        <v>9646</v>
      </c>
      <c r="E14">
        <v>6625</v>
      </c>
      <c r="F14">
        <v>18752</v>
      </c>
      <c r="G14">
        <v>5664</v>
      </c>
      <c r="H14">
        <v>7816</v>
      </c>
      <c r="I14">
        <v>28591</v>
      </c>
      <c r="J14">
        <v>6642</v>
      </c>
      <c r="K14">
        <v>164167</v>
      </c>
      <c r="L14">
        <v>3068</v>
      </c>
      <c r="M14">
        <v>35032</v>
      </c>
      <c r="N14">
        <v>55020</v>
      </c>
      <c r="O14">
        <v>29373</v>
      </c>
      <c r="P14">
        <v>22657</v>
      </c>
      <c r="Q14">
        <v>120030</v>
      </c>
      <c r="R14">
        <v>2094</v>
      </c>
      <c r="S14">
        <v>881664</v>
      </c>
      <c r="T14">
        <v>1958</v>
      </c>
      <c r="U14">
        <v>67017064</v>
      </c>
      <c r="V14">
        <v>9710</v>
      </c>
      <c r="W14">
        <v>16780332</v>
      </c>
      <c r="X14">
        <v>11521</v>
      </c>
      <c r="Y14">
        <v>32516</v>
      </c>
      <c r="Z14">
        <v>1828</v>
      </c>
      <c r="AA14">
        <v>49074</v>
      </c>
      <c r="AB14">
        <v>7238</v>
      </c>
      <c r="AC14">
        <v>1462549</v>
      </c>
      <c r="AD14">
        <v>1563</v>
      </c>
      <c r="AE14">
        <v>4951195</v>
      </c>
      <c r="AF14">
        <v>4065</v>
      </c>
      <c r="AG14">
        <v>22439984</v>
      </c>
      <c r="AH14">
        <v>1415</v>
      </c>
      <c r="AI14">
        <v>2894596</v>
      </c>
      <c r="AJ14">
        <v>2898</v>
      </c>
      <c r="AK14">
        <v>178424</v>
      </c>
      <c r="AL14">
        <v>3242</v>
      </c>
      <c r="AM14">
        <v>568847</v>
      </c>
      <c r="AN14">
        <v>3399</v>
      </c>
      <c r="AO14">
        <v>555914</v>
      </c>
      <c r="AP14">
        <v>2381</v>
      </c>
      <c r="AQ14">
        <v>1682104</v>
      </c>
      <c r="AR14">
        <v>665</v>
      </c>
      <c r="AS14">
        <v>246050</v>
      </c>
      <c r="AT14">
        <v>832</v>
      </c>
      <c r="AU14">
        <v>5471</v>
      </c>
      <c r="AV14">
        <v>1706</v>
      </c>
      <c r="AW14">
        <v>100</v>
      </c>
      <c r="AX14">
        <v>1234</v>
      </c>
      <c r="AY14">
        <v>899</v>
      </c>
      <c r="AZ14">
        <v>137</v>
      </c>
      <c r="BA14">
        <v>838349</v>
      </c>
      <c r="BB14">
        <v>4680</v>
      </c>
    </row>
    <row r="15" spans="1:54" x14ac:dyDescent="0.4">
      <c r="A15" s="1" t="s">
        <v>18</v>
      </c>
      <c r="B15" s="1" t="s">
        <v>19</v>
      </c>
      <c r="C15">
        <v>113</v>
      </c>
      <c r="D15">
        <v>4783</v>
      </c>
      <c r="E15">
        <v>4996</v>
      </c>
      <c r="F15">
        <v>12005</v>
      </c>
      <c r="G15">
        <v>4908</v>
      </c>
      <c r="H15">
        <v>6078</v>
      </c>
      <c r="I15">
        <v>25766</v>
      </c>
      <c r="J15">
        <v>6200</v>
      </c>
      <c r="K15">
        <v>231534</v>
      </c>
      <c r="L15">
        <v>4099</v>
      </c>
      <c r="M15">
        <v>23679</v>
      </c>
      <c r="N15">
        <v>10575</v>
      </c>
      <c r="O15">
        <v>30925</v>
      </c>
      <c r="P15">
        <v>4091</v>
      </c>
      <c r="Q15">
        <v>106444</v>
      </c>
      <c r="R15">
        <v>1253</v>
      </c>
      <c r="S15">
        <v>906856</v>
      </c>
      <c r="T15">
        <v>2290</v>
      </c>
      <c r="U15">
        <v>65697533</v>
      </c>
      <c r="V15">
        <v>9360</v>
      </c>
      <c r="W15">
        <v>16290861</v>
      </c>
      <c r="X15">
        <v>10311</v>
      </c>
      <c r="Y15">
        <v>28046</v>
      </c>
      <c r="Z15">
        <v>1616</v>
      </c>
      <c r="AA15">
        <v>35375</v>
      </c>
      <c r="AB15">
        <v>5548</v>
      </c>
      <c r="AC15">
        <v>1625220</v>
      </c>
      <c r="AD15">
        <v>1457</v>
      </c>
      <c r="AE15">
        <v>4333687</v>
      </c>
      <c r="AF15">
        <v>3263</v>
      </c>
      <c r="AG15">
        <v>23715131</v>
      </c>
      <c r="AH15">
        <v>1484</v>
      </c>
      <c r="AI15">
        <v>2896221</v>
      </c>
      <c r="AJ15">
        <v>2425</v>
      </c>
      <c r="AK15">
        <v>168051</v>
      </c>
      <c r="AL15">
        <v>2818</v>
      </c>
      <c r="AM15">
        <v>639660</v>
      </c>
      <c r="AN15">
        <v>3654</v>
      </c>
      <c r="AO15">
        <v>556770</v>
      </c>
      <c r="AP15">
        <v>2567</v>
      </c>
      <c r="AQ15">
        <v>1214800</v>
      </c>
      <c r="AR15">
        <v>540</v>
      </c>
      <c r="AS15">
        <v>249102</v>
      </c>
      <c r="AT15">
        <v>704</v>
      </c>
      <c r="AU15">
        <v>4891</v>
      </c>
      <c r="AV15">
        <v>1215</v>
      </c>
      <c r="AW15">
        <v>76</v>
      </c>
      <c r="AX15">
        <v>1401</v>
      </c>
      <c r="AY15">
        <v>581</v>
      </c>
      <c r="AZ15">
        <v>79</v>
      </c>
      <c r="BA15">
        <v>758942</v>
      </c>
      <c r="BB15">
        <v>4108</v>
      </c>
    </row>
    <row r="16" spans="1:54" x14ac:dyDescent="0.4">
      <c r="A16" s="1" t="s">
        <v>20</v>
      </c>
      <c r="B16" s="1" t="s">
        <v>21</v>
      </c>
      <c r="C16">
        <v>149</v>
      </c>
      <c r="D16">
        <v>5779</v>
      </c>
      <c r="E16">
        <v>4641</v>
      </c>
      <c r="F16">
        <v>12214</v>
      </c>
      <c r="G16">
        <v>4050</v>
      </c>
      <c r="H16">
        <v>6050</v>
      </c>
      <c r="I16">
        <v>26396</v>
      </c>
      <c r="J16">
        <v>5759</v>
      </c>
      <c r="K16">
        <v>180331</v>
      </c>
      <c r="L16">
        <v>3202</v>
      </c>
      <c r="M16">
        <v>31600</v>
      </c>
      <c r="N16">
        <v>10477</v>
      </c>
      <c r="O16">
        <v>30840</v>
      </c>
      <c r="P16">
        <v>4737</v>
      </c>
      <c r="Q16">
        <v>136870</v>
      </c>
      <c r="R16">
        <v>1141</v>
      </c>
      <c r="S16">
        <v>999612</v>
      </c>
      <c r="T16">
        <v>2398</v>
      </c>
      <c r="U16">
        <v>60244374</v>
      </c>
      <c r="V16">
        <v>8846</v>
      </c>
      <c r="W16">
        <v>15500174</v>
      </c>
      <c r="X16">
        <v>10436</v>
      </c>
      <c r="Y16">
        <v>23419</v>
      </c>
      <c r="Z16">
        <v>1144</v>
      </c>
      <c r="AA16">
        <v>51705</v>
      </c>
      <c r="AB16">
        <v>5626</v>
      </c>
      <c r="AC16">
        <v>1646844</v>
      </c>
      <c r="AD16">
        <v>1485</v>
      </c>
      <c r="AE16">
        <v>4502739</v>
      </c>
      <c r="AF16">
        <v>3574</v>
      </c>
      <c r="AG16">
        <v>27153514</v>
      </c>
      <c r="AH16">
        <v>1565</v>
      </c>
      <c r="AI16">
        <v>2701293</v>
      </c>
      <c r="AJ16">
        <v>2559</v>
      </c>
      <c r="AK16">
        <v>155035</v>
      </c>
      <c r="AL16">
        <v>2618</v>
      </c>
      <c r="AM16">
        <v>629027</v>
      </c>
      <c r="AN16">
        <v>3638</v>
      </c>
      <c r="AO16">
        <v>568787</v>
      </c>
      <c r="AP16">
        <v>2538</v>
      </c>
      <c r="AQ16">
        <v>1369603</v>
      </c>
      <c r="AR16">
        <v>533</v>
      </c>
      <c r="AS16">
        <v>303036</v>
      </c>
      <c r="AT16">
        <v>729</v>
      </c>
      <c r="AU16">
        <v>4135</v>
      </c>
      <c r="AV16">
        <v>1163</v>
      </c>
      <c r="AW16">
        <v>76</v>
      </c>
      <c r="AX16">
        <v>1289</v>
      </c>
      <c r="AY16">
        <v>593</v>
      </c>
      <c r="AZ16">
        <v>65</v>
      </c>
      <c r="BA16">
        <v>746420</v>
      </c>
      <c r="BB16">
        <v>4229</v>
      </c>
    </row>
    <row r="17" spans="1:54" x14ac:dyDescent="0.4">
      <c r="A17" s="1" t="s">
        <v>22</v>
      </c>
      <c r="B17" s="1" t="s">
        <v>23</v>
      </c>
      <c r="C17">
        <v>207</v>
      </c>
      <c r="D17">
        <v>7015</v>
      </c>
      <c r="E17">
        <v>5072</v>
      </c>
      <c r="F17">
        <v>13565</v>
      </c>
      <c r="G17">
        <v>4709</v>
      </c>
      <c r="H17">
        <v>6620</v>
      </c>
      <c r="I17">
        <v>26794</v>
      </c>
      <c r="J17">
        <v>6271</v>
      </c>
      <c r="K17">
        <v>172623</v>
      </c>
      <c r="L17">
        <v>3047</v>
      </c>
      <c r="M17">
        <v>26829</v>
      </c>
      <c r="N17">
        <v>17628</v>
      </c>
      <c r="O17">
        <v>27985</v>
      </c>
      <c r="P17">
        <v>9779</v>
      </c>
      <c r="Q17">
        <v>122963</v>
      </c>
      <c r="R17">
        <v>1364</v>
      </c>
      <c r="S17">
        <v>930510</v>
      </c>
      <c r="T17">
        <v>2250</v>
      </c>
      <c r="U17">
        <v>63823106</v>
      </c>
      <c r="V17">
        <v>9692</v>
      </c>
      <c r="W17">
        <v>16562122</v>
      </c>
      <c r="X17">
        <v>10686</v>
      </c>
      <c r="Y17">
        <v>32018</v>
      </c>
      <c r="Z17">
        <v>1398</v>
      </c>
      <c r="AA17">
        <v>43444</v>
      </c>
      <c r="AB17">
        <v>5311</v>
      </c>
      <c r="AC17">
        <v>1758384</v>
      </c>
      <c r="AD17">
        <v>1551</v>
      </c>
      <c r="AE17">
        <v>4844455</v>
      </c>
      <c r="AF17">
        <v>3627</v>
      </c>
      <c r="AG17">
        <v>25857730</v>
      </c>
      <c r="AH17">
        <v>1689</v>
      </c>
      <c r="AI17">
        <v>2802673</v>
      </c>
      <c r="AJ17">
        <v>2533</v>
      </c>
      <c r="AK17">
        <v>148161</v>
      </c>
      <c r="AL17">
        <v>2681</v>
      </c>
      <c r="AM17">
        <v>632462</v>
      </c>
      <c r="AN17">
        <v>3691</v>
      </c>
      <c r="AO17">
        <v>582450</v>
      </c>
      <c r="AP17">
        <v>2682</v>
      </c>
      <c r="AQ17">
        <v>1450022</v>
      </c>
      <c r="AR17">
        <v>657</v>
      </c>
      <c r="AS17">
        <v>248558</v>
      </c>
      <c r="AT17">
        <v>755</v>
      </c>
      <c r="AU17">
        <v>4835</v>
      </c>
      <c r="AV17">
        <v>1506</v>
      </c>
      <c r="AW17">
        <v>91</v>
      </c>
      <c r="AX17">
        <v>1316</v>
      </c>
      <c r="AY17">
        <v>447</v>
      </c>
      <c r="AZ17">
        <v>94</v>
      </c>
      <c r="BA17">
        <v>905388</v>
      </c>
      <c r="BB17">
        <v>4783</v>
      </c>
    </row>
    <row r="18" spans="1:54" x14ac:dyDescent="0.4">
      <c r="A18" s="1" t="s">
        <v>24</v>
      </c>
      <c r="B18" s="1" t="s">
        <v>25</v>
      </c>
      <c r="C18">
        <v>150</v>
      </c>
      <c r="D18">
        <v>7445</v>
      </c>
      <c r="E18">
        <v>4871</v>
      </c>
      <c r="F18">
        <v>12806</v>
      </c>
      <c r="G18">
        <v>4088</v>
      </c>
      <c r="H18">
        <v>5444</v>
      </c>
      <c r="I18">
        <v>28312</v>
      </c>
      <c r="J18">
        <v>6674</v>
      </c>
      <c r="K18">
        <v>199502</v>
      </c>
      <c r="L18">
        <v>3560</v>
      </c>
      <c r="M18">
        <v>24840</v>
      </c>
      <c r="N18">
        <v>13255</v>
      </c>
      <c r="O18">
        <v>31356</v>
      </c>
      <c r="P18">
        <v>5201</v>
      </c>
      <c r="Q18">
        <v>125390</v>
      </c>
      <c r="R18">
        <v>1223</v>
      </c>
      <c r="S18">
        <v>1039065</v>
      </c>
      <c r="T18">
        <v>2444</v>
      </c>
      <c r="U18">
        <v>72523684</v>
      </c>
      <c r="V18">
        <v>10827</v>
      </c>
      <c r="W18">
        <v>18899585</v>
      </c>
      <c r="X18">
        <v>12584</v>
      </c>
      <c r="Y18">
        <v>37100</v>
      </c>
      <c r="Z18">
        <v>1556</v>
      </c>
      <c r="AA18">
        <v>57887</v>
      </c>
      <c r="AB18">
        <v>5805</v>
      </c>
      <c r="AC18">
        <v>1782290</v>
      </c>
      <c r="AD18">
        <v>1720</v>
      </c>
      <c r="AE18">
        <v>5455385</v>
      </c>
      <c r="AF18">
        <v>3900</v>
      </c>
      <c r="AG18">
        <v>28478285</v>
      </c>
      <c r="AH18">
        <v>1941</v>
      </c>
      <c r="AI18">
        <v>3489572</v>
      </c>
      <c r="AJ18">
        <v>2800</v>
      </c>
      <c r="AK18">
        <v>161713</v>
      </c>
      <c r="AL18">
        <v>2799</v>
      </c>
      <c r="AM18">
        <v>692141</v>
      </c>
      <c r="AN18">
        <v>3808</v>
      </c>
      <c r="AO18">
        <v>610909</v>
      </c>
      <c r="AP18">
        <v>2823</v>
      </c>
      <c r="AQ18">
        <v>1735402</v>
      </c>
      <c r="AR18">
        <v>769</v>
      </c>
      <c r="AS18">
        <v>278143</v>
      </c>
      <c r="AT18">
        <v>843</v>
      </c>
      <c r="AU18">
        <v>4781</v>
      </c>
      <c r="AV18">
        <v>1562</v>
      </c>
      <c r="AW18">
        <v>71</v>
      </c>
      <c r="AX18">
        <v>1081</v>
      </c>
      <c r="AY18">
        <v>2175</v>
      </c>
      <c r="AZ18">
        <v>200</v>
      </c>
      <c r="BA18">
        <v>920120</v>
      </c>
      <c r="BB18">
        <v>4660</v>
      </c>
    </row>
    <row r="19" spans="1:54" x14ac:dyDescent="0.4">
      <c r="A19" s="1" t="s">
        <v>26</v>
      </c>
      <c r="B19" s="1" t="s">
        <v>27</v>
      </c>
      <c r="C19">
        <v>104</v>
      </c>
      <c r="D19">
        <v>4432</v>
      </c>
      <c r="E19">
        <v>4459</v>
      </c>
      <c r="F19">
        <v>11906</v>
      </c>
      <c r="G19">
        <v>3935</v>
      </c>
      <c r="H19">
        <v>6008</v>
      </c>
      <c r="I19">
        <v>24762</v>
      </c>
      <c r="J19">
        <v>5931</v>
      </c>
      <c r="K19">
        <v>176924</v>
      </c>
      <c r="L19">
        <v>3091</v>
      </c>
      <c r="M19">
        <v>32698</v>
      </c>
      <c r="N19">
        <v>12945</v>
      </c>
      <c r="O19">
        <v>22615</v>
      </c>
      <c r="P19">
        <v>5704</v>
      </c>
      <c r="Q19">
        <v>100800</v>
      </c>
      <c r="R19">
        <v>1583</v>
      </c>
      <c r="S19">
        <v>915480</v>
      </c>
      <c r="T19">
        <v>2174</v>
      </c>
      <c r="U19">
        <v>54599962</v>
      </c>
      <c r="V19">
        <v>8059</v>
      </c>
      <c r="W19">
        <v>15527622</v>
      </c>
      <c r="X19">
        <v>10206</v>
      </c>
      <c r="Y19">
        <v>28692</v>
      </c>
      <c r="Z19">
        <v>1521</v>
      </c>
      <c r="AA19">
        <v>61854</v>
      </c>
      <c r="AB19">
        <v>4995</v>
      </c>
      <c r="AC19">
        <v>1579109</v>
      </c>
      <c r="AD19">
        <v>1493</v>
      </c>
      <c r="AE19">
        <v>4338059</v>
      </c>
      <c r="AF19">
        <v>3424</v>
      </c>
      <c r="AG19">
        <v>23193925</v>
      </c>
      <c r="AH19">
        <v>1675</v>
      </c>
      <c r="AI19">
        <v>2873676</v>
      </c>
      <c r="AJ19">
        <v>2336</v>
      </c>
      <c r="AK19">
        <v>156501</v>
      </c>
      <c r="AL19">
        <v>2589</v>
      </c>
      <c r="AM19">
        <v>585960</v>
      </c>
      <c r="AN19">
        <v>3423</v>
      </c>
      <c r="AO19">
        <v>505463</v>
      </c>
      <c r="AP19">
        <v>2429</v>
      </c>
      <c r="AQ19">
        <v>1321479</v>
      </c>
      <c r="AR19">
        <v>601</v>
      </c>
      <c r="AS19">
        <v>269999</v>
      </c>
      <c r="AT19">
        <v>510</v>
      </c>
      <c r="AU19">
        <v>4633</v>
      </c>
      <c r="AV19">
        <v>1391</v>
      </c>
      <c r="AW19">
        <v>84</v>
      </c>
      <c r="AX19">
        <v>1053</v>
      </c>
      <c r="AY19">
        <v>3090</v>
      </c>
      <c r="AZ19">
        <v>264</v>
      </c>
      <c r="BA19">
        <v>711932</v>
      </c>
      <c r="BB19">
        <v>3688</v>
      </c>
    </row>
    <row r="20" spans="1:54" x14ac:dyDescent="0.4">
      <c r="A20" s="1" t="s">
        <v>28</v>
      </c>
      <c r="B20" s="1" t="s">
        <v>29</v>
      </c>
      <c r="C20">
        <v>462</v>
      </c>
      <c r="D20">
        <v>10155</v>
      </c>
      <c r="E20">
        <v>8125</v>
      </c>
      <c r="F20">
        <v>18987</v>
      </c>
      <c r="G20">
        <v>6632</v>
      </c>
      <c r="H20">
        <v>8253</v>
      </c>
      <c r="I20">
        <v>28555</v>
      </c>
      <c r="J20">
        <v>7293</v>
      </c>
      <c r="K20">
        <v>181406</v>
      </c>
      <c r="L20">
        <v>3421</v>
      </c>
      <c r="M20">
        <v>28238</v>
      </c>
      <c r="N20">
        <v>23247</v>
      </c>
      <c r="O20">
        <v>27354</v>
      </c>
      <c r="P20">
        <v>13284</v>
      </c>
      <c r="Q20">
        <v>130249</v>
      </c>
      <c r="R20">
        <v>1638</v>
      </c>
      <c r="S20">
        <v>924612</v>
      </c>
      <c r="T20">
        <v>2275</v>
      </c>
      <c r="U20">
        <v>65802701</v>
      </c>
      <c r="V20">
        <v>9656</v>
      </c>
      <c r="W20">
        <v>17343532</v>
      </c>
      <c r="X20">
        <v>11721</v>
      </c>
      <c r="Y20">
        <v>37298</v>
      </c>
      <c r="Z20">
        <v>1783</v>
      </c>
      <c r="AA20">
        <v>94382</v>
      </c>
      <c r="AB20">
        <v>5738</v>
      </c>
      <c r="AC20">
        <v>1813969</v>
      </c>
      <c r="AD20">
        <v>1754</v>
      </c>
      <c r="AE20">
        <v>5079037</v>
      </c>
      <c r="AF20">
        <v>3843</v>
      </c>
      <c r="AG20">
        <v>27502456</v>
      </c>
      <c r="AH20">
        <v>1780</v>
      </c>
      <c r="AI20">
        <v>3427137</v>
      </c>
      <c r="AJ20">
        <v>2834</v>
      </c>
      <c r="AK20">
        <v>173930</v>
      </c>
      <c r="AL20">
        <v>3238</v>
      </c>
      <c r="AM20">
        <v>691723</v>
      </c>
      <c r="AN20">
        <v>3754</v>
      </c>
      <c r="AO20">
        <v>585293</v>
      </c>
      <c r="AP20">
        <v>2777</v>
      </c>
      <c r="AQ20">
        <v>1752539</v>
      </c>
      <c r="AR20">
        <v>703</v>
      </c>
      <c r="AS20">
        <v>246987</v>
      </c>
      <c r="AT20">
        <v>839</v>
      </c>
      <c r="AU20">
        <v>5064</v>
      </c>
      <c r="AV20">
        <v>1436</v>
      </c>
      <c r="AW20">
        <v>144</v>
      </c>
      <c r="AX20">
        <v>1583</v>
      </c>
      <c r="AY20">
        <v>694</v>
      </c>
      <c r="AZ20">
        <v>88</v>
      </c>
      <c r="BA20">
        <v>874539</v>
      </c>
      <c r="BB20">
        <v>4674</v>
      </c>
    </row>
    <row r="21" spans="1:54" x14ac:dyDescent="0.4">
      <c r="A21" s="1" t="s">
        <v>30</v>
      </c>
      <c r="B21" s="1" t="s">
        <v>31</v>
      </c>
      <c r="C21">
        <v>133</v>
      </c>
      <c r="D21">
        <v>6016</v>
      </c>
      <c r="E21">
        <v>5670</v>
      </c>
      <c r="F21">
        <v>14281</v>
      </c>
      <c r="G21">
        <v>4647</v>
      </c>
      <c r="H21">
        <v>7093</v>
      </c>
      <c r="I21">
        <v>31321</v>
      </c>
      <c r="J21">
        <v>7459</v>
      </c>
      <c r="K21">
        <v>205233</v>
      </c>
      <c r="L21">
        <v>3744</v>
      </c>
      <c r="M21">
        <v>33892</v>
      </c>
      <c r="N21">
        <v>13946</v>
      </c>
      <c r="O21">
        <v>25050</v>
      </c>
      <c r="P21">
        <v>5936</v>
      </c>
      <c r="Q21">
        <v>136802</v>
      </c>
      <c r="R21">
        <v>1147</v>
      </c>
      <c r="S21">
        <v>936310</v>
      </c>
      <c r="T21">
        <v>2573</v>
      </c>
      <c r="U21">
        <v>71710939</v>
      </c>
      <c r="V21">
        <v>10930</v>
      </c>
      <c r="W21">
        <v>20993044</v>
      </c>
      <c r="X21">
        <v>12785</v>
      </c>
      <c r="Y21">
        <v>40108</v>
      </c>
      <c r="Z21">
        <v>1794</v>
      </c>
      <c r="AA21">
        <v>70807</v>
      </c>
      <c r="AB21">
        <v>6657</v>
      </c>
      <c r="AC21">
        <v>1772888</v>
      </c>
      <c r="AD21">
        <v>1797</v>
      </c>
      <c r="AE21">
        <v>5074230</v>
      </c>
      <c r="AF21">
        <v>4136</v>
      </c>
      <c r="AG21">
        <v>29226098</v>
      </c>
      <c r="AH21">
        <v>2062</v>
      </c>
      <c r="AI21">
        <v>2913297</v>
      </c>
      <c r="AJ21">
        <v>2605</v>
      </c>
      <c r="AK21">
        <v>203217</v>
      </c>
      <c r="AL21">
        <v>3535</v>
      </c>
      <c r="AM21">
        <v>781663</v>
      </c>
      <c r="AN21">
        <v>4165</v>
      </c>
      <c r="AO21">
        <v>651266</v>
      </c>
      <c r="AP21">
        <v>3011</v>
      </c>
      <c r="AQ21">
        <v>1667275</v>
      </c>
      <c r="AR21">
        <v>704</v>
      </c>
      <c r="AS21">
        <v>271799</v>
      </c>
      <c r="AT21">
        <v>914</v>
      </c>
      <c r="AU21">
        <v>6303</v>
      </c>
      <c r="AV21">
        <v>1906</v>
      </c>
      <c r="AW21">
        <v>103</v>
      </c>
      <c r="AX21">
        <v>1740</v>
      </c>
      <c r="AY21">
        <v>2647</v>
      </c>
      <c r="AZ21">
        <v>291</v>
      </c>
      <c r="BA21">
        <v>790201</v>
      </c>
      <c r="BB21">
        <v>4479</v>
      </c>
    </row>
    <row r="22" spans="1:54" x14ac:dyDescent="0.4">
      <c r="A22" s="1" t="s">
        <v>32</v>
      </c>
      <c r="B22" s="1" t="s">
        <v>33</v>
      </c>
      <c r="C22">
        <v>144</v>
      </c>
      <c r="D22">
        <v>5358</v>
      </c>
      <c r="E22">
        <v>5629</v>
      </c>
      <c r="F22">
        <v>15266</v>
      </c>
      <c r="G22">
        <v>5022</v>
      </c>
      <c r="H22">
        <v>6827</v>
      </c>
      <c r="I22">
        <v>32620</v>
      </c>
      <c r="J22">
        <v>7549</v>
      </c>
      <c r="K22">
        <v>202722</v>
      </c>
      <c r="L22">
        <v>3776</v>
      </c>
      <c r="M22">
        <v>32375</v>
      </c>
      <c r="N22">
        <v>18208</v>
      </c>
      <c r="O22">
        <v>26638</v>
      </c>
      <c r="P22">
        <v>6842</v>
      </c>
      <c r="Q22">
        <v>135199</v>
      </c>
      <c r="R22">
        <v>1290</v>
      </c>
      <c r="S22">
        <v>866447</v>
      </c>
      <c r="T22">
        <v>2293</v>
      </c>
      <c r="U22">
        <v>67075967</v>
      </c>
      <c r="V22">
        <v>10472</v>
      </c>
      <c r="W22">
        <v>20290956</v>
      </c>
      <c r="X22">
        <v>12836</v>
      </c>
      <c r="Y22">
        <v>40019</v>
      </c>
      <c r="Z22">
        <v>1595</v>
      </c>
      <c r="AA22">
        <v>86663</v>
      </c>
      <c r="AB22">
        <v>5799</v>
      </c>
      <c r="AC22">
        <v>1582156</v>
      </c>
      <c r="AD22">
        <v>1695</v>
      </c>
      <c r="AE22">
        <v>5099159</v>
      </c>
      <c r="AF22">
        <v>3977</v>
      </c>
      <c r="AG22">
        <v>25472436</v>
      </c>
      <c r="AH22">
        <v>1999</v>
      </c>
      <c r="AI22">
        <v>3046366</v>
      </c>
      <c r="AJ22">
        <v>2477</v>
      </c>
      <c r="AK22">
        <v>182148</v>
      </c>
      <c r="AL22">
        <v>3060</v>
      </c>
      <c r="AM22">
        <v>722307</v>
      </c>
      <c r="AN22">
        <v>4106</v>
      </c>
      <c r="AO22">
        <v>604007</v>
      </c>
      <c r="AP22">
        <v>2914</v>
      </c>
      <c r="AQ22">
        <v>2258908</v>
      </c>
      <c r="AR22">
        <v>840</v>
      </c>
      <c r="AS22">
        <v>283037</v>
      </c>
      <c r="AT22">
        <v>815</v>
      </c>
      <c r="AU22">
        <v>5077</v>
      </c>
      <c r="AV22">
        <v>1559</v>
      </c>
      <c r="AW22">
        <v>141</v>
      </c>
      <c r="AX22">
        <v>2054</v>
      </c>
      <c r="AY22">
        <v>3836</v>
      </c>
      <c r="AZ22">
        <v>315</v>
      </c>
      <c r="BA22">
        <v>855437</v>
      </c>
      <c r="BB22">
        <v>4566</v>
      </c>
    </row>
    <row r="23" spans="1:54" x14ac:dyDescent="0.4">
      <c r="A23" s="1" t="s">
        <v>34</v>
      </c>
      <c r="B23" s="1" t="s">
        <v>35</v>
      </c>
      <c r="C23">
        <v>220</v>
      </c>
      <c r="D23">
        <v>8523</v>
      </c>
      <c r="E23">
        <v>6142</v>
      </c>
      <c r="F23">
        <v>17134</v>
      </c>
      <c r="G23">
        <v>5326</v>
      </c>
      <c r="H23">
        <v>8603</v>
      </c>
      <c r="I23">
        <v>29622</v>
      </c>
      <c r="J23">
        <v>7300</v>
      </c>
      <c r="K23">
        <v>194078</v>
      </c>
      <c r="L23">
        <v>3645</v>
      </c>
      <c r="M23">
        <v>41087</v>
      </c>
      <c r="N23">
        <v>25864</v>
      </c>
      <c r="O23">
        <v>24241</v>
      </c>
      <c r="P23">
        <v>12507</v>
      </c>
      <c r="Q23">
        <v>127884</v>
      </c>
      <c r="R23">
        <v>1637</v>
      </c>
      <c r="S23">
        <v>828173</v>
      </c>
      <c r="T23">
        <v>2175</v>
      </c>
      <c r="U23">
        <v>67618382</v>
      </c>
      <c r="V23">
        <v>10345</v>
      </c>
      <c r="W23">
        <v>20271449</v>
      </c>
      <c r="X23">
        <v>12598</v>
      </c>
      <c r="Y23">
        <v>43073</v>
      </c>
      <c r="Z23">
        <v>1506</v>
      </c>
      <c r="AA23">
        <v>76019</v>
      </c>
      <c r="AB23">
        <v>6161</v>
      </c>
      <c r="AC23">
        <v>1529178</v>
      </c>
      <c r="AD23">
        <v>1556</v>
      </c>
      <c r="AE23">
        <v>5055211</v>
      </c>
      <c r="AF23">
        <v>4461</v>
      </c>
      <c r="AG23">
        <v>25969931</v>
      </c>
      <c r="AH23">
        <v>1968</v>
      </c>
      <c r="AI23">
        <v>2711749</v>
      </c>
      <c r="AJ23">
        <v>2614</v>
      </c>
      <c r="AK23">
        <v>180838</v>
      </c>
      <c r="AL23">
        <v>2964</v>
      </c>
      <c r="AM23">
        <v>716772</v>
      </c>
      <c r="AN23">
        <v>3989</v>
      </c>
      <c r="AO23">
        <v>604141</v>
      </c>
      <c r="AP23">
        <v>2925</v>
      </c>
      <c r="AQ23">
        <v>2148142</v>
      </c>
      <c r="AR23">
        <v>775</v>
      </c>
      <c r="AS23">
        <v>279707</v>
      </c>
      <c r="AT23">
        <v>787</v>
      </c>
      <c r="AU23">
        <v>6162</v>
      </c>
      <c r="AV23">
        <v>1702</v>
      </c>
      <c r="AW23">
        <v>86</v>
      </c>
      <c r="AX23">
        <v>1307</v>
      </c>
      <c r="AY23">
        <v>823</v>
      </c>
      <c r="AZ23">
        <v>94</v>
      </c>
      <c r="BA23">
        <v>852802</v>
      </c>
      <c r="BB23">
        <v>4699</v>
      </c>
    </row>
    <row r="24" spans="1:54" x14ac:dyDescent="0.4">
      <c r="A24" s="1" t="s">
        <v>36</v>
      </c>
      <c r="B24" s="1" t="s">
        <v>37</v>
      </c>
      <c r="C24">
        <v>238</v>
      </c>
      <c r="D24">
        <v>8466</v>
      </c>
      <c r="E24">
        <v>5200</v>
      </c>
      <c r="F24">
        <v>14968</v>
      </c>
      <c r="G24">
        <v>4300</v>
      </c>
      <c r="H24">
        <v>6404</v>
      </c>
      <c r="I24">
        <v>29303</v>
      </c>
      <c r="J24">
        <v>6815</v>
      </c>
      <c r="K24">
        <v>191473</v>
      </c>
      <c r="L24">
        <v>3538</v>
      </c>
      <c r="M24">
        <v>31771</v>
      </c>
      <c r="N24">
        <v>18931</v>
      </c>
      <c r="O24">
        <v>22777</v>
      </c>
      <c r="P24">
        <v>6498</v>
      </c>
      <c r="Q24">
        <v>133738</v>
      </c>
      <c r="R24">
        <v>1283</v>
      </c>
      <c r="S24">
        <v>938360</v>
      </c>
      <c r="T24">
        <v>2451</v>
      </c>
      <c r="U24">
        <v>66671604</v>
      </c>
      <c r="V24">
        <v>9876</v>
      </c>
      <c r="W24">
        <v>19584829</v>
      </c>
      <c r="X24">
        <v>11520</v>
      </c>
      <c r="Y24">
        <v>46558</v>
      </c>
      <c r="Z24">
        <v>1620</v>
      </c>
      <c r="AA24">
        <v>76633</v>
      </c>
      <c r="AB24">
        <v>5310</v>
      </c>
      <c r="AC24">
        <v>1515370</v>
      </c>
      <c r="AD24">
        <v>1676</v>
      </c>
      <c r="AE24">
        <v>4974681</v>
      </c>
      <c r="AF24">
        <v>3917</v>
      </c>
      <c r="AG24">
        <v>25098623</v>
      </c>
      <c r="AH24">
        <v>1890</v>
      </c>
      <c r="AI24">
        <v>2798270</v>
      </c>
      <c r="AJ24">
        <v>2746</v>
      </c>
      <c r="AK24">
        <v>172079</v>
      </c>
      <c r="AL24">
        <v>2931</v>
      </c>
      <c r="AM24">
        <v>707538</v>
      </c>
      <c r="AN24">
        <v>4110</v>
      </c>
      <c r="AO24">
        <v>586125</v>
      </c>
      <c r="AP24">
        <v>3024</v>
      </c>
      <c r="AQ24">
        <v>2062845</v>
      </c>
      <c r="AR24">
        <v>711</v>
      </c>
      <c r="AS24">
        <v>282192</v>
      </c>
      <c r="AT24">
        <v>919</v>
      </c>
      <c r="AU24">
        <v>5226</v>
      </c>
      <c r="AV24">
        <v>1531</v>
      </c>
      <c r="AW24">
        <v>94</v>
      </c>
      <c r="AX24">
        <v>1225</v>
      </c>
      <c r="AY24">
        <v>770</v>
      </c>
      <c r="AZ24">
        <v>101</v>
      </c>
      <c r="BA24">
        <v>765875</v>
      </c>
      <c r="BB24">
        <v>4746</v>
      </c>
    </row>
    <row r="25" spans="1:54" x14ac:dyDescent="0.4">
      <c r="A25" s="1" t="s">
        <v>38</v>
      </c>
      <c r="B25" s="1" t="s">
        <v>39</v>
      </c>
      <c r="C25">
        <v>374</v>
      </c>
      <c r="D25">
        <v>8961</v>
      </c>
      <c r="E25">
        <v>5580</v>
      </c>
      <c r="F25">
        <v>16044</v>
      </c>
      <c r="G25">
        <v>5062</v>
      </c>
      <c r="H25">
        <v>7827</v>
      </c>
      <c r="I25">
        <v>28946</v>
      </c>
      <c r="J25">
        <v>7292</v>
      </c>
      <c r="K25">
        <v>176651</v>
      </c>
      <c r="L25">
        <v>3317</v>
      </c>
      <c r="M25">
        <v>27186</v>
      </c>
      <c r="N25">
        <v>21279</v>
      </c>
      <c r="O25">
        <v>25056</v>
      </c>
      <c r="P25">
        <v>9334</v>
      </c>
      <c r="Q25">
        <v>129268</v>
      </c>
      <c r="R25">
        <v>1413</v>
      </c>
      <c r="S25">
        <v>890634</v>
      </c>
      <c r="T25">
        <v>2320</v>
      </c>
      <c r="U25">
        <v>67265826</v>
      </c>
      <c r="V25">
        <v>9886</v>
      </c>
      <c r="W25">
        <v>20358500</v>
      </c>
      <c r="X25">
        <v>12024</v>
      </c>
      <c r="Y25">
        <v>45503</v>
      </c>
      <c r="Z25">
        <v>1710</v>
      </c>
      <c r="AA25">
        <v>58873</v>
      </c>
      <c r="AB25">
        <v>4900</v>
      </c>
      <c r="AC25">
        <v>1473667</v>
      </c>
      <c r="AD25">
        <v>1631</v>
      </c>
      <c r="AE25">
        <v>4893664</v>
      </c>
      <c r="AF25">
        <v>3954</v>
      </c>
      <c r="AG25">
        <v>20527090</v>
      </c>
      <c r="AH25">
        <v>1545</v>
      </c>
      <c r="AI25">
        <v>2504402</v>
      </c>
      <c r="AJ25">
        <v>2676</v>
      </c>
      <c r="AK25">
        <v>153352</v>
      </c>
      <c r="AL25">
        <v>2837</v>
      </c>
      <c r="AM25">
        <v>699905</v>
      </c>
      <c r="AN25">
        <v>3987</v>
      </c>
      <c r="AO25">
        <v>576878</v>
      </c>
      <c r="AP25">
        <v>2946</v>
      </c>
      <c r="AQ25">
        <v>1658385</v>
      </c>
      <c r="AR25">
        <v>621</v>
      </c>
      <c r="AS25">
        <v>273241</v>
      </c>
      <c r="AT25">
        <v>864</v>
      </c>
      <c r="AU25">
        <v>4878</v>
      </c>
      <c r="AV25">
        <v>1521</v>
      </c>
      <c r="AW25">
        <v>81</v>
      </c>
      <c r="AX25">
        <v>1355</v>
      </c>
      <c r="AY25">
        <v>644</v>
      </c>
      <c r="AZ25">
        <v>180</v>
      </c>
      <c r="BA25">
        <v>821763</v>
      </c>
      <c r="BB25">
        <v>4921</v>
      </c>
    </row>
    <row r="26" spans="1:54" x14ac:dyDescent="0.4">
      <c r="A26" s="1" t="s">
        <v>40</v>
      </c>
      <c r="B26" s="1" t="s">
        <v>41</v>
      </c>
      <c r="C26">
        <v>350</v>
      </c>
      <c r="D26">
        <v>9331</v>
      </c>
      <c r="E26">
        <v>6447</v>
      </c>
      <c r="F26">
        <v>20406</v>
      </c>
      <c r="G26">
        <v>6390</v>
      </c>
      <c r="H26">
        <v>10448</v>
      </c>
      <c r="I26">
        <v>28123</v>
      </c>
      <c r="J26">
        <v>7272</v>
      </c>
      <c r="K26">
        <v>194061</v>
      </c>
      <c r="L26">
        <v>3578</v>
      </c>
      <c r="M26">
        <v>38879</v>
      </c>
      <c r="N26">
        <v>53075</v>
      </c>
      <c r="O26">
        <v>26055</v>
      </c>
      <c r="P26">
        <v>24667</v>
      </c>
      <c r="Q26">
        <v>130819</v>
      </c>
      <c r="R26">
        <v>1651</v>
      </c>
      <c r="S26">
        <v>965104</v>
      </c>
      <c r="T26">
        <v>2496</v>
      </c>
      <c r="U26">
        <v>72375046</v>
      </c>
      <c r="V26">
        <v>11028</v>
      </c>
      <c r="W26">
        <v>19888219</v>
      </c>
      <c r="X26">
        <v>13266</v>
      </c>
      <c r="Y26">
        <v>44921</v>
      </c>
      <c r="Z26">
        <v>1892</v>
      </c>
      <c r="AA26">
        <v>62756</v>
      </c>
      <c r="AB26">
        <v>6410</v>
      </c>
      <c r="AC26">
        <v>1547150</v>
      </c>
      <c r="AD26">
        <v>1697</v>
      </c>
      <c r="AE26">
        <v>5326266</v>
      </c>
      <c r="AF26">
        <v>4408</v>
      </c>
      <c r="AG26">
        <v>25802824</v>
      </c>
      <c r="AH26">
        <v>1949</v>
      </c>
      <c r="AI26">
        <v>2628709</v>
      </c>
      <c r="AJ26">
        <v>3105</v>
      </c>
      <c r="AK26">
        <v>167514</v>
      </c>
      <c r="AL26">
        <v>3124</v>
      </c>
      <c r="AM26">
        <v>762680</v>
      </c>
      <c r="AN26">
        <v>4299</v>
      </c>
      <c r="AO26">
        <v>609655</v>
      </c>
      <c r="AP26">
        <v>3036</v>
      </c>
      <c r="AQ26">
        <v>2327592</v>
      </c>
      <c r="AR26">
        <v>812</v>
      </c>
      <c r="AS26">
        <v>266978</v>
      </c>
      <c r="AT26">
        <v>817</v>
      </c>
      <c r="AU26">
        <v>5187</v>
      </c>
      <c r="AV26">
        <v>1913</v>
      </c>
      <c r="AW26">
        <v>101</v>
      </c>
      <c r="AX26">
        <v>1617</v>
      </c>
      <c r="AY26">
        <v>1360</v>
      </c>
      <c r="AZ26">
        <v>180</v>
      </c>
      <c r="BA26">
        <v>897072</v>
      </c>
      <c r="BB26">
        <v>5154</v>
      </c>
    </row>
    <row r="27" spans="1:54" x14ac:dyDescent="0.4">
      <c r="A27" s="1" t="s">
        <v>42</v>
      </c>
      <c r="B27" s="1" t="s">
        <v>43</v>
      </c>
      <c r="C27">
        <v>145</v>
      </c>
      <c r="D27">
        <v>4902</v>
      </c>
      <c r="E27">
        <v>4703</v>
      </c>
      <c r="F27">
        <v>13263</v>
      </c>
      <c r="G27">
        <v>4574</v>
      </c>
      <c r="H27">
        <v>6399</v>
      </c>
      <c r="I27">
        <v>25451</v>
      </c>
      <c r="J27">
        <v>6215</v>
      </c>
      <c r="K27">
        <v>199410</v>
      </c>
      <c r="L27">
        <v>4056</v>
      </c>
      <c r="M27">
        <v>33320</v>
      </c>
      <c r="N27">
        <v>11228</v>
      </c>
      <c r="O27">
        <v>24330</v>
      </c>
      <c r="P27">
        <v>4028</v>
      </c>
      <c r="Q27">
        <v>112325</v>
      </c>
      <c r="R27">
        <v>1238</v>
      </c>
      <c r="S27">
        <v>899832</v>
      </c>
      <c r="T27">
        <v>2390</v>
      </c>
      <c r="U27">
        <v>68192598</v>
      </c>
      <c r="V27">
        <v>10577</v>
      </c>
      <c r="W27">
        <v>18689080</v>
      </c>
      <c r="X27">
        <v>11114</v>
      </c>
      <c r="Y27">
        <v>47017</v>
      </c>
      <c r="Z27">
        <v>1814</v>
      </c>
      <c r="AA27">
        <v>81131</v>
      </c>
      <c r="AB27">
        <v>6148</v>
      </c>
      <c r="AC27">
        <v>1595797</v>
      </c>
      <c r="AD27">
        <v>1759</v>
      </c>
      <c r="AE27">
        <v>5171554</v>
      </c>
      <c r="AF27">
        <v>4212</v>
      </c>
      <c r="AG27">
        <v>27154865</v>
      </c>
      <c r="AH27">
        <v>1889</v>
      </c>
      <c r="AI27">
        <v>2649017</v>
      </c>
      <c r="AJ27">
        <v>2654</v>
      </c>
      <c r="AK27">
        <v>171462</v>
      </c>
      <c r="AL27">
        <v>2714</v>
      </c>
      <c r="AM27">
        <v>672906</v>
      </c>
      <c r="AN27">
        <v>4038</v>
      </c>
      <c r="AO27">
        <v>612550</v>
      </c>
      <c r="AP27">
        <v>3045</v>
      </c>
      <c r="AQ27">
        <v>1340415</v>
      </c>
      <c r="AR27">
        <v>562</v>
      </c>
      <c r="AS27">
        <v>300907</v>
      </c>
      <c r="AT27">
        <v>993</v>
      </c>
      <c r="AU27">
        <v>4930</v>
      </c>
      <c r="AV27">
        <v>1532</v>
      </c>
      <c r="AW27">
        <v>64</v>
      </c>
      <c r="AX27">
        <v>1311</v>
      </c>
      <c r="AY27">
        <v>1317</v>
      </c>
      <c r="AZ27">
        <v>192</v>
      </c>
      <c r="BA27">
        <v>763725</v>
      </c>
      <c r="BB27">
        <v>4831</v>
      </c>
    </row>
    <row r="28" spans="1:54" x14ac:dyDescent="0.4">
      <c r="A28" s="1" t="s">
        <v>44</v>
      </c>
      <c r="B28" s="1" t="s">
        <v>45</v>
      </c>
      <c r="C28">
        <v>156</v>
      </c>
      <c r="D28">
        <v>5335</v>
      </c>
      <c r="E28">
        <v>4488</v>
      </c>
      <c r="F28">
        <v>12602</v>
      </c>
      <c r="G28">
        <v>4161</v>
      </c>
      <c r="H28">
        <v>6324</v>
      </c>
      <c r="I28">
        <v>24179</v>
      </c>
      <c r="J28">
        <v>5839</v>
      </c>
      <c r="K28">
        <v>194265</v>
      </c>
      <c r="L28">
        <v>3970</v>
      </c>
      <c r="M28">
        <v>29907</v>
      </c>
      <c r="N28">
        <v>11242</v>
      </c>
      <c r="O28">
        <v>62307</v>
      </c>
      <c r="P28">
        <v>4722</v>
      </c>
      <c r="Q28">
        <v>106011</v>
      </c>
      <c r="R28">
        <v>1443</v>
      </c>
      <c r="S28">
        <v>850424</v>
      </c>
      <c r="T28">
        <v>2314</v>
      </c>
      <c r="U28">
        <v>63876978</v>
      </c>
      <c r="V28">
        <v>10145</v>
      </c>
      <c r="W28">
        <v>17160519</v>
      </c>
      <c r="X28">
        <v>10764</v>
      </c>
      <c r="Y28">
        <v>51797</v>
      </c>
      <c r="Z28">
        <v>2004</v>
      </c>
      <c r="AA28">
        <v>76129</v>
      </c>
      <c r="AB28">
        <v>5966</v>
      </c>
      <c r="AC28">
        <v>1614078</v>
      </c>
      <c r="AD28">
        <v>1612</v>
      </c>
      <c r="AE28">
        <v>4929195</v>
      </c>
      <c r="AF28">
        <v>4059</v>
      </c>
      <c r="AG28">
        <v>28417772</v>
      </c>
      <c r="AH28">
        <v>1797</v>
      </c>
      <c r="AI28">
        <v>2812571</v>
      </c>
      <c r="AJ28">
        <v>2529</v>
      </c>
      <c r="AK28">
        <v>161263</v>
      </c>
      <c r="AL28">
        <v>2556</v>
      </c>
      <c r="AM28">
        <v>639179</v>
      </c>
      <c r="AN28">
        <v>3884</v>
      </c>
      <c r="AO28">
        <v>565304</v>
      </c>
      <c r="AP28">
        <v>2907</v>
      </c>
      <c r="AQ28">
        <v>1425396</v>
      </c>
      <c r="AR28">
        <v>667</v>
      </c>
      <c r="AS28">
        <v>335856</v>
      </c>
      <c r="AT28">
        <v>850</v>
      </c>
      <c r="AU28">
        <v>4534</v>
      </c>
      <c r="AV28">
        <v>1517</v>
      </c>
      <c r="AW28">
        <v>81</v>
      </c>
      <c r="AX28">
        <v>1087</v>
      </c>
      <c r="AY28">
        <v>775</v>
      </c>
      <c r="AZ28">
        <v>127</v>
      </c>
      <c r="BA28">
        <v>838935</v>
      </c>
      <c r="BB28">
        <v>4988</v>
      </c>
    </row>
    <row r="29" spans="1:54" x14ac:dyDescent="0.4">
      <c r="A29" s="1" t="s">
        <v>46</v>
      </c>
      <c r="B29" s="1" t="s">
        <v>47</v>
      </c>
      <c r="C29">
        <v>173</v>
      </c>
      <c r="D29">
        <v>4542</v>
      </c>
      <c r="E29">
        <v>4909</v>
      </c>
      <c r="F29">
        <v>13637</v>
      </c>
      <c r="G29">
        <v>4377</v>
      </c>
      <c r="H29">
        <v>6900</v>
      </c>
      <c r="I29">
        <v>26485</v>
      </c>
      <c r="J29">
        <v>6313</v>
      </c>
      <c r="K29">
        <v>210216</v>
      </c>
      <c r="L29">
        <v>4229</v>
      </c>
      <c r="M29">
        <v>27957</v>
      </c>
      <c r="N29">
        <v>19846</v>
      </c>
      <c r="O29">
        <v>27327</v>
      </c>
      <c r="P29">
        <v>9685</v>
      </c>
      <c r="Q29">
        <v>105028</v>
      </c>
      <c r="R29">
        <v>1451</v>
      </c>
      <c r="S29">
        <v>913237</v>
      </c>
      <c r="T29">
        <v>2546</v>
      </c>
      <c r="U29">
        <v>72749298</v>
      </c>
      <c r="V29">
        <v>10909</v>
      </c>
      <c r="W29">
        <v>19446364</v>
      </c>
      <c r="X29">
        <v>11597</v>
      </c>
      <c r="Y29">
        <v>53123</v>
      </c>
      <c r="Z29">
        <v>2012</v>
      </c>
      <c r="AA29">
        <v>85600</v>
      </c>
      <c r="AB29">
        <v>7034</v>
      </c>
      <c r="AC29">
        <v>1855524</v>
      </c>
      <c r="AD29">
        <v>1750</v>
      </c>
      <c r="AE29">
        <v>5511927</v>
      </c>
      <c r="AF29">
        <v>4527</v>
      </c>
      <c r="AG29">
        <v>30286348</v>
      </c>
      <c r="AH29">
        <v>1878</v>
      </c>
      <c r="AI29">
        <v>3158091</v>
      </c>
      <c r="AJ29">
        <v>2836</v>
      </c>
      <c r="AK29">
        <v>170205</v>
      </c>
      <c r="AL29">
        <v>2780</v>
      </c>
      <c r="AM29">
        <v>706925</v>
      </c>
      <c r="AN29">
        <v>4194</v>
      </c>
      <c r="AO29">
        <v>613564</v>
      </c>
      <c r="AP29">
        <v>3160</v>
      </c>
      <c r="AQ29">
        <v>1606044</v>
      </c>
      <c r="AR29">
        <v>692</v>
      </c>
      <c r="AS29">
        <v>318524</v>
      </c>
      <c r="AT29">
        <v>954</v>
      </c>
      <c r="AU29">
        <v>3228</v>
      </c>
      <c r="AV29">
        <v>1365</v>
      </c>
      <c r="AW29">
        <v>86</v>
      </c>
      <c r="AX29">
        <v>1371</v>
      </c>
      <c r="AY29">
        <v>1234</v>
      </c>
      <c r="AZ29">
        <v>119</v>
      </c>
      <c r="BA29">
        <v>916869</v>
      </c>
      <c r="BB29">
        <v>5047</v>
      </c>
    </row>
    <row r="30" spans="1:54" x14ac:dyDescent="0.4">
      <c r="A30" s="1" t="s">
        <v>48</v>
      </c>
      <c r="B30" s="1" t="s">
        <v>49</v>
      </c>
      <c r="C30">
        <v>112</v>
      </c>
      <c r="D30">
        <v>5917</v>
      </c>
      <c r="E30">
        <v>4567</v>
      </c>
      <c r="F30">
        <v>12691</v>
      </c>
      <c r="G30">
        <v>4083</v>
      </c>
      <c r="H30">
        <v>7567</v>
      </c>
      <c r="I30">
        <v>29316</v>
      </c>
      <c r="J30">
        <v>6382</v>
      </c>
      <c r="K30">
        <v>229881</v>
      </c>
      <c r="L30">
        <v>4586</v>
      </c>
      <c r="M30">
        <v>25901</v>
      </c>
      <c r="N30">
        <v>15168</v>
      </c>
      <c r="O30">
        <v>25390</v>
      </c>
      <c r="P30">
        <v>5392</v>
      </c>
      <c r="Q30">
        <v>134476</v>
      </c>
      <c r="R30">
        <v>1701</v>
      </c>
      <c r="S30">
        <v>839612</v>
      </c>
      <c r="T30">
        <v>2429</v>
      </c>
      <c r="U30">
        <v>77565043</v>
      </c>
      <c r="V30">
        <v>11757</v>
      </c>
      <c r="W30">
        <v>21570538</v>
      </c>
      <c r="X30">
        <v>14057</v>
      </c>
      <c r="Y30">
        <v>60784</v>
      </c>
      <c r="Z30">
        <v>2162</v>
      </c>
      <c r="AA30">
        <v>96910</v>
      </c>
      <c r="AB30">
        <v>6169</v>
      </c>
      <c r="AC30">
        <v>1855152</v>
      </c>
      <c r="AD30">
        <v>1854</v>
      </c>
      <c r="AE30">
        <v>5282890</v>
      </c>
      <c r="AF30">
        <v>4354</v>
      </c>
      <c r="AG30">
        <v>28436757</v>
      </c>
      <c r="AH30">
        <v>2090</v>
      </c>
      <c r="AI30">
        <v>3240271</v>
      </c>
      <c r="AJ30">
        <v>3073</v>
      </c>
      <c r="AK30">
        <v>175260</v>
      </c>
      <c r="AL30">
        <v>2947</v>
      </c>
      <c r="AM30">
        <v>699803</v>
      </c>
      <c r="AN30">
        <v>4128</v>
      </c>
      <c r="AO30">
        <v>640954</v>
      </c>
      <c r="AP30">
        <v>3319</v>
      </c>
      <c r="AQ30">
        <v>1747312</v>
      </c>
      <c r="AR30">
        <v>759</v>
      </c>
      <c r="AS30">
        <v>277022</v>
      </c>
      <c r="AT30">
        <v>907</v>
      </c>
      <c r="AU30">
        <v>3432</v>
      </c>
      <c r="AV30">
        <v>1290</v>
      </c>
      <c r="AW30">
        <v>83</v>
      </c>
      <c r="AX30">
        <v>1147</v>
      </c>
      <c r="AY30">
        <v>570</v>
      </c>
      <c r="AZ30">
        <v>122</v>
      </c>
      <c r="BA30">
        <v>867223</v>
      </c>
      <c r="BB30">
        <v>5616</v>
      </c>
    </row>
    <row r="31" spans="1:54" x14ac:dyDescent="0.4">
      <c r="A31" s="1" t="s">
        <v>50</v>
      </c>
      <c r="B31" s="1" t="s">
        <v>51</v>
      </c>
      <c r="C31">
        <v>126</v>
      </c>
      <c r="D31">
        <v>5034</v>
      </c>
      <c r="E31">
        <v>4519</v>
      </c>
      <c r="F31">
        <v>13316</v>
      </c>
      <c r="G31">
        <v>4006</v>
      </c>
      <c r="H31">
        <v>7292</v>
      </c>
      <c r="I31">
        <v>24085</v>
      </c>
      <c r="J31">
        <v>5916</v>
      </c>
      <c r="K31">
        <v>170874</v>
      </c>
      <c r="L31">
        <v>3374</v>
      </c>
      <c r="M31">
        <v>26088</v>
      </c>
      <c r="N31">
        <v>11656</v>
      </c>
      <c r="O31">
        <v>25785</v>
      </c>
      <c r="P31">
        <v>5171</v>
      </c>
      <c r="Q31">
        <v>105379</v>
      </c>
      <c r="R31">
        <v>1356</v>
      </c>
      <c r="S31">
        <v>741593</v>
      </c>
      <c r="T31">
        <v>2111</v>
      </c>
      <c r="U31">
        <v>60360272</v>
      </c>
      <c r="V31">
        <v>9052</v>
      </c>
      <c r="W31">
        <v>16283020</v>
      </c>
      <c r="X31">
        <v>10267</v>
      </c>
      <c r="Y31">
        <v>41232</v>
      </c>
      <c r="Z31">
        <v>1532</v>
      </c>
      <c r="AA31">
        <v>62163</v>
      </c>
      <c r="AB31">
        <v>4669</v>
      </c>
      <c r="AC31">
        <v>1655126</v>
      </c>
      <c r="AD31">
        <v>1653</v>
      </c>
      <c r="AE31">
        <v>4348639</v>
      </c>
      <c r="AF31">
        <v>3620</v>
      </c>
      <c r="AG31">
        <v>21896600</v>
      </c>
      <c r="AH31">
        <v>1563</v>
      </c>
      <c r="AI31">
        <v>2635643</v>
      </c>
      <c r="AJ31">
        <v>2522</v>
      </c>
      <c r="AK31">
        <v>160278</v>
      </c>
      <c r="AL31">
        <v>2798</v>
      </c>
      <c r="AM31">
        <v>593329</v>
      </c>
      <c r="AN31">
        <v>3727</v>
      </c>
      <c r="AO31">
        <v>501011</v>
      </c>
      <c r="AP31">
        <v>2617</v>
      </c>
      <c r="AQ31">
        <v>1224707</v>
      </c>
      <c r="AR31">
        <v>535</v>
      </c>
      <c r="AS31">
        <v>268810</v>
      </c>
      <c r="AT31">
        <v>631</v>
      </c>
      <c r="AU31">
        <v>4164</v>
      </c>
      <c r="AV31">
        <v>1310</v>
      </c>
      <c r="AW31">
        <v>80</v>
      </c>
      <c r="AX31">
        <v>1101</v>
      </c>
      <c r="AY31">
        <v>411</v>
      </c>
      <c r="AZ31">
        <v>56</v>
      </c>
      <c r="BA31">
        <v>678195</v>
      </c>
      <c r="BB31">
        <v>4422</v>
      </c>
    </row>
    <row r="32" spans="1:54" x14ac:dyDescent="0.4">
      <c r="A32" s="1" t="s">
        <v>52</v>
      </c>
      <c r="B32" s="1" t="s">
        <v>53</v>
      </c>
      <c r="C32">
        <v>231</v>
      </c>
      <c r="D32">
        <v>7599</v>
      </c>
      <c r="E32">
        <v>5648</v>
      </c>
      <c r="F32">
        <v>18016</v>
      </c>
      <c r="G32">
        <v>5236</v>
      </c>
      <c r="H32">
        <v>8011</v>
      </c>
      <c r="I32">
        <v>27912</v>
      </c>
      <c r="J32">
        <v>6746</v>
      </c>
      <c r="K32">
        <v>216694</v>
      </c>
      <c r="L32">
        <v>4328</v>
      </c>
      <c r="M32">
        <v>29061</v>
      </c>
      <c r="N32">
        <v>26248</v>
      </c>
      <c r="O32">
        <v>51100</v>
      </c>
      <c r="P32">
        <v>12228</v>
      </c>
      <c r="Q32">
        <v>106106</v>
      </c>
      <c r="R32">
        <v>1777</v>
      </c>
      <c r="S32">
        <v>919285</v>
      </c>
      <c r="T32">
        <v>2573</v>
      </c>
      <c r="U32">
        <v>78359307</v>
      </c>
      <c r="V32">
        <v>11851</v>
      </c>
      <c r="W32">
        <v>21537303</v>
      </c>
      <c r="X32">
        <v>15092</v>
      </c>
      <c r="Y32">
        <v>58044</v>
      </c>
      <c r="Z32">
        <v>2081</v>
      </c>
      <c r="AA32">
        <v>77765</v>
      </c>
      <c r="AB32">
        <v>6411</v>
      </c>
      <c r="AC32">
        <v>1931673</v>
      </c>
      <c r="AD32">
        <v>1859</v>
      </c>
      <c r="AE32">
        <v>5311697</v>
      </c>
      <c r="AF32">
        <v>4404</v>
      </c>
      <c r="AG32">
        <v>28434578</v>
      </c>
      <c r="AH32">
        <v>1992</v>
      </c>
      <c r="AI32">
        <v>4179500</v>
      </c>
      <c r="AJ32">
        <v>3326</v>
      </c>
      <c r="AK32">
        <v>195722</v>
      </c>
      <c r="AL32">
        <v>3507</v>
      </c>
      <c r="AM32">
        <v>744197</v>
      </c>
      <c r="AN32">
        <v>4609</v>
      </c>
      <c r="AO32">
        <v>600632</v>
      </c>
      <c r="AP32">
        <v>3177</v>
      </c>
      <c r="AQ32">
        <v>1602069</v>
      </c>
      <c r="AR32">
        <v>715</v>
      </c>
      <c r="AS32">
        <v>300458</v>
      </c>
      <c r="AT32">
        <v>787</v>
      </c>
      <c r="AU32">
        <v>5594</v>
      </c>
      <c r="AV32">
        <v>2068</v>
      </c>
      <c r="AW32">
        <v>85</v>
      </c>
      <c r="AX32">
        <v>1692</v>
      </c>
      <c r="AY32">
        <v>859</v>
      </c>
      <c r="AZ32">
        <v>135</v>
      </c>
      <c r="BA32">
        <v>875823</v>
      </c>
      <c r="BB32">
        <v>5742</v>
      </c>
    </row>
    <row r="33" spans="1:54" x14ac:dyDescent="0.4">
      <c r="A33" s="1" t="s">
        <v>54</v>
      </c>
      <c r="B33" s="1" t="s">
        <v>55</v>
      </c>
      <c r="C33">
        <v>132</v>
      </c>
      <c r="D33">
        <v>6918</v>
      </c>
      <c r="E33">
        <v>5339</v>
      </c>
      <c r="F33">
        <v>14806</v>
      </c>
      <c r="G33">
        <v>4538</v>
      </c>
      <c r="H33">
        <v>7310</v>
      </c>
      <c r="I33">
        <v>32506</v>
      </c>
      <c r="J33">
        <v>7941</v>
      </c>
      <c r="K33">
        <v>246635</v>
      </c>
      <c r="L33">
        <v>5058</v>
      </c>
      <c r="M33">
        <v>29875</v>
      </c>
      <c r="N33">
        <v>15608</v>
      </c>
      <c r="O33">
        <v>33125</v>
      </c>
      <c r="P33">
        <v>6181</v>
      </c>
      <c r="Q33">
        <v>131730</v>
      </c>
      <c r="R33">
        <v>1407</v>
      </c>
      <c r="S33">
        <v>980989</v>
      </c>
      <c r="T33">
        <v>2871</v>
      </c>
      <c r="U33">
        <v>78439068</v>
      </c>
      <c r="V33">
        <v>11953</v>
      </c>
      <c r="W33">
        <v>22087835</v>
      </c>
      <c r="X33">
        <v>15514</v>
      </c>
      <c r="Y33">
        <v>61789</v>
      </c>
      <c r="Z33">
        <v>2178</v>
      </c>
      <c r="AA33">
        <v>91931</v>
      </c>
      <c r="AB33">
        <v>6560</v>
      </c>
      <c r="AC33">
        <v>1916946</v>
      </c>
      <c r="AD33">
        <v>1910</v>
      </c>
      <c r="AE33">
        <v>5511587</v>
      </c>
      <c r="AF33">
        <v>5054</v>
      </c>
      <c r="AG33">
        <v>30419294</v>
      </c>
      <c r="AH33">
        <v>1945</v>
      </c>
      <c r="AI33">
        <v>5179438</v>
      </c>
      <c r="AJ33">
        <v>2865</v>
      </c>
      <c r="AK33">
        <v>218841</v>
      </c>
      <c r="AL33">
        <v>3722</v>
      </c>
      <c r="AM33">
        <v>801555</v>
      </c>
      <c r="AN33">
        <v>4560</v>
      </c>
      <c r="AO33">
        <v>679297</v>
      </c>
      <c r="AP33">
        <v>3559</v>
      </c>
      <c r="AQ33">
        <v>1676873</v>
      </c>
      <c r="AR33">
        <v>799</v>
      </c>
      <c r="AS33">
        <v>340870</v>
      </c>
      <c r="AT33">
        <v>911</v>
      </c>
      <c r="AU33">
        <v>6508</v>
      </c>
      <c r="AV33">
        <v>2133</v>
      </c>
      <c r="AW33">
        <v>108</v>
      </c>
      <c r="AX33">
        <v>2050</v>
      </c>
      <c r="AY33">
        <v>570</v>
      </c>
      <c r="AZ33">
        <v>110</v>
      </c>
      <c r="BA33">
        <v>845572</v>
      </c>
      <c r="BB33">
        <v>5987</v>
      </c>
    </row>
    <row r="34" spans="1:54" x14ac:dyDescent="0.4">
      <c r="A34" s="1" t="s">
        <v>56</v>
      </c>
      <c r="B34" s="1" t="s">
        <v>57</v>
      </c>
      <c r="C34">
        <v>138</v>
      </c>
      <c r="D34">
        <v>5698</v>
      </c>
      <c r="E34">
        <v>5548</v>
      </c>
      <c r="F34">
        <v>15742</v>
      </c>
      <c r="G34">
        <v>5165</v>
      </c>
      <c r="H34">
        <v>8712</v>
      </c>
      <c r="I34">
        <v>29543</v>
      </c>
      <c r="J34">
        <v>7289</v>
      </c>
      <c r="K34">
        <v>210832</v>
      </c>
      <c r="L34">
        <v>4399</v>
      </c>
      <c r="M34">
        <v>25718</v>
      </c>
      <c r="N34">
        <v>16783</v>
      </c>
      <c r="O34">
        <v>26306</v>
      </c>
      <c r="P34">
        <v>5525</v>
      </c>
      <c r="Q34">
        <v>122395</v>
      </c>
      <c r="R34">
        <v>1533</v>
      </c>
      <c r="S34">
        <v>845975</v>
      </c>
      <c r="T34">
        <v>2408</v>
      </c>
      <c r="U34">
        <v>69784696</v>
      </c>
      <c r="V34">
        <v>10385</v>
      </c>
      <c r="W34">
        <v>21025048</v>
      </c>
      <c r="X34">
        <v>14027</v>
      </c>
      <c r="Y34">
        <v>51564</v>
      </c>
      <c r="Z34">
        <v>1956</v>
      </c>
      <c r="AA34">
        <v>68240</v>
      </c>
      <c r="AB34">
        <v>5809</v>
      </c>
      <c r="AC34">
        <v>1595084</v>
      </c>
      <c r="AD34">
        <v>1613</v>
      </c>
      <c r="AE34">
        <v>5121930</v>
      </c>
      <c r="AF34">
        <v>4905</v>
      </c>
      <c r="AG34">
        <v>27898151</v>
      </c>
      <c r="AH34">
        <v>1821</v>
      </c>
      <c r="AI34">
        <v>4480563</v>
      </c>
      <c r="AJ34">
        <v>2807</v>
      </c>
      <c r="AK34">
        <v>178767</v>
      </c>
      <c r="AL34">
        <v>3329</v>
      </c>
      <c r="AM34">
        <v>680804</v>
      </c>
      <c r="AN34">
        <v>4272</v>
      </c>
      <c r="AO34">
        <v>571752</v>
      </c>
      <c r="AP34">
        <v>3065</v>
      </c>
      <c r="AQ34">
        <v>1488859</v>
      </c>
      <c r="AR34">
        <v>647</v>
      </c>
      <c r="AS34">
        <v>270570</v>
      </c>
      <c r="AT34">
        <v>792</v>
      </c>
      <c r="AU34">
        <v>4855</v>
      </c>
      <c r="AV34">
        <v>2000</v>
      </c>
      <c r="AW34">
        <v>82</v>
      </c>
      <c r="AX34">
        <v>1190</v>
      </c>
      <c r="AY34">
        <v>1347</v>
      </c>
      <c r="AZ34">
        <v>166</v>
      </c>
      <c r="BA34">
        <v>749274</v>
      </c>
      <c r="BB34">
        <v>4815</v>
      </c>
    </row>
    <row r="35" spans="1:54" x14ac:dyDescent="0.4">
      <c r="A35" s="1" t="s">
        <v>58</v>
      </c>
      <c r="B35" s="1" t="s">
        <v>59</v>
      </c>
      <c r="C35">
        <v>200</v>
      </c>
      <c r="D35">
        <v>6547</v>
      </c>
      <c r="E35">
        <v>5932</v>
      </c>
      <c r="F35">
        <v>17802</v>
      </c>
      <c r="G35">
        <v>5016</v>
      </c>
      <c r="H35">
        <v>8553</v>
      </c>
      <c r="I35">
        <v>29236</v>
      </c>
      <c r="J35">
        <v>7434</v>
      </c>
      <c r="K35">
        <v>208868</v>
      </c>
      <c r="L35">
        <v>4314</v>
      </c>
      <c r="M35">
        <v>33540</v>
      </c>
      <c r="N35">
        <v>29254</v>
      </c>
      <c r="O35">
        <v>31526</v>
      </c>
      <c r="P35">
        <v>14913</v>
      </c>
      <c r="Q35">
        <v>107325</v>
      </c>
      <c r="R35">
        <v>1545</v>
      </c>
      <c r="S35">
        <v>997237</v>
      </c>
      <c r="T35">
        <v>2672</v>
      </c>
      <c r="U35">
        <v>70545898</v>
      </c>
      <c r="V35">
        <v>10722</v>
      </c>
      <c r="W35">
        <v>21580806</v>
      </c>
      <c r="X35">
        <v>14935</v>
      </c>
      <c r="Y35">
        <v>56704</v>
      </c>
      <c r="Z35">
        <v>2028</v>
      </c>
      <c r="AA35">
        <v>100075</v>
      </c>
      <c r="AB35">
        <v>5863</v>
      </c>
      <c r="AC35">
        <v>1714562</v>
      </c>
      <c r="AD35">
        <v>1801</v>
      </c>
      <c r="AE35">
        <v>5366629</v>
      </c>
      <c r="AF35">
        <v>5207</v>
      </c>
      <c r="AG35">
        <v>28746467</v>
      </c>
      <c r="AH35">
        <v>1797</v>
      </c>
      <c r="AI35">
        <v>4749107</v>
      </c>
      <c r="AJ35">
        <v>2992</v>
      </c>
      <c r="AK35">
        <v>199267</v>
      </c>
      <c r="AL35">
        <v>3325</v>
      </c>
      <c r="AM35">
        <v>710561</v>
      </c>
      <c r="AN35">
        <v>4290</v>
      </c>
      <c r="AO35">
        <v>624233</v>
      </c>
      <c r="AP35">
        <v>3255</v>
      </c>
      <c r="AQ35">
        <v>1628422</v>
      </c>
      <c r="AR35">
        <v>703</v>
      </c>
      <c r="AS35">
        <v>316491</v>
      </c>
      <c r="AT35">
        <v>957</v>
      </c>
      <c r="AU35">
        <v>5580</v>
      </c>
      <c r="AV35">
        <v>1953</v>
      </c>
      <c r="AW35">
        <v>90</v>
      </c>
      <c r="AX35">
        <v>1109</v>
      </c>
      <c r="AY35">
        <v>794</v>
      </c>
      <c r="AZ35">
        <v>118</v>
      </c>
      <c r="BA35">
        <v>762040</v>
      </c>
      <c r="BB35">
        <v>5495</v>
      </c>
    </row>
    <row r="36" spans="1:54" x14ac:dyDescent="0.4">
      <c r="A36" s="1" t="s">
        <v>60</v>
      </c>
      <c r="B36" s="1" t="s">
        <v>61</v>
      </c>
      <c r="C36">
        <v>184</v>
      </c>
      <c r="D36">
        <v>6520</v>
      </c>
      <c r="E36">
        <v>5031</v>
      </c>
      <c r="F36">
        <v>15234</v>
      </c>
      <c r="G36">
        <v>4067</v>
      </c>
      <c r="H36">
        <v>6678</v>
      </c>
      <c r="I36">
        <v>26520</v>
      </c>
      <c r="J36">
        <v>6855</v>
      </c>
      <c r="K36">
        <v>183015</v>
      </c>
      <c r="L36">
        <v>3884</v>
      </c>
      <c r="M36">
        <v>33592</v>
      </c>
      <c r="N36">
        <v>15625</v>
      </c>
      <c r="O36">
        <v>32507</v>
      </c>
      <c r="P36">
        <v>5705</v>
      </c>
      <c r="Q36">
        <v>147567</v>
      </c>
      <c r="R36">
        <v>1494</v>
      </c>
      <c r="S36">
        <v>1091901</v>
      </c>
      <c r="T36">
        <v>2584</v>
      </c>
      <c r="U36">
        <v>69074849</v>
      </c>
      <c r="V36">
        <v>10447</v>
      </c>
      <c r="W36">
        <v>21190251</v>
      </c>
      <c r="X36">
        <v>14668</v>
      </c>
      <c r="Y36">
        <v>48041</v>
      </c>
      <c r="Z36">
        <v>1790</v>
      </c>
      <c r="AA36">
        <v>45937</v>
      </c>
      <c r="AB36">
        <v>5533</v>
      </c>
      <c r="AC36">
        <v>1758143</v>
      </c>
      <c r="AD36">
        <v>1791</v>
      </c>
      <c r="AE36">
        <v>5682200</v>
      </c>
      <c r="AF36">
        <v>5225</v>
      </c>
      <c r="AG36">
        <v>28768621</v>
      </c>
      <c r="AH36">
        <v>1914</v>
      </c>
      <c r="AI36">
        <v>4503480</v>
      </c>
      <c r="AJ36">
        <v>3001</v>
      </c>
      <c r="AK36">
        <v>200267</v>
      </c>
      <c r="AL36">
        <v>3057</v>
      </c>
      <c r="AM36">
        <v>675694</v>
      </c>
      <c r="AN36">
        <v>4368</v>
      </c>
      <c r="AO36">
        <v>604705</v>
      </c>
      <c r="AP36">
        <v>3304</v>
      </c>
      <c r="AQ36">
        <v>1572320</v>
      </c>
      <c r="AR36">
        <v>641</v>
      </c>
      <c r="AS36">
        <v>332087</v>
      </c>
      <c r="AT36">
        <v>900</v>
      </c>
      <c r="AU36">
        <v>5167</v>
      </c>
      <c r="AV36">
        <v>1590</v>
      </c>
      <c r="AW36">
        <v>85</v>
      </c>
      <c r="AX36">
        <v>1112</v>
      </c>
      <c r="AY36">
        <v>810</v>
      </c>
      <c r="AZ36">
        <v>278</v>
      </c>
      <c r="BA36">
        <v>748569</v>
      </c>
      <c r="BB36">
        <v>5285</v>
      </c>
    </row>
    <row r="37" spans="1:54" x14ac:dyDescent="0.4">
      <c r="A37" s="1" t="s">
        <v>62</v>
      </c>
      <c r="B37" s="1" t="s">
        <v>63</v>
      </c>
      <c r="C37">
        <v>178</v>
      </c>
      <c r="D37">
        <v>8595</v>
      </c>
      <c r="E37">
        <v>4971</v>
      </c>
      <c r="F37">
        <v>15775</v>
      </c>
      <c r="G37">
        <v>4585</v>
      </c>
      <c r="H37">
        <v>7245</v>
      </c>
      <c r="I37">
        <v>26756</v>
      </c>
      <c r="J37">
        <v>6716</v>
      </c>
      <c r="K37">
        <v>167253</v>
      </c>
      <c r="L37">
        <v>3617</v>
      </c>
      <c r="M37">
        <v>32503</v>
      </c>
      <c r="N37">
        <v>20614</v>
      </c>
      <c r="O37">
        <v>33541</v>
      </c>
      <c r="P37">
        <v>8952</v>
      </c>
      <c r="Q37">
        <v>109174</v>
      </c>
      <c r="R37">
        <v>1296</v>
      </c>
      <c r="S37">
        <v>918945</v>
      </c>
      <c r="T37">
        <v>2542</v>
      </c>
      <c r="U37">
        <v>66777113</v>
      </c>
      <c r="V37">
        <v>10702</v>
      </c>
      <c r="W37">
        <v>22702599</v>
      </c>
      <c r="X37">
        <v>15843</v>
      </c>
      <c r="Y37">
        <v>55236</v>
      </c>
      <c r="Z37">
        <v>1902</v>
      </c>
      <c r="AA37">
        <v>35209</v>
      </c>
      <c r="AB37">
        <v>5309</v>
      </c>
      <c r="AC37">
        <v>1629157</v>
      </c>
      <c r="AD37">
        <v>1681</v>
      </c>
      <c r="AE37">
        <v>5407113</v>
      </c>
      <c r="AF37">
        <v>4830</v>
      </c>
      <c r="AG37">
        <v>27814169</v>
      </c>
      <c r="AH37">
        <v>1789</v>
      </c>
      <c r="AI37">
        <v>4258902</v>
      </c>
      <c r="AJ37">
        <v>2871</v>
      </c>
      <c r="AK37">
        <v>192045</v>
      </c>
      <c r="AL37">
        <v>3037</v>
      </c>
      <c r="AM37">
        <v>655632</v>
      </c>
      <c r="AN37">
        <v>4302</v>
      </c>
      <c r="AO37">
        <v>592605</v>
      </c>
      <c r="AP37">
        <v>3200</v>
      </c>
      <c r="AQ37">
        <v>1380054</v>
      </c>
      <c r="AR37">
        <v>659</v>
      </c>
      <c r="AS37">
        <v>306923</v>
      </c>
      <c r="AT37">
        <v>884</v>
      </c>
      <c r="AU37">
        <v>4946</v>
      </c>
      <c r="AV37">
        <v>1767</v>
      </c>
      <c r="AW37">
        <v>66</v>
      </c>
      <c r="AX37">
        <v>1126</v>
      </c>
      <c r="AY37">
        <v>1051</v>
      </c>
      <c r="AZ37">
        <v>166</v>
      </c>
      <c r="BA37">
        <v>818071</v>
      </c>
      <c r="BB37">
        <v>5727</v>
      </c>
    </row>
    <row r="38" spans="1:54" x14ac:dyDescent="0.4">
      <c r="A38" s="1" t="s">
        <v>64</v>
      </c>
      <c r="B38" s="1" t="s">
        <v>65</v>
      </c>
      <c r="C38">
        <v>278</v>
      </c>
      <c r="D38">
        <v>9745</v>
      </c>
      <c r="E38">
        <v>6823</v>
      </c>
      <c r="F38">
        <v>23808</v>
      </c>
      <c r="G38">
        <v>6285</v>
      </c>
      <c r="H38">
        <v>11129</v>
      </c>
      <c r="I38">
        <v>28375</v>
      </c>
      <c r="J38">
        <v>6745</v>
      </c>
      <c r="K38">
        <v>186812</v>
      </c>
      <c r="L38">
        <v>4126</v>
      </c>
      <c r="M38">
        <v>34378</v>
      </c>
      <c r="N38">
        <v>54339</v>
      </c>
      <c r="O38">
        <v>46015</v>
      </c>
      <c r="P38">
        <v>25275</v>
      </c>
      <c r="Q38">
        <v>117373</v>
      </c>
      <c r="R38">
        <v>2337</v>
      </c>
      <c r="S38">
        <v>978035</v>
      </c>
      <c r="T38">
        <v>2682</v>
      </c>
      <c r="U38">
        <v>76423983</v>
      </c>
      <c r="V38">
        <v>12448</v>
      </c>
      <c r="W38">
        <v>23737979</v>
      </c>
      <c r="X38">
        <v>17748</v>
      </c>
      <c r="Y38">
        <v>69122</v>
      </c>
      <c r="Z38">
        <v>2538</v>
      </c>
      <c r="AA38">
        <v>31419</v>
      </c>
      <c r="AB38">
        <v>6683</v>
      </c>
      <c r="AC38">
        <v>1901123</v>
      </c>
      <c r="AD38">
        <v>1934</v>
      </c>
      <c r="AE38">
        <v>5222528</v>
      </c>
      <c r="AF38">
        <v>5100</v>
      </c>
      <c r="AG38">
        <v>32304779</v>
      </c>
      <c r="AH38">
        <v>1951</v>
      </c>
      <c r="AI38">
        <v>5051045</v>
      </c>
      <c r="AJ38">
        <v>3355</v>
      </c>
      <c r="AK38">
        <v>213650</v>
      </c>
      <c r="AL38">
        <v>3747</v>
      </c>
      <c r="AM38">
        <v>691009</v>
      </c>
      <c r="AN38">
        <v>4487</v>
      </c>
      <c r="AO38">
        <v>617756</v>
      </c>
      <c r="AP38">
        <v>3370</v>
      </c>
      <c r="AQ38">
        <v>1485594</v>
      </c>
      <c r="AR38">
        <v>694</v>
      </c>
      <c r="AS38">
        <v>352261</v>
      </c>
      <c r="AT38">
        <v>1005</v>
      </c>
      <c r="AU38">
        <v>6304</v>
      </c>
      <c r="AV38">
        <v>2294</v>
      </c>
      <c r="AW38">
        <v>79</v>
      </c>
      <c r="AX38">
        <v>1643</v>
      </c>
      <c r="AY38">
        <v>1363</v>
      </c>
      <c r="AZ38">
        <v>150</v>
      </c>
      <c r="BA38">
        <v>871388</v>
      </c>
      <c r="BB38">
        <v>6335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3AE85-9CE0-4510-970B-7219FD551AAB}">
  <dimension ref="A1:BO40"/>
  <sheetViews>
    <sheetView workbookViewId="0">
      <selection activeCell="C9" sqref="C9"/>
    </sheetView>
  </sheetViews>
  <sheetFormatPr defaultColWidth="15.62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1092</v>
      </c>
      <c r="D3" t="s">
        <v>1092</v>
      </c>
      <c r="E3" t="s">
        <v>1092</v>
      </c>
      <c r="F3" t="s">
        <v>1092</v>
      </c>
      <c r="G3" t="s">
        <v>1092</v>
      </c>
      <c r="H3" t="s">
        <v>1094</v>
      </c>
      <c r="I3" t="s">
        <v>1094</v>
      </c>
      <c r="J3" t="s">
        <v>1094</v>
      </c>
      <c r="K3" t="s">
        <v>1094</v>
      </c>
      <c r="L3" t="s">
        <v>1094</v>
      </c>
      <c r="M3" t="s">
        <v>1096</v>
      </c>
      <c r="N3" t="s">
        <v>1096</v>
      </c>
      <c r="O3" t="s">
        <v>1096</v>
      </c>
      <c r="P3" t="s">
        <v>1096</v>
      </c>
      <c r="Q3" t="s">
        <v>1096</v>
      </c>
      <c r="R3" t="s">
        <v>1098</v>
      </c>
      <c r="S3" t="s">
        <v>1098</v>
      </c>
      <c r="T3" t="s">
        <v>1098</v>
      </c>
      <c r="U3" t="s">
        <v>1098</v>
      </c>
      <c r="V3" t="s">
        <v>1098</v>
      </c>
      <c r="W3" t="s">
        <v>1100</v>
      </c>
      <c r="X3" t="s">
        <v>1100</v>
      </c>
      <c r="Y3" t="s">
        <v>1100</v>
      </c>
      <c r="Z3" t="s">
        <v>1100</v>
      </c>
      <c r="AA3" t="s">
        <v>1100</v>
      </c>
      <c r="AB3" t="s">
        <v>1102</v>
      </c>
      <c r="AC3" t="s">
        <v>1102</v>
      </c>
      <c r="AD3" t="s">
        <v>1102</v>
      </c>
      <c r="AE3" t="s">
        <v>1102</v>
      </c>
      <c r="AF3" t="s">
        <v>1102</v>
      </c>
      <c r="AG3" t="s">
        <v>1104</v>
      </c>
      <c r="AH3" t="s">
        <v>1104</v>
      </c>
      <c r="AI3" t="s">
        <v>1104</v>
      </c>
      <c r="AJ3" t="s">
        <v>1104</v>
      </c>
      <c r="AK3" t="s">
        <v>1104</v>
      </c>
      <c r="AL3" t="s">
        <v>1106</v>
      </c>
      <c r="AM3" t="s">
        <v>1106</v>
      </c>
      <c r="AN3" t="s">
        <v>1106</v>
      </c>
      <c r="AO3" t="s">
        <v>1106</v>
      </c>
      <c r="AP3" t="s">
        <v>1106</v>
      </c>
      <c r="AQ3" t="s">
        <v>1108</v>
      </c>
      <c r="AR3" t="s">
        <v>1108</v>
      </c>
      <c r="AS3" t="s">
        <v>1108</v>
      </c>
      <c r="AT3" t="s">
        <v>1108</v>
      </c>
      <c r="AU3" t="s">
        <v>1108</v>
      </c>
      <c r="AV3" t="s">
        <v>1110</v>
      </c>
      <c r="AW3" t="s">
        <v>1110</v>
      </c>
      <c r="AX3" t="s">
        <v>1110</v>
      </c>
      <c r="AY3" t="s">
        <v>1110</v>
      </c>
      <c r="AZ3" t="s">
        <v>1110</v>
      </c>
      <c r="BA3" t="s">
        <v>1112</v>
      </c>
      <c r="BB3" t="s">
        <v>1112</v>
      </c>
      <c r="BC3" t="s">
        <v>1112</v>
      </c>
      <c r="BD3" t="s">
        <v>1112</v>
      </c>
      <c r="BE3" t="s">
        <v>1112</v>
      </c>
      <c r="BF3" t="s">
        <v>1114</v>
      </c>
      <c r="BG3" t="s">
        <v>1114</v>
      </c>
      <c r="BH3" t="s">
        <v>1114</v>
      </c>
      <c r="BI3" t="s">
        <v>1114</v>
      </c>
      <c r="BJ3" t="s">
        <v>1114</v>
      </c>
      <c r="BK3" t="s">
        <v>1116</v>
      </c>
      <c r="BL3" t="s">
        <v>1116</v>
      </c>
      <c r="BM3" t="s">
        <v>1116</v>
      </c>
      <c r="BN3" t="s">
        <v>1116</v>
      </c>
      <c r="BO3" t="s">
        <v>1116</v>
      </c>
    </row>
    <row r="4" spans="1:67" x14ac:dyDescent="0.4">
      <c r="A4" s="1"/>
      <c r="B4" s="2" t="s">
        <v>1</v>
      </c>
      <c r="C4" t="s">
        <v>1093</v>
      </c>
      <c r="D4" t="s">
        <v>1093</v>
      </c>
      <c r="E4" t="s">
        <v>1093</v>
      </c>
      <c r="F4" t="s">
        <v>1093</v>
      </c>
      <c r="G4" t="s">
        <v>1093</v>
      </c>
      <c r="H4" t="s">
        <v>1095</v>
      </c>
      <c r="I4" t="s">
        <v>1095</v>
      </c>
      <c r="J4" t="s">
        <v>1095</v>
      </c>
      <c r="K4" t="s">
        <v>1095</v>
      </c>
      <c r="L4" t="s">
        <v>1095</v>
      </c>
      <c r="M4" t="s">
        <v>1097</v>
      </c>
      <c r="N4" t="s">
        <v>1097</v>
      </c>
      <c r="O4" t="s">
        <v>1097</v>
      </c>
      <c r="P4" t="s">
        <v>1097</v>
      </c>
      <c r="Q4" t="s">
        <v>1097</v>
      </c>
      <c r="R4" t="s">
        <v>1099</v>
      </c>
      <c r="S4" t="s">
        <v>1099</v>
      </c>
      <c r="T4" t="s">
        <v>1099</v>
      </c>
      <c r="U4" t="s">
        <v>1099</v>
      </c>
      <c r="V4" t="s">
        <v>1099</v>
      </c>
      <c r="W4" t="s">
        <v>1101</v>
      </c>
      <c r="X4" t="s">
        <v>1101</v>
      </c>
      <c r="Y4" t="s">
        <v>1101</v>
      </c>
      <c r="Z4" t="s">
        <v>1101</v>
      </c>
      <c r="AA4" t="s">
        <v>1101</v>
      </c>
      <c r="AB4" t="s">
        <v>1103</v>
      </c>
      <c r="AC4" t="s">
        <v>1103</v>
      </c>
      <c r="AD4" t="s">
        <v>1103</v>
      </c>
      <c r="AE4" t="s">
        <v>1103</v>
      </c>
      <c r="AF4" t="s">
        <v>1103</v>
      </c>
      <c r="AG4" t="s">
        <v>1105</v>
      </c>
      <c r="AH4" t="s">
        <v>1105</v>
      </c>
      <c r="AI4" t="s">
        <v>1105</v>
      </c>
      <c r="AJ4" t="s">
        <v>1105</v>
      </c>
      <c r="AK4" t="s">
        <v>1105</v>
      </c>
      <c r="AL4" t="s">
        <v>1107</v>
      </c>
      <c r="AM4" t="s">
        <v>1107</v>
      </c>
      <c r="AN4" t="s">
        <v>1107</v>
      </c>
      <c r="AO4" t="s">
        <v>1107</v>
      </c>
      <c r="AP4" t="s">
        <v>1107</v>
      </c>
      <c r="AQ4" t="s">
        <v>1109</v>
      </c>
      <c r="AR4" t="s">
        <v>1109</v>
      </c>
      <c r="AS4" t="s">
        <v>1109</v>
      </c>
      <c r="AT4" t="s">
        <v>1109</v>
      </c>
      <c r="AU4" t="s">
        <v>1109</v>
      </c>
      <c r="AV4" t="s">
        <v>1111</v>
      </c>
      <c r="AW4" t="s">
        <v>1111</v>
      </c>
      <c r="AX4" t="s">
        <v>1111</v>
      </c>
      <c r="AY4" t="s">
        <v>1111</v>
      </c>
      <c r="AZ4" t="s">
        <v>1111</v>
      </c>
      <c r="BA4" t="s">
        <v>1113</v>
      </c>
      <c r="BB4" t="s">
        <v>1113</v>
      </c>
      <c r="BC4" t="s">
        <v>1113</v>
      </c>
      <c r="BD4" t="s">
        <v>1113</v>
      </c>
      <c r="BE4" t="s">
        <v>1113</v>
      </c>
      <c r="BF4" t="s">
        <v>1115</v>
      </c>
      <c r="BG4" t="s">
        <v>1115</v>
      </c>
      <c r="BH4" t="s">
        <v>1115</v>
      </c>
      <c r="BI4" t="s">
        <v>1115</v>
      </c>
      <c r="BJ4" t="s">
        <v>1115</v>
      </c>
      <c r="BK4" t="s">
        <v>1117</v>
      </c>
      <c r="BL4" t="s">
        <v>1117</v>
      </c>
      <c r="BM4" t="s">
        <v>1117</v>
      </c>
      <c r="BN4" t="s">
        <v>1117</v>
      </c>
      <c r="BO4" t="s">
        <v>1117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502</v>
      </c>
      <c r="BG7" t="s">
        <v>258</v>
      </c>
      <c r="BH7" t="s">
        <v>502</v>
      </c>
      <c r="BI7" t="s">
        <v>258</v>
      </c>
      <c r="BJ7" t="s">
        <v>502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3497004</v>
      </c>
      <c r="D9">
        <v>57978</v>
      </c>
      <c r="E9">
        <v>4981073</v>
      </c>
      <c r="F9">
        <v>75215</v>
      </c>
      <c r="G9">
        <v>442471</v>
      </c>
      <c r="H9">
        <v>666663</v>
      </c>
      <c r="I9">
        <v>33719</v>
      </c>
      <c r="J9">
        <v>832130</v>
      </c>
      <c r="K9">
        <v>38074</v>
      </c>
      <c r="L9">
        <v>41293</v>
      </c>
      <c r="M9">
        <v>1261547</v>
      </c>
      <c r="N9">
        <v>229392</v>
      </c>
      <c r="O9">
        <v>2623964</v>
      </c>
      <c r="P9">
        <v>319195</v>
      </c>
      <c r="Q9">
        <v>208645</v>
      </c>
      <c r="R9">
        <v>733932</v>
      </c>
      <c r="S9">
        <v>48479</v>
      </c>
      <c r="T9">
        <v>735688</v>
      </c>
      <c r="U9">
        <v>48751</v>
      </c>
      <c r="V9">
        <v>36206</v>
      </c>
      <c r="W9">
        <v>5934942</v>
      </c>
      <c r="X9">
        <v>101613</v>
      </c>
      <c r="Y9">
        <v>6662594</v>
      </c>
      <c r="Z9">
        <v>131246</v>
      </c>
      <c r="AA9">
        <v>446036</v>
      </c>
      <c r="AB9">
        <v>87243</v>
      </c>
      <c r="AC9">
        <v>20843</v>
      </c>
      <c r="AD9">
        <v>86882</v>
      </c>
      <c r="AE9">
        <v>20597</v>
      </c>
      <c r="AF9">
        <v>4287</v>
      </c>
      <c r="AG9">
        <v>623718</v>
      </c>
      <c r="AH9">
        <v>106996</v>
      </c>
      <c r="AI9">
        <v>596174</v>
      </c>
      <c r="AJ9">
        <v>108936</v>
      </c>
      <c r="AK9">
        <v>54892</v>
      </c>
      <c r="AL9">
        <v>177310</v>
      </c>
      <c r="AM9">
        <v>8584</v>
      </c>
      <c r="AN9">
        <v>178716</v>
      </c>
      <c r="AO9">
        <v>8780</v>
      </c>
      <c r="AP9">
        <v>12458</v>
      </c>
      <c r="AQ9">
        <v>810418</v>
      </c>
      <c r="AR9">
        <v>73515</v>
      </c>
      <c r="AS9">
        <v>3131068</v>
      </c>
      <c r="AT9">
        <v>176926</v>
      </c>
      <c r="AU9">
        <v>186218</v>
      </c>
      <c r="AV9">
        <v>2131800</v>
      </c>
      <c r="AW9">
        <v>39357</v>
      </c>
      <c r="AX9">
        <v>3501846</v>
      </c>
      <c r="AY9">
        <v>61040</v>
      </c>
      <c r="AZ9">
        <v>490967</v>
      </c>
      <c r="BA9">
        <v>2727591</v>
      </c>
      <c r="BB9">
        <v>82703</v>
      </c>
      <c r="BC9">
        <v>2707101</v>
      </c>
      <c r="BD9">
        <v>81588</v>
      </c>
      <c r="BE9">
        <v>48007</v>
      </c>
      <c r="BF9" t="s">
        <v>73</v>
      </c>
      <c r="BG9" t="s">
        <v>73</v>
      </c>
      <c r="BH9" t="s">
        <v>73</v>
      </c>
      <c r="BI9" t="s">
        <v>73</v>
      </c>
      <c r="BJ9" t="s">
        <v>73</v>
      </c>
      <c r="BK9">
        <v>61626</v>
      </c>
      <c r="BL9">
        <v>4706</v>
      </c>
      <c r="BM9">
        <v>278768</v>
      </c>
      <c r="BN9">
        <v>24351</v>
      </c>
      <c r="BO9">
        <v>52088</v>
      </c>
    </row>
    <row r="10" spans="1:67" x14ac:dyDescent="0.4">
      <c r="A10" s="1" t="s">
        <v>8</v>
      </c>
      <c r="B10" s="3" t="s">
        <v>9</v>
      </c>
      <c r="C10">
        <v>3616291</v>
      </c>
      <c r="D10">
        <v>60887</v>
      </c>
      <c r="E10">
        <v>5005183</v>
      </c>
      <c r="F10">
        <v>77878</v>
      </c>
      <c r="G10">
        <v>578260</v>
      </c>
      <c r="H10">
        <v>691979</v>
      </c>
      <c r="I10">
        <v>38703</v>
      </c>
      <c r="J10">
        <v>828964</v>
      </c>
      <c r="K10">
        <v>45938</v>
      </c>
      <c r="L10">
        <v>44745</v>
      </c>
      <c r="M10">
        <v>1282329</v>
      </c>
      <c r="N10">
        <v>243828</v>
      </c>
      <c r="O10">
        <v>2561514</v>
      </c>
      <c r="P10">
        <v>340934</v>
      </c>
      <c r="Q10">
        <v>259137</v>
      </c>
      <c r="R10">
        <v>792143</v>
      </c>
      <c r="S10">
        <v>58902</v>
      </c>
      <c r="T10">
        <v>768239</v>
      </c>
      <c r="U10">
        <v>57586</v>
      </c>
      <c r="V10">
        <v>59416</v>
      </c>
      <c r="W10">
        <v>5906752</v>
      </c>
      <c r="X10">
        <v>93706</v>
      </c>
      <c r="Y10">
        <v>6551773</v>
      </c>
      <c r="Z10">
        <v>124955</v>
      </c>
      <c r="AA10">
        <v>506522</v>
      </c>
      <c r="AB10">
        <v>116091</v>
      </c>
      <c r="AC10">
        <v>31997</v>
      </c>
      <c r="AD10">
        <v>108472</v>
      </c>
      <c r="AE10">
        <v>29419</v>
      </c>
      <c r="AF10">
        <v>11864</v>
      </c>
      <c r="AG10">
        <v>724628</v>
      </c>
      <c r="AH10">
        <v>169304</v>
      </c>
      <c r="AI10">
        <v>699569</v>
      </c>
      <c r="AJ10">
        <v>132893</v>
      </c>
      <c r="AK10">
        <v>79658</v>
      </c>
      <c r="AL10">
        <v>158124</v>
      </c>
      <c r="AM10">
        <v>8462</v>
      </c>
      <c r="AN10">
        <v>159180</v>
      </c>
      <c r="AO10">
        <v>8077</v>
      </c>
      <c r="AP10">
        <v>11402</v>
      </c>
      <c r="AQ10">
        <v>725447</v>
      </c>
      <c r="AR10">
        <v>114169</v>
      </c>
      <c r="AS10">
        <v>2684056</v>
      </c>
      <c r="AT10">
        <v>221640</v>
      </c>
      <c r="AU10">
        <v>292480</v>
      </c>
      <c r="AV10">
        <v>2380233</v>
      </c>
      <c r="AW10">
        <v>51371</v>
      </c>
      <c r="AX10">
        <v>3682395</v>
      </c>
      <c r="AY10">
        <v>69774</v>
      </c>
      <c r="AZ10">
        <v>445204</v>
      </c>
      <c r="BA10">
        <v>3037928</v>
      </c>
      <c r="BB10">
        <v>99582</v>
      </c>
      <c r="BC10">
        <v>2942662</v>
      </c>
      <c r="BD10">
        <v>97495</v>
      </c>
      <c r="BE10">
        <v>92140</v>
      </c>
      <c r="BF10" t="s">
        <v>73</v>
      </c>
      <c r="BG10" t="s">
        <v>73</v>
      </c>
      <c r="BH10" t="s">
        <v>73</v>
      </c>
      <c r="BI10" t="s">
        <v>73</v>
      </c>
      <c r="BJ10" t="s">
        <v>73</v>
      </c>
      <c r="BK10">
        <v>49991</v>
      </c>
      <c r="BL10">
        <v>4043</v>
      </c>
      <c r="BM10">
        <v>231113</v>
      </c>
      <c r="BN10">
        <v>23128</v>
      </c>
      <c r="BO10">
        <v>66628</v>
      </c>
    </row>
    <row r="11" spans="1:67" x14ac:dyDescent="0.4">
      <c r="A11" s="1" t="s">
        <v>10</v>
      </c>
      <c r="B11" s="3" t="s">
        <v>11</v>
      </c>
      <c r="C11">
        <v>3063871</v>
      </c>
      <c r="D11">
        <v>51089</v>
      </c>
      <c r="E11">
        <v>4846430</v>
      </c>
      <c r="F11">
        <v>80889</v>
      </c>
      <c r="G11">
        <v>531649</v>
      </c>
      <c r="H11">
        <v>616571</v>
      </c>
      <c r="I11">
        <v>35781</v>
      </c>
      <c r="J11">
        <v>762774</v>
      </c>
      <c r="K11">
        <v>44673</v>
      </c>
      <c r="L11">
        <v>29803</v>
      </c>
      <c r="M11">
        <v>1055448</v>
      </c>
      <c r="N11">
        <v>254566</v>
      </c>
      <c r="O11">
        <v>2293076</v>
      </c>
      <c r="P11">
        <v>359921</v>
      </c>
      <c r="Q11">
        <v>188295</v>
      </c>
      <c r="R11">
        <v>659884</v>
      </c>
      <c r="S11">
        <v>53031</v>
      </c>
      <c r="T11">
        <v>682221</v>
      </c>
      <c r="U11">
        <v>53698</v>
      </c>
      <c r="V11">
        <v>36351</v>
      </c>
      <c r="W11">
        <v>5593436</v>
      </c>
      <c r="X11">
        <v>96988</v>
      </c>
      <c r="Y11">
        <v>6264187</v>
      </c>
      <c r="Z11">
        <v>125818</v>
      </c>
      <c r="AA11">
        <v>400701</v>
      </c>
      <c r="AB11">
        <v>81625</v>
      </c>
      <c r="AC11">
        <v>23270</v>
      </c>
      <c r="AD11">
        <v>87929</v>
      </c>
      <c r="AE11">
        <v>25853</v>
      </c>
      <c r="AF11">
        <v>5476</v>
      </c>
      <c r="AG11">
        <v>636507</v>
      </c>
      <c r="AH11">
        <v>141314</v>
      </c>
      <c r="AI11">
        <v>638935</v>
      </c>
      <c r="AJ11">
        <v>134117</v>
      </c>
      <c r="AK11">
        <v>75786</v>
      </c>
      <c r="AL11">
        <v>168393</v>
      </c>
      <c r="AM11">
        <v>9945</v>
      </c>
      <c r="AN11">
        <v>159111</v>
      </c>
      <c r="AO11">
        <v>8534</v>
      </c>
      <c r="AP11">
        <v>20684</v>
      </c>
      <c r="AQ11">
        <v>690948</v>
      </c>
      <c r="AR11">
        <v>121118</v>
      </c>
      <c r="AS11">
        <v>2685322</v>
      </c>
      <c r="AT11">
        <v>238897</v>
      </c>
      <c r="AU11">
        <v>246526</v>
      </c>
      <c r="AV11">
        <v>1986422</v>
      </c>
      <c r="AW11">
        <v>44657</v>
      </c>
      <c r="AX11">
        <v>3266221</v>
      </c>
      <c r="AY11">
        <v>64255</v>
      </c>
      <c r="AZ11">
        <v>342738</v>
      </c>
      <c r="BA11">
        <v>2725157</v>
      </c>
      <c r="BB11">
        <v>95034</v>
      </c>
      <c r="BC11">
        <v>2521158</v>
      </c>
      <c r="BD11">
        <v>91142</v>
      </c>
      <c r="BE11">
        <v>243537</v>
      </c>
      <c r="BF11" t="s">
        <v>73</v>
      </c>
      <c r="BG11" t="s">
        <v>73</v>
      </c>
      <c r="BH11" t="s">
        <v>73</v>
      </c>
      <c r="BI11" t="s">
        <v>73</v>
      </c>
      <c r="BJ11" t="s">
        <v>73</v>
      </c>
      <c r="BK11">
        <v>39626</v>
      </c>
      <c r="BL11">
        <v>2996</v>
      </c>
      <c r="BM11">
        <v>228363</v>
      </c>
      <c r="BN11">
        <v>22322</v>
      </c>
      <c r="BO11">
        <v>75973</v>
      </c>
    </row>
    <row r="12" spans="1:67" x14ac:dyDescent="0.4">
      <c r="A12" s="1" t="s">
        <v>12</v>
      </c>
      <c r="B12" s="3" t="s">
        <v>13</v>
      </c>
      <c r="C12">
        <v>2826209</v>
      </c>
      <c r="D12">
        <v>46498</v>
      </c>
      <c r="E12">
        <v>4666236</v>
      </c>
      <c r="F12">
        <v>77932</v>
      </c>
      <c r="G12">
        <v>414593</v>
      </c>
      <c r="H12">
        <v>586549</v>
      </c>
      <c r="I12">
        <v>35581</v>
      </c>
      <c r="J12">
        <v>723442</v>
      </c>
      <c r="K12">
        <v>46064</v>
      </c>
      <c r="L12">
        <v>29282</v>
      </c>
      <c r="M12">
        <v>939531</v>
      </c>
      <c r="N12">
        <v>233783</v>
      </c>
      <c r="O12">
        <v>2110687</v>
      </c>
      <c r="P12">
        <v>330996</v>
      </c>
      <c r="Q12">
        <v>181054</v>
      </c>
      <c r="R12">
        <v>661361</v>
      </c>
      <c r="S12">
        <v>57918</v>
      </c>
      <c r="T12">
        <v>657960</v>
      </c>
      <c r="U12">
        <v>57274</v>
      </c>
      <c r="V12">
        <v>38463</v>
      </c>
      <c r="W12">
        <v>5375117</v>
      </c>
      <c r="X12">
        <v>92313</v>
      </c>
      <c r="Y12">
        <v>5954733</v>
      </c>
      <c r="Z12">
        <v>122828</v>
      </c>
      <c r="AA12">
        <v>327316</v>
      </c>
      <c r="AB12">
        <v>85297</v>
      </c>
      <c r="AC12">
        <v>25529</v>
      </c>
      <c r="AD12">
        <v>86000</v>
      </c>
      <c r="AE12">
        <v>26123</v>
      </c>
      <c r="AF12">
        <v>4722</v>
      </c>
      <c r="AG12">
        <v>659058</v>
      </c>
      <c r="AH12">
        <v>133278</v>
      </c>
      <c r="AI12">
        <v>672097</v>
      </c>
      <c r="AJ12">
        <v>161121</v>
      </c>
      <c r="AK12">
        <v>62657</v>
      </c>
      <c r="AL12">
        <v>138137</v>
      </c>
      <c r="AM12">
        <v>8385</v>
      </c>
      <c r="AN12">
        <v>143513</v>
      </c>
      <c r="AO12">
        <v>7829</v>
      </c>
      <c r="AP12">
        <v>14790</v>
      </c>
      <c r="AQ12">
        <v>588354</v>
      </c>
      <c r="AR12">
        <v>114178</v>
      </c>
      <c r="AS12">
        <v>2493980</v>
      </c>
      <c r="AT12">
        <v>228665</v>
      </c>
      <c r="AU12">
        <v>180319</v>
      </c>
      <c r="AV12">
        <v>2206943</v>
      </c>
      <c r="AW12">
        <v>54913</v>
      </c>
      <c r="AX12">
        <v>3459857</v>
      </c>
      <c r="AY12">
        <v>74318</v>
      </c>
      <c r="AZ12">
        <v>392418</v>
      </c>
      <c r="BA12">
        <v>2508830</v>
      </c>
      <c r="BB12">
        <v>93511</v>
      </c>
      <c r="BC12">
        <v>2569986</v>
      </c>
      <c r="BD12">
        <v>95345</v>
      </c>
      <c r="BE12">
        <v>132106</v>
      </c>
      <c r="BF12" t="s">
        <v>73</v>
      </c>
      <c r="BG12" t="s">
        <v>73</v>
      </c>
      <c r="BH12" t="s">
        <v>73</v>
      </c>
      <c r="BI12" t="s">
        <v>73</v>
      </c>
      <c r="BJ12" t="s">
        <v>73</v>
      </c>
      <c r="BK12">
        <v>29983</v>
      </c>
      <c r="BL12">
        <v>2654</v>
      </c>
      <c r="BM12">
        <v>219278</v>
      </c>
      <c r="BN12">
        <v>23823</v>
      </c>
      <c r="BO12">
        <v>68899</v>
      </c>
    </row>
    <row r="13" spans="1:67" x14ac:dyDescent="0.4">
      <c r="A13" s="1" t="s">
        <v>14</v>
      </c>
      <c r="B13" s="3" t="s">
        <v>15</v>
      </c>
      <c r="C13">
        <v>2843507</v>
      </c>
      <c r="D13">
        <v>45615</v>
      </c>
      <c r="E13">
        <v>4284872</v>
      </c>
      <c r="F13">
        <v>68410</v>
      </c>
      <c r="G13">
        <v>374044</v>
      </c>
      <c r="H13">
        <v>598139</v>
      </c>
      <c r="I13">
        <v>37825</v>
      </c>
      <c r="J13">
        <v>741109</v>
      </c>
      <c r="K13">
        <v>50642</v>
      </c>
      <c r="L13">
        <v>34727</v>
      </c>
      <c r="M13">
        <v>836642</v>
      </c>
      <c r="N13">
        <v>199728</v>
      </c>
      <c r="O13">
        <v>1492127</v>
      </c>
      <c r="P13">
        <v>258824</v>
      </c>
      <c r="Q13">
        <v>173115</v>
      </c>
      <c r="R13">
        <v>656894</v>
      </c>
      <c r="S13">
        <v>61135</v>
      </c>
      <c r="T13">
        <v>659512</v>
      </c>
      <c r="U13">
        <v>60514</v>
      </c>
      <c r="V13">
        <v>35273</v>
      </c>
      <c r="W13">
        <v>5252453</v>
      </c>
      <c r="X13">
        <v>96239</v>
      </c>
      <c r="Y13">
        <v>5629617</v>
      </c>
      <c r="Z13">
        <v>126433</v>
      </c>
      <c r="AA13">
        <v>458516</v>
      </c>
      <c r="AB13">
        <v>80357</v>
      </c>
      <c r="AC13">
        <v>26581</v>
      </c>
      <c r="AD13">
        <v>78067</v>
      </c>
      <c r="AE13">
        <v>25932</v>
      </c>
      <c r="AF13">
        <v>6952</v>
      </c>
      <c r="AG13">
        <v>661876</v>
      </c>
      <c r="AH13">
        <v>132667</v>
      </c>
      <c r="AI13">
        <v>666752</v>
      </c>
      <c r="AJ13">
        <v>160772</v>
      </c>
      <c r="AK13">
        <v>57723</v>
      </c>
      <c r="AL13">
        <v>141265</v>
      </c>
      <c r="AM13">
        <v>8194</v>
      </c>
      <c r="AN13">
        <v>144250</v>
      </c>
      <c r="AO13">
        <v>7607</v>
      </c>
      <c r="AP13">
        <v>11805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>
        <v>2182624</v>
      </c>
      <c r="AW13">
        <v>50571</v>
      </c>
      <c r="AX13">
        <v>3149174</v>
      </c>
      <c r="AY13">
        <v>66334</v>
      </c>
      <c r="AZ13">
        <v>381589</v>
      </c>
      <c r="BA13">
        <v>2682387</v>
      </c>
      <c r="BB13">
        <v>103032</v>
      </c>
      <c r="BC13">
        <v>2627001</v>
      </c>
      <c r="BD13">
        <v>100270</v>
      </c>
      <c r="BE13">
        <v>129985</v>
      </c>
      <c r="BF13" t="s">
        <v>73</v>
      </c>
      <c r="BG13" t="s">
        <v>73</v>
      </c>
      <c r="BH13" t="s">
        <v>73</v>
      </c>
      <c r="BI13" t="s">
        <v>73</v>
      </c>
      <c r="BJ13" t="s">
        <v>73</v>
      </c>
      <c r="BK13">
        <v>28611</v>
      </c>
      <c r="BL13">
        <v>2647</v>
      </c>
      <c r="BM13">
        <v>194037</v>
      </c>
      <c r="BN13">
        <v>20939</v>
      </c>
      <c r="BO13">
        <v>51940</v>
      </c>
    </row>
    <row r="14" spans="1:67" x14ac:dyDescent="0.4">
      <c r="A14" s="1" t="s">
        <v>16</v>
      </c>
      <c r="B14" s="1" t="s">
        <v>17</v>
      </c>
      <c r="C14">
        <v>241110</v>
      </c>
      <c r="D14">
        <v>3887</v>
      </c>
      <c r="E14">
        <v>478815</v>
      </c>
      <c r="F14">
        <v>7324</v>
      </c>
      <c r="G14">
        <v>432137</v>
      </c>
      <c r="H14">
        <v>54536</v>
      </c>
      <c r="I14">
        <v>3268</v>
      </c>
      <c r="J14">
        <v>66867</v>
      </c>
      <c r="K14">
        <v>4195</v>
      </c>
      <c r="L14">
        <v>31322</v>
      </c>
      <c r="M14">
        <v>61421</v>
      </c>
      <c r="N14">
        <v>15921</v>
      </c>
      <c r="O14">
        <v>209776</v>
      </c>
      <c r="P14">
        <v>31504</v>
      </c>
      <c r="Q14">
        <v>196889</v>
      </c>
      <c r="R14">
        <v>57479</v>
      </c>
      <c r="S14">
        <v>4475</v>
      </c>
      <c r="T14">
        <v>58157</v>
      </c>
      <c r="U14">
        <v>4794</v>
      </c>
      <c r="V14">
        <v>35217</v>
      </c>
      <c r="W14">
        <v>437993</v>
      </c>
      <c r="X14">
        <v>7075</v>
      </c>
      <c r="Y14">
        <v>508525</v>
      </c>
      <c r="Z14">
        <v>10154</v>
      </c>
      <c r="AA14">
        <v>384981</v>
      </c>
      <c r="AB14">
        <v>8107</v>
      </c>
      <c r="AC14">
        <v>2316</v>
      </c>
      <c r="AD14">
        <v>8770</v>
      </c>
      <c r="AE14">
        <v>2641</v>
      </c>
      <c r="AF14">
        <v>6435</v>
      </c>
      <c r="AG14">
        <v>54867</v>
      </c>
      <c r="AH14">
        <v>10628</v>
      </c>
      <c r="AI14">
        <v>64361</v>
      </c>
      <c r="AJ14">
        <v>16962</v>
      </c>
      <c r="AK14">
        <v>54685</v>
      </c>
      <c r="AL14">
        <v>10177</v>
      </c>
      <c r="AM14">
        <v>601</v>
      </c>
      <c r="AN14">
        <v>11272</v>
      </c>
      <c r="AO14">
        <v>632</v>
      </c>
      <c r="AP14">
        <v>22081</v>
      </c>
      <c r="AQ14">
        <v>45935</v>
      </c>
      <c r="AR14">
        <v>7901</v>
      </c>
      <c r="AS14">
        <v>264875</v>
      </c>
      <c r="AT14">
        <v>23028</v>
      </c>
      <c r="AU14">
        <v>209057</v>
      </c>
      <c r="AV14">
        <v>155581</v>
      </c>
      <c r="AW14">
        <v>4072</v>
      </c>
      <c r="AX14">
        <v>316118</v>
      </c>
      <c r="AY14">
        <v>6796</v>
      </c>
      <c r="AZ14">
        <v>230672</v>
      </c>
      <c r="BA14">
        <v>216755</v>
      </c>
      <c r="BB14">
        <v>7519</v>
      </c>
      <c r="BC14">
        <v>207567</v>
      </c>
      <c r="BD14">
        <v>7452</v>
      </c>
      <c r="BE14">
        <v>252731</v>
      </c>
      <c r="BF14" t="s">
        <v>73</v>
      </c>
      <c r="BG14" t="s">
        <v>73</v>
      </c>
      <c r="BH14" t="s">
        <v>73</v>
      </c>
      <c r="BI14" t="s">
        <v>73</v>
      </c>
      <c r="BJ14" t="s">
        <v>73</v>
      </c>
      <c r="BK14">
        <v>1803</v>
      </c>
      <c r="BL14">
        <v>214</v>
      </c>
      <c r="BM14">
        <v>15361</v>
      </c>
      <c r="BN14">
        <v>1789</v>
      </c>
      <c r="BO14">
        <v>78328</v>
      </c>
    </row>
    <row r="15" spans="1:67" x14ac:dyDescent="0.4">
      <c r="A15" s="1" t="s">
        <v>18</v>
      </c>
      <c r="B15" s="1" t="s">
        <v>19</v>
      </c>
      <c r="C15">
        <v>261583</v>
      </c>
      <c r="D15">
        <v>4364</v>
      </c>
      <c r="E15">
        <v>420763</v>
      </c>
      <c r="F15">
        <v>6795</v>
      </c>
      <c r="G15">
        <v>419971</v>
      </c>
      <c r="H15">
        <v>50594</v>
      </c>
      <c r="I15">
        <v>3050</v>
      </c>
      <c r="J15">
        <v>59365</v>
      </c>
      <c r="K15">
        <v>3546</v>
      </c>
      <c r="L15">
        <v>33381</v>
      </c>
      <c r="M15">
        <v>83766</v>
      </c>
      <c r="N15">
        <v>20342</v>
      </c>
      <c r="O15">
        <v>139610</v>
      </c>
      <c r="P15">
        <v>21032</v>
      </c>
      <c r="Q15">
        <v>239072</v>
      </c>
      <c r="R15">
        <v>53568</v>
      </c>
      <c r="S15">
        <v>4662</v>
      </c>
      <c r="T15">
        <v>52367</v>
      </c>
      <c r="U15">
        <v>4358</v>
      </c>
      <c r="V15">
        <v>36361</v>
      </c>
      <c r="W15">
        <v>438372</v>
      </c>
      <c r="X15">
        <v>7056</v>
      </c>
      <c r="Y15">
        <v>480656</v>
      </c>
      <c r="Z15">
        <v>9686</v>
      </c>
      <c r="AA15">
        <v>379844</v>
      </c>
      <c r="AB15">
        <v>7197</v>
      </c>
      <c r="AC15">
        <v>2052</v>
      </c>
      <c r="AD15">
        <v>6880</v>
      </c>
      <c r="AE15">
        <v>2091</v>
      </c>
      <c r="AF15">
        <v>6747</v>
      </c>
      <c r="AG15">
        <v>52484</v>
      </c>
      <c r="AH15">
        <v>10965</v>
      </c>
      <c r="AI15">
        <v>51890</v>
      </c>
      <c r="AJ15">
        <v>13920</v>
      </c>
      <c r="AK15">
        <v>55048</v>
      </c>
      <c r="AL15">
        <v>11594</v>
      </c>
      <c r="AM15">
        <v>720</v>
      </c>
      <c r="AN15">
        <v>13335</v>
      </c>
      <c r="AO15">
        <v>727</v>
      </c>
      <c r="AP15">
        <v>20340</v>
      </c>
      <c r="AQ15">
        <v>54106</v>
      </c>
      <c r="AR15">
        <v>10592</v>
      </c>
      <c r="AS15">
        <v>202669</v>
      </c>
      <c r="AT15">
        <v>18334</v>
      </c>
      <c r="AU15">
        <v>229748</v>
      </c>
      <c r="AV15">
        <v>174830</v>
      </c>
      <c r="AW15">
        <v>4242</v>
      </c>
      <c r="AX15">
        <v>249914</v>
      </c>
      <c r="AY15">
        <v>5360</v>
      </c>
      <c r="AZ15">
        <v>270342</v>
      </c>
      <c r="BA15">
        <v>220200</v>
      </c>
      <c r="BB15">
        <v>7879</v>
      </c>
      <c r="BC15">
        <v>210968</v>
      </c>
      <c r="BD15">
        <v>7800</v>
      </c>
      <c r="BE15">
        <v>254072</v>
      </c>
      <c r="BF15" t="s">
        <v>73</v>
      </c>
      <c r="BG15" t="s">
        <v>73</v>
      </c>
      <c r="BH15" t="s">
        <v>73</v>
      </c>
      <c r="BI15" t="s">
        <v>73</v>
      </c>
      <c r="BJ15" t="s">
        <v>73</v>
      </c>
      <c r="BK15">
        <v>2419</v>
      </c>
      <c r="BL15">
        <v>193</v>
      </c>
      <c r="BM15">
        <v>15779</v>
      </c>
      <c r="BN15">
        <v>1604</v>
      </c>
      <c r="BO15">
        <v>75673</v>
      </c>
    </row>
    <row r="16" spans="1:67" x14ac:dyDescent="0.4">
      <c r="A16" s="1" t="s">
        <v>20</v>
      </c>
      <c r="B16" s="1" t="s">
        <v>21</v>
      </c>
      <c r="C16">
        <v>196586</v>
      </c>
      <c r="D16">
        <v>3587</v>
      </c>
      <c r="E16">
        <v>305515</v>
      </c>
      <c r="F16">
        <v>4948</v>
      </c>
      <c r="G16">
        <v>433385</v>
      </c>
      <c r="H16">
        <v>44870</v>
      </c>
      <c r="I16">
        <v>2704</v>
      </c>
      <c r="J16">
        <v>51466</v>
      </c>
      <c r="K16">
        <v>3176</v>
      </c>
      <c r="L16">
        <v>41776</v>
      </c>
      <c r="M16">
        <v>80756</v>
      </c>
      <c r="N16">
        <v>19077</v>
      </c>
      <c r="O16">
        <v>142626</v>
      </c>
      <c r="P16">
        <v>20012</v>
      </c>
      <c r="Q16">
        <v>260549</v>
      </c>
      <c r="R16">
        <v>49839</v>
      </c>
      <c r="S16">
        <v>4340</v>
      </c>
      <c r="T16">
        <v>47086</v>
      </c>
      <c r="U16">
        <v>4041</v>
      </c>
      <c r="V16">
        <v>39063</v>
      </c>
      <c r="W16">
        <v>415591</v>
      </c>
      <c r="X16">
        <v>7173</v>
      </c>
      <c r="Y16">
        <v>447088</v>
      </c>
      <c r="Z16">
        <v>9196</v>
      </c>
      <c r="AA16">
        <v>387215</v>
      </c>
      <c r="AB16">
        <v>6427</v>
      </c>
      <c r="AC16">
        <v>1857</v>
      </c>
      <c r="AD16">
        <v>6434</v>
      </c>
      <c r="AE16">
        <v>1842</v>
      </c>
      <c r="AF16">
        <v>6740</v>
      </c>
      <c r="AG16">
        <v>50565</v>
      </c>
      <c r="AH16">
        <v>11043</v>
      </c>
      <c r="AI16">
        <v>50435</v>
      </c>
      <c r="AJ16">
        <v>13641</v>
      </c>
      <c r="AK16">
        <v>54937</v>
      </c>
      <c r="AL16">
        <v>11220</v>
      </c>
      <c r="AM16">
        <v>683</v>
      </c>
      <c r="AN16">
        <v>12090</v>
      </c>
      <c r="AO16">
        <v>672</v>
      </c>
      <c r="AP16">
        <v>19470</v>
      </c>
      <c r="AQ16">
        <v>45060</v>
      </c>
      <c r="AR16">
        <v>8851</v>
      </c>
      <c r="AS16">
        <v>188917</v>
      </c>
      <c r="AT16">
        <v>17939</v>
      </c>
      <c r="AU16">
        <v>226604</v>
      </c>
      <c r="AV16">
        <v>164064</v>
      </c>
      <c r="AW16">
        <v>3953</v>
      </c>
      <c r="AX16">
        <v>221324</v>
      </c>
      <c r="AY16">
        <v>4584</v>
      </c>
      <c r="AZ16">
        <v>335023</v>
      </c>
      <c r="BA16">
        <v>215231</v>
      </c>
      <c r="BB16">
        <v>7457</v>
      </c>
      <c r="BC16">
        <v>202918</v>
      </c>
      <c r="BD16">
        <v>7288</v>
      </c>
      <c r="BE16">
        <v>263127</v>
      </c>
      <c r="BF16" t="s">
        <v>73</v>
      </c>
      <c r="BG16" t="s">
        <v>73</v>
      </c>
      <c r="BH16" t="s">
        <v>73</v>
      </c>
      <c r="BI16" t="s">
        <v>73</v>
      </c>
      <c r="BJ16" t="s">
        <v>73</v>
      </c>
      <c r="BK16">
        <v>1875</v>
      </c>
      <c r="BL16">
        <v>175</v>
      </c>
      <c r="BM16">
        <v>15802</v>
      </c>
      <c r="BN16">
        <v>1630</v>
      </c>
      <c r="BO16">
        <v>74973</v>
      </c>
    </row>
    <row r="17" spans="1:67" x14ac:dyDescent="0.4">
      <c r="A17" s="1" t="s">
        <v>22</v>
      </c>
      <c r="B17" s="1" t="s">
        <v>23</v>
      </c>
      <c r="C17">
        <v>252684</v>
      </c>
      <c r="D17">
        <v>4329</v>
      </c>
      <c r="E17">
        <v>397023</v>
      </c>
      <c r="F17">
        <v>7794</v>
      </c>
      <c r="G17">
        <v>467292</v>
      </c>
      <c r="H17">
        <v>49388</v>
      </c>
      <c r="I17">
        <v>2993</v>
      </c>
      <c r="J17">
        <v>63723</v>
      </c>
      <c r="K17">
        <v>4129</v>
      </c>
      <c r="L17">
        <v>40438</v>
      </c>
      <c r="M17">
        <v>83708</v>
      </c>
      <c r="N17">
        <v>20087</v>
      </c>
      <c r="O17">
        <v>199457</v>
      </c>
      <c r="P17">
        <v>33072</v>
      </c>
      <c r="Q17">
        <v>246468</v>
      </c>
      <c r="R17">
        <v>54134</v>
      </c>
      <c r="S17">
        <v>4699</v>
      </c>
      <c r="T17">
        <v>50170</v>
      </c>
      <c r="U17">
        <v>4380</v>
      </c>
      <c r="V17">
        <v>42997</v>
      </c>
      <c r="W17">
        <v>425419</v>
      </c>
      <c r="X17">
        <v>7532</v>
      </c>
      <c r="Y17">
        <v>454406</v>
      </c>
      <c r="Z17">
        <v>9479</v>
      </c>
      <c r="AA17">
        <v>404995</v>
      </c>
      <c r="AB17">
        <v>6531</v>
      </c>
      <c r="AC17">
        <v>1897</v>
      </c>
      <c r="AD17">
        <v>5729</v>
      </c>
      <c r="AE17">
        <v>1709</v>
      </c>
      <c r="AF17">
        <v>7539</v>
      </c>
      <c r="AG17">
        <v>51532</v>
      </c>
      <c r="AH17">
        <v>10993</v>
      </c>
      <c r="AI17">
        <v>51401</v>
      </c>
      <c r="AJ17">
        <v>12268</v>
      </c>
      <c r="AK17">
        <v>55164</v>
      </c>
      <c r="AL17">
        <v>12629</v>
      </c>
      <c r="AM17">
        <v>797</v>
      </c>
      <c r="AN17">
        <v>12399</v>
      </c>
      <c r="AO17">
        <v>681</v>
      </c>
      <c r="AP17">
        <v>19700</v>
      </c>
      <c r="AQ17">
        <v>51615</v>
      </c>
      <c r="AR17">
        <v>10710</v>
      </c>
      <c r="AS17">
        <v>194723</v>
      </c>
      <c r="AT17">
        <v>17372</v>
      </c>
      <c r="AU17">
        <v>201239</v>
      </c>
      <c r="AV17">
        <v>186306</v>
      </c>
      <c r="AW17">
        <v>4531</v>
      </c>
      <c r="AX17">
        <v>262920</v>
      </c>
      <c r="AY17">
        <v>5582</v>
      </c>
      <c r="AZ17">
        <v>374985</v>
      </c>
      <c r="BA17">
        <v>213817</v>
      </c>
      <c r="BB17">
        <v>7543</v>
      </c>
      <c r="BC17">
        <v>189314</v>
      </c>
      <c r="BD17">
        <v>7112</v>
      </c>
      <c r="BE17">
        <v>275650</v>
      </c>
      <c r="BF17" t="s">
        <v>73</v>
      </c>
      <c r="BG17" t="s">
        <v>73</v>
      </c>
      <c r="BH17" t="s">
        <v>73</v>
      </c>
      <c r="BI17" t="s">
        <v>73</v>
      </c>
      <c r="BJ17" t="s">
        <v>73</v>
      </c>
      <c r="BK17">
        <v>1643</v>
      </c>
      <c r="BL17">
        <v>186</v>
      </c>
      <c r="BM17">
        <v>17060</v>
      </c>
      <c r="BN17">
        <v>2006</v>
      </c>
      <c r="BO17">
        <v>68293</v>
      </c>
    </row>
    <row r="18" spans="1:67" x14ac:dyDescent="0.4">
      <c r="A18" s="1" t="s">
        <v>24</v>
      </c>
      <c r="B18" s="1" t="s">
        <v>25</v>
      </c>
      <c r="C18">
        <v>266793</v>
      </c>
      <c r="D18">
        <v>4255</v>
      </c>
      <c r="E18">
        <v>343142</v>
      </c>
      <c r="F18">
        <v>5384</v>
      </c>
      <c r="G18">
        <v>561550</v>
      </c>
      <c r="H18">
        <v>51066</v>
      </c>
      <c r="I18">
        <v>3055</v>
      </c>
      <c r="J18">
        <v>64428</v>
      </c>
      <c r="K18">
        <v>4093</v>
      </c>
      <c r="L18">
        <v>36622</v>
      </c>
      <c r="M18">
        <v>90676</v>
      </c>
      <c r="N18">
        <v>22720</v>
      </c>
      <c r="O18">
        <v>239855</v>
      </c>
      <c r="P18">
        <v>37105</v>
      </c>
      <c r="Q18">
        <v>201492</v>
      </c>
      <c r="R18">
        <v>56016</v>
      </c>
      <c r="S18">
        <v>4982</v>
      </c>
      <c r="T18">
        <v>56836</v>
      </c>
      <c r="U18">
        <v>5058</v>
      </c>
      <c r="V18">
        <v>42101</v>
      </c>
      <c r="W18">
        <v>467959</v>
      </c>
      <c r="X18">
        <v>8268</v>
      </c>
      <c r="Y18">
        <v>512550</v>
      </c>
      <c r="Z18">
        <v>10663</v>
      </c>
      <c r="AA18">
        <v>407106</v>
      </c>
      <c r="AB18">
        <v>5864</v>
      </c>
      <c r="AC18">
        <v>1775</v>
      </c>
      <c r="AD18">
        <v>6268</v>
      </c>
      <c r="AE18">
        <v>1902</v>
      </c>
      <c r="AF18">
        <v>7130</v>
      </c>
      <c r="AG18">
        <v>55690</v>
      </c>
      <c r="AH18">
        <v>11480</v>
      </c>
      <c r="AI18">
        <v>53625</v>
      </c>
      <c r="AJ18">
        <v>12979</v>
      </c>
      <c r="AK18">
        <v>57250</v>
      </c>
      <c r="AL18">
        <v>12468</v>
      </c>
      <c r="AM18">
        <v>775</v>
      </c>
      <c r="AN18">
        <v>14819</v>
      </c>
      <c r="AO18">
        <v>815</v>
      </c>
      <c r="AP18">
        <v>17349</v>
      </c>
      <c r="AQ18">
        <v>53827</v>
      </c>
      <c r="AR18">
        <v>11598</v>
      </c>
      <c r="AS18">
        <v>216824</v>
      </c>
      <c r="AT18">
        <v>20760</v>
      </c>
      <c r="AU18">
        <v>190859</v>
      </c>
      <c r="AV18">
        <v>192179</v>
      </c>
      <c r="AW18">
        <v>4844</v>
      </c>
      <c r="AX18">
        <v>302696</v>
      </c>
      <c r="AY18">
        <v>6375</v>
      </c>
      <c r="AZ18">
        <v>387029</v>
      </c>
      <c r="BA18">
        <v>215394</v>
      </c>
      <c r="BB18">
        <v>7973</v>
      </c>
      <c r="BC18">
        <v>228174</v>
      </c>
      <c r="BD18">
        <v>8438</v>
      </c>
      <c r="BE18">
        <v>262397</v>
      </c>
      <c r="BF18" t="s">
        <v>73</v>
      </c>
      <c r="BG18" t="s">
        <v>73</v>
      </c>
      <c r="BH18" t="s">
        <v>73</v>
      </c>
      <c r="BI18" t="s">
        <v>73</v>
      </c>
      <c r="BJ18" t="s">
        <v>73</v>
      </c>
      <c r="BK18">
        <v>3238</v>
      </c>
      <c r="BL18">
        <v>253</v>
      </c>
      <c r="BM18">
        <v>17179</v>
      </c>
      <c r="BN18">
        <v>1727</v>
      </c>
      <c r="BO18">
        <v>66227</v>
      </c>
    </row>
    <row r="19" spans="1:67" x14ac:dyDescent="0.4">
      <c r="A19" s="1" t="s">
        <v>26</v>
      </c>
      <c r="B19" s="1" t="s">
        <v>27</v>
      </c>
      <c r="C19">
        <v>207452</v>
      </c>
      <c r="D19">
        <v>3291</v>
      </c>
      <c r="E19">
        <v>387210</v>
      </c>
      <c r="F19">
        <v>6688</v>
      </c>
      <c r="G19">
        <v>526315</v>
      </c>
      <c r="H19">
        <v>40253</v>
      </c>
      <c r="I19">
        <v>2476</v>
      </c>
      <c r="J19">
        <v>52774</v>
      </c>
      <c r="K19">
        <v>3449</v>
      </c>
      <c r="L19">
        <v>33891</v>
      </c>
      <c r="M19">
        <v>64122</v>
      </c>
      <c r="N19">
        <v>15522</v>
      </c>
      <c r="O19">
        <v>182656</v>
      </c>
      <c r="P19">
        <v>28767</v>
      </c>
      <c r="Q19">
        <v>177245</v>
      </c>
      <c r="R19">
        <v>42950</v>
      </c>
      <c r="S19">
        <v>3872</v>
      </c>
      <c r="T19">
        <v>46922</v>
      </c>
      <c r="U19">
        <v>4128</v>
      </c>
      <c r="V19">
        <v>37928</v>
      </c>
      <c r="W19">
        <v>371982</v>
      </c>
      <c r="X19">
        <v>6722</v>
      </c>
      <c r="Y19">
        <v>422796</v>
      </c>
      <c r="Z19">
        <v>8544</v>
      </c>
      <c r="AA19">
        <v>400216</v>
      </c>
      <c r="AB19">
        <v>4373</v>
      </c>
      <c r="AC19">
        <v>1247</v>
      </c>
      <c r="AD19">
        <v>4624</v>
      </c>
      <c r="AE19">
        <v>1418</v>
      </c>
      <c r="AF19">
        <v>6875</v>
      </c>
      <c r="AG19">
        <v>45047</v>
      </c>
      <c r="AH19">
        <v>8871</v>
      </c>
      <c r="AI19">
        <v>47789</v>
      </c>
      <c r="AJ19">
        <v>11432</v>
      </c>
      <c r="AK19">
        <v>54461</v>
      </c>
      <c r="AL19">
        <v>9544</v>
      </c>
      <c r="AM19">
        <v>602</v>
      </c>
      <c r="AN19">
        <v>11959</v>
      </c>
      <c r="AO19">
        <v>671</v>
      </c>
      <c r="AP19">
        <v>14934</v>
      </c>
      <c r="AQ19">
        <v>44139</v>
      </c>
      <c r="AR19">
        <v>9325</v>
      </c>
      <c r="AS19">
        <v>186792</v>
      </c>
      <c r="AT19">
        <v>17128</v>
      </c>
      <c r="AU19">
        <v>181750</v>
      </c>
      <c r="AV19">
        <v>147936</v>
      </c>
      <c r="AW19">
        <v>3697</v>
      </c>
      <c r="AX19">
        <v>292985</v>
      </c>
      <c r="AY19">
        <v>6373</v>
      </c>
      <c r="AZ19">
        <v>361436</v>
      </c>
      <c r="BA19">
        <v>138541</v>
      </c>
      <c r="BB19">
        <v>5746</v>
      </c>
      <c r="BC19">
        <v>193264</v>
      </c>
      <c r="BD19">
        <v>7179</v>
      </c>
      <c r="BE19">
        <v>204999</v>
      </c>
      <c r="BF19" t="s">
        <v>73</v>
      </c>
      <c r="BG19" t="s">
        <v>73</v>
      </c>
      <c r="BH19" t="s">
        <v>73</v>
      </c>
      <c r="BI19" t="s">
        <v>73</v>
      </c>
      <c r="BJ19" t="s">
        <v>73</v>
      </c>
      <c r="BK19">
        <v>1939</v>
      </c>
      <c r="BL19">
        <v>226</v>
      </c>
      <c r="BM19">
        <v>13665</v>
      </c>
      <c r="BN19">
        <v>1534</v>
      </c>
      <c r="BO19">
        <v>79447</v>
      </c>
    </row>
    <row r="20" spans="1:67" x14ac:dyDescent="0.4">
      <c r="A20" s="1" t="s">
        <v>28</v>
      </c>
      <c r="B20" s="1" t="s">
        <v>29</v>
      </c>
      <c r="C20">
        <v>243089</v>
      </c>
      <c r="D20">
        <v>3876</v>
      </c>
      <c r="E20">
        <v>404236</v>
      </c>
      <c r="F20">
        <v>6926</v>
      </c>
      <c r="G20">
        <v>515458</v>
      </c>
      <c r="H20">
        <v>45535</v>
      </c>
      <c r="I20">
        <v>2772</v>
      </c>
      <c r="J20">
        <v>56306</v>
      </c>
      <c r="K20">
        <v>3610</v>
      </c>
      <c r="L20">
        <v>31080</v>
      </c>
      <c r="M20">
        <v>73944</v>
      </c>
      <c r="N20">
        <v>17726</v>
      </c>
      <c r="O20">
        <v>175998</v>
      </c>
      <c r="P20">
        <v>28669</v>
      </c>
      <c r="Q20">
        <v>155805</v>
      </c>
      <c r="R20">
        <v>59591</v>
      </c>
      <c r="S20">
        <v>5594</v>
      </c>
      <c r="T20">
        <v>59864</v>
      </c>
      <c r="U20">
        <v>5522</v>
      </c>
      <c r="V20">
        <v>37317</v>
      </c>
      <c r="W20">
        <v>444258</v>
      </c>
      <c r="X20">
        <v>7888</v>
      </c>
      <c r="Y20">
        <v>472240</v>
      </c>
      <c r="Z20">
        <v>10029</v>
      </c>
      <c r="AA20">
        <v>415651</v>
      </c>
      <c r="AB20">
        <v>6345</v>
      </c>
      <c r="AC20">
        <v>1979</v>
      </c>
      <c r="AD20">
        <v>5709</v>
      </c>
      <c r="AE20">
        <v>1736</v>
      </c>
      <c r="AF20">
        <v>7511</v>
      </c>
      <c r="AG20">
        <v>56417</v>
      </c>
      <c r="AH20">
        <v>11326</v>
      </c>
      <c r="AI20">
        <v>57153</v>
      </c>
      <c r="AJ20">
        <v>13773</v>
      </c>
      <c r="AK20">
        <v>53635</v>
      </c>
      <c r="AL20">
        <v>11168</v>
      </c>
      <c r="AM20">
        <v>677</v>
      </c>
      <c r="AN20">
        <v>11657</v>
      </c>
      <c r="AO20">
        <v>622</v>
      </c>
      <c r="AP20">
        <v>13927</v>
      </c>
      <c r="AQ20">
        <v>46462</v>
      </c>
      <c r="AR20">
        <v>9411</v>
      </c>
      <c r="AS20">
        <v>202869</v>
      </c>
      <c r="AT20">
        <v>21648</v>
      </c>
      <c r="AU20">
        <v>155789</v>
      </c>
      <c r="AV20">
        <v>162410</v>
      </c>
      <c r="AW20">
        <v>4278</v>
      </c>
      <c r="AX20">
        <v>280088</v>
      </c>
      <c r="AY20">
        <v>6060</v>
      </c>
      <c r="AZ20">
        <v>345408</v>
      </c>
      <c r="BA20">
        <v>201918</v>
      </c>
      <c r="BB20">
        <v>7938</v>
      </c>
      <c r="BC20">
        <v>215814</v>
      </c>
      <c r="BD20">
        <v>8150</v>
      </c>
      <c r="BE20">
        <v>186685</v>
      </c>
      <c r="BF20" t="s">
        <v>73</v>
      </c>
      <c r="BG20" t="s">
        <v>73</v>
      </c>
      <c r="BH20" t="s">
        <v>73</v>
      </c>
      <c r="BI20" t="s">
        <v>73</v>
      </c>
      <c r="BJ20" t="s">
        <v>73</v>
      </c>
      <c r="BK20">
        <v>2751</v>
      </c>
      <c r="BL20">
        <v>224</v>
      </c>
      <c r="BM20">
        <v>28307</v>
      </c>
      <c r="BN20">
        <v>3306</v>
      </c>
      <c r="BO20">
        <v>69808</v>
      </c>
    </row>
    <row r="21" spans="1:67" x14ac:dyDescent="0.4">
      <c r="A21" s="1" t="s">
        <v>30</v>
      </c>
      <c r="B21" s="1" t="s">
        <v>31</v>
      </c>
      <c r="C21">
        <v>221640</v>
      </c>
      <c r="D21">
        <v>3614</v>
      </c>
      <c r="E21">
        <v>367376</v>
      </c>
      <c r="F21">
        <v>6000</v>
      </c>
      <c r="G21">
        <v>516348</v>
      </c>
      <c r="H21">
        <v>53133</v>
      </c>
      <c r="I21">
        <v>3244</v>
      </c>
      <c r="J21">
        <v>61459</v>
      </c>
      <c r="K21">
        <v>3990</v>
      </c>
      <c r="L21">
        <v>32791</v>
      </c>
      <c r="M21">
        <v>83007</v>
      </c>
      <c r="N21">
        <v>19749</v>
      </c>
      <c r="O21">
        <v>149867</v>
      </c>
      <c r="P21">
        <v>22733</v>
      </c>
      <c r="Q21">
        <v>188539</v>
      </c>
      <c r="R21">
        <v>61707</v>
      </c>
      <c r="S21">
        <v>5726</v>
      </c>
      <c r="T21">
        <v>60352</v>
      </c>
      <c r="U21">
        <v>5449</v>
      </c>
      <c r="V21">
        <v>38511</v>
      </c>
      <c r="W21">
        <v>500886</v>
      </c>
      <c r="X21">
        <v>8794</v>
      </c>
      <c r="Y21">
        <v>550067</v>
      </c>
      <c r="Z21">
        <v>11449</v>
      </c>
      <c r="AA21">
        <v>418982</v>
      </c>
      <c r="AB21">
        <v>6855</v>
      </c>
      <c r="AC21">
        <v>2178</v>
      </c>
      <c r="AD21">
        <v>7592</v>
      </c>
      <c r="AE21">
        <v>2302</v>
      </c>
      <c r="AF21">
        <v>6767</v>
      </c>
      <c r="AG21">
        <v>69816</v>
      </c>
      <c r="AH21">
        <v>14112</v>
      </c>
      <c r="AI21">
        <v>58313</v>
      </c>
      <c r="AJ21">
        <v>14153</v>
      </c>
      <c r="AK21">
        <v>64936</v>
      </c>
      <c r="AL21">
        <v>11841</v>
      </c>
      <c r="AM21">
        <v>699</v>
      </c>
      <c r="AN21">
        <v>10665</v>
      </c>
      <c r="AO21">
        <v>562</v>
      </c>
      <c r="AP21">
        <v>15103</v>
      </c>
      <c r="AQ21">
        <v>46677</v>
      </c>
      <c r="AR21">
        <v>9106</v>
      </c>
      <c r="AS21">
        <v>174880</v>
      </c>
      <c r="AT21">
        <v>15370</v>
      </c>
      <c r="AU21">
        <v>173124</v>
      </c>
      <c r="AV21">
        <v>224876</v>
      </c>
      <c r="AW21">
        <v>5595</v>
      </c>
      <c r="AX21">
        <v>235231</v>
      </c>
      <c r="AY21">
        <v>5293</v>
      </c>
      <c r="AZ21">
        <v>427573</v>
      </c>
      <c r="BA21">
        <v>230118</v>
      </c>
      <c r="BB21">
        <v>9314</v>
      </c>
      <c r="BC21">
        <v>242337</v>
      </c>
      <c r="BD21">
        <v>9342</v>
      </c>
      <c r="BE21">
        <v>170021</v>
      </c>
      <c r="BF21" t="s">
        <v>73</v>
      </c>
      <c r="BG21" t="s">
        <v>73</v>
      </c>
      <c r="BH21" t="s">
        <v>73</v>
      </c>
      <c r="BI21" t="s">
        <v>73</v>
      </c>
      <c r="BJ21" t="s">
        <v>73</v>
      </c>
      <c r="BK21">
        <v>3436</v>
      </c>
      <c r="BL21">
        <v>271</v>
      </c>
      <c r="BM21">
        <v>19403</v>
      </c>
      <c r="BN21">
        <v>1970</v>
      </c>
      <c r="BO21">
        <v>74708</v>
      </c>
    </row>
    <row r="22" spans="1:67" x14ac:dyDescent="0.4">
      <c r="A22" s="1" t="s">
        <v>32</v>
      </c>
      <c r="B22" s="1" t="s">
        <v>33</v>
      </c>
      <c r="C22">
        <v>231126</v>
      </c>
      <c r="D22">
        <v>3803</v>
      </c>
      <c r="E22">
        <v>351301</v>
      </c>
      <c r="F22">
        <v>5650</v>
      </c>
      <c r="G22">
        <v>501189</v>
      </c>
      <c r="H22">
        <v>51810</v>
      </c>
      <c r="I22">
        <v>3152</v>
      </c>
      <c r="J22">
        <v>62039</v>
      </c>
      <c r="K22">
        <v>4086</v>
      </c>
      <c r="L22">
        <v>34303</v>
      </c>
      <c r="M22">
        <v>80970</v>
      </c>
      <c r="N22">
        <v>20126</v>
      </c>
      <c r="O22">
        <v>152485</v>
      </c>
      <c r="P22">
        <v>24243</v>
      </c>
      <c r="Q22">
        <v>206226</v>
      </c>
      <c r="R22">
        <v>59470</v>
      </c>
      <c r="S22">
        <v>5479</v>
      </c>
      <c r="T22">
        <v>58553</v>
      </c>
      <c r="U22">
        <v>5374</v>
      </c>
      <c r="V22">
        <v>39354</v>
      </c>
      <c r="W22">
        <v>489787</v>
      </c>
      <c r="X22">
        <v>8376</v>
      </c>
      <c r="Y22">
        <v>532394</v>
      </c>
      <c r="Z22">
        <v>11428</v>
      </c>
      <c r="AA22">
        <v>420855</v>
      </c>
      <c r="AB22">
        <v>8108</v>
      </c>
      <c r="AC22">
        <v>2650</v>
      </c>
      <c r="AD22">
        <v>7698</v>
      </c>
      <c r="AE22">
        <v>2444</v>
      </c>
      <c r="AF22">
        <v>7172</v>
      </c>
      <c r="AG22">
        <v>62253</v>
      </c>
      <c r="AH22">
        <v>11541</v>
      </c>
      <c r="AI22">
        <v>59952</v>
      </c>
      <c r="AJ22">
        <v>14353</v>
      </c>
      <c r="AK22">
        <v>67334</v>
      </c>
      <c r="AL22">
        <v>11410</v>
      </c>
      <c r="AM22">
        <v>678</v>
      </c>
      <c r="AN22">
        <v>9890</v>
      </c>
      <c r="AO22">
        <v>527</v>
      </c>
      <c r="AP22">
        <v>16623</v>
      </c>
      <c r="AQ22">
        <v>52909</v>
      </c>
      <c r="AR22">
        <v>10665</v>
      </c>
      <c r="AS22">
        <v>208798</v>
      </c>
      <c r="AT22">
        <v>19093</v>
      </c>
      <c r="AU22">
        <v>198842</v>
      </c>
      <c r="AV22">
        <v>218828</v>
      </c>
      <c r="AW22">
        <v>5540</v>
      </c>
      <c r="AX22">
        <v>321030</v>
      </c>
      <c r="AY22">
        <v>7090</v>
      </c>
      <c r="AZ22">
        <v>467491</v>
      </c>
      <c r="BA22">
        <v>216860</v>
      </c>
      <c r="BB22">
        <v>8606</v>
      </c>
      <c r="BC22">
        <v>234641</v>
      </c>
      <c r="BD22">
        <v>8823</v>
      </c>
      <c r="BE22">
        <v>148263</v>
      </c>
      <c r="BF22" t="s">
        <v>73</v>
      </c>
      <c r="BG22" t="s">
        <v>73</v>
      </c>
      <c r="BH22" t="s">
        <v>73</v>
      </c>
      <c r="BI22" t="s">
        <v>73</v>
      </c>
      <c r="BJ22" t="s">
        <v>73</v>
      </c>
      <c r="BK22">
        <v>2824</v>
      </c>
      <c r="BL22">
        <v>259</v>
      </c>
      <c r="BM22">
        <v>17881</v>
      </c>
      <c r="BN22">
        <v>1816</v>
      </c>
      <c r="BO22">
        <v>76103</v>
      </c>
    </row>
    <row r="23" spans="1:67" x14ac:dyDescent="0.4">
      <c r="A23" s="1" t="s">
        <v>34</v>
      </c>
      <c r="B23" s="1" t="s">
        <v>35</v>
      </c>
      <c r="C23">
        <v>250090</v>
      </c>
      <c r="D23">
        <v>4041</v>
      </c>
      <c r="E23">
        <v>463312</v>
      </c>
      <c r="F23">
        <v>7983</v>
      </c>
      <c r="G23">
        <v>414593</v>
      </c>
      <c r="H23">
        <v>48372</v>
      </c>
      <c r="I23">
        <v>3080</v>
      </c>
      <c r="J23">
        <v>65432</v>
      </c>
      <c r="K23">
        <v>4406</v>
      </c>
      <c r="L23">
        <v>29282</v>
      </c>
      <c r="M23">
        <v>79896</v>
      </c>
      <c r="N23">
        <v>19430</v>
      </c>
      <c r="O23">
        <v>191395</v>
      </c>
      <c r="P23">
        <v>30693</v>
      </c>
      <c r="Q23">
        <v>181054</v>
      </c>
      <c r="R23">
        <v>61769</v>
      </c>
      <c r="S23">
        <v>5582</v>
      </c>
      <c r="T23">
        <v>62564</v>
      </c>
      <c r="U23">
        <v>5643</v>
      </c>
      <c r="V23">
        <v>38463</v>
      </c>
      <c r="W23">
        <v>474091</v>
      </c>
      <c r="X23">
        <v>8187</v>
      </c>
      <c r="Y23">
        <v>604850</v>
      </c>
      <c r="Z23">
        <v>12545</v>
      </c>
      <c r="AA23">
        <v>327316</v>
      </c>
      <c r="AB23">
        <v>7224</v>
      </c>
      <c r="AC23">
        <v>2156</v>
      </c>
      <c r="AD23">
        <v>9670</v>
      </c>
      <c r="AE23">
        <v>3089</v>
      </c>
      <c r="AF23">
        <v>4722</v>
      </c>
      <c r="AG23">
        <v>56828</v>
      </c>
      <c r="AH23">
        <v>11822</v>
      </c>
      <c r="AI23">
        <v>61543</v>
      </c>
      <c r="AJ23">
        <v>14443</v>
      </c>
      <c r="AK23">
        <v>62657</v>
      </c>
      <c r="AL23">
        <v>11491</v>
      </c>
      <c r="AM23">
        <v>669</v>
      </c>
      <c r="AN23">
        <v>13324</v>
      </c>
      <c r="AO23">
        <v>695</v>
      </c>
      <c r="AP23">
        <v>14790</v>
      </c>
      <c r="AQ23">
        <v>50883</v>
      </c>
      <c r="AR23">
        <v>9041</v>
      </c>
      <c r="AS23">
        <v>262608</v>
      </c>
      <c r="AT23">
        <v>23567</v>
      </c>
      <c r="AU23">
        <v>180319</v>
      </c>
      <c r="AV23">
        <v>199118</v>
      </c>
      <c r="AW23">
        <v>4556</v>
      </c>
      <c r="AX23">
        <v>391895</v>
      </c>
      <c r="AY23">
        <v>8682</v>
      </c>
      <c r="AZ23">
        <v>392418</v>
      </c>
      <c r="BA23">
        <v>217281</v>
      </c>
      <c r="BB23">
        <v>8566</v>
      </c>
      <c r="BC23">
        <v>228824</v>
      </c>
      <c r="BD23">
        <v>8724</v>
      </c>
      <c r="BE23">
        <v>132106</v>
      </c>
      <c r="BF23" t="s">
        <v>73</v>
      </c>
      <c r="BG23" t="s">
        <v>73</v>
      </c>
      <c r="BH23" t="s">
        <v>73</v>
      </c>
      <c r="BI23" t="s">
        <v>73</v>
      </c>
      <c r="BJ23" t="s">
        <v>73</v>
      </c>
      <c r="BK23">
        <v>3186</v>
      </c>
      <c r="BL23">
        <v>265</v>
      </c>
      <c r="BM23">
        <v>28853</v>
      </c>
      <c r="BN23">
        <v>2782</v>
      </c>
      <c r="BO23">
        <v>68899</v>
      </c>
    </row>
    <row r="24" spans="1:67" x14ac:dyDescent="0.4">
      <c r="A24" s="1" t="s">
        <v>36</v>
      </c>
      <c r="B24" s="1" t="s">
        <v>37</v>
      </c>
      <c r="C24">
        <v>198547</v>
      </c>
      <c r="D24">
        <v>3219</v>
      </c>
      <c r="E24">
        <v>343338</v>
      </c>
      <c r="F24">
        <v>5468</v>
      </c>
      <c r="G24">
        <v>395301</v>
      </c>
      <c r="H24">
        <v>46560</v>
      </c>
      <c r="I24">
        <v>3013</v>
      </c>
      <c r="J24">
        <v>59633</v>
      </c>
      <c r="K24">
        <v>4020</v>
      </c>
      <c r="L24">
        <v>25345</v>
      </c>
      <c r="M24">
        <v>79507</v>
      </c>
      <c r="N24">
        <v>21444</v>
      </c>
      <c r="O24">
        <v>110430</v>
      </c>
      <c r="P24">
        <v>20237</v>
      </c>
      <c r="Q24">
        <v>168961</v>
      </c>
      <c r="R24">
        <v>57890</v>
      </c>
      <c r="S24">
        <v>5330</v>
      </c>
      <c r="T24">
        <v>54209</v>
      </c>
      <c r="U24">
        <v>4905</v>
      </c>
      <c r="V24">
        <v>42106</v>
      </c>
      <c r="W24">
        <v>454254</v>
      </c>
      <c r="X24">
        <v>7933</v>
      </c>
      <c r="Y24">
        <v>440313</v>
      </c>
      <c r="Z24">
        <v>9870</v>
      </c>
      <c r="AA24">
        <v>384085</v>
      </c>
      <c r="AB24">
        <v>7520</v>
      </c>
      <c r="AC24">
        <v>2477</v>
      </c>
      <c r="AD24">
        <v>7839</v>
      </c>
      <c r="AE24">
        <v>2578</v>
      </c>
      <c r="AF24">
        <v>4393</v>
      </c>
      <c r="AG24">
        <v>56400</v>
      </c>
      <c r="AH24">
        <v>11175</v>
      </c>
      <c r="AI24">
        <v>58296</v>
      </c>
      <c r="AJ24">
        <v>14021</v>
      </c>
      <c r="AK24">
        <v>60773</v>
      </c>
      <c r="AL24">
        <v>10876</v>
      </c>
      <c r="AM24">
        <v>635</v>
      </c>
      <c r="AN24">
        <v>10951</v>
      </c>
      <c r="AO24">
        <v>583</v>
      </c>
      <c r="AP24">
        <v>14715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>
        <v>180902</v>
      </c>
      <c r="AW24">
        <v>3878</v>
      </c>
      <c r="AX24">
        <v>240317</v>
      </c>
      <c r="AY24">
        <v>4952</v>
      </c>
      <c r="AZ24">
        <v>404887</v>
      </c>
      <c r="BA24">
        <v>218095</v>
      </c>
      <c r="BB24">
        <v>8332</v>
      </c>
      <c r="BC24">
        <v>224689</v>
      </c>
      <c r="BD24">
        <v>8232</v>
      </c>
      <c r="BE24">
        <v>120612</v>
      </c>
      <c r="BF24" t="s">
        <v>73</v>
      </c>
      <c r="BG24" t="s">
        <v>73</v>
      </c>
      <c r="BH24" t="s">
        <v>73</v>
      </c>
      <c r="BI24" t="s">
        <v>73</v>
      </c>
      <c r="BJ24" t="s">
        <v>73</v>
      </c>
      <c r="BK24">
        <v>2686</v>
      </c>
      <c r="BL24">
        <v>231</v>
      </c>
      <c r="BM24">
        <v>17704</v>
      </c>
      <c r="BN24">
        <v>1768</v>
      </c>
      <c r="BO24">
        <v>72818</v>
      </c>
    </row>
    <row r="25" spans="1:67" x14ac:dyDescent="0.4">
      <c r="A25" s="1" t="s">
        <v>38</v>
      </c>
      <c r="B25" s="1" t="s">
        <v>39</v>
      </c>
      <c r="C25">
        <v>248434</v>
      </c>
      <c r="D25">
        <v>4059</v>
      </c>
      <c r="E25">
        <v>360517</v>
      </c>
      <c r="F25">
        <v>5350</v>
      </c>
      <c r="G25">
        <v>389788</v>
      </c>
      <c r="H25">
        <v>49263</v>
      </c>
      <c r="I25">
        <v>3169</v>
      </c>
      <c r="J25">
        <v>60112</v>
      </c>
      <c r="K25">
        <v>4026</v>
      </c>
      <c r="L25">
        <v>27107</v>
      </c>
      <c r="M25">
        <v>61790</v>
      </c>
      <c r="N25">
        <v>15441</v>
      </c>
      <c r="O25">
        <v>123065</v>
      </c>
      <c r="P25">
        <v>21327</v>
      </c>
      <c r="Q25">
        <v>196359</v>
      </c>
      <c r="R25">
        <v>56349</v>
      </c>
      <c r="S25">
        <v>5166</v>
      </c>
      <c r="T25">
        <v>54451</v>
      </c>
      <c r="U25">
        <v>4908</v>
      </c>
      <c r="V25">
        <v>43959</v>
      </c>
      <c r="W25">
        <v>448265</v>
      </c>
      <c r="X25">
        <v>7823</v>
      </c>
      <c r="Y25">
        <v>461042</v>
      </c>
      <c r="Z25">
        <v>10015</v>
      </c>
      <c r="AA25">
        <v>412270</v>
      </c>
      <c r="AB25">
        <v>7754</v>
      </c>
      <c r="AC25">
        <v>2426</v>
      </c>
      <c r="AD25">
        <v>7426</v>
      </c>
      <c r="AE25">
        <v>2377</v>
      </c>
      <c r="AF25">
        <v>4712</v>
      </c>
      <c r="AG25">
        <v>61871</v>
      </c>
      <c r="AH25">
        <v>11957</v>
      </c>
      <c r="AI25">
        <v>57094</v>
      </c>
      <c r="AJ25">
        <v>13301</v>
      </c>
      <c r="AK25">
        <v>65562</v>
      </c>
      <c r="AL25">
        <v>9675</v>
      </c>
      <c r="AM25">
        <v>557</v>
      </c>
      <c r="AN25">
        <v>10115</v>
      </c>
      <c r="AO25">
        <v>543</v>
      </c>
      <c r="AP25">
        <v>14275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>
        <v>159692</v>
      </c>
      <c r="AW25">
        <v>3530</v>
      </c>
      <c r="AX25">
        <v>253337</v>
      </c>
      <c r="AY25">
        <v>5396</v>
      </c>
      <c r="AZ25">
        <v>368218</v>
      </c>
      <c r="BA25">
        <v>221068</v>
      </c>
      <c r="BB25">
        <v>8493</v>
      </c>
      <c r="BC25">
        <v>229191</v>
      </c>
      <c r="BD25">
        <v>8532</v>
      </c>
      <c r="BE25">
        <v>107201</v>
      </c>
      <c r="BF25" t="s">
        <v>73</v>
      </c>
      <c r="BG25" t="s">
        <v>73</v>
      </c>
      <c r="BH25" t="s">
        <v>73</v>
      </c>
      <c r="BI25" t="s">
        <v>73</v>
      </c>
      <c r="BJ25" t="s">
        <v>73</v>
      </c>
      <c r="BK25">
        <v>2729</v>
      </c>
      <c r="BL25">
        <v>256</v>
      </c>
      <c r="BM25">
        <v>13785</v>
      </c>
      <c r="BN25">
        <v>1257</v>
      </c>
      <c r="BO25">
        <v>69511</v>
      </c>
    </row>
    <row r="26" spans="1:67" x14ac:dyDescent="0.4">
      <c r="A26" s="1" t="s">
        <v>40</v>
      </c>
      <c r="B26" s="1" t="s">
        <v>41</v>
      </c>
      <c r="C26">
        <v>238283</v>
      </c>
      <c r="D26">
        <v>3828</v>
      </c>
      <c r="E26">
        <v>390187</v>
      </c>
      <c r="F26">
        <v>5664</v>
      </c>
      <c r="G26">
        <v>375821</v>
      </c>
      <c r="H26">
        <v>54477</v>
      </c>
      <c r="I26">
        <v>3349</v>
      </c>
      <c r="J26">
        <v>65354</v>
      </c>
      <c r="K26">
        <v>4485</v>
      </c>
      <c r="L26">
        <v>29675</v>
      </c>
      <c r="M26">
        <v>55180</v>
      </c>
      <c r="N26">
        <v>13595</v>
      </c>
      <c r="O26">
        <v>162652</v>
      </c>
      <c r="P26">
        <v>25763</v>
      </c>
      <c r="Q26">
        <v>139451</v>
      </c>
      <c r="R26">
        <v>58010</v>
      </c>
      <c r="S26">
        <v>5272</v>
      </c>
      <c r="T26">
        <v>61326</v>
      </c>
      <c r="U26">
        <v>5503</v>
      </c>
      <c r="V26">
        <v>40577</v>
      </c>
      <c r="W26">
        <v>452376</v>
      </c>
      <c r="X26">
        <v>8070</v>
      </c>
      <c r="Y26">
        <v>538971</v>
      </c>
      <c r="Z26">
        <v>10917</v>
      </c>
      <c r="AA26">
        <v>375074</v>
      </c>
      <c r="AB26">
        <v>7634</v>
      </c>
      <c r="AC26">
        <v>2491</v>
      </c>
      <c r="AD26">
        <v>7308</v>
      </c>
      <c r="AE26">
        <v>2346</v>
      </c>
      <c r="AF26">
        <v>5029</v>
      </c>
      <c r="AG26">
        <v>63068</v>
      </c>
      <c r="AH26">
        <v>12301</v>
      </c>
      <c r="AI26">
        <v>66320</v>
      </c>
      <c r="AJ26">
        <v>15986</v>
      </c>
      <c r="AK26">
        <v>62340</v>
      </c>
      <c r="AL26">
        <v>10755</v>
      </c>
      <c r="AM26">
        <v>607</v>
      </c>
      <c r="AN26">
        <v>10566</v>
      </c>
      <c r="AO26">
        <v>558</v>
      </c>
      <c r="AP26">
        <v>14464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>
        <v>173295</v>
      </c>
      <c r="AW26">
        <v>4054</v>
      </c>
      <c r="AX26">
        <v>311487</v>
      </c>
      <c r="AY26">
        <v>6464</v>
      </c>
      <c r="AZ26">
        <v>296334</v>
      </c>
      <c r="BA26">
        <v>215157</v>
      </c>
      <c r="BB26">
        <v>8101</v>
      </c>
      <c r="BC26">
        <v>209625</v>
      </c>
      <c r="BD26">
        <v>7826</v>
      </c>
      <c r="BE26">
        <v>106281</v>
      </c>
      <c r="BF26" t="s">
        <v>73</v>
      </c>
      <c r="BG26" t="s">
        <v>73</v>
      </c>
      <c r="BH26" t="s">
        <v>73</v>
      </c>
      <c r="BI26" t="s">
        <v>73</v>
      </c>
      <c r="BJ26" t="s">
        <v>73</v>
      </c>
      <c r="BK26">
        <v>2893</v>
      </c>
      <c r="BL26">
        <v>266</v>
      </c>
      <c r="BM26">
        <v>14981</v>
      </c>
      <c r="BN26">
        <v>1967</v>
      </c>
      <c r="BO26">
        <v>66669</v>
      </c>
    </row>
    <row r="27" spans="1:67" x14ac:dyDescent="0.4">
      <c r="A27" s="1" t="s">
        <v>42</v>
      </c>
      <c r="B27" s="1" t="s">
        <v>43</v>
      </c>
      <c r="C27">
        <v>256659</v>
      </c>
      <c r="D27">
        <v>4105</v>
      </c>
      <c r="E27">
        <v>385599</v>
      </c>
      <c r="F27">
        <v>5792</v>
      </c>
      <c r="G27">
        <v>360187</v>
      </c>
      <c r="H27">
        <v>51047</v>
      </c>
      <c r="I27">
        <v>3217</v>
      </c>
      <c r="J27">
        <v>65631</v>
      </c>
      <c r="K27">
        <v>4238</v>
      </c>
      <c r="L27">
        <v>25538</v>
      </c>
      <c r="M27">
        <v>67160</v>
      </c>
      <c r="N27">
        <v>16356</v>
      </c>
      <c r="O27">
        <v>108762</v>
      </c>
      <c r="P27">
        <v>18390</v>
      </c>
      <c r="Q27">
        <v>157591</v>
      </c>
      <c r="R27">
        <v>55897</v>
      </c>
      <c r="S27">
        <v>5207</v>
      </c>
      <c r="T27">
        <v>54118</v>
      </c>
      <c r="U27">
        <v>4912</v>
      </c>
      <c r="V27">
        <v>42325</v>
      </c>
      <c r="W27">
        <v>425536</v>
      </c>
      <c r="X27">
        <v>7546</v>
      </c>
      <c r="Y27">
        <v>447456</v>
      </c>
      <c r="Z27">
        <v>10078</v>
      </c>
      <c r="AA27">
        <v>387145</v>
      </c>
      <c r="AB27">
        <v>7825</v>
      </c>
      <c r="AC27">
        <v>2646</v>
      </c>
      <c r="AD27">
        <v>6655</v>
      </c>
      <c r="AE27">
        <v>2192</v>
      </c>
      <c r="AF27">
        <v>6190</v>
      </c>
      <c r="AG27">
        <v>58111</v>
      </c>
      <c r="AH27">
        <v>11972</v>
      </c>
      <c r="AI27">
        <v>50733</v>
      </c>
      <c r="AJ27">
        <v>11952</v>
      </c>
      <c r="AK27">
        <v>69602</v>
      </c>
      <c r="AL27">
        <v>12109</v>
      </c>
      <c r="AM27">
        <v>722</v>
      </c>
      <c r="AN27">
        <v>11883</v>
      </c>
      <c r="AO27">
        <v>621</v>
      </c>
      <c r="AP27">
        <v>14690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>
        <v>169866</v>
      </c>
      <c r="AW27">
        <v>4079</v>
      </c>
      <c r="AX27">
        <v>242763</v>
      </c>
      <c r="AY27">
        <v>5152</v>
      </c>
      <c r="AZ27">
        <v>320155</v>
      </c>
      <c r="BA27">
        <v>227351</v>
      </c>
      <c r="BB27">
        <v>8515</v>
      </c>
      <c r="BC27">
        <v>221641</v>
      </c>
      <c r="BD27">
        <v>8277</v>
      </c>
      <c r="BE27">
        <v>107907</v>
      </c>
      <c r="BF27" t="s">
        <v>73</v>
      </c>
      <c r="BG27" t="s">
        <v>73</v>
      </c>
      <c r="BH27" t="s">
        <v>73</v>
      </c>
      <c r="BI27" t="s">
        <v>73</v>
      </c>
      <c r="BJ27" t="s">
        <v>73</v>
      </c>
      <c r="BK27">
        <v>3576</v>
      </c>
      <c r="BL27">
        <v>282</v>
      </c>
      <c r="BM27">
        <v>16095</v>
      </c>
      <c r="BN27">
        <v>1619</v>
      </c>
      <c r="BO27">
        <v>69942</v>
      </c>
    </row>
    <row r="28" spans="1:67" x14ac:dyDescent="0.4">
      <c r="A28" s="1" t="s">
        <v>44</v>
      </c>
      <c r="B28" s="1" t="s">
        <v>45</v>
      </c>
      <c r="C28">
        <v>196130</v>
      </c>
      <c r="D28">
        <v>3352</v>
      </c>
      <c r="E28">
        <v>305195</v>
      </c>
      <c r="F28">
        <v>4596</v>
      </c>
      <c r="G28">
        <v>351374</v>
      </c>
      <c r="H28">
        <v>47656</v>
      </c>
      <c r="I28">
        <v>3070</v>
      </c>
      <c r="J28">
        <v>57200</v>
      </c>
      <c r="K28">
        <v>3894</v>
      </c>
      <c r="L28">
        <v>27738</v>
      </c>
      <c r="M28">
        <v>69015</v>
      </c>
      <c r="N28">
        <v>15893</v>
      </c>
      <c r="O28">
        <v>104944</v>
      </c>
      <c r="P28">
        <v>17132</v>
      </c>
      <c r="Q28">
        <v>169936</v>
      </c>
      <c r="R28">
        <v>51250</v>
      </c>
      <c r="S28">
        <v>4962</v>
      </c>
      <c r="T28">
        <v>48624</v>
      </c>
      <c r="U28">
        <v>4780</v>
      </c>
      <c r="V28">
        <v>44914</v>
      </c>
      <c r="W28">
        <v>393008</v>
      </c>
      <c r="X28">
        <v>7105</v>
      </c>
      <c r="Y28">
        <v>417290</v>
      </c>
      <c r="Z28">
        <v>9409</v>
      </c>
      <c r="AA28">
        <v>410412</v>
      </c>
      <c r="AB28">
        <v>6255</v>
      </c>
      <c r="AC28">
        <v>1984</v>
      </c>
      <c r="AD28">
        <v>6122</v>
      </c>
      <c r="AE28">
        <v>1963</v>
      </c>
      <c r="AF28">
        <v>6313</v>
      </c>
      <c r="AG28">
        <v>48606</v>
      </c>
      <c r="AH28">
        <v>9880</v>
      </c>
      <c r="AI28">
        <v>47885</v>
      </c>
      <c r="AJ28">
        <v>11466</v>
      </c>
      <c r="AK28">
        <v>70246</v>
      </c>
      <c r="AL28">
        <v>11076</v>
      </c>
      <c r="AM28">
        <v>646</v>
      </c>
      <c r="AN28">
        <v>10443</v>
      </c>
      <c r="AO28">
        <v>546</v>
      </c>
      <c r="AP28">
        <v>15323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>
        <v>154420</v>
      </c>
      <c r="AW28">
        <v>3726</v>
      </c>
      <c r="AX28">
        <v>191533</v>
      </c>
      <c r="AY28">
        <v>4142</v>
      </c>
      <c r="AZ28">
        <v>369610</v>
      </c>
      <c r="BA28">
        <v>215027</v>
      </c>
      <c r="BB28">
        <v>8010</v>
      </c>
      <c r="BC28">
        <v>211983</v>
      </c>
      <c r="BD28">
        <v>7787</v>
      </c>
      <c r="BE28">
        <v>106742</v>
      </c>
      <c r="BF28" t="s">
        <v>73</v>
      </c>
      <c r="BG28" t="s">
        <v>73</v>
      </c>
      <c r="BH28" t="s">
        <v>73</v>
      </c>
      <c r="BI28" t="s">
        <v>73</v>
      </c>
      <c r="BJ28" t="s">
        <v>73</v>
      </c>
      <c r="BK28">
        <v>1931</v>
      </c>
      <c r="BL28">
        <v>191</v>
      </c>
      <c r="BM28">
        <v>14027</v>
      </c>
      <c r="BN28">
        <v>1364</v>
      </c>
      <c r="BO28">
        <v>77587</v>
      </c>
    </row>
    <row r="29" spans="1:67" x14ac:dyDescent="0.4">
      <c r="A29" s="1" t="s">
        <v>46</v>
      </c>
      <c r="B29" s="1" t="s">
        <v>47</v>
      </c>
      <c r="C29">
        <v>260422</v>
      </c>
      <c r="D29">
        <v>4320</v>
      </c>
      <c r="E29">
        <v>366637</v>
      </c>
      <c r="F29">
        <v>7006</v>
      </c>
      <c r="G29">
        <v>353686</v>
      </c>
      <c r="H29">
        <v>51292</v>
      </c>
      <c r="I29">
        <v>3191</v>
      </c>
      <c r="J29">
        <v>60257</v>
      </c>
      <c r="K29">
        <v>4047</v>
      </c>
      <c r="L29">
        <v>32747</v>
      </c>
      <c r="M29">
        <v>86342</v>
      </c>
      <c r="N29">
        <v>20733</v>
      </c>
      <c r="O29">
        <v>153064</v>
      </c>
      <c r="P29">
        <v>27202</v>
      </c>
      <c r="Q29">
        <v>163415</v>
      </c>
      <c r="R29">
        <v>57834</v>
      </c>
      <c r="S29">
        <v>5717</v>
      </c>
      <c r="T29">
        <v>50257</v>
      </c>
      <c r="U29">
        <v>4810</v>
      </c>
      <c r="V29">
        <v>52383</v>
      </c>
      <c r="W29">
        <v>432625</v>
      </c>
      <c r="X29">
        <v>8168</v>
      </c>
      <c r="Y29">
        <v>462483</v>
      </c>
      <c r="Z29">
        <v>10474</v>
      </c>
      <c r="AA29">
        <v>430526</v>
      </c>
      <c r="AB29">
        <v>6153</v>
      </c>
      <c r="AC29">
        <v>1879</v>
      </c>
      <c r="AD29">
        <v>5608</v>
      </c>
      <c r="AE29">
        <v>1814</v>
      </c>
      <c r="AF29">
        <v>6842</v>
      </c>
      <c r="AG29">
        <v>53928</v>
      </c>
      <c r="AH29">
        <v>10936</v>
      </c>
      <c r="AI29">
        <v>51484</v>
      </c>
      <c r="AJ29">
        <v>12407</v>
      </c>
      <c r="AK29">
        <v>72899</v>
      </c>
      <c r="AL29">
        <v>12748</v>
      </c>
      <c r="AM29">
        <v>748</v>
      </c>
      <c r="AN29">
        <v>12225</v>
      </c>
      <c r="AO29">
        <v>649</v>
      </c>
      <c r="AP29">
        <v>15846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>
        <v>184414</v>
      </c>
      <c r="AW29">
        <v>4374</v>
      </c>
      <c r="AX29">
        <v>245651</v>
      </c>
      <c r="AY29">
        <v>5015</v>
      </c>
      <c r="AZ29">
        <v>392461</v>
      </c>
      <c r="BA29">
        <v>229131</v>
      </c>
      <c r="BB29">
        <v>8679</v>
      </c>
      <c r="BC29">
        <v>219235</v>
      </c>
      <c r="BD29">
        <v>8280</v>
      </c>
      <c r="BE29">
        <v>113018</v>
      </c>
      <c r="BF29" t="s">
        <v>73</v>
      </c>
      <c r="BG29" t="s">
        <v>73</v>
      </c>
      <c r="BH29" t="s">
        <v>73</v>
      </c>
      <c r="BI29" t="s">
        <v>73</v>
      </c>
      <c r="BJ29" t="s">
        <v>73</v>
      </c>
      <c r="BK29">
        <v>3085</v>
      </c>
      <c r="BL29">
        <v>317</v>
      </c>
      <c r="BM29">
        <v>18033</v>
      </c>
      <c r="BN29">
        <v>2039</v>
      </c>
      <c r="BO29">
        <v>69156</v>
      </c>
    </row>
    <row r="30" spans="1:67" x14ac:dyDescent="0.4">
      <c r="A30" s="1" t="s">
        <v>48</v>
      </c>
      <c r="B30" s="1" t="s">
        <v>49</v>
      </c>
      <c r="C30">
        <v>249272</v>
      </c>
      <c r="D30">
        <v>3795</v>
      </c>
      <c r="E30">
        <v>292668</v>
      </c>
      <c r="F30">
        <v>4353</v>
      </c>
      <c r="G30">
        <v>412847</v>
      </c>
      <c r="H30">
        <v>56065</v>
      </c>
      <c r="I30">
        <v>3556</v>
      </c>
      <c r="J30">
        <v>65016</v>
      </c>
      <c r="K30">
        <v>4399</v>
      </c>
      <c r="L30">
        <v>34525</v>
      </c>
      <c r="M30">
        <v>85599</v>
      </c>
      <c r="N30">
        <v>20332</v>
      </c>
      <c r="O30">
        <v>152674</v>
      </c>
      <c r="P30">
        <v>24444</v>
      </c>
      <c r="Q30">
        <v>158754</v>
      </c>
      <c r="R30">
        <v>56742</v>
      </c>
      <c r="S30">
        <v>5374</v>
      </c>
      <c r="T30">
        <v>54363</v>
      </c>
      <c r="U30">
        <v>5032</v>
      </c>
      <c r="V30">
        <v>54738</v>
      </c>
      <c r="W30">
        <v>475449</v>
      </c>
      <c r="X30">
        <v>8717</v>
      </c>
      <c r="Y30">
        <v>499885</v>
      </c>
      <c r="Z30">
        <v>11165</v>
      </c>
      <c r="AA30">
        <v>451167</v>
      </c>
      <c r="AB30">
        <v>5500</v>
      </c>
      <c r="AC30">
        <v>1646</v>
      </c>
      <c r="AD30">
        <v>5594</v>
      </c>
      <c r="AE30">
        <v>1866</v>
      </c>
      <c r="AF30">
        <v>6787</v>
      </c>
      <c r="AG30">
        <v>55260</v>
      </c>
      <c r="AH30">
        <v>11546</v>
      </c>
      <c r="AI30">
        <v>51115</v>
      </c>
      <c r="AJ30">
        <v>12575</v>
      </c>
      <c r="AK30">
        <v>77020</v>
      </c>
      <c r="AL30">
        <v>13872</v>
      </c>
      <c r="AM30">
        <v>812</v>
      </c>
      <c r="AN30">
        <v>15455</v>
      </c>
      <c r="AO30">
        <v>807</v>
      </c>
      <c r="AP30">
        <v>14263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>
        <v>179323</v>
      </c>
      <c r="AW30">
        <v>4159</v>
      </c>
      <c r="AX30">
        <v>271055</v>
      </c>
      <c r="AY30">
        <v>5679</v>
      </c>
      <c r="AZ30">
        <v>382398</v>
      </c>
      <c r="BA30">
        <v>240489</v>
      </c>
      <c r="BB30">
        <v>9396</v>
      </c>
      <c r="BC30">
        <v>235296</v>
      </c>
      <c r="BD30">
        <v>9190</v>
      </c>
      <c r="BE30">
        <v>112505</v>
      </c>
      <c r="BF30" t="s">
        <v>73</v>
      </c>
      <c r="BG30" t="s">
        <v>73</v>
      </c>
      <c r="BH30" t="s">
        <v>73</v>
      </c>
      <c r="BI30" t="s">
        <v>73</v>
      </c>
      <c r="BJ30" t="s">
        <v>73</v>
      </c>
      <c r="BK30">
        <v>2785</v>
      </c>
      <c r="BL30">
        <v>260</v>
      </c>
      <c r="BM30">
        <v>11262</v>
      </c>
      <c r="BN30">
        <v>1352</v>
      </c>
      <c r="BO30">
        <v>67193</v>
      </c>
    </row>
    <row r="31" spans="1:67" x14ac:dyDescent="0.4">
      <c r="A31" s="1" t="s">
        <v>50</v>
      </c>
      <c r="B31" s="1" t="s">
        <v>51</v>
      </c>
      <c r="C31">
        <v>211434</v>
      </c>
      <c r="D31">
        <v>3283</v>
      </c>
      <c r="E31">
        <v>320393</v>
      </c>
      <c r="F31">
        <v>4910</v>
      </c>
      <c r="G31">
        <v>415837</v>
      </c>
      <c r="H31">
        <v>41327</v>
      </c>
      <c r="I31">
        <v>2632</v>
      </c>
      <c r="J31">
        <v>51282</v>
      </c>
      <c r="K31">
        <v>3522</v>
      </c>
      <c r="L31">
        <v>34716</v>
      </c>
      <c r="M31">
        <v>48546</v>
      </c>
      <c r="N31">
        <v>11163</v>
      </c>
      <c r="O31">
        <v>110201</v>
      </c>
      <c r="P31">
        <v>19319</v>
      </c>
      <c r="Q31">
        <v>158930</v>
      </c>
      <c r="R31">
        <v>36031</v>
      </c>
      <c r="S31">
        <v>3532</v>
      </c>
      <c r="T31">
        <v>47499</v>
      </c>
      <c r="U31">
        <v>4343</v>
      </c>
      <c r="V31">
        <v>43238</v>
      </c>
      <c r="W31">
        <v>334261</v>
      </c>
      <c r="X31">
        <v>6377</v>
      </c>
      <c r="Y31">
        <v>387794</v>
      </c>
      <c r="Z31">
        <v>8710</v>
      </c>
      <c r="AA31">
        <v>431036</v>
      </c>
      <c r="AB31">
        <v>4933</v>
      </c>
      <c r="AC31">
        <v>1631</v>
      </c>
      <c r="AD31">
        <v>4581</v>
      </c>
      <c r="AE31">
        <v>1475</v>
      </c>
      <c r="AF31">
        <v>7117</v>
      </c>
      <c r="AG31">
        <v>38908</v>
      </c>
      <c r="AH31">
        <v>7303</v>
      </c>
      <c r="AI31">
        <v>43802</v>
      </c>
      <c r="AJ31">
        <v>10709</v>
      </c>
      <c r="AK31">
        <v>72125</v>
      </c>
      <c r="AL31">
        <v>10220</v>
      </c>
      <c r="AM31">
        <v>583</v>
      </c>
      <c r="AN31">
        <v>12458</v>
      </c>
      <c r="AO31">
        <v>649</v>
      </c>
      <c r="AP31">
        <v>12025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>
        <v>145214</v>
      </c>
      <c r="AW31">
        <v>3354</v>
      </c>
      <c r="AX31">
        <v>228691</v>
      </c>
      <c r="AY31">
        <v>4907</v>
      </c>
      <c r="AZ31">
        <v>368874</v>
      </c>
      <c r="BA31">
        <v>183991</v>
      </c>
      <c r="BB31">
        <v>7111</v>
      </c>
      <c r="BC31">
        <v>180767</v>
      </c>
      <c r="BD31">
        <v>7054</v>
      </c>
      <c r="BE31">
        <v>112628</v>
      </c>
      <c r="BF31" t="s">
        <v>73</v>
      </c>
      <c r="BG31" t="s">
        <v>73</v>
      </c>
      <c r="BH31" t="s">
        <v>73</v>
      </c>
      <c r="BI31" t="s">
        <v>73</v>
      </c>
      <c r="BJ31" t="s">
        <v>73</v>
      </c>
      <c r="BK31">
        <v>1847</v>
      </c>
      <c r="BL31">
        <v>157</v>
      </c>
      <c r="BM31">
        <v>10900</v>
      </c>
      <c r="BN31">
        <v>1245</v>
      </c>
      <c r="BO31">
        <v>64915</v>
      </c>
    </row>
    <row r="32" spans="1:67" x14ac:dyDescent="0.4">
      <c r="A32" s="1" t="s">
        <v>52</v>
      </c>
      <c r="B32" s="1" t="s">
        <v>53</v>
      </c>
      <c r="C32">
        <v>247046</v>
      </c>
      <c r="D32">
        <v>3891</v>
      </c>
      <c r="E32">
        <v>334236</v>
      </c>
      <c r="F32">
        <v>5375</v>
      </c>
      <c r="G32">
        <v>440140</v>
      </c>
      <c r="H32">
        <v>43751</v>
      </c>
      <c r="I32">
        <v>2641</v>
      </c>
      <c r="J32">
        <v>59603</v>
      </c>
      <c r="K32">
        <v>4117</v>
      </c>
      <c r="L32">
        <v>31506</v>
      </c>
      <c r="M32">
        <v>56738</v>
      </c>
      <c r="N32">
        <v>13252</v>
      </c>
      <c r="O32">
        <v>135395</v>
      </c>
      <c r="P32">
        <v>25938</v>
      </c>
      <c r="Q32">
        <v>132154</v>
      </c>
      <c r="R32">
        <v>46933</v>
      </c>
      <c r="S32">
        <v>4564</v>
      </c>
      <c r="T32">
        <v>56229</v>
      </c>
      <c r="U32">
        <v>5325</v>
      </c>
      <c r="V32">
        <v>33914</v>
      </c>
      <c r="W32">
        <v>453444</v>
      </c>
      <c r="X32">
        <v>8448</v>
      </c>
      <c r="Y32">
        <v>480460</v>
      </c>
      <c r="Z32">
        <v>10957</v>
      </c>
      <c r="AA32">
        <v>445532</v>
      </c>
      <c r="AB32">
        <v>6104</v>
      </c>
      <c r="AC32">
        <v>2201</v>
      </c>
      <c r="AD32">
        <v>5889</v>
      </c>
      <c r="AE32">
        <v>2006</v>
      </c>
      <c r="AF32">
        <v>7328</v>
      </c>
      <c r="AG32">
        <v>52449</v>
      </c>
      <c r="AH32">
        <v>10959</v>
      </c>
      <c r="AI32">
        <v>55766</v>
      </c>
      <c r="AJ32">
        <v>13904</v>
      </c>
      <c r="AK32">
        <v>68570</v>
      </c>
      <c r="AL32">
        <v>12715</v>
      </c>
      <c r="AM32">
        <v>740</v>
      </c>
      <c r="AN32">
        <v>13114</v>
      </c>
      <c r="AO32">
        <v>698</v>
      </c>
      <c r="AP32">
        <v>11626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>
        <v>182975</v>
      </c>
      <c r="AW32">
        <v>4183</v>
      </c>
      <c r="AX32">
        <v>248938</v>
      </c>
      <c r="AY32">
        <v>5137</v>
      </c>
      <c r="AZ32">
        <v>369415</v>
      </c>
      <c r="BA32">
        <v>214672</v>
      </c>
      <c r="BB32">
        <v>8543</v>
      </c>
      <c r="BC32">
        <v>208771</v>
      </c>
      <c r="BD32">
        <v>8282</v>
      </c>
      <c r="BE32">
        <v>113819</v>
      </c>
      <c r="BF32" t="s">
        <v>73</v>
      </c>
      <c r="BG32" t="s">
        <v>73</v>
      </c>
      <c r="BH32" t="s">
        <v>73</v>
      </c>
      <c r="BI32" t="s">
        <v>73</v>
      </c>
      <c r="BJ32" t="s">
        <v>73</v>
      </c>
      <c r="BK32">
        <v>2396</v>
      </c>
      <c r="BL32">
        <v>163</v>
      </c>
      <c r="BM32">
        <v>15738</v>
      </c>
      <c r="BN32">
        <v>2048</v>
      </c>
      <c r="BO32">
        <v>61483</v>
      </c>
    </row>
    <row r="33" spans="1:67" x14ac:dyDescent="0.4">
      <c r="A33" s="1" t="s">
        <v>54</v>
      </c>
      <c r="B33" s="1" t="s">
        <v>55</v>
      </c>
      <c r="C33">
        <v>245339</v>
      </c>
      <c r="D33">
        <v>3913</v>
      </c>
      <c r="E33">
        <v>344746</v>
      </c>
      <c r="F33">
        <v>5571</v>
      </c>
      <c r="G33">
        <v>470088</v>
      </c>
      <c r="H33">
        <v>51726</v>
      </c>
      <c r="I33">
        <v>3167</v>
      </c>
      <c r="J33">
        <v>65258</v>
      </c>
      <c r="K33">
        <v>4444</v>
      </c>
      <c r="L33">
        <v>29348</v>
      </c>
      <c r="M33">
        <v>78934</v>
      </c>
      <c r="N33">
        <v>17761</v>
      </c>
      <c r="O33">
        <v>100041</v>
      </c>
      <c r="P33">
        <v>17091</v>
      </c>
      <c r="Q33">
        <v>168084</v>
      </c>
      <c r="R33">
        <v>63223</v>
      </c>
      <c r="S33">
        <v>5926</v>
      </c>
      <c r="T33">
        <v>59211</v>
      </c>
      <c r="U33">
        <v>5253</v>
      </c>
      <c r="V33">
        <v>37836</v>
      </c>
      <c r="W33">
        <v>504625</v>
      </c>
      <c r="X33">
        <v>9240</v>
      </c>
      <c r="Y33">
        <v>522229</v>
      </c>
      <c r="Z33">
        <v>11969</v>
      </c>
      <c r="AA33">
        <v>465034</v>
      </c>
      <c r="AB33">
        <v>6827</v>
      </c>
      <c r="AC33">
        <v>2503</v>
      </c>
      <c r="AD33">
        <v>6840</v>
      </c>
      <c r="AE33">
        <v>2445</v>
      </c>
      <c r="AF33">
        <v>7307</v>
      </c>
      <c r="AG33">
        <v>60410</v>
      </c>
      <c r="AH33">
        <v>12118</v>
      </c>
      <c r="AI33">
        <v>61274</v>
      </c>
      <c r="AJ33">
        <v>15106</v>
      </c>
      <c r="AK33">
        <v>67739</v>
      </c>
      <c r="AL33">
        <v>13669</v>
      </c>
      <c r="AM33">
        <v>776</v>
      </c>
      <c r="AN33">
        <v>11664</v>
      </c>
      <c r="AO33">
        <v>620</v>
      </c>
      <c r="AP33">
        <v>13631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>
        <v>232866</v>
      </c>
      <c r="AW33">
        <v>5434</v>
      </c>
      <c r="AX33">
        <v>236469</v>
      </c>
      <c r="AY33">
        <v>4987</v>
      </c>
      <c r="AZ33">
        <v>450557</v>
      </c>
      <c r="BA33">
        <v>251970</v>
      </c>
      <c r="BB33">
        <v>9926</v>
      </c>
      <c r="BC33">
        <v>238255</v>
      </c>
      <c r="BD33">
        <v>9456</v>
      </c>
      <c r="BE33">
        <v>121788</v>
      </c>
      <c r="BF33" t="s">
        <v>73</v>
      </c>
      <c r="BG33" t="s">
        <v>73</v>
      </c>
      <c r="BH33" t="s">
        <v>73</v>
      </c>
      <c r="BI33" t="s">
        <v>73</v>
      </c>
      <c r="BJ33" t="s">
        <v>73</v>
      </c>
      <c r="BK33">
        <v>1293</v>
      </c>
      <c r="BL33">
        <v>154</v>
      </c>
      <c r="BM33">
        <v>17319</v>
      </c>
      <c r="BN33">
        <v>1578</v>
      </c>
      <c r="BO33">
        <v>59204</v>
      </c>
    </row>
    <row r="34" spans="1:67" x14ac:dyDescent="0.4">
      <c r="A34" s="1" t="s">
        <v>56</v>
      </c>
      <c r="B34" s="1" t="s">
        <v>57</v>
      </c>
      <c r="C34">
        <v>246182</v>
      </c>
      <c r="D34">
        <v>3900</v>
      </c>
      <c r="E34">
        <v>366984</v>
      </c>
      <c r="F34">
        <v>5899</v>
      </c>
      <c r="G34">
        <v>472262</v>
      </c>
      <c r="H34">
        <v>51862</v>
      </c>
      <c r="I34">
        <v>3373</v>
      </c>
      <c r="J34">
        <v>62834</v>
      </c>
      <c r="K34">
        <v>4497</v>
      </c>
      <c r="L34">
        <v>34313</v>
      </c>
      <c r="M34">
        <v>69024</v>
      </c>
      <c r="N34">
        <v>15488</v>
      </c>
      <c r="O34">
        <v>106047</v>
      </c>
      <c r="P34">
        <v>19102</v>
      </c>
      <c r="Q34">
        <v>173610</v>
      </c>
      <c r="R34">
        <v>57239</v>
      </c>
      <c r="S34">
        <v>5081</v>
      </c>
      <c r="T34">
        <v>56512</v>
      </c>
      <c r="U34">
        <v>5088</v>
      </c>
      <c r="V34">
        <v>38527</v>
      </c>
      <c r="W34">
        <v>422224</v>
      </c>
      <c r="X34">
        <v>8020</v>
      </c>
      <c r="Y34">
        <v>465027</v>
      </c>
      <c r="Z34">
        <v>11004</v>
      </c>
      <c r="AA34">
        <v>465146</v>
      </c>
      <c r="AB34">
        <v>6564</v>
      </c>
      <c r="AC34">
        <v>2259</v>
      </c>
      <c r="AD34">
        <v>6793</v>
      </c>
      <c r="AE34">
        <v>2376</v>
      </c>
      <c r="AF34">
        <v>7076</v>
      </c>
      <c r="AG34">
        <v>55635</v>
      </c>
      <c r="AH34">
        <v>11250</v>
      </c>
      <c r="AI34">
        <v>61251</v>
      </c>
      <c r="AJ34">
        <v>14734</v>
      </c>
      <c r="AK34">
        <v>62159</v>
      </c>
      <c r="AL34">
        <v>11133</v>
      </c>
      <c r="AM34">
        <v>641</v>
      </c>
      <c r="AN34">
        <v>11215</v>
      </c>
      <c r="AO34">
        <v>580</v>
      </c>
      <c r="AP34">
        <v>13549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>
        <v>204024</v>
      </c>
      <c r="AW34">
        <v>4748</v>
      </c>
      <c r="AX34">
        <v>312810</v>
      </c>
      <c r="AY34">
        <v>6424</v>
      </c>
      <c r="AZ34">
        <v>444458</v>
      </c>
      <c r="BA34">
        <v>218531</v>
      </c>
      <c r="BB34">
        <v>8520</v>
      </c>
      <c r="BC34">
        <v>209723</v>
      </c>
      <c r="BD34">
        <v>8259</v>
      </c>
      <c r="BE34">
        <v>125792</v>
      </c>
      <c r="BF34" t="s">
        <v>73</v>
      </c>
      <c r="BG34" t="s">
        <v>73</v>
      </c>
      <c r="BH34" t="s">
        <v>73</v>
      </c>
      <c r="BI34" t="s">
        <v>73</v>
      </c>
      <c r="BJ34" t="s">
        <v>73</v>
      </c>
      <c r="BK34">
        <v>1734</v>
      </c>
      <c r="BL34">
        <v>184</v>
      </c>
      <c r="BM34">
        <v>16226</v>
      </c>
      <c r="BN34">
        <v>1878</v>
      </c>
      <c r="BO34">
        <v>63133</v>
      </c>
    </row>
    <row r="35" spans="1:67" x14ac:dyDescent="0.4">
      <c r="A35" s="1" t="s">
        <v>58</v>
      </c>
      <c r="B35" s="1" t="s">
        <v>59</v>
      </c>
      <c r="C35">
        <v>245759</v>
      </c>
      <c r="D35">
        <v>3950</v>
      </c>
      <c r="E35">
        <v>474372</v>
      </c>
      <c r="F35">
        <v>8426</v>
      </c>
      <c r="G35">
        <v>374044</v>
      </c>
      <c r="H35">
        <v>53113</v>
      </c>
      <c r="I35">
        <v>3447</v>
      </c>
      <c r="J35">
        <v>68929</v>
      </c>
      <c r="K35">
        <v>4953</v>
      </c>
      <c r="L35">
        <v>34727</v>
      </c>
      <c r="M35">
        <v>78807</v>
      </c>
      <c r="N35">
        <v>18270</v>
      </c>
      <c r="O35">
        <v>124852</v>
      </c>
      <c r="P35">
        <v>22879</v>
      </c>
      <c r="Q35">
        <v>173115</v>
      </c>
      <c r="R35">
        <v>59496</v>
      </c>
      <c r="S35">
        <v>5004</v>
      </c>
      <c r="T35">
        <v>62713</v>
      </c>
      <c r="U35">
        <v>5655</v>
      </c>
      <c r="V35">
        <v>35273</v>
      </c>
      <c r="W35">
        <v>456386</v>
      </c>
      <c r="X35">
        <v>8792</v>
      </c>
      <c r="Y35">
        <v>506667</v>
      </c>
      <c r="Z35">
        <v>11865</v>
      </c>
      <c r="AA35">
        <v>458516</v>
      </c>
      <c r="AB35">
        <v>7288</v>
      </c>
      <c r="AC35">
        <v>2438</v>
      </c>
      <c r="AD35">
        <v>7412</v>
      </c>
      <c r="AE35">
        <v>2494</v>
      </c>
      <c r="AF35">
        <v>6952</v>
      </c>
      <c r="AG35">
        <v>57230</v>
      </c>
      <c r="AH35">
        <v>11270</v>
      </c>
      <c r="AI35">
        <v>61732</v>
      </c>
      <c r="AJ35">
        <v>14611</v>
      </c>
      <c r="AK35">
        <v>57723</v>
      </c>
      <c r="AL35">
        <v>12417</v>
      </c>
      <c r="AM35">
        <v>727</v>
      </c>
      <c r="AN35">
        <v>14161</v>
      </c>
      <c r="AO35">
        <v>753</v>
      </c>
      <c r="AP35">
        <v>11805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>
        <v>215633</v>
      </c>
      <c r="AW35">
        <v>5052</v>
      </c>
      <c r="AX35">
        <v>366123</v>
      </c>
      <c r="AY35">
        <v>8079</v>
      </c>
      <c r="AZ35">
        <v>381589</v>
      </c>
      <c r="BA35">
        <v>246905</v>
      </c>
      <c r="BB35">
        <v>9406</v>
      </c>
      <c r="BC35">
        <v>237825</v>
      </c>
      <c r="BD35">
        <v>9095</v>
      </c>
      <c r="BE35">
        <v>129985</v>
      </c>
      <c r="BF35" t="s">
        <v>73</v>
      </c>
      <c r="BG35" t="s">
        <v>73</v>
      </c>
      <c r="BH35" t="s">
        <v>73</v>
      </c>
      <c r="BI35" t="s">
        <v>73</v>
      </c>
      <c r="BJ35" t="s">
        <v>73</v>
      </c>
      <c r="BK35">
        <v>1656</v>
      </c>
      <c r="BL35">
        <v>186</v>
      </c>
      <c r="BM35">
        <v>27967</v>
      </c>
      <c r="BN35">
        <v>2824</v>
      </c>
      <c r="BO35">
        <v>51940</v>
      </c>
    </row>
    <row r="36" spans="1:67" x14ac:dyDescent="0.4">
      <c r="A36" s="1" t="s">
        <v>60</v>
      </c>
      <c r="B36" s="1" t="s">
        <v>61</v>
      </c>
      <c r="C36">
        <v>219633</v>
      </c>
      <c r="D36">
        <v>3569</v>
      </c>
      <c r="E36">
        <v>376169</v>
      </c>
      <c r="F36">
        <v>6229</v>
      </c>
      <c r="G36">
        <v>361521</v>
      </c>
      <c r="H36">
        <v>47299</v>
      </c>
      <c r="I36">
        <v>3006</v>
      </c>
      <c r="J36">
        <v>63019</v>
      </c>
      <c r="K36">
        <v>4454</v>
      </c>
      <c r="L36">
        <v>33369</v>
      </c>
      <c r="M36">
        <v>71819</v>
      </c>
      <c r="N36">
        <v>17739</v>
      </c>
      <c r="O36">
        <v>92821</v>
      </c>
      <c r="P36">
        <v>14731</v>
      </c>
      <c r="Q36">
        <v>195893</v>
      </c>
      <c r="R36">
        <v>53424</v>
      </c>
      <c r="S36">
        <v>4857</v>
      </c>
      <c r="T36">
        <v>52571</v>
      </c>
      <c r="U36">
        <v>4639</v>
      </c>
      <c r="V36">
        <v>36084</v>
      </c>
      <c r="W36">
        <v>418428</v>
      </c>
      <c r="X36">
        <v>7997</v>
      </c>
      <c r="Y36">
        <v>452455</v>
      </c>
      <c r="Z36">
        <v>10582</v>
      </c>
      <c r="AA36">
        <v>471072</v>
      </c>
      <c r="AB36">
        <v>7615</v>
      </c>
      <c r="AC36">
        <v>2498</v>
      </c>
      <c r="AD36">
        <v>7759</v>
      </c>
      <c r="AE36">
        <v>2660</v>
      </c>
      <c r="AF36">
        <v>6783</v>
      </c>
      <c r="AG36">
        <v>56569</v>
      </c>
      <c r="AH36">
        <v>10990</v>
      </c>
      <c r="AI36">
        <v>53688</v>
      </c>
      <c r="AJ36">
        <v>13098</v>
      </c>
      <c r="AK36">
        <v>60538</v>
      </c>
      <c r="AL36">
        <v>11921</v>
      </c>
      <c r="AM36">
        <v>722</v>
      </c>
      <c r="AN36">
        <v>11737</v>
      </c>
      <c r="AO36">
        <v>634</v>
      </c>
      <c r="AP36">
        <v>11989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>
        <v>180889</v>
      </c>
      <c r="AW36">
        <v>4067</v>
      </c>
      <c r="AX36">
        <v>227500</v>
      </c>
      <c r="AY36">
        <v>4776</v>
      </c>
      <c r="AZ36">
        <v>400681</v>
      </c>
      <c r="BA36">
        <v>218890</v>
      </c>
      <c r="BB36">
        <v>8381</v>
      </c>
      <c r="BC36">
        <v>214560</v>
      </c>
      <c r="BD36">
        <v>8057</v>
      </c>
      <c r="BE36">
        <v>130150</v>
      </c>
      <c r="BF36" t="s">
        <v>73</v>
      </c>
      <c r="BG36" t="s">
        <v>73</v>
      </c>
      <c r="BH36" t="s">
        <v>73</v>
      </c>
      <c r="BI36" t="s">
        <v>73</v>
      </c>
      <c r="BJ36" t="s">
        <v>73</v>
      </c>
      <c r="BK36">
        <v>1962</v>
      </c>
      <c r="BL36">
        <v>204</v>
      </c>
      <c r="BM36">
        <v>13836</v>
      </c>
      <c r="BN36">
        <v>1612</v>
      </c>
      <c r="BO36">
        <v>53800</v>
      </c>
    </row>
    <row r="37" spans="1:67" x14ac:dyDescent="0.4">
      <c r="A37" s="1" t="s">
        <v>62</v>
      </c>
      <c r="B37" s="1" t="s">
        <v>63</v>
      </c>
      <c r="C37">
        <v>252845</v>
      </c>
      <c r="D37">
        <v>4121</v>
      </c>
      <c r="E37">
        <v>358607</v>
      </c>
      <c r="F37">
        <v>5656</v>
      </c>
      <c r="G37">
        <v>398499</v>
      </c>
      <c r="H37">
        <v>48372</v>
      </c>
      <c r="I37">
        <v>3136</v>
      </c>
      <c r="J37">
        <v>64366</v>
      </c>
      <c r="K37">
        <v>4633</v>
      </c>
      <c r="L37">
        <v>35354</v>
      </c>
      <c r="M37">
        <v>55935</v>
      </c>
      <c r="N37">
        <v>15187</v>
      </c>
      <c r="O37">
        <v>115050</v>
      </c>
      <c r="P37">
        <v>23065</v>
      </c>
      <c r="Q37">
        <v>192780</v>
      </c>
      <c r="R37">
        <v>54365</v>
      </c>
      <c r="S37">
        <v>5350</v>
      </c>
      <c r="T37">
        <v>54142</v>
      </c>
      <c r="U37">
        <v>5297</v>
      </c>
      <c r="V37">
        <v>36278</v>
      </c>
      <c r="W37">
        <v>387357</v>
      </c>
      <c r="X37">
        <v>7460</v>
      </c>
      <c r="Y37">
        <v>449520</v>
      </c>
      <c r="Z37">
        <v>10227</v>
      </c>
      <c r="AA37">
        <v>439261</v>
      </c>
      <c r="AB37">
        <v>7245</v>
      </c>
      <c r="AC37">
        <v>2428</v>
      </c>
      <c r="AD37">
        <v>6959</v>
      </c>
      <c r="AE37">
        <v>2473</v>
      </c>
      <c r="AF37">
        <v>7085</v>
      </c>
      <c r="AG37">
        <v>57157</v>
      </c>
      <c r="AH37">
        <v>11653</v>
      </c>
      <c r="AI37">
        <v>54111</v>
      </c>
      <c r="AJ37">
        <v>12576</v>
      </c>
      <c r="AK37">
        <v>63092</v>
      </c>
      <c r="AL37">
        <v>11360</v>
      </c>
      <c r="AM37">
        <v>735</v>
      </c>
      <c r="AN37">
        <v>12720</v>
      </c>
      <c r="AO37">
        <v>718</v>
      </c>
      <c r="AP37">
        <v>10629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>
        <v>174716</v>
      </c>
      <c r="AW37">
        <v>4122</v>
      </c>
      <c r="AX37">
        <v>254111</v>
      </c>
      <c r="AY37">
        <v>5415</v>
      </c>
      <c r="AZ37">
        <v>371583</v>
      </c>
      <c r="BA37">
        <v>199328</v>
      </c>
      <c r="BB37">
        <v>7559</v>
      </c>
      <c r="BC37">
        <v>210696</v>
      </c>
      <c r="BD37">
        <v>7881</v>
      </c>
      <c r="BE37">
        <v>114217</v>
      </c>
      <c r="BF37" t="s">
        <v>73</v>
      </c>
      <c r="BG37" t="s">
        <v>73</v>
      </c>
      <c r="BH37" t="s">
        <v>73</v>
      </c>
      <c r="BI37" t="s">
        <v>73</v>
      </c>
      <c r="BJ37" t="s">
        <v>73</v>
      </c>
      <c r="BK37">
        <v>2089</v>
      </c>
      <c r="BL37">
        <v>196</v>
      </c>
      <c r="BM37">
        <v>9161</v>
      </c>
      <c r="BN37">
        <v>1083</v>
      </c>
      <c r="BO37">
        <v>58421</v>
      </c>
    </row>
    <row r="38" spans="1:67" x14ac:dyDescent="0.4">
      <c r="A38" s="1" t="s">
        <v>64</v>
      </c>
      <c r="B38" s="1" t="s">
        <v>65</v>
      </c>
      <c r="C38">
        <v>247906</v>
      </c>
      <c r="D38">
        <v>4039</v>
      </c>
      <c r="E38">
        <v>386400</v>
      </c>
      <c r="F38">
        <v>5993</v>
      </c>
      <c r="G38">
        <v>355328</v>
      </c>
      <c r="H38">
        <v>48771</v>
      </c>
      <c r="I38">
        <v>3178</v>
      </c>
      <c r="J38">
        <v>66207</v>
      </c>
      <c r="K38">
        <v>4775</v>
      </c>
      <c r="L38">
        <v>32828</v>
      </c>
      <c r="M38">
        <v>53097</v>
      </c>
      <c r="N38">
        <v>13460</v>
      </c>
      <c r="O38">
        <v>128098</v>
      </c>
      <c r="P38">
        <v>20998</v>
      </c>
      <c r="Q38">
        <v>145962</v>
      </c>
      <c r="R38">
        <v>55032</v>
      </c>
      <c r="S38">
        <v>4792</v>
      </c>
      <c r="T38">
        <v>56343</v>
      </c>
      <c r="U38">
        <v>5211</v>
      </c>
      <c r="V38">
        <v>34908</v>
      </c>
      <c r="W38">
        <v>419543</v>
      </c>
      <c r="X38">
        <v>7930</v>
      </c>
      <c r="Y38">
        <v>494969</v>
      </c>
      <c r="Z38">
        <v>11094</v>
      </c>
      <c r="AA38">
        <v>399325</v>
      </c>
      <c r="AB38">
        <v>7574</v>
      </c>
      <c r="AC38">
        <v>2496</v>
      </c>
      <c r="AD38">
        <v>7644</v>
      </c>
      <c r="AE38">
        <v>2626</v>
      </c>
      <c r="AF38">
        <v>6988</v>
      </c>
      <c r="AG38">
        <v>53721</v>
      </c>
      <c r="AH38">
        <v>10480</v>
      </c>
      <c r="AI38">
        <v>58299</v>
      </c>
      <c r="AJ38">
        <v>14215</v>
      </c>
      <c r="AK38">
        <v>58215</v>
      </c>
      <c r="AL38">
        <v>13251</v>
      </c>
      <c r="AM38">
        <v>838</v>
      </c>
      <c r="AN38">
        <v>11315</v>
      </c>
      <c r="AO38">
        <v>641</v>
      </c>
      <c r="AP38">
        <v>12565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>
        <v>188551</v>
      </c>
      <c r="AW38">
        <v>4416</v>
      </c>
      <c r="AX38">
        <v>314796</v>
      </c>
      <c r="AY38">
        <v>6524</v>
      </c>
      <c r="AZ38">
        <v>282351</v>
      </c>
      <c r="BA38">
        <v>230198</v>
      </c>
      <c r="BB38">
        <v>8781</v>
      </c>
      <c r="BC38">
        <v>226609</v>
      </c>
      <c r="BD38">
        <v>8670</v>
      </c>
      <c r="BE38">
        <v>112874</v>
      </c>
      <c r="BF38" t="s">
        <v>73</v>
      </c>
      <c r="BG38" t="s">
        <v>73</v>
      </c>
      <c r="BH38" t="s">
        <v>73</v>
      </c>
      <c r="BI38" t="s">
        <v>73</v>
      </c>
      <c r="BJ38" t="s">
        <v>73</v>
      </c>
      <c r="BK38">
        <v>1628</v>
      </c>
      <c r="BL38">
        <v>182</v>
      </c>
      <c r="BM38">
        <v>11959</v>
      </c>
      <c r="BN38">
        <v>1773</v>
      </c>
      <c r="BO38">
        <v>53159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39584-4C71-417C-8820-E294B9339FB5}">
  <dimension ref="A1:CI40"/>
  <sheetViews>
    <sheetView workbookViewId="0">
      <selection activeCell="C9" sqref="C9"/>
    </sheetView>
  </sheetViews>
  <sheetFormatPr defaultColWidth="15.625" defaultRowHeight="18.75" x14ac:dyDescent="0.4"/>
  <sheetData>
    <row r="1" spans="1:87" x14ac:dyDescent="0.4">
      <c r="A1" s="1" t="s">
        <v>66</v>
      </c>
      <c r="B1" s="1"/>
    </row>
    <row r="2" spans="1:87" x14ac:dyDescent="0.4">
      <c r="A2" s="4" t="str">
        <f>HYPERLINK("#'目次(Contents)'!A3","目次に戻る(Return to Contents)")</f>
        <v>目次に戻る(Return to Contents)</v>
      </c>
      <c r="B2" s="1"/>
    </row>
    <row r="3" spans="1:87" x14ac:dyDescent="0.4">
      <c r="A3" s="1"/>
      <c r="B3" s="2" t="s">
        <v>0</v>
      </c>
      <c r="C3" t="s">
        <v>1118</v>
      </c>
      <c r="D3" t="s">
        <v>1118</v>
      </c>
      <c r="E3" t="s">
        <v>1118</v>
      </c>
      <c r="F3" t="s">
        <v>1118</v>
      </c>
      <c r="G3" t="s">
        <v>1118</v>
      </c>
      <c r="H3" t="s">
        <v>1120</v>
      </c>
      <c r="I3" t="s">
        <v>1120</v>
      </c>
      <c r="J3" t="s">
        <v>1120</v>
      </c>
      <c r="K3" t="s">
        <v>1120</v>
      </c>
      <c r="L3" t="s">
        <v>1120</v>
      </c>
      <c r="M3" t="s">
        <v>1122</v>
      </c>
      <c r="N3" t="s">
        <v>1122</v>
      </c>
      <c r="O3" t="s">
        <v>1122</v>
      </c>
      <c r="P3" t="s">
        <v>1122</v>
      </c>
      <c r="Q3" t="s">
        <v>1122</v>
      </c>
      <c r="R3" t="s">
        <v>1124</v>
      </c>
      <c r="S3" t="s">
        <v>1124</v>
      </c>
      <c r="T3" t="s">
        <v>1124</v>
      </c>
      <c r="U3" t="s">
        <v>1124</v>
      </c>
      <c r="V3" t="s">
        <v>1124</v>
      </c>
      <c r="W3" t="s">
        <v>1126</v>
      </c>
      <c r="X3" t="s">
        <v>1126</v>
      </c>
      <c r="Y3" t="s">
        <v>1126</v>
      </c>
      <c r="Z3" t="s">
        <v>1126</v>
      </c>
      <c r="AA3" t="s">
        <v>1126</v>
      </c>
      <c r="AB3" t="s">
        <v>1128</v>
      </c>
      <c r="AC3" t="s">
        <v>1128</v>
      </c>
      <c r="AD3" t="s">
        <v>1128</v>
      </c>
      <c r="AE3" t="s">
        <v>1128</v>
      </c>
      <c r="AF3" t="s">
        <v>1128</v>
      </c>
      <c r="AG3" t="s">
        <v>1130</v>
      </c>
      <c r="AH3" t="s">
        <v>1130</v>
      </c>
      <c r="AI3" t="s">
        <v>1130</v>
      </c>
      <c r="AJ3" t="s">
        <v>1130</v>
      </c>
      <c r="AK3" t="s">
        <v>1130</v>
      </c>
      <c r="AL3" t="s">
        <v>1132</v>
      </c>
      <c r="AM3" t="s">
        <v>1132</v>
      </c>
      <c r="AN3" t="s">
        <v>1132</v>
      </c>
      <c r="AO3" t="s">
        <v>1132</v>
      </c>
      <c r="AP3" t="s">
        <v>1132</v>
      </c>
      <c r="AQ3" t="s">
        <v>1134</v>
      </c>
      <c r="AR3" t="s">
        <v>1134</v>
      </c>
      <c r="AS3" t="s">
        <v>1134</v>
      </c>
      <c r="AT3" t="s">
        <v>1134</v>
      </c>
      <c r="AU3" t="s">
        <v>1134</v>
      </c>
      <c r="AV3" t="s">
        <v>1136</v>
      </c>
      <c r="AW3" t="s">
        <v>1136</v>
      </c>
      <c r="AX3" t="s">
        <v>1136</v>
      </c>
      <c r="AY3" t="s">
        <v>1136</v>
      </c>
      <c r="AZ3" t="s">
        <v>1136</v>
      </c>
      <c r="BA3" t="s">
        <v>1138</v>
      </c>
      <c r="BB3" t="s">
        <v>1138</v>
      </c>
      <c r="BC3" t="s">
        <v>1138</v>
      </c>
      <c r="BD3" t="s">
        <v>1138</v>
      </c>
      <c r="BE3" t="s">
        <v>1138</v>
      </c>
      <c r="BF3" t="s">
        <v>1140</v>
      </c>
      <c r="BG3" t="s">
        <v>1140</v>
      </c>
      <c r="BH3" t="s">
        <v>1140</v>
      </c>
      <c r="BI3" t="s">
        <v>1140</v>
      </c>
      <c r="BJ3" t="s">
        <v>1140</v>
      </c>
      <c r="BK3" t="s">
        <v>1142</v>
      </c>
      <c r="BL3" t="s">
        <v>1142</v>
      </c>
      <c r="BM3" t="s">
        <v>1142</v>
      </c>
      <c r="BN3" t="s">
        <v>1142</v>
      </c>
      <c r="BO3" t="s">
        <v>1142</v>
      </c>
      <c r="BP3" t="s">
        <v>1144</v>
      </c>
      <c r="BQ3" t="s">
        <v>1144</v>
      </c>
      <c r="BR3" t="s">
        <v>1144</v>
      </c>
      <c r="BS3" t="s">
        <v>1144</v>
      </c>
      <c r="BT3" t="s">
        <v>1144</v>
      </c>
      <c r="BU3" t="s">
        <v>1146</v>
      </c>
      <c r="BV3" t="s">
        <v>1146</v>
      </c>
      <c r="BW3" t="s">
        <v>1146</v>
      </c>
      <c r="BX3" t="s">
        <v>1146</v>
      </c>
      <c r="BY3" t="s">
        <v>1146</v>
      </c>
      <c r="BZ3" t="s">
        <v>1148</v>
      </c>
      <c r="CA3" t="s">
        <v>1148</v>
      </c>
      <c r="CB3" t="s">
        <v>1148</v>
      </c>
      <c r="CC3" t="s">
        <v>1148</v>
      </c>
      <c r="CD3" t="s">
        <v>1148</v>
      </c>
      <c r="CE3" t="s">
        <v>1150</v>
      </c>
      <c r="CF3" t="s">
        <v>1150</v>
      </c>
      <c r="CG3" t="s">
        <v>1150</v>
      </c>
      <c r="CH3" t="s">
        <v>1150</v>
      </c>
      <c r="CI3" t="s">
        <v>1150</v>
      </c>
    </row>
    <row r="4" spans="1:87" x14ac:dyDescent="0.4">
      <c r="A4" s="1"/>
      <c r="B4" s="2" t="s">
        <v>1</v>
      </c>
      <c r="C4" t="s">
        <v>1119</v>
      </c>
      <c r="D4" t="s">
        <v>1119</v>
      </c>
      <c r="E4" t="s">
        <v>1119</v>
      </c>
      <c r="F4" t="s">
        <v>1119</v>
      </c>
      <c r="G4" t="s">
        <v>1119</v>
      </c>
      <c r="H4" t="s">
        <v>1121</v>
      </c>
      <c r="I4" t="s">
        <v>1121</v>
      </c>
      <c r="J4" t="s">
        <v>1121</v>
      </c>
      <c r="K4" t="s">
        <v>1121</v>
      </c>
      <c r="L4" t="s">
        <v>1121</v>
      </c>
      <c r="M4" t="s">
        <v>1123</v>
      </c>
      <c r="N4" t="s">
        <v>1123</v>
      </c>
      <c r="O4" t="s">
        <v>1123</v>
      </c>
      <c r="P4" t="s">
        <v>1123</v>
      </c>
      <c r="Q4" t="s">
        <v>1123</v>
      </c>
      <c r="R4" t="s">
        <v>1125</v>
      </c>
      <c r="S4" t="s">
        <v>1125</v>
      </c>
      <c r="T4" t="s">
        <v>1125</v>
      </c>
      <c r="U4" t="s">
        <v>1125</v>
      </c>
      <c r="V4" t="s">
        <v>1125</v>
      </c>
      <c r="W4" t="s">
        <v>1127</v>
      </c>
      <c r="X4" t="s">
        <v>1127</v>
      </c>
      <c r="Y4" t="s">
        <v>1127</v>
      </c>
      <c r="Z4" t="s">
        <v>1127</v>
      </c>
      <c r="AA4" t="s">
        <v>1127</v>
      </c>
      <c r="AB4" t="s">
        <v>1129</v>
      </c>
      <c r="AC4" t="s">
        <v>1129</v>
      </c>
      <c r="AD4" t="s">
        <v>1129</v>
      </c>
      <c r="AE4" t="s">
        <v>1129</v>
      </c>
      <c r="AF4" t="s">
        <v>1129</v>
      </c>
      <c r="AG4" t="s">
        <v>1131</v>
      </c>
      <c r="AH4" t="s">
        <v>1131</v>
      </c>
      <c r="AI4" t="s">
        <v>1131</v>
      </c>
      <c r="AJ4" t="s">
        <v>1131</v>
      </c>
      <c r="AK4" t="s">
        <v>1131</v>
      </c>
      <c r="AL4" t="s">
        <v>1133</v>
      </c>
      <c r="AM4" t="s">
        <v>1133</v>
      </c>
      <c r="AN4" t="s">
        <v>1133</v>
      </c>
      <c r="AO4" t="s">
        <v>1133</v>
      </c>
      <c r="AP4" t="s">
        <v>1133</v>
      </c>
      <c r="AQ4" t="s">
        <v>1135</v>
      </c>
      <c r="AR4" t="s">
        <v>1135</v>
      </c>
      <c r="AS4" t="s">
        <v>1135</v>
      </c>
      <c r="AT4" t="s">
        <v>1135</v>
      </c>
      <c r="AU4" t="s">
        <v>1135</v>
      </c>
      <c r="AV4" t="s">
        <v>1137</v>
      </c>
      <c r="AW4" t="s">
        <v>1137</v>
      </c>
      <c r="AX4" t="s">
        <v>1137</v>
      </c>
      <c r="AY4" t="s">
        <v>1137</v>
      </c>
      <c r="AZ4" t="s">
        <v>1137</v>
      </c>
      <c r="BA4" t="s">
        <v>1139</v>
      </c>
      <c r="BB4" t="s">
        <v>1139</v>
      </c>
      <c r="BC4" t="s">
        <v>1139</v>
      </c>
      <c r="BD4" t="s">
        <v>1139</v>
      </c>
      <c r="BE4" t="s">
        <v>1139</v>
      </c>
      <c r="BF4" t="s">
        <v>1141</v>
      </c>
      <c r="BG4" t="s">
        <v>1141</v>
      </c>
      <c r="BH4" t="s">
        <v>1141</v>
      </c>
      <c r="BI4" t="s">
        <v>1141</v>
      </c>
      <c r="BJ4" t="s">
        <v>1141</v>
      </c>
      <c r="BK4" t="s">
        <v>1143</v>
      </c>
      <c r="BL4" t="s">
        <v>1143</v>
      </c>
      <c r="BM4" t="s">
        <v>1143</v>
      </c>
      <c r="BN4" t="s">
        <v>1143</v>
      </c>
      <c r="BO4" t="s">
        <v>1143</v>
      </c>
      <c r="BP4" t="s">
        <v>1145</v>
      </c>
      <c r="BQ4" t="s">
        <v>1145</v>
      </c>
      <c r="BR4" t="s">
        <v>1145</v>
      </c>
      <c r="BS4" t="s">
        <v>1145</v>
      </c>
      <c r="BT4" t="s">
        <v>1145</v>
      </c>
      <c r="BU4" t="s">
        <v>1147</v>
      </c>
      <c r="BV4" t="s">
        <v>1147</v>
      </c>
      <c r="BW4" t="s">
        <v>1147</v>
      </c>
      <c r="BX4" t="s">
        <v>1147</v>
      </c>
      <c r="BY4" t="s">
        <v>1147</v>
      </c>
      <c r="BZ4" t="s">
        <v>1149</v>
      </c>
      <c r="CA4" t="s">
        <v>1149</v>
      </c>
      <c r="CB4" t="s">
        <v>1149</v>
      </c>
      <c r="CC4" t="s">
        <v>1149</v>
      </c>
      <c r="CD4" t="s">
        <v>1149</v>
      </c>
      <c r="CE4" t="s">
        <v>1151</v>
      </c>
      <c r="CF4" t="s">
        <v>1151</v>
      </c>
      <c r="CG4" t="s">
        <v>1151</v>
      </c>
      <c r="CH4" t="s">
        <v>1151</v>
      </c>
      <c r="CI4" t="s">
        <v>1151</v>
      </c>
    </row>
    <row r="5" spans="1:8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</row>
    <row r="6" spans="1:8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</row>
    <row r="7" spans="1:87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743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743</v>
      </c>
      <c r="AM7" t="s">
        <v>258</v>
      </c>
      <c r="AN7" t="s">
        <v>743</v>
      </c>
      <c r="AO7" t="s">
        <v>258</v>
      </c>
      <c r="AP7" t="s">
        <v>743</v>
      </c>
      <c r="AQ7" t="s">
        <v>743</v>
      </c>
      <c r="AR7" t="s">
        <v>258</v>
      </c>
      <c r="AS7" t="s">
        <v>743</v>
      </c>
      <c r="AT7" t="s">
        <v>258</v>
      </c>
      <c r="AU7" t="s">
        <v>743</v>
      </c>
      <c r="AV7" t="s">
        <v>743</v>
      </c>
      <c r="AW7" t="s">
        <v>258</v>
      </c>
      <c r="AX7" t="s">
        <v>743</v>
      </c>
      <c r="AY7" t="s">
        <v>258</v>
      </c>
      <c r="AZ7" t="s">
        <v>743</v>
      </c>
      <c r="BA7" t="s">
        <v>743</v>
      </c>
      <c r="BB7" t="s">
        <v>258</v>
      </c>
      <c r="BC7" t="s">
        <v>743</v>
      </c>
      <c r="BD7" t="s">
        <v>258</v>
      </c>
      <c r="BE7" t="s">
        <v>743</v>
      </c>
      <c r="BF7" t="s">
        <v>743</v>
      </c>
      <c r="BG7" t="s">
        <v>258</v>
      </c>
      <c r="BH7" t="s">
        <v>743</v>
      </c>
      <c r="BI7" t="s">
        <v>258</v>
      </c>
      <c r="BJ7" t="s">
        <v>743</v>
      </c>
      <c r="BK7" t="s">
        <v>743</v>
      </c>
      <c r="BL7" t="s">
        <v>258</v>
      </c>
      <c r="BM7" t="s">
        <v>743</v>
      </c>
      <c r="BN7" t="s">
        <v>258</v>
      </c>
      <c r="BO7" t="s">
        <v>743</v>
      </c>
      <c r="BP7" t="s">
        <v>743</v>
      </c>
      <c r="BQ7" t="s">
        <v>258</v>
      </c>
      <c r="BR7" t="s">
        <v>743</v>
      </c>
      <c r="BS7" t="s">
        <v>258</v>
      </c>
      <c r="BT7" t="s">
        <v>743</v>
      </c>
      <c r="BU7" t="s">
        <v>743</v>
      </c>
      <c r="BV7" t="s">
        <v>258</v>
      </c>
      <c r="BW7" t="s">
        <v>743</v>
      </c>
      <c r="BX7" t="s">
        <v>258</v>
      </c>
      <c r="BY7" t="s">
        <v>743</v>
      </c>
      <c r="BZ7" t="s">
        <v>743</v>
      </c>
      <c r="CA7" t="s">
        <v>258</v>
      </c>
      <c r="CB7" t="s">
        <v>743</v>
      </c>
      <c r="CC7" t="s">
        <v>258</v>
      </c>
      <c r="CD7" t="s">
        <v>743</v>
      </c>
      <c r="CE7" t="s">
        <v>743</v>
      </c>
      <c r="CF7" t="s">
        <v>258</v>
      </c>
      <c r="CG7" t="s">
        <v>743</v>
      </c>
      <c r="CH7" t="s">
        <v>258</v>
      </c>
      <c r="CI7" t="s">
        <v>743</v>
      </c>
    </row>
    <row r="8" spans="1:87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745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745</v>
      </c>
      <c r="AM8" t="s">
        <v>260</v>
      </c>
      <c r="AN8" t="s">
        <v>745</v>
      </c>
      <c r="AO8" t="s">
        <v>260</v>
      </c>
      <c r="AP8" t="s">
        <v>745</v>
      </c>
      <c r="AQ8" t="s">
        <v>745</v>
      </c>
      <c r="AR8" t="s">
        <v>260</v>
      </c>
      <c r="AS8" t="s">
        <v>745</v>
      </c>
      <c r="AT8" t="s">
        <v>260</v>
      </c>
      <c r="AU8" t="s">
        <v>745</v>
      </c>
      <c r="AV8" t="s">
        <v>745</v>
      </c>
      <c r="AW8" t="s">
        <v>260</v>
      </c>
      <c r="AX8" t="s">
        <v>745</v>
      </c>
      <c r="AY8" t="s">
        <v>260</v>
      </c>
      <c r="AZ8" t="s">
        <v>745</v>
      </c>
      <c r="BA8" t="s">
        <v>745</v>
      </c>
      <c r="BB8" t="s">
        <v>260</v>
      </c>
      <c r="BC8" t="s">
        <v>745</v>
      </c>
      <c r="BD8" t="s">
        <v>260</v>
      </c>
      <c r="BE8" t="s">
        <v>745</v>
      </c>
      <c r="BF8" t="s">
        <v>745</v>
      </c>
      <c r="BG8" t="s">
        <v>260</v>
      </c>
      <c r="BH8" t="s">
        <v>745</v>
      </c>
      <c r="BI8" t="s">
        <v>260</v>
      </c>
      <c r="BJ8" t="s">
        <v>745</v>
      </c>
      <c r="BK8" t="s">
        <v>745</v>
      </c>
      <c r="BL8" t="s">
        <v>260</v>
      </c>
      <c r="BM8" t="s">
        <v>745</v>
      </c>
      <c r="BN8" t="s">
        <v>260</v>
      </c>
      <c r="BO8" t="s">
        <v>745</v>
      </c>
      <c r="BP8" t="s">
        <v>745</v>
      </c>
      <c r="BQ8" t="s">
        <v>260</v>
      </c>
      <c r="BR8" t="s">
        <v>745</v>
      </c>
      <c r="BS8" t="s">
        <v>260</v>
      </c>
      <c r="BT8" t="s">
        <v>745</v>
      </c>
      <c r="BU8" t="s">
        <v>745</v>
      </c>
      <c r="BV8" t="s">
        <v>260</v>
      </c>
      <c r="BW8" t="s">
        <v>745</v>
      </c>
      <c r="BX8" t="s">
        <v>260</v>
      </c>
      <c r="BY8" t="s">
        <v>745</v>
      </c>
      <c r="BZ8" t="s">
        <v>745</v>
      </c>
      <c r="CA8" t="s">
        <v>260</v>
      </c>
      <c r="CB8" t="s">
        <v>745</v>
      </c>
      <c r="CC8" t="s">
        <v>260</v>
      </c>
      <c r="CD8" t="s">
        <v>745</v>
      </c>
      <c r="CE8" t="s">
        <v>745</v>
      </c>
      <c r="CF8" t="s">
        <v>260</v>
      </c>
      <c r="CG8" t="s">
        <v>745</v>
      </c>
      <c r="CH8" t="s">
        <v>260</v>
      </c>
      <c r="CI8" t="s">
        <v>745</v>
      </c>
    </row>
    <row r="9" spans="1:87" x14ac:dyDescent="0.4">
      <c r="A9" s="1" t="s">
        <v>6</v>
      </c>
      <c r="B9" s="3" t="s">
        <v>7</v>
      </c>
      <c r="C9">
        <v>342705</v>
      </c>
      <c r="D9">
        <v>5074</v>
      </c>
      <c r="E9">
        <v>429822</v>
      </c>
      <c r="F9">
        <v>6509</v>
      </c>
      <c r="G9">
        <v>24493</v>
      </c>
      <c r="H9">
        <v>9855</v>
      </c>
      <c r="I9">
        <v>6509</v>
      </c>
      <c r="J9">
        <v>6878</v>
      </c>
      <c r="K9">
        <v>8908</v>
      </c>
      <c r="L9">
        <v>1014</v>
      </c>
      <c r="M9">
        <v>14477</v>
      </c>
      <c r="N9">
        <v>3249</v>
      </c>
      <c r="O9">
        <v>41764</v>
      </c>
      <c r="P9">
        <v>3618</v>
      </c>
      <c r="Q9">
        <v>5233</v>
      </c>
      <c r="R9">
        <v>14435</v>
      </c>
      <c r="S9">
        <v>6883</v>
      </c>
      <c r="T9">
        <v>12436</v>
      </c>
      <c r="U9">
        <v>5812</v>
      </c>
      <c r="V9">
        <v>3811</v>
      </c>
      <c r="W9">
        <v>20349</v>
      </c>
      <c r="X9">
        <v>10501</v>
      </c>
      <c r="Y9">
        <v>24362</v>
      </c>
      <c r="Z9">
        <v>16771</v>
      </c>
      <c r="AA9">
        <v>6150</v>
      </c>
      <c r="AB9">
        <v>22719</v>
      </c>
      <c r="AC9">
        <v>19886</v>
      </c>
      <c r="AD9">
        <v>35943</v>
      </c>
      <c r="AE9">
        <v>37057</v>
      </c>
      <c r="AF9">
        <v>7330</v>
      </c>
      <c r="AG9">
        <v>1936</v>
      </c>
      <c r="AH9">
        <v>13110</v>
      </c>
      <c r="AI9">
        <v>3628</v>
      </c>
      <c r="AJ9">
        <v>21062</v>
      </c>
      <c r="AK9">
        <v>704</v>
      </c>
      <c r="AL9">
        <v>24502</v>
      </c>
      <c r="AM9">
        <v>3675</v>
      </c>
      <c r="AN9">
        <v>28394</v>
      </c>
      <c r="AO9">
        <v>5537</v>
      </c>
      <c r="AP9">
        <v>2072</v>
      </c>
      <c r="AQ9">
        <v>4694</v>
      </c>
      <c r="AR9">
        <v>2948</v>
      </c>
      <c r="AS9">
        <v>17792</v>
      </c>
      <c r="AT9">
        <v>20491</v>
      </c>
      <c r="AU9">
        <v>3423</v>
      </c>
      <c r="AV9">
        <v>665</v>
      </c>
      <c r="AW9">
        <v>1775</v>
      </c>
      <c r="AX9">
        <v>2359</v>
      </c>
      <c r="AY9">
        <v>10139</v>
      </c>
      <c r="AZ9">
        <v>634</v>
      </c>
      <c r="BA9">
        <v>133954</v>
      </c>
      <c r="BB9">
        <v>23147</v>
      </c>
      <c r="BC9">
        <v>92492</v>
      </c>
      <c r="BD9">
        <v>33568</v>
      </c>
      <c r="BE9">
        <v>11422</v>
      </c>
      <c r="BF9">
        <v>31194</v>
      </c>
      <c r="BG9">
        <v>18225</v>
      </c>
      <c r="BH9">
        <v>31321</v>
      </c>
      <c r="BI9">
        <v>21834</v>
      </c>
      <c r="BJ9">
        <v>2398</v>
      </c>
      <c r="BK9">
        <v>1516</v>
      </c>
      <c r="BL9">
        <v>4990</v>
      </c>
      <c r="BM9">
        <v>1505</v>
      </c>
      <c r="BN9">
        <v>4871</v>
      </c>
      <c r="BO9">
        <v>75</v>
      </c>
      <c r="BP9">
        <v>247</v>
      </c>
      <c r="BQ9">
        <v>1983</v>
      </c>
      <c r="BR9">
        <v>193</v>
      </c>
      <c r="BS9">
        <v>1936</v>
      </c>
      <c r="BT9">
        <v>15</v>
      </c>
      <c r="BU9">
        <v>185</v>
      </c>
      <c r="BV9">
        <v>5577</v>
      </c>
      <c r="BW9">
        <v>186</v>
      </c>
      <c r="BX9">
        <v>5625</v>
      </c>
      <c r="BY9">
        <v>3</v>
      </c>
      <c r="BZ9">
        <v>58205</v>
      </c>
      <c r="CA9">
        <v>489367</v>
      </c>
      <c r="CB9">
        <v>65226</v>
      </c>
      <c r="CC9">
        <v>663991</v>
      </c>
      <c r="CD9">
        <v>8942</v>
      </c>
      <c r="CE9">
        <v>157757</v>
      </c>
      <c r="CF9">
        <v>488649</v>
      </c>
      <c r="CG9">
        <v>161202</v>
      </c>
      <c r="CH9">
        <v>504076</v>
      </c>
      <c r="CI9">
        <v>7685</v>
      </c>
    </row>
    <row r="10" spans="1:87" x14ac:dyDescent="0.4">
      <c r="A10" s="1" t="s">
        <v>8</v>
      </c>
      <c r="B10" s="3" t="s">
        <v>9</v>
      </c>
      <c r="C10">
        <v>311735</v>
      </c>
      <c r="D10">
        <v>4182</v>
      </c>
      <c r="E10">
        <v>360523</v>
      </c>
      <c r="F10">
        <v>6060</v>
      </c>
      <c r="G10">
        <v>24970</v>
      </c>
      <c r="H10">
        <v>8516</v>
      </c>
      <c r="I10">
        <v>7791</v>
      </c>
      <c r="J10">
        <v>7878</v>
      </c>
      <c r="K10">
        <v>12173</v>
      </c>
      <c r="L10">
        <v>1126</v>
      </c>
      <c r="M10">
        <v>11275</v>
      </c>
      <c r="N10">
        <v>2663</v>
      </c>
      <c r="O10">
        <v>34269</v>
      </c>
      <c r="P10">
        <v>3103</v>
      </c>
      <c r="Q10">
        <v>5311</v>
      </c>
      <c r="R10">
        <v>10719</v>
      </c>
      <c r="S10">
        <v>5520</v>
      </c>
      <c r="T10">
        <v>10792</v>
      </c>
      <c r="U10">
        <v>5737</v>
      </c>
      <c r="V10">
        <v>3038</v>
      </c>
      <c r="W10">
        <v>18784</v>
      </c>
      <c r="X10">
        <v>12328</v>
      </c>
      <c r="Y10">
        <v>21193</v>
      </c>
      <c r="Z10">
        <v>16397</v>
      </c>
      <c r="AA10">
        <v>6656</v>
      </c>
      <c r="AB10">
        <v>20156</v>
      </c>
      <c r="AC10">
        <v>20154</v>
      </c>
      <c r="AD10">
        <v>30914</v>
      </c>
      <c r="AE10">
        <v>36052</v>
      </c>
      <c r="AF10">
        <v>8936</v>
      </c>
      <c r="AG10">
        <v>1792</v>
      </c>
      <c r="AH10">
        <v>13748</v>
      </c>
      <c r="AI10">
        <v>2806</v>
      </c>
      <c r="AJ10">
        <v>18367</v>
      </c>
      <c r="AK10">
        <v>659</v>
      </c>
      <c r="AL10">
        <v>13766</v>
      </c>
      <c r="AM10">
        <v>3026</v>
      </c>
      <c r="AN10">
        <v>15933</v>
      </c>
      <c r="AO10">
        <v>4612</v>
      </c>
      <c r="AP10">
        <v>1779</v>
      </c>
      <c r="AQ10">
        <v>5624</v>
      </c>
      <c r="AR10">
        <v>4167</v>
      </c>
      <c r="AS10">
        <v>17533</v>
      </c>
      <c r="AT10">
        <v>22029</v>
      </c>
      <c r="AU10">
        <v>4394</v>
      </c>
      <c r="AV10">
        <v>595</v>
      </c>
      <c r="AW10">
        <v>1524</v>
      </c>
      <c r="AX10">
        <v>1790</v>
      </c>
      <c r="AY10">
        <v>9383</v>
      </c>
      <c r="AZ10">
        <v>565</v>
      </c>
      <c r="BA10">
        <v>138383</v>
      </c>
      <c r="BB10">
        <v>24545</v>
      </c>
      <c r="BC10">
        <v>93705</v>
      </c>
      <c r="BD10">
        <v>33641</v>
      </c>
      <c r="BE10">
        <v>14071</v>
      </c>
      <c r="BF10">
        <v>31996</v>
      </c>
      <c r="BG10">
        <v>17634</v>
      </c>
      <c r="BH10">
        <v>32572</v>
      </c>
      <c r="BI10">
        <v>22189</v>
      </c>
      <c r="BJ10">
        <v>2702</v>
      </c>
      <c r="BK10">
        <v>1132</v>
      </c>
      <c r="BL10">
        <v>2939</v>
      </c>
      <c r="BM10">
        <v>1143</v>
      </c>
      <c r="BN10">
        <v>3586</v>
      </c>
      <c r="BO10">
        <v>49</v>
      </c>
      <c r="BP10">
        <v>194</v>
      </c>
      <c r="BQ10">
        <v>1401</v>
      </c>
      <c r="BR10">
        <v>157</v>
      </c>
      <c r="BS10">
        <v>1511</v>
      </c>
      <c r="BT10">
        <v>10</v>
      </c>
      <c r="BU10">
        <v>197</v>
      </c>
      <c r="BV10">
        <v>6216</v>
      </c>
      <c r="BW10">
        <v>197</v>
      </c>
      <c r="BX10">
        <v>6366</v>
      </c>
      <c r="BY10">
        <v>2</v>
      </c>
      <c r="BZ10">
        <v>63284</v>
      </c>
      <c r="CA10">
        <v>535610</v>
      </c>
      <c r="CB10">
        <v>66762</v>
      </c>
      <c r="CC10">
        <v>714279</v>
      </c>
      <c r="CD10">
        <v>10658</v>
      </c>
      <c r="CE10">
        <v>151372</v>
      </c>
      <c r="CF10">
        <v>466041</v>
      </c>
      <c r="CG10">
        <v>153144</v>
      </c>
      <c r="CH10">
        <v>475527</v>
      </c>
      <c r="CI10">
        <v>8604</v>
      </c>
    </row>
    <row r="11" spans="1:87" x14ac:dyDescent="0.4">
      <c r="A11" s="1" t="s">
        <v>10</v>
      </c>
      <c r="B11" s="3" t="s">
        <v>11</v>
      </c>
      <c r="C11">
        <v>278216</v>
      </c>
      <c r="D11">
        <v>4270</v>
      </c>
      <c r="E11">
        <v>323045</v>
      </c>
      <c r="F11">
        <v>6251</v>
      </c>
      <c r="G11">
        <v>19368</v>
      </c>
      <c r="H11">
        <v>7477</v>
      </c>
      <c r="I11">
        <v>6824</v>
      </c>
      <c r="J11">
        <v>6896</v>
      </c>
      <c r="K11">
        <v>11703</v>
      </c>
      <c r="L11">
        <v>1114</v>
      </c>
      <c r="M11">
        <v>6609</v>
      </c>
      <c r="N11">
        <v>1696</v>
      </c>
      <c r="O11">
        <v>27026</v>
      </c>
      <c r="P11">
        <v>2439</v>
      </c>
      <c r="Q11">
        <v>4420</v>
      </c>
      <c r="R11">
        <v>8986</v>
      </c>
      <c r="S11">
        <v>4640</v>
      </c>
      <c r="T11">
        <v>9927</v>
      </c>
      <c r="U11">
        <v>5689</v>
      </c>
      <c r="V11">
        <v>1619</v>
      </c>
      <c r="W11">
        <v>15433</v>
      </c>
      <c r="X11">
        <v>12806</v>
      </c>
      <c r="Y11">
        <v>18998</v>
      </c>
      <c r="Z11">
        <v>18234</v>
      </c>
      <c r="AA11">
        <v>2764</v>
      </c>
      <c r="AB11">
        <v>14409</v>
      </c>
      <c r="AC11">
        <v>13955</v>
      </c>
      <c r="AD11">
        <v>24918</v>
      </c>
      <c r="AE11">
        <v>32529</v>
      </c>
      <c r="AF11">
        <v>5441</v>
      </c>
      <c r="AG11">
        <v>1857</v>
      </c>
      <c r="AH11">
        <v>15569</v>
      </c>
      <c r="AI11">
        <v>2595</v>
      </c>
      <c r="AJ11">
        <v>16588</v>
      </c>
      <c r="AK11">
        <v>746</v>
      </c>
      <c r="AL11">
        <v>13084</v>
      </c>
      <c r="AM11">
        <v>2896</v>
      </c>
      <c r="AN11">
        <v>14553</v>
      </c>
      <c r="AO11">
        <v>4460</v>
      </c>
      <c r="AP11">
        <v>1563</v>
      </c>
      <c r="AQ11">
        <v>5943</v>
      </c>
      <c r="AR11">
        <v>4548</v>
      </c>
      <c r="AS11">
        <v>17384</v>
      </c>
      <c r="AT11">
        <v>24573</v>
      </c>
      <c r="AU11">
        <v>3173</v>
      </c>
      <c r="AV11">
        <v>625</v>
      </c>
      <c r="AW11">
        <v>1621</v>
      </c>
      <c r="AX11">
        <v>1704</v>
      </c>
      <c r="AY11">
        <v>10142</v>
      </c>
      <c r="AZ11">
        <v>404</v>
      </c>
      <c r="BA11">
        <v>128005</v>
      </c>
      <c r="BB11">
        <v>23966</v>
      </c>
      <c r="BC11">
        <v>82107</v>
      </c>
      <c r="BD11">
        <v>33084</v>
      </c>
      <c r="BE11">
        <v>12235</v>
      </c>
      <c r="BF11">
        <v>29251</v>
      </c>
      <c r="BG11">
        <v>17414</v>
      </c>
      <c r="BH11">
        <v>27468</v>
      </c>
      <c r="BI11">
        <v>21728</v>
      </c>
      <c r="BJ11">
        <v>2741</v>
      </c>
      <c r="BK11">
        <v>990</v>
      </c>
      <c r="BL11">
        <v>2743</v>
      </c>
      <c r="BM11">
        <v>1000</v>
      </c>
      <c r="BN11">
        <v>3270</v>
      </c>
      <c r="BO11">
        <v>42</v>
      </c>
      <c r="BP11">
        <v>161</v>
      </c>
      <c r="BQ11">
        <v>1152</v>
      </c>
      <c r="BR11">
        <v>162</v>
      </c>
      <c r="BS11">
        <v>1290</v>
      </c>
      <c r="BT11">
        <v>5</v>
      </c>
      <c r="BU11">
        <v>176</v>
      </c>
      <c r="BV11">
        <v>6331</v>
      </c>
      <c r="BW11">
        <v>176</v>
      </c>
      <c r="BX11">
        <v>6359</v>
      </c>
      <c r="BY11">
        <v>3</v>
      </c>
      <c r="BZ11">
        <v>58716</v>
      </c>
      <c r="CA11">
        <v>585600</v>
      </c>
      <c r="CB11">
        <v>65349</v>
      </c>
      <c r="CC11">
        <v>807284</v>
      </c>
      <c r="CD11">
        <v>9091</v>
      </c>
      <c r="CE11">
        <v>165606</v>
      </c>
      <c r="CF11">
        <v>545205</v>
      </c>
      <c r="CG11">
        <v>167808</v>
      </c>
      <c r="CH11">
        <v>556458</v>
      </c>
      <c r="CI11">
        <v>9410</v>
      </c>
    </row>
    <row r="12" spans="1:87" x14ac:dyDescent="0.4">
      <c r="A12" s="1" t="s">
        <v>12</v>
      </c>
      <c r="B12" s="3" t="s">
        <v>13</v>
      </c>
      <c r="C12">
        <v>268223</v>
      </c>
      <c r="D12">
        <v>4529</v>
      </c>
      <c r="E12">
        <v>299530</v>
      </c>
      <c r="F12">
        <v>6049</v>
      </c>
      <c r="G12">
        <v>21753</v>
      </c>
      <c r="H12">
        <v>6142</v>
      </c>
      <c r="I12">
        <v>6408</v>
      </c>
      <c r="J12">
        <v>6625</v>
      </c>
      <c r="K12">
        <v>11487</v>
      </c>
      <c r="L12">
        <v>746</v>
      </c>
      <c r="M12">
        <v>7258</v>
      </c>
      <c r="N12">
        <v>2361</v>
      </c>
      <c r="O12">
        <v>27573</v>
      </c>
      <c r="P12">
        <v>2651</v>
      </c>
      <c r="Q12">
        <v>5119</v>
      </c>
      <c r="R12">
        <v>9156</v>
      </c>
      <c r="S12">
        <v>6042</v>
      </c>
      <c r="T12">
        <v>8537</v>
      </c>
      <c r="U12">
        <v>5991</v>
      </c>
      <c r="V12">
        <v>1692</v>
      </c>
      <c r="W12">
        <v>14931</v>
      </c>
      <c r="X12">
        <v>15554</v>
      </c>
      <c r="Y12">
        <v>14940</v>
      </c>
      <c r="Z12">
        <v>17047</v>
      </c>
      <c r="AA12">
        <v>3208</v>
      </c>
      <c r="AB12">
        <v>13667</v>
      </c>
      <c r="AC12">
        <v>14770</v>
      </c>
      <c r="AD12">
        <v>20019</v>
      </c>
      <c r="AE12">
        <v>28816</v>
      </c>
      <c r="AF12">
        <v>5119</v>
      </c>
      <c r="AG12">
        <v>1527</v>
      </c>
      <c r="AH12">
        <v>14842</v>
      </c>
      <c r="AI12">
        <v>1367</v>
      </c>
      <c r="AJ12">
        <v>15494</v>
      </c>
      <c r="AK12">
        <v>956</v>
      </c>
      <c r="AL12">
        <v>12237</v>
      </c>
      <c r="AM12">
        <v>2787</v>
      </c>
      <c r="AN12">
        <v>13404</v>
      </c>
      <c r="AO12">
        <v>4363</v>
      </c>
      <c r="AP12">
        <v>1417</v>
      </c>
      <c r="AQ12">
        <v>5262</v>
      </c>
      <c r="AR12">
        <v>4191</v>
      </c>
      <c r="AS12">
        <v>15347</v>
      </c>
      <c r="AT12">
        <v>22861</v>
      </c>
      <c r="AU12">
        <v>2581</v>
      </c>
      <c r="AV12">
        <v>601</v>
      </c>
      <c r="AW12">
        <v>1544</v>
      </c>
      <c r="AX12">
        <v>1659</v>
      </c>
      <c r="AY12">
        <v>10145</v>
      </c>
      <c r="AZ12">
        <v>302</v>
      </c>
      <c r="BA12">
        <v>126320</v>
      </c>
      <c r="BB12">
        <v>24322</v>
      </c>
      <c r="BC12">
        <v>80772</v>
      </c>
      <c r="BD12">
        <v>35140</v>
      </c>
      <c r="BE12">
        <v>12708</v>
      </c>
      <c r="BF12">
        <v>26467</v>
      </c>
      <c r="BG12">
        <v>17060</v>
      </c>
      <c r="BH12">
        <v>26835</v>
      </c>
      <c r="BI12">
        <v>22575</v>
      </c>
      <c r="BJ12">
        <v>2553</v>
      </c>
      <c r="BK12">
        <v>968</v>
      </c>
      <c r="BL12">
        <v>2451</v>
      </c>
      <c r="BM12">
        <v>968</v>
      </c>
      <c r="BN12">
        <v>3054</v>
      </c>
      <c r="BO12">
        <v>36</v>
      </c>
      <c r="BP12">
        <v>160</v>
      </c>
      <c r="BQ12">
        <v>1091</v>
      </c>
      <c r="BR12">
        <v>153</v>
      </c>
      <c r="BS12">
        <v>1063</v>
      </c>
      <c r="BT12">
        <v>2</v>
      </c>
      <c r="BU12">
        <v>180</v>
      </c>
      <c r="BV12">
        <v>6550</v>
      </c>
      <c r="BW12">
        <v>180</v>
      </c>
      <c r="BX12">
        <v>6569</v>
      </c>
      <c r="BY12">
        <v>1</v>
      </c>
      <c r="BZ12">
        <v>55767</v>
      </c>
      <c r="CA12">
        <v>576272</v>
      </c>
      <c r="CB12">
        <v>62756</v>
      </c>
      <c r="CC12">
        <v>805403</v>
      </c>
      <c r="CD12">
        <v>7731</v>
      </c>
      <c r="CE12">
        <v>158412</v>
      </c>
      <c r="CF12">
        <v>483436</v>
      </c>
      <c r="CG12">
        <v>161828</v>
      </c>
      <c r="CH12">
        <v>504630</v>
      </c>
      <c r="CI12">
        <v>8796</v>
      </c>
    </row>
    <row r="13" spans="1:87" x14ac:dyDescent="0.4">
      <c r="A13" s="1" t="s">
        <v>14</v>
      </c>
      <c r="B13" s="3" t="s">
        <v>15</v>
      </c>
      <c r="C13">
        <v>277475</v>
      </c>
      <c r="D13">
        <v>4463</v>
      </c>
      <c r="E13">
        <v>274263</v>
      </c>
      <c r="F13">
        <v>5429</v>
      </c>
      <c r="G13">
        <v>21492</v>
      </c>
      <c r="H13">
        <v>5360</v>
      </c>
      <c r="I13">
        <v>6519</v>
      </c>
      <c r="J13">
        <v>6041</v>
      </c>
      <c r="K13">
        <v>11513</v>
      </c>
      <c r="L13">
        <v>690</v>
      </c>
      <c r="M13">
        <v>5960</v>
      </c>
      <c r="N13">
        <v>1743</v>
      </c>
      <c r="O13">
        <v>13154</v>
      </c>
      <c r="P13">
        <v>2096</v>
      </c>
      <c r="Q13">
        <v>4503</v>
      </c>
      <c r="R13">
        <v>8261</v>
      </c>
      <c r="S13">
        <v>5899</v>
      </c>
      <c r="T13">
        <v>7581</v>
      </c>
      <c r="U13">
        <v>5668</v>
      </c>
      <c r="V13">
        <v>1781</v>
      </c>
      <c r="W13">
        <v>11824</v>
      </c>
      <c r="X13">
        <v>11124</v>
      </c>
      <c r="Y13">
        <v>11929</v>
      </c>
      <c r="Z13">
        <v>14128</v>
      </c>
      <c r="AA13">
        <v>3628</v>
      </c>
      <c r="AB13">
        <v>12687</v>
      </c>
      <c r="AC13">
        <v>14980</v>
      </c>
      <c r="AD13">
        <v>18904</v>
      </c>
      <c r="AE13">
        <v>30363</v>
      </c>
      <c r="AF13">
        <v>5259</v>
      </c>
      <c r="AG13">
        <v>974</v>
      </c>
      <c r="AH13">
        <v>14863</v>
      </c>
      <c r="AI13">
        <v>1142</v>
      </c>
      <c r="AJ13">
        <v>16040</v>
      </c>
      <c r="AK13">
        <v>797</v>
      </c>
      <c r="AL13">
        <v>11482</v>
      </c>
      <c r="AM13">
        <v>2638</v>
      </c>
      <c r="AN13">
        <v>12528</v>
      </c>
      <c r="AO13">
        <v>4159</v>
      </c>
      <c r="AP13">
        <v>1668</v>
      </c>
      <c r="AQ13">
        <v>4648</v>
      </c>
      <c r="AR13">
        <v>3689</v>
      </c>
      <c r="AS13">
        <v>14775</v>
      </c>
      <c r="AT13">
        <v>23094</v>
      </c>
      <c r="AU13">
        <v>3129</v>
      </c>
      <c r="AV13">
        <v>542</v>
      </c>
      <c r="AW13">
        <v>1563</v>
      </c>
      <c r="AX13">
        <v>1749</v>
      </c>
      <c r="AY13">
        <v>10442</v>
      </c>
      <c r="AZ13">
        <v>434</v>
      </c>
      <c r="BA13">
        <v>129537</v>
      </c>
      <c r="BB13">
        <v>25301</v>
      </c>
      <c r="BC13">
        <v>82538</v>
      </c>
      <c r="BD13">
        <v>37117</v>
      </c>
      <c r="BE13">
        <v>8734</v>
      </c>
      <c r="BF13">
        <v>27313</v>
      </c>
      <c r="BG13">
        <v>17415</v>
      </c>
      <c r="BH13">
        <v>28253</v>
      </c>
      <c r="BI13">
        <v>24259</v>
      </c>
      <c r="BJ13">
        <v>2543</v>
      </c>
      <c r="BK13">
        <v>916</v>
      </c>
      <c r="BL13">
        <v>2488</v>
      </c>
      <c r="BM13">
        <v>929</v>
      </c>
      <c r="BN13">
        <v>3106</v>
      </c>
      <c r="BO13">
        <v>46</v>
      </c>
      <c r="BP13">
        <v>150</v>
      </c>
      <c r="BQ13">
        <v>1036</v>
      </c>
      <c r="BR13">
        <v>149</v>
      </c>
      <c r="BS13">
        <v>1060</v>
      </c>
      <c r="BT13">
        <v>0</v>
      </c>
      <c r="BU13">
        <v>187</v>
      </c>
      <c r="BV13">
        <v>6858</v>
      </c>
      <c r="BW13">
        <v>185</v>
      </c>
      <c r="BX13">
        <v>6866</v>
      </c>
      <c r="BY13">
        <v>0</v>
      </c>
      <c r="BZ13">
        <v>51859</v>
      </c>
      <c r="CA13">
        <v>606397</v>
      </c>
      <c r="CB13">
        <v>58860</v>
      </c>
      <c r="CC13">
        <v>842873</v>
      </c>
      <c r="CD13">
        <v>6510</v>
      </c>
      <c r="CE13">
        <v>163086</v>
      </c>
      <c r="CF13">
        <v>501512</v>
      </c>
      <c r="CG13">
        <v>165739</v>
      </c>
      <c r="CH13">
        <v>516634</v>
      </c>
      <c r="CI13">
        <v>7906</v>
      </c>
    </row>
    <row r="14" spans="1:87" x14ac:dyDescent="0.4">
      <c r="A14" s="1" t="s">
        <v>16</v>
      </c>
      <c r="B14" s="1" t="s">
        <v>17</v>
      </c>
      <c r="C14">
        <v>22594</v>
      </c>
      <c r="D14">
        <v>346</v>
      </c>
      <c r="E14">
        <v>27007</v>
      </c>
      <c r="F14">
        <v>487</v>
      </c>
      <c r="G14">
        <v>21937</v>
      </c>
      <c r="H14">
        <v>560</v>
      </c>
      <c r="I14">
        <v>539</v>
      </c>
      <c r="J14">
        <v>580</v>
      </c>
      <c r="K14">
        <v>1075</v>
      </c>
      <c r="L14">
        <v>1025</v>
      </c>
      <c r="M14">
        <v>423</v>
      </c>
      <c r="N14">
        <v>124</v>
      </c>
      <c r="O14">
        <v>2333</v>
      </c>
      <c r="P14">
        <v>215</v>
      </c>
      <c r="Q14">
        <v>4228</v>
      </c>
      <c r="R14">
        <v>1234</v>
      </c>
      <c r="S14">
        <v>760</v>
      </c>
      <c r="T14">
        <v>773</v>
      </c>
      <c r="U14">
        <v>467</v>
      </c>
      <c r="V14">
        <v>1782</v>
      </c>
      <c r="W14">
        <v>1464</v>
      </c>
      <c r="X14">
        <v>1352</v>
      </c>
      <c r="Y14">
        <v>1563</v>
      </c>
      <c r="Z14">
        <v>1651</v>
      </c>
      <c r="AA14">
        <v>2874</v>
      </c>
      <c r="AB14">
        <v>968</v>
      </c>
      <c r="AC14">
        <v>1010</v>
      </c>
      <c r="AD14">
        <v>1741</v>
      </c>
      <c r="AE14">
        <v>2311</v>
      </c>
      <c r="AF14">
        <v>4767</v>
      </c>
      <c r="AG14">
        <v>133</v>
      </c>
      <c r="AH14">
        <v>1158</v>
      </c>
      <c r="AI14">
        <v>138</v>
      </c>
      <c r="AJ14">
        <v>1336</v>
      </c>
      <c r="AK14">
        <v>771</v>
      </c>
      <c r="AL14">
        <v>1159</v>
      </c>
      <c r="AM14">
        <v>230</v>
      </c>
      <c r="AN14">
        <v>1220</v>
      </c>
      <c r="AO14">
        <v>388</v>
      </c>
      <c r="AP14">
        <v>1224</v>
      </c>
      <c r="AQ14">
        <v>550</v>
      </c>
      <c r="AR14">
        <v>379</v>
      </c>
      <c r="AS14">
        <v>1315</v>
      </c>
      <c r="AT14">
        <v>1929</v>
      </c>
      <c r="AU14">
        <v>2751</v>
      </c>
      <c r="AV14">
        <v>47</v>
      </c>
      <c r="AW14">
        <v>104</v>
      </c>
      <c r="AX14">
        <v>139</v>
      </c>
      <c r="AY14">
        <v>844</v>
      </c>
      <c r="AZ14">
        <v>310</v>
      </c>
      <c r="BA14">
        <v>11072</v>
      </c>
      <c r="BB14">
        <v>2016</v>
      </c>
      <c r="BC14">
        <v>9045</v>
      </c>
      <c r="BD14">
        <v>3493</v>
      </c>
      <c r="BE14">
        <v>9330</v>
      </c>
      <c r="BF14">
        <v>2053</v>
      </c>
      <c r="BG14">
        <v>1245</v>
      </c>
      <c r="BH14">
        <v>3213</v>
      </c>
      <c r="BI14">
        <v>2381</v>
      </c>
      <c r="BJ14">
        <v>1533</v>
      </c>
      <c r="BK14">
        <v>79</v>
      </c>
      <c r="BL14">
        <v>190</v>
      </c>
      <c r="BM14">
        <v>79</v>
      </c>
      <c r="BN14">
        <v>242</v>
      </c>
      <c r="BO14">
        <v>37</v>
      </c>
      <c r="BP14">
        <v>13</v>
      </c>
      <c r="BQ14">
        <v>85</v>
      </c>
      <c r="BR14">
        <v>12</v>
      </c>
      <c r="BS14">
        <v>79</v>
      </c>
      <c r="BT14">
        <v>2</v>
      </c>
      <c r="BU14">
        <v>13</v>
      </c>
      <c r="BV14">
        <v>484</v>
      </c>
      <c r="BW14">
        <v>13</v>
      </c>
      <c r="BX14">
        <v>488</v>
      </c>
      <c r="BY14">
        <v>1</v>
      </c>
      <c r="BZ14">
        <v>4472</v>
      </c>
      <c r="CA14">
        <v>46346</v>
      </c>
      <c r="CB14">
        <v>5327</v>
      </c>
      <c r="CC14">
        <v>67087</v>
      </c>
      <c r="CD14">
        <v>7710</v>
      </c>
      <c r="CE14">
        <v>12551</v>
      </c>
      <c r="CF14">
        <v>39925</v>
      </c>
      <c r="CG14">
        <v>13847</v>
      </c>
      <c r="CH14">
        <v>44411</v>
      </c>
      <c r="CI14">
        <v>8351</v>
      </c>
    </row>
    <row r="15" spans="1:87" x14ac:dyDescent="0.4">
      <c r="A15" s="1" t="s">
        <v>18</v>
      </c>
      <c r="B15" s="1" t="s">
        <v>19</v>
      </c>
      <c r="C15">
        <v>24216</v>
      </c>
      <c r="D15">
        <v>414</v>
      </c>
      <c r="E15">
        <v>27196</v>
      </c>
      <c r="F15">
        <v>586</v>
      </c>
      <c r="G15">
        <v>21785</v>
      </c>
      <c r="H15">
        <v>548</v>
      </c>
      <c r="I15">
        <v>571</v>
      </c>
      <c r="J15">
        <v>481</v>
      </c>
      <c r="K15">
        <v>967</v>
      </c>
      <c r="L15">
        <v>989</v>
      </c>
      <c r="M15">
        <v>622</v>
      </c>
      <c r="N15">
        <v>246</v>
      </c>
      <c r="O15">
        <v>2428</v>
      </c>
      <c r="P15">
        <v>391</v>
      </c>
      <c r="Q15">
        <v>4180</v>
      </c>
      <c r="R15">
        <v>518</v>
      </c>
      <c r="S15">
        <v>329</v>
      </c>
      <c r="T15">
        <v>670</v>
      </c>
      <c r="U15">
        <v>478</v>
      </c>
      <c r="V15">
        <v>1605</v>
      </c>
      <c r="W15">
        <v>1479</v>
      </c>
      <c r="X15">
        <v>1642</v>
      </c>
      <c r="Y15">
        <v>1243</v>
      </c>
      <c r="Z15">
        <v>1449</v>
      </c>
      <c r="AA15">
        <v>3231</v>
      </c>
      <c r="AB15">
        <v>1169</v>
      </c>
      <c r="AC15">
        <v>1326</v>
      </c>
      <c r="AD15">
        <v>1592</v>
      </c>
      <c r="AE15">
        <v>2269</v>
      </c>
      <c r="AF15">
        <v>4874</v>
      </c>
      <c r="AG15">
        <v>170</v>
      </c>
      <c r="AH15">
        <v>1250</v>
      </c>
      <c r="AI15">
        <v>165</v>
      </c>
      <c r="AJ15">
        <v>1487</v>
      </c>
      <c r="AK15">
        <v>779</v>
      </c>
      <c r="AL15">
        <v>1001</v>
      </c>
      <c r="AM15">
        <v>240</v>
      </c>
      <c r="AN15">
        <v>1110</v>
      </c>
      <c r="AO15">
        <v>365</v>
      </c>
      <c r="AP15">
        <v>1194</v>
      </c>
      <c r="AQ15">
        <v>439</v>
      </c>
      <c r="AR15">
        <v>353</v>
      </c>
      <c r="AS15">
        <v>1308</v>
      </c>
      <c r="AT15">
        <v>1883</v>
      </c>
      <c r="AU15">
        <v>2680</v>
      </c>
      <c r="AV15">
        <v>46</v>
      </c>
      <c r="AW15">
        <v>109</v>
      </c>
      <c r="AX15">
        <v>108</v>
      </c>
      <c r="AY15">
        <v>673</v>
      </c>
      <c r="AZ15">
        <v>318</v>
      </c>
      <c r="BA15">
        <v>10463</v>
      </c>
      <c r="BB15">
        <v>2054</v>
      </c>
      <c r="BC15">
        <v>6244</v>
      </c>
      <c r="BD15">
        <v>2747</v>
      </c>
      <c r="BE15">
        <v>9856</v>
      </c>
      <c r="BF15">
        <v>2182</v>
      </c>
      <c r="BG15">
        <v>1378</v>
      </c>
      <c r="BH15">
        <v>1968</v>
      </c>
      <c r="BI15">
        <v>1653</v>
      </c>
      <c r="BJ15">
        <v>1872</v>
      </c>
      <c r="BK15">
        <v>85</v>
      </c>
      <c r="BL15">
        <v>256</v>
      </c>
      <c r="BM15">
        <v>84</v>
      </c>
      <c r="BN15">
        <v>305</v>
      </c>
      <c r="BO15">
        <v>38</v>
      </c>
      <c r="BP15">
        <v>11</v>
      </c>
      <c r="BQ15">
        <v>82</v>
      </c>
      <c r="BR15">
        <v>11</v>
      </c>
      <c r="BS15">
        <v>73</v>
      </c>
      <c r="BT15">
        <v>3</v>
      </c>
      <c r="BU15">
        <v>14</v>
      </c>
      <c r="BV15">
        <v>464</v>
      </c>
      <c r="BW15">
        <v>14</v>
      </c>
      <c r="BX15">
        <v>465</v>
      </c>
      <c r="BY15">
        <v>1</v>
      </c>
      <c r="BZ15">
        <v>4569</v>
      </c>
      <c r="CA15">
        <v>44768</v>
      </c>
      <c r="CB15">
        <v>4592</v>
      </c>
      <c r="CC15">
        <v>54352</v>
      </c>
      <c r="CD15">
        <v>8134</v>
      </c>
      <c r="CE15">
        <v>12145</v>
      </c>
      <c r="CF15">
        <v>37893</v>
      </c>
      <c r="CG15">
        <v>12376</v>
      </c>
      <c r="CH15">
        <v>39480</v>
      </c>
      <c r="CI15">
        <v>8358</v>
      </c>
    </row>
    <row r="16" spans="1:87" x14ac:dyDescent="0.4">
      <c r="A16" s="1" t="s">
        <v>20</v>
      </c>
      <c r="B16" s="1" t="s">
        <v>21</v>
      </c>
      <c r="C16">
        <v>21216</v>
      </c>
      <c r="D16">
        <v>382</v>
      </c>
      <c r="E16">
        <v>24704</v>
      </c>
      <c r="F16">
        <v>513</v>
      </c>
      <c r="G16">
        <v>20050</v>
      </c>
      <c r="H16">
        <v>539</v>
      </c>
      <c r="I16">
        <v>524</v>
      </c>
      <c r="J16">
        <v>502</v>
      </c>
      <c r="K16">
        <v>931</v>
      </c>
      <c r="L16">
        <v>988</v>
      </c>
      <c r="M16">
        <v>538</v>
      </c>
      <c r="N16">
        <v>201</v>
      </c>
      <c r="O16">
        <v>2300</v>
      </c>
      <c r="P16">
        <v>268</v>
      </c>
      <c r="Q16">
        <v>4070</v>
      </c>
      <c r="R16">
        <v>851</v>
      </c>
      <c r="S16">
        <v>531</v>
      </c>
      <c r="T16">
        <v>584</v>
      </c>
      <c r="U16">
        <v>390</v>
      </c>
      <c r="V16">
        <v>1825</v>
      </c>
      <c r="W16">
        <v>1351</v>
      </c>
      <c r="X16">
        <v>1202</v>
      </c>
      <c r="Y16">
        <v>1113</v>
      </c>
      <c r="Z16">
        <v>1263</v>
      </c>
      <c r="AA16">
        <v>3469</v>
      </c>
      <c r="AB16">
        <v>1213</v>
      </c>
      <c r="AC16">
        <v>1505</v>
      </c>
      <c r="AD16">
        <v>1311</v>
      </c>
      <c r="AE16">
        <v>1901</v>
      </c>
      <c r="AF16">
        <v>5202</v>
      </c>
      <c r="AG16">
        <v>143</v>
      </c>
      <c r="AH16">
        <v>1300</v>
      </c>
      <c r="AI16">
        <v>106</v>
      </c>
      <c r="AJ16">
        <v>1188</v>
      </c>
      <c r="AK16">
        <v>818</v>
      </c>
      <c r="AL16">
        <v>1041</v>
      </c>
      <c r="AM16">
        <v>231</v>
      </c>
      <c r="AN16">
        <v>985</v>
      </c>
      <c r="AO16">
        <v>352</v>
      </c>
      <c r="AP16">
        <v>1325</v>
      </c>
      <c r="AQ16">
        <v>390</v>
      </c>
      <c r="AR16">
        <v>342</v>
      </c>
      <c r="AS16">
        <v>1172</v>
      </c>
      <c r="AT16">
        <v>1679</v>
      </c>
      <c r="AU16">
        <v>2566</v>
      </c>
      <c r="AV16">
        <v>53</v>
      </c>
      <c r="AW16">
        <v>116</v>
      </c>
      <c r="AX16">
        <v>115</v>
      </c>
      <c r="AY16">
        <v>627</v>
      </c>
      <c r="AZ16">
        <v>344</v>
      </c>
      <c r="BA16">
        <v>9888</v>
      </c>
      <c r="BB16">
        <v>1823</v>
      </c>
      <c r="BC16">
        <v>5999</v>
      </c>
      <c r="BD16">
        <v>2642</v>
      </c>
      <c r="BE16">
        <v>11063</v>
      </c>
      <c r="BF16">
        <v>1990</v>
      </c>
      <c r="BG16">
        <v>1337</v>
      </c>
      <c r="BH16">
        <v>1866</v>
      </c>
      <c r="BI16">
        <v>1652</v>
      </c>
      <c r="BJ16">
        <v>2006</v>
      </c>
      <c r="BK16">
        <v>79</v>
      </c>
      <c r="BL16">
        <v>219</v>
      </c>
      <c r="BM16">
        <v>78</v>
      </c>
      <c r="BN16">
        <v>273</v>
      </c>
      <c r="BO16">
        <v>39</v>
      </c>
      <c r="BP16">
        <v>14</v>
      </c>
      <c r="BQ16">
        <v>89</v>
      </c>
      <c r="BR16">
        <v>13</v>
      </c>
      <c r="BS16">
        <v>83</v>
      </c>
      <c r="BT16">
        <v>3</v>
      </c>
      <c r="BU16">
        <v>12</v>
      </c>
      <c r="BV16">
        <v>416</v>
      </c>
      <c r="BW16">
        <v>12</v>
      </c>
      <c r="BX16">
        <v>418</v>
      </c>
      <c r="BY16">
        <v>1</v>
      </c>
      <c r="BZ16">
        <v>4403</v>
      </c>
      <c r="CA16">
        <v>42155</v>
      </c>
      <c r="CB16">
        <v>4515</v>
      </c>
      <c r="CC16">
        <v>53280</v>
      </c>
      <c r="CD16">
        <v>8444</v>
      </c>
      <c r="CE16">
        <v>12633</v>
      </c>
      <c r="CF16">
        <v>38106</v>
      </c>
      <c r="CG16">
        <v>12821</v>
      </c>
      <c r="CH16">
        <v>39575</v>
      </c>
      <c r="CI16">
        <v>8365</v>
      </c>
    </row>
    <row r="17" spans="1:87" x14ac:dyDescent="0.4">
      <c r="A17" s="1" t="s">
        <v>22</v>
      </c>
      <c r="B17" s="1" t="s">
        <v>23</v>
      </c>
      <c r="C17">
        <v>21928</v>
      </c>
      <c r="D17">
        <v>375</v>
      </c>
      <c r="E17">
        <v>24326</v>
      </c>
      <c r="F17">
        <v>505</v>
      </c>
      <c r="G17">
        <v>21001</v>
      </c>
      <c r="H17">
        <v>533</v>
      </c>
      <c r="I17">
        <v>478</v>
      </c>
      <c r="J17">
        <v>576</v>
      </c>
      <c r="K17">
        <v>988</v>
      </c>
      <c r="L17">
        <v>1024</v>
      </c>
      <c r="M17">
        <v>600</v>
      </c>
      <c r="N17">
        <v>194</v>
      </c>
      <c r="O17">
        <v>2574</v>
      </c>
      <c r="P17">
        <v>221</v>
      </c>
      <c r="Q17">
        <v>3939</v>
      </c>
      <c r="R17">
        <v>447</v>
      </c>
      <c r="S17">
        <v>227</v>
      </c>
      <c r="T17">
        <v>515</v>
      </c>
      <c r="U17">
        <v>351</v>
      </c>
      <c r="V17">
        <v>1717</v>
      </c>
      <c r="W17">
        <v>1583</v>
      </c>
      <c r="X17">
        <v>1551</v>
      </c>
      <c r="Y17">
        <v>966</v>
      </c>
      <c r="Z17">
        <v>1110</v>
      </c>
      <c r="AA17">
        <v>4154</v>
      </c>
      <c r="AB17">
        <v>1226</v>
      </c>
      <c r="AC17">
        <v>1354</v>
      </c>
      <c r="AD17">
        <v>1257</v>
      </c>
      <c r="AE17">
        <v>1786</v>
      </c>
      <c r="AF17">
        <v>5763</v>
      </c>
      <c r="AG17">
        <v>103</v>
      </c>
      <c r="AH17">
        <v>1260</v>
      </c>
      <c r="AI17">
        <v>85</v>
      </c>
      <c r="AJ17">
        <v>1242</v>
      </c>
      <c r="AK17">
        <v>841</v>
      </c>
      <c r="AL17">
        <v>1071</v>
      </c>
      <c r="AM17">
        <v>238</v>
      </c>
      <c r="AN17">
        <v>910</v>
      </c>
      <c r="AO17">
        <v>321</v>
      </c>
      <c r="AP17">
        <v>1598</v>
      </c>
      <c r="AQ17">
        <v>440</v>
      </c>
      <c r="AR17">
        <v>351</v>
      </c>
      <c r="AS17">
        <v>1200</v>
      </c>
      <c r="AT17">
        <v>1730</v>
      </c>
      <c r="AU17">
        <v>2721</v>
      </c>
      <c r="AV17">
        <v>59</v>
      </c>
      <c r="AW17">
        <v>142</v>
      </c>
      <c r="AX17">
        <v>132</v>
      </c>
      <c r="AY17">
        <v>728</v>
      </c>
      <c r="AZ17">
        <v>356</v>
      </c>
      <c r="BA17">
        <v>10189</v>
      </c>
      <c r="BB17">
        <v>2068</v>
      </c>
      <c r="BC17">
        <v>6682</v>
      </c>
      <c r="BD17">
        <v>2953</v>
      </c>
      <c r="BE17">
        <v>11331</v>
      </c>
      <c r="BF17">
        <v>2060</v>
      </c>
      <c r="BG17">
        <v>1365</v>
      </c>
      <c r="BH17">
        <v>2042</v>
      </c>
      <c r="BI17">
        <v>1681</v>
      </c>
      <c r="BJ17">
        <v>1970</v>
      </c>
      <c r="BK17">
        <v>81</v>
      </c>
      <c r="BL17">
        <v>200</v>
      </c>
      <c r="BM17">
        <v>82</v>
      </c>
      <c r="BN17">
        <v>246</v>
      </c>
      <c r="BO17">
        <v>37</v>
      </c>
      <c r="BP17">
        <v>12</v>
      </c>
      <c r="BQ17">
        <v>84</v>
      </c>
      <c r="BR17">
        <v>11</v>
      </c>
      <c r="BS17">
        <v>77</v>
      </c>
      <c r="BT17">
        <v>4</v>
      </c>
      <c r="BU17">
        <v>14</v>
      </c>
      <c r="BV17">
        <v>520</v>
      </c>
      <c r="BW17">
        <v>14</v>
      </c>
      <c r="BX17">
        <v>522</v>
      </c>
      <c r="BY17">
        <v>1</v>
      </c>
      <c r="BZ17">
        <v>4432</v>
      </c>
      <c r="CA17">
        <v>45688</v>
      </c>
      <c r="CB17">
        <v>4697</v>
      </c>
      <c r="CC17">
        <v>58083</v>
      </c>
      <c r="CD17">
        <v>8619</v>
      </c>
      <c r="CE17">
        <v>13286</v>
      </c>
      <c r="CF17">
        <v>39919</v>
      </c>
      <c r="CG17">
        <v>13503</v>
      </c>
      <c r="CH17">
        <v>41886</v>
      </c>
      <c r="CI17">
        <v>8382</v>
      </c>
    </row>
    <row r="18" spans="1:87" x14ac:dyDescent="0.4">
      <c r="A18" s="1" t="s">
        <v>24</v>
      </c>
      <c r="B18" s="1" t="s">
        <v>25</v>
      </c>
      <c r="C18">
        <v>24068</v>
      </c>
      <c r="D18">
        <v>399</v>
      </c>
      <c r="E18">
        <v>24476</v>
      </c>
      <c r="F18">
        <v>522</v>
      </c>
      <c r="G18">
        <v>23086</v>
      </c>
      <c r="H18">
        <v>557</v>
      </c>
      <c r="I18">
        <v>596</v>
      </c>
      <c r="J18">
        <v>697</v>
      </c>
      <c r="K18">
        <v>1131</v>
      </c>
      <c r="L18">
        <v>985</v>
      </c>
      <c r="M18">
        <v>748</v>
      </c>
      <c r="N18">
        <v>258</v>
      </c>
      <c r="O18">
        <v>2227</v>
      </c>
      <c r="P18">
        <v>226</v>
      </c>
      <c r="Q18">
        <v>4308</v>
      </c>
      <c r="R18">
        <v>680</v>
      </c>
      <c r="S18">
        <v>487</v>
      </c>
      <c r="T18">
        <v>548</v>
      </c>
      <c r="U18">
        <v>381</v>
      </c>
      <c r="V18">
        <v>1819</v>
      </c>
      <c r="W18">
        <v>1570</v>
      </c>
      <c r="X18">
        <v>1584</v>
      </c>
      <c r="Y18">
        <v>1107</v>
      </c>
      <c r="Z18">
        <v>1380</v>
      </c>
      <c r="AA18">
        <v>4569</v>
      </c>
      <c r="AB18">
        <v>1219</v>
      </c>
      <c r="AC18">
        <v>1316</v>
      </c>
      <c r="AD18">
        <v>1317</v>
      </c>
      <c r="AE18">
        <v>1970</v>
      </c>
      <c r="AF18">
        <v>6261</v>
      </c>
      <c r="AG18">
        <v>156</v>
      </c>
      <c r="AH18">
        <v>1461</v>
      </c>
      <c r="AI18">
        <v>113</v>
      </c>
      <c r="AJ18">
        <v>1303</v>
      </c>
      <c r="AK18">
        <v>886</v>
      </c>
      <c r="AL18">
        <v>1345</v>
      </c>
      <c r="AM18">
        <v>334</v>
      </c>
      <c r="AN18">
        <v>916</v>
      </c>
      <c r="AO18">
        <v>327</v>
      </c>
      <c r="AP18">
        <v>2130</v>
      </c>
      <c r="AQ18">
        <v>494</v>
      </c>
      <c r="AR18">
        <v>454</v>
      </c>
      <c r="AS18">
        <v>1301</v>
      </c>
      <c r="AT18">
        <v>2004</v>
      </c>
      <c r="AU18">
        <v>2738</v>
      </c>
      <c r="AV18">
        <v>49</v>
      </c>
      <c r="AW18">
        <v>126</v>
      </c>
      <c r="AX18">
        <v>148</v>
      </c>
      <c r="AY18">
        <v>978</v>
      </c>
      <c r="AZ18">
        <v>339</v>
      </c>
      <c r="BA18">
        <v>10992</v>
      </c>
      <c r="BB18">
        <v>2193</v>
      </c>
      <c r="BC18">
        <v>6914</v>
      </c>
      <c r="BD18">
        <v>3198</v>
      </c>
      <c r="BE18">
        <v>11508</v>
      </c>
      <c r="BF18">
        <v>1985</v>
      </c>
      <c r="BG18">
        <v>1379</v>
      </c>
      <c r="BH18">
        <v>2103</v>
      </c>
      <c r="BI18">
        <v>1883</v>
      </c>
      <c r="BJ18">
        <v>1918</v>
      </c>
      <c r="BK18">
        <v>76</v>
      </c>
      <c r="BL18">
        <v>185</v>
      </c>
      <c r="BM18">
        <v>77</v>
      </c>
      <c r="BN18">
        <v>234</v>
      </c>
      <c r="BO18">
        <v>36</v>
      </c>
      <c r="BP18">
        <v>16</v>
      </c>
      <c r="BQ18">
        <v>109</v>
      </c>
      <c r="BR18">
        <v>16</v>
      </c>
      <c r="BS18">
        <v>111</v>
      </c>
      <c r="BT18">
        <v>3</v>
      </c>
      <c r="BU18">
        <v>18</v>
      </c>
      <c r="BV18">
        <v>516</v>
      </c>
      <c r="BW18">
        <v>18</v>
      </c>
      <c r="BX18">
        <v>518</v>
      </c>
      <c r="BY18">
        <v>1</v>
      </c>
      <c r="BZ18">
        <v>5072</v>
      </c>
      <c r="CA18">
        <v>53966</v>
      </c>
      <c r="CB18">
        <v>5725</v>
      </c>
      <c r="CC18">
        <v>73470</v>
      </c>
      <c r="CD18">
        <v>8340</v>
      </c>
      <c r="CE18">
        <v>15339</v>
      </c>
      <c r="CF18">
        <v>45067</v>
      </c>
      <c r="CG18">
        <v>15561</v>
      </c>
      <c r="CH18">
        <v>46846</v>
      </c>
      <c r="CI18">
        <v>8339</v>
      </c>
    </row>
    <row r="19" spans="1:87" x14ac:dyDescent="0.4">
      <c r="A19" s="1" t="s">
        <v>26</v>
      </c>
      <c r="B19" s="1" t="s">
        <v>27</v>
      </c>
      <c r="C19">
        <v>17938</v>
      </c>
      <c r="D19">
        <v>347</v>
      </c>
      <c r="E19">
        <v>23819</v>
      </c>
      <c r="F19">
        <v>504</v>
      </c>
      <c r="G19">
        <v>21611</v>
      </c>
      <c r="H19">
        <v>385</v>
      </c>
      <c r="I19">
        <v>458</v>
      </c>
      <c r="J19">
        <v>570</v>
      </c>
      <c r="K19">
        <v>951</v>
      </c>
      <c r="L19">
        <v>927</v>
      </c>
      <c r="M19">
        <v>552</v>
      </c>
      <c r="N19">
        <v>171</v>
      </c>
      <c r="O19">
        <v>2301</v>
      </c>
      <c r="P19">
        <v>172</v>
      </c>
      <c r="Q19">
        <v>4380</v>
      </c>
      <c r="R19">
        <v>635</v>
      </c>
      <c r="S19">
        <v>330</v>
      </c>
      <c r="T19">
        <v>543</v>
      </c>
      <c r="U19">
        <v>383</v>
      </c>
      <c r="V19">
        <v>1873</v>
      </c>
      <c r="W19">
        <v>648</v>
      </c>
      <c r="X19">
        <v>853</v>
      </c>
      <c r="Y19">
        <v>891</v>
      </c>
      <c r="Z19">
        <v>1058</v>
      </c>
      <c r="AA19">
        <v>4383</v>
      </c>
      <c r="AB19">
        <v>839</v>
      </c>
      <c r="AC19">
        <v>913</v>
      </c>
      <c r="AD19">
        <v>1273</v>
      </c>
      <c r="AE19">
        <v>1935</v>
      </c>
      <c r="AF19">
        <v>6307</v>
      </c>
      <c r="AG19">
        <v>104</v>
      </c>
      <c r="AH19">
        <v>1296</v>
      </c>
      <c r="AI19">
        <v>82</v>
      </c>
      <c r="AJ19">
        <v>1193</v>
      </c>
      <c r="AK19">
        <v>913</v>
      </c>
      <c r="AL19">
        <v>705</v>
      </c>
      <c r="AM19">
        <v>199</v>
      </c>
      <c r="AN19">
        <v>975</v>
      </c>
      <c r="AO19">
        <v>313</v>
      </c>
      <c r="AP19">
        <v>1947</v>
      </c>
      <c r="AQ19">
        <v>360</v>
      </c>
      <c r="AR19">
        <v>265</v>
      </c>
      <c r="AS19">
        <v>1134</v>
      </c>
      <c r="AT19">
        <v>1668</v>
      </c>
      <c r="AU19">
        <v>2621</v>
      </c>
      <c r="AV19">
        <v>46</v>
      </c>
      <c r="AW19">
        <v>123</v>
      </c>
      <c r="AX19">
        <v>123</v>
      </c>
      <c r="AY19">
        <v>735</v>
      </c>
      <c r="AZ19">
        <v>353</v>
      </c>
      <c r="BA19">
        <v>9546</v>
      </c>
      <c r="BB19">
        <v>1733</v>
      </c>
      <c r="BC19">
        <v>5837</v>
      </c>
      <c r="BD19">
        <v>2656</v>
      </c>
      <c r="BE19">
        <v>12242</v>
      </c>
      <c r="BF19">
        <v>2033</v>
      </c>
      <c r="BG19">
        <v>1275</v>
      </c>
      <c r="BH19">
        <v>1902</v>
      </c>
      <c r="BI19">
        <v>1560</v>
      </c>
      <c r="BJ19">
        <v>2046</v>
      </c>
      <c r="BK19">
        <v>80</v>
      </c>
      <c r="BL19">
        <v>178</v>
      </c>
      <c r="BM19">
        <v>80</v>
      </c>
      <c r="BN19">
        <v>220</v>
      </c>
      <c r="BO19">
        <v>36</v>
      </c>
      <c r="BP19">
        <v>10</v>
      </c>
      <c r="BQ19">
        <v>79</v>
      </c>
      <c r="BR19">
        <v>10</v>
      </c>
      <c r="BS19">
        <v>84</v>
      </c>
      <c r="BT19">
        <v>3</v>
      </c>
      <c r="BU19">
        <v>18</v>
      </c>
      <c r="BV19">
        <v>654</v>
      </c>
      <c r="BW19">
        <v>18</v>
      </c>
      <c r="BX19">
        <v>656</v>
      </c>
      <c r="BY19">
        <v>1</v>
      </c>
      <c r="BZ19">
        <v>3903</v>
      </c>
      <c r="CA19">
        <v>40442</v>
      </c>
      <c r="CB19">
        <v>4847</v>
      </c>
      <c r="CC19">
        <v>62705</v>
      </c>
      <c r="CD19">
        <v>7821</v>
      </c>
      <c r="CE19">
        <v>11272</v>
      </c>
      <c r="CF19">
        <v>32122</v>
      </c>
      <c r="CG19">
        <v>11327</v>
      </c>
      <c r="CH19">
        <v>33140</v>
      </c>
      <c r="CI19">
        <v>8485</v>
      </c>
    </row>
    <row r="20" spans="1:87" x14ac:dyDescent="0.4">
      <c r="A20" s="1" t="s">
        <v>28</v>
      </c>
      <c r="B20" s="1" t="s">
        <v>29</v>
      </c>
      <c r="C20">
        <v>20548</v>
      </c>
      <c r="D20">
        <v>338</v>
      </c>
      <c r="E20">
        <v>22494</v>
      </c>
      <c r="F20">
        <v>447</v>
      </c>
      <c r="G20">
        <v>20212</v>
      </c>
      <c r="H20">
        <v>439</v>
      </c>
      <c r="I20">
        <v>544</v>
      </c>
      <c r="J20">
        <v>537</v>
      </c>
      <c r="K20">
        <v>983</v>
      </c>
      <c r="L20">
        <v>889</v>
      </c>
      <c r="M20">
        <v>664</v>
      </c>
      <c r="N20">
        <v>219</v>
      </c>
      <c r="O20">
        <v>2289</v>
      </c>
      <c r="P20">
        <v>189</v>
      </c>
      <c r="Q20">
        <v>4457</v>
      </c>
      <c r="R20">
        <v>1018</v>
      </c>
      <c r="S20">
        <v>820</v>
      </c>
      <c r="T20">
        <v>613</v>
      </c>
      <c r="U20">
        <v>412</v>
      </c>
      <c r="V20">
        <v>2236</v>
      </c>
      <c r="W20">
        <v>1040</v>
      </c>
      <c r="X20">
        <v>974</v>
      </c>
      <c r="Y20">
        <v>1037</v>
      </c>
      <c r="Z20">
        <v>1224</v>
      </c>
      <c r="AA20">
        <v>4449</v>
      </c>
      <c r="AB20">
        <v>1010</v>
      </c>
      <c r="AC20">
        <v>1047</v>
      </c>
      <c r="AD20">
        <v>1309</v>
      </c>
      <c r="AE20">
        <v>1943</v>
      </c>
      <c r="AF20">
        <v>6532</v>
      </c>
      <c r="AG20">
        <v>111</v>
      </c>
      <c r="AH20">
        <v>1119</v>
      </c>
      <c r="AI20">
        <v>98</v>
      </c>
      <c r="AJ20">
        <v>1351</v>
      </c>
      <c r="AK20">
        <v>927</v>
      </c>
      <c r="AL20">
        <v>1074</v>
      </c>
      <c r="AM20">
        <v>228</v>
      </c>
      <c r="AN20">
        <v>1018</v>
      </c>
      <c r="AO20">
        <v>329</v>
      </c>
      <c r="AP20">
        <v>2093</v>
      </c>
      <c r="AQ20">
        <v>493</v>
      </c>
      <c r="AR20">
        <v>328</v>
      </c>
      <c r="AS20">
        <v>1180</v>
      </c>
      <c r="AT20">
        <v>1776</v>
      </c>
      <c r="AU20">
        <v>2705</v>
      </c>
      <c r="AV20">
        <v>51</v>
      </c>
      <c r="AW20">
        <v>135</v>
      </c>
      <c r="AX20">
        <v>156</v>
      </c>
      <c r="AY20">
        <v>899</v>
      </c>
      <c r="AZ20">
        <v>321</v>
      </c>
      <c r="BA20">
        <v>10368</v>
      </c>
      <c r="BB20">
        <v>1976</v>
      </c>
      <c r="BC20">
        <v>6746</v>
      </c>
      <c r="BD20">
        <v>3043</v>
      </c>
      <c r="BE20">
        <v>12065</v>
      </c>
      <c r="BF20">
        <v>2194</v>
      </c>
      <c r="BG20">
        <v>1537</v>
      </c>
      <c r="BH20">
        <v>2237</v>
      </c>
      <c r="BI20">
        <v>1860</v>
      </c>
      <c r="BJ20">
        <v>1929</v>
      </c>
      <c r="BK20">
        <v>72</v>
      </c>
      <c r="BL20">
        <v>192</v>
      </c>
      <c r="BM20">
        <v>70</v>
      </c>
      <c r="BN20">
        <v>248</v>
      </c>
      <c r="BO20">
        <v>38</v>
      </c>
      <c r="BP20">
        <v>13</v>
      </c>
      <c r="BQ20">
        <v>86</v>
      </c>
      <c r="BR20">
        <v>12</v>
      </c>
      <c r="BS20">
        <v>81</v>
      </c>
      <c r="BT20">
        <v>3</v>
      </c>
      <c r="BU20">
        <v>15</v>
      </c>
      <c r="BV20">
        <v>613</v>
      </c>
      <c r="BW20">
        <v>15</v>
      </c>
      <c r="BX20">
        <v>614</v>
      </c>
      <c r="BY20">
        <v>1</v>
      </c>
      <c r="BZ20">
        <v>4722</v>
      </c>
      <c r="CA20">
        <v>48694</v>
      </c>
      <c r="CB20">
        <v>5207</v>
      </c>
      <c r="CC20">
        <v>69102</v>
      </c>
      <c r="CD20">
        <v>7767</v>
      </c>
      <c r="CE20">
        <v>13560</v>
      </c>
      <c r="CF20">
        <v>42775</v>
      </c>
      <c r="CG20">
        <v>13711</v>
      </c>
      <c r="CH20">
        <v>44447</v>
      </c>
      <c r="CI20">
        <v>8564</v>
      </c>
    </row>
    <row r="21" spans="1:87" x14ac:dyDescent="0.4">
      <c r="A21" s="1" t="s">
        <v>30</v>
      </c>
      <c r="B21" s="1" t="s">
        <v>31</v>
      </c>
      <c r="C21">
        <v>23465</v>
      </c>
      <c r="D21">
        <v>410</v>
      </c>
      <c r="E21">
        <v>26182</v>
      </c>
      <c r="F21">
        <v>525</v>
      </c>
      <c r="G21">
        <v>19840</v>
      </c>
      <c r="H21">
        <v>508</v>
      </c>
      <c r="I21">
        <v>652</v>
      </c>
      <c r="J21">
        <v>569</v>
      </c>
      <c r="K21">
        <v>949</v>
      </c>
      <c r="L21">
        <v>829</v>
      </c>
      <c r="M21">
        <v>567</v>
      </c>
      <c r="N21">
        <v>160</v>
      </c>
      <c r="O21">
        <v>2148</v>
      </c>
      <c r="P21">
        <v>206</v>
      </c>
      <c r="Q21">
        <v>4523</v>
      </c>
      <c r="R21">
        <v>399</v>
      </c>
      <c r="S21">
        <v>247</v>
      </c>
      <c r="T21">
        <v>823</v>
      </c>
      <c r="U21">
        <v>629</v>
      </c>
      <c r="V21">
        <v>1734</v>
      </c>
      <c r="W21">
        <v>1006</v>
      </c>
      <c r="X21">
        <v>1266</v>
      </c>
      <c r="Y21">
        <v>1322</v>
      </c>
      <c r="Z21">
        <v>1582</v>
      </c>
      <c r="AA21">
        <v>4156</v>
      </c>
      <c r="AB21">
        <v>1436</v>
      </c>
      <c r="AC21">
        <v>1670</v>
      </c>
      <c r="AD21">
        <v>1814</v>
      </c>
      <c r="AE21">
        <v>2728</v>
      </c>
      <c r="AF21">
        <v>6695</v>
      </c>
      <c r="AG21">
        <v>131</v>
      </c>
      <c r="AH21">
        <v>1389</v>
      </c>
      <c r="AI21">
        <v>131</v>
      </c>
      <c r="AJ21">
        <v>1460</v>
      </c>
      <c r="AK21">
        <v>934</v>
      </c>
      <c r="AL21">
        <v>1111</v>
      </c>
      <c r="AM21">
        <v>260</v>
      </c>
      <c r="AN21">
        <v>1214</v>
      </c>
      <c r="AO21">
        <v>387</v>
      </c>
      <c r="AP21">
        <v>2131</v>
      </c>
      <c r="AQ21">
        <v>482</v>
      </c>
      <c r="AR21">
        <v>354</v>
      </c>
      <c r="AS21">
        <v>1466</v>
      </c>
      <c r="AT21">
        <v>2126</v>
      </c>
      <c r="AU21">
        <v>2611</v>
      </c>
      <c r="AV21">
        <v>50</v>
      </c>
      <c r="AW21">
        <v>152</v>
      </c>
      <c r="AX21">
        <v>155</v>
      </c>
      <c r="AY21">
        <v>972</v>
      </c>
      <c r="AZ21">
        <v>341</v>
      </c>
      <c r="BA21">
        <v>11126</v>
      </c>
      <c r="BB21">
        <v>2120</v>
      </c>
      <c r="BC21">
        <v>6598</v>
      </c>
      <c r="BD21">
        <v>3006</v>
      </c>
      <c r="BE21">
        <v>13148</v>
      </c>
      <c r="BF21">
        <v>2352</v>
      </c>
      <c r="BG21">
        <v>1595</v>
      </c>
      <c r="BH21">
        <v>2139</v>
      </c>
      <c r="BI21">
        <v>2043</v>
      </c>
      <c r="BJ21">
        <v>2316</v>
      </c>
      <c r="BK21">
        <v>88</v>
      </c>
      <c r="BL21">
        <v>214</v>
      </c>
      <c r="BM21">
        <v>90</v>
      </c>
      <c r="BN21">
        <v>263</v>
      </c>
      <c r="BO21">
        <v>36</v>
      </c>
      <c r="BP21">
        <v>12</v>
      </c>
      <c r="BQ21">
        <v>106</v>
      </c>
      <c r="BR21">
        <v>12</v>
      </c>
      <c r="BS21">
        <v>106</v>
      </c>
      <c r="BT21">
        <v>3</v>
      </c>
      <c r="BU21">
        <v>17</v>
      </c>
      <c r="BV21">
        <v>618</v>
      </c>
      <c r="BW21">
        <v>17</v>
      </c>
      <c r="BX21">
        <v>619</v>
      </c>
      <c r="BY21">
        <v>1</v>
      </c>
      <c r="BZ21">
        <v>5340</v>
      </c>
      <c r="CA21">
        <v>54472</v>
      </c>
      <c r="CB21">
        <v>5750</v>
      </c>
      <c r="CC21">
        <v>74937</v>
      </c>
      <c r="CD21">
        <v>7817</v>
      </c>
      <c r="CE21">
        <v>14584</v>
      </c>
      <c r="CF21">
        <v>45851</v>
      </c>
      <c r="CG21">
        <v>14810</v>
      </c>
      <c r="CH21">
        <v>47578</v>
      </c>
      <c r="CI21">
        <v>8542</v>
      </c>
    </row>
    <row r="22" spans="1:87" x14ac:dyDescent="0.4">
      <c r="A22" s="1" t="s">
        <v>32</v>
      </c>
      <c r="B22" s="1" t="s">
        <v>33</v>
      </c>
      <c r="C22">
        <v>22690</v>
      </c>
      <c r="D22">
        <v>383</v>
      </c>
      <c r="E22">
        <v>23902</v>
      </c>
      <c r="F22">
        <v>497</v>
      </c>
      <c r="G22">
        <v>22101</v>
      </c>
      <c r="H22">
        <v>484</v>
      </c>
      <c r="I22">
        <v>527</v>
      </c>
      <c r="J22">
        <v>553</v>
      </c>
      <c r="K22">
        <v>887</v>
      </c>
      <c r="L22">
        <v>817</v>
      </c>
      <c r="M22">
        <v>801</v>
      </c>
      <c r="N22">
        <v>270</v>
      </c>
      <c r="O22">
        <v>2141</v>
      </c>
      <c r="P22">
        <v>204</v>
      </c>
      <c r="Q22">
        <v>4974</v>
      </c>
      <c r="R22">
        <v>935</v>
      </c>
      <c r="S22">
        <v>733</v>
      </c>
      <c r="T22">
        <v>925</v>
      </c>
      <c r="U22">
        <v>762</v>
      </c>
      <c r="V22">
        <v>1688</v>
      </c>
      <c r="W22">
        <v>1098</v>
      </c>
      <c r="X22">
        <v>1456</v>
      </c>
      <c r="Y22">
        <v>1351</v>
      </c>
      <c r="Z22">
        <v>1599</v>
      </c>
      <c r="AA22">
        <v>3950</v>
      </c>
      <c r="AB22">
        <v>1132</v>
      </c>
      <c r="AC22">
        <v>1289</v>
      </c>
      <c r="AD22">
        <v>2260</v>
      </c>
      <c r="AE22">
        <v>3453</v>
      </c>
      <c r="AF22">
        <v>6123</v>
      </c>
      <c r="AG22">
        <v>116</v>
      </c>
      <c r="AH22">
        <v>1319</v>
      </c>
      <c r="AI22">
        <v>97</v>
      </c>
      <c r="AJ22">
        <v>1139</v>
      </c>
      <c r="AK22">
        <v>958</v>
      </c>
      <c r="AL22">
        <v>1076</v>
      </c>
      <c r="AM22">
        <v>227</v>
      </c>
      <c r="AN22">
        <v>1444</v>
      </c>
      <c r="AO22">
        <v>437</v>
      </c>
      <c r="AP22">
        <v>1846</v>
      </c>
      <c r="AQ22">
        <v>380</v>
      </c>
      <c r="AR22">
        <v>350</v>
      </c>
      <c r="AS22">
        <v>1440</v>
      </c>
      <c r="AT22">
        <v>2203</v>
      </c>
      <c r="AU22">
        <v>2383</v>
      </c>
      <c r="AV22">
        <v>53</v>
      </c>
      <c r="AW22">
        <v>154</v>
      </c>
      <c r="AX22">
        <v>147</v>
      </c>
      <c r="AY22">
        <v>931</v>
      </c>
      <c r="AZ22">
        <v>308</v>
      </c>
      <c r="BA22">
        <v>10472</v>
      </c>
      <c r="BB22">
        <v>2172</v>
      </c>
      <c r="BC22">
        <v>6494</v>
      </c>
      <c r="BD22">
        <v>2910</v>
      </c>
      <c r="BE22">
        <v>13174</v>
      </c>
      <c r="BF22">
        <v>2685</v>
      </c>
      <c r="BG22">
        <v>1716</v>
      </c>
      <c r="BH22">
        <v>2214</v>
      </c>
      <c r="BI22">
        <v>2036</v>
      </c>
      <c r="BJ22">
        <v>2544</v>
      </c>
      <c r="BK22">
        <v>81</v>
      </c>
      <c r="BL22">
        <v>224</v>
      </c>
      <c r="BM22">
        <v>81</v>
      </c>
      <c r="BN22">
        <v>276</v>
      </c>
      <c r="BO22">
        <v>36</v>
      </c>
      <c r="BP22">
        <v>15</v>
      </c>
      <c r="BQ22">
        <v>91</v>
      </c>
      <c r="BR22">
        <v>15</v>
      </c>
      <c r="BS22">
        <v>91</v>
      </c>
      <c r="BT22">
        <v>3</v>
      </c>
      <c r="BU22">
        <v>15</v>
      </c>
      <c r="BV22">
        <v>583</v>
      </c>
      <c r="BW22">
        <v>15</v>
      </c>
      <c r="BX22">
        <v>585</v>
      </c>
      <c r="BY22">
        <v>1</v>
      </c>
      <c r="BZ22">
        <v>5103</v>
      </c>
      <c r="CA22">
        <v>54029</v>
      </c>
      <c r="CB22">
        <v>5737</v>
      </c>
      <c r="CC22">
        <v>76025</v>
      </c>
      <c r="CD22">
        <v>7715</v>
      </c>
      <c r="CE22">
        <v>14432</v>
      </c>
      <c r="CF22">
        <v>43782</v>
      </c>
      <c r="CG22">
        <v>14503</v>
      </c>
      <c r="CH22">
        <v>45140</v>
      </c>
      <c r="CI22">
        <v>8668</v>
      </c>
    </row>
    <row r="23" spans="1:87" x14ac:dyDescent="0.4">
      <c r="A23" s="1" t="s">
        <v>34</v>
      </c>
      <c r="B23" s="1" t="s">
        <v>35</v>
      </c>
      <c r="C23">
        <v>23640</v>
      </c>
      <c r="D23">
        <v>385</v>
      </c>
      <c r="E23">
        <v>25041</v>
      </c>
      <c r="F23">
        <v>500</v>
      </c>
      <c r="G23">
        <v>21753</v>
      </c>
      <c r="H23">
        <v>511</v>
      </c>
      <c r="I23">
        <v>506</v>
      </c>
      <c r="J23">
        <v>458</v>
      </c>
      <c r="K23">
        <v>880</v>
      </c>
      <c r="L23">
        <v>746</v>
      </c>
      <c r="M23">
        <v>621</v>
      </c>
      <c r="N23">
        <v>187</v>
      </c>
      <c r="O23">
        <v>2047</v>
      </c>
      <c r="P23">
        <v>208</v>
      </c>
      <c r="Q23">
        <v>5119</v>
      </c>
      <c r="R23">
        <v>1130</v>
      </c>
      <c r="S23">
        <v>835</v>
      </c>
      <c r="T23">
        <v>1079</v>
      </c>
      <c r="U23">
        <v>839</v>
      </c>
      <c r="V23">
        <v>1692</v>
      </c>
      <c r="W23">
        <v>859</v>
      </c>
      <c r="X23">
        <v>911</v>
      </c>
      <c r="Y23">
        <v>1623</v>
      </c>
      <c r="Z23">
        <v>1909</v>
      </c>
      <c r="AA23">
        <v>3208</v>
      </c>
      <c r="AB23">
        <v>1286</v>
      </c>
      <c r="AC23">
        <v>1385</v>
      </c>
      <c r="AD23">
        <v>2647</v>
      </c>
      <c r="AE23">
        <v>3845</v>
      </c>
      <c r="AF23">
        <v>5119</v>
      </c>
      <c r="AG23">
        <v>117</v>
      </c>
      <c r="AH23">
        <v>1217</v>
      </c>
      <c r="AI23">
        <v>121</v>
      </c>
      <c r="AJ23">
        <v>1417</v>
      </c>
      <c r="AK23">
        <v>956</v>
      </c>
      <c r="AL23">
        <v>866</v>
      </c>
      <c r="AM23">
        <v>220</v>
      </c>
      <c r="AN23">
        <v>1365</v>
      </c>
      <c r="AO23">
        <v>402</v>
      </c>
      <c r="AP23">
        <v>1417</v>
      </c>
      <c r="AQ23">
        <v>445</v>
      </c>
      <c r="AR23">
        <v>409</v>
      </c>
      <c r="AS23">
        <v>1433</v>
      </c>
      <c r="AT23">
        <v>2218</v>
      </c>
      <c r="AU23">
        <v>2581</v>
      </c>
      <c r="AV23">
        <v>50</v>
      </c>
      <c r="AW23">
        <v>139</v>
      </c>
      <c r="AX23">
        <v>147</v>
      </c>
      <c r="AY23">
        <v>960</v>
      </c>
      <c r="AZ23">
        <v>302</v>
      </c>
      <c r="BA23">
        <v>10383</v>
      </c>
      <c r="BB23">
        <v>2152</v>
      </c>
      <c r="BC23">
        <v>6487</v>
      </c>
      <c r="BD23">
        <v>2946</v>
      </c>
      <c r="BE23">
        <v>12708</v>
      </c>
      <c r="BF23">
        <v>2278</v>
      </c>
      <c r="BG23">
        <v>1507</v>
      </c>
      <c r="BH23">
        <v>2371</v>
      </c>
      <c r="BI23">
        <v>2111</v>
      </c>
      <c r="BJ23">
        <v>2553</v>
      </c>
      <c r="BK23">
        <v>88</v>
      </c>
      <c r="BL23">
        <v>212</v>
      </c>
      <c r="BM23">
        <v>88</v>
      </c>
      <c r="BN23">
        <v>262</v>
      </c>
      <c r="BO23">
        <v>36</v>
      </c>
      <c r="BP23">
        <v>19</v>
      </c>
      <c r="BQ23">
        <v>112</v>
      </c>
      <c r="BR23">
        <v>19</v>
      </c>
      <c r="BS23">
        <v>107</v>
      </c>
      <c r="BT23">
        <v>2</v>
      </c>
      <c r="BU23">
        <v>16</v>
      </c>
      <c r="BV23">
        <v>569</v>
      </c>
      <c r="BW23">
        <v>16</v>
      </c>
      <c r="BX23">
        <v>571</v>
      </c>
      <c r="BY23">
        <v>1</v>
      </c>
      <c r="BZ23">
        <v>4901</v>
      </c>
      <c r="CA23">
        <v>53543</v>
      </c>
      <c r="CB23">
        <v>5506</v>
      </c>
      <c r="CC23">
        <v>72217</v>
      </c>
      <c r="CD23">
        <v>7731</v>
      </c>
      <c r="CE23">
        <v>14071</v>
      </c>
      <c r="CF23">
        <v>42460</v>
      </c>
      <c r="CG23">
        <v>14109</v>
      </c>
      <c r="CH23">
        <v>43786</v>
      </c>
      <c r="CI23">
        <v>8796</v>
      </c>
    </row>
    <row r="24" spans="1:87" x14ac:dyDescent="0.4">
      <c r="A24" s="1" t="s">
        <v>36</v>
      </c>
      <c r="B24" s="1" t="s">
        <v>37</v>
      </c>
      <c r="C24">
        <v>20642</v>
      </c>
      <c r="D24">
        <v>367</v>
      </c>
      <c r="E24">
        <v>21938</v>
      </c>
      <c r="F24">
        <v>457</v>
      </c>
      <c r="G24">
        <v>20405</v>
      </c>
      <c r="H24">
        <v>421</v>
      </c>
      <c r="I24">
        <v>494</v>
      </c>
      <c r="J24">
        <v>479</v>
      </c>
      <c r="K24">
        <v>890</v>
      </c>
      <c r="L24">
        <v>781</v>
      </c>
      <c r="M24">
        <v>690</v>
      </c>
      <c r="N24">
        <v>232</v>
      </c>
      <c r="O24">
        <v>2072</v>
      </c>
      <c r="P24">
        <v>168</v>
      </c>
      <c r="Q24">
        <v>4944</v>
      </c>
      <c r="R24">
        <v>205</v>
      </c>
      <c r="S24">
        <v>92</v>
      </c>
      <c r="T24">
        <v>709</v>
      </c>
      <c r="U24">
        <v>522</v>
      </c>
      <c r="V24">
        <v>1113</v>
      </c>
      <c r="W24">
        <v>1145</v>
      </c>
      <c r="X24">
        <v>1235</v>
      </c>
      <c r="Y24">
        <v>1353</v>
      </c>
      <c r="Z24">
        <v>1612</v>
      </c>
      <c r="AA24">
        <v>2980</v>
      </c>
      <c r="AB24">
        <v>1004</v>
      </c>
      <c r="AC24">
        <v>1108</v>
      </c>
      <c r="AD24">
        <v>1943</v>
      </c>
      <c r="AE24">
        <v>3146</v>
      </c>
      <c r="AF24">
        <v>4674</v>
      </c>
      <c r="AG24">
        <v>108</v>
      </c>
      <c r="AH24">
        <v>1192</v>
      </c>
      <c r="AI24">
        <v>91</v>
      </c>
      <c r="AJ24">
        <v>1193</v>
      </c>
      <c r="AK24">
        <v>977</v>
      </c>
      <c r="AL24">
        <v>944</v>
      </c>
      <c r="AM24">
        <v>202</v>
      </c>
      <c r="AN24">
        <v>1223</v>
      </c>
      <c r="AO24">
        <v>384</v>
      </c>
      <c r="AP24">
        <v>1258</v>
      </c>
      <c r="AQ24">
        <v>343</v>
      </c>
      <c r="AR24">
        <v>350</v>
      </c>
      <c r="AS24">
        <v>1206</v>
      </c>
      <c r="AT24">
        <v>1959</v>
      </c>
      <c r="AU24">
        <v>2862</v>
      </c>
      <c r="AV24">
        <v>48</v>
      </c>
      <c r="AW24">
        <v>139</v>
      </c>
      <c r="AX24">
        <v>142</v>
      </c>
      <c r="AY24">
        <v>896</v>
      </c>
      <c r="AZ24">
        <v>356</v>
      </c>
      <c r="BA24">
        <v>10340</v>
      </c>
      <c r="BB24">
        <v>1848</v>
      </c>
      <c r="BC24">
        <v>5965</v>
      </c>
      <c r="BD24">
        <v>2686</v>
      </c>
      <c r="BE24">
        <v>13373</v>
      </c>
      <c r="BF24">
        <v>1995</v>
      </c>
      <c r="BG24">
        <v>1491</v>
      </c>
      <c r="BH24">
        <v>1887</v>
      </c>
      <c r="BI24">
        <v>1883</v>
      </c>
      <c r="BJ24">
        <v>2791</v>
      </c>
      <c r="BK24">
        <v>82</v>
      </c>
      <c r="BL24">
        <v>257</v>
      </c>
      <c r="BM24">
        <v>81</v>
      </c>
      <c r="BN24">
        <v>304</v>
      </c>
      <c r="BO24">
        <v>33</v>
      </c>
      <c r="BP24">
        <v>18</v>
      </c>
      <c r="BQ24">
        <v>103</v>
      </c>
      <c r="BR24">
        <v>17</v>
      </c>
      <c r="BS24">
        <v>103</v>
      </c>
      <c r="BT24">
        <v>2</v>
      </c>
      <c r="BU24">
        <v>17</v>
      </c>
      <c r="BV24">
        <v>558</v>
      </c>
      <c r="BW24">
        <v>17</v>
      </c>
      <c r="BX24">
        <v>560</v>
      </c>
      <c r="BY24">
        <v>1</v>
      </c>
      <c r="BZ24">
        <v>4319</v>
      </c>
      <c r="CA24">
        <v>49773</v>
      </c>
      <c r="CB24">
        <v>5059</v>
      </c>
      <c r="CC24">
        <v>72463</v>
      </c>
      <c r="CD24">
        <v>6157</v>
      </c>
      <c r="CE24">
        <v>13773</v>
      </c>
      <c r="CF24">
        <v>41258</v>
      </c>
      <c r="CG24">
        <v>13974</v>
      </c>
      <c r="CH24">
        <v>41973</v>
      </c>
      <c r="CI24">
        <v>8812</v>
      </c>
    </row>
    <row r="25" spans="1:87" x14ac:dyDescent="0.4">
      <c r="A25" s="1" t="s">
        <v>38</v>
      </c>
      <c r="B25" s="1" t="s">
        <v>39</v>
      </c>
      <c r="C25">
        <v>20327</v>
      </c>
      <c r="D25">
        <v>339</v>
      </c>
      <c r="E25">
        <v>22083</v>
      </c>
      <c r="F25">
        <v>431</v>
      </c>
      <c r="G25">
        <v>18349</v>
      </c>
      <c r="H25">
        <v>445</v>
      </c>
      <c r="I25">
        <v>502</v>
      </c>
      <c r="J25">
        <v>426</v>
      </c>
      <c r="K25">
        <v>836</v>
      </c>
      <c r="L25">
        <v>722</v>
      </c>
      <c r="M25">
        <v>560</v>
      </c>
      <c r="N25">
        <v>158</v>
      </c>
      <c r="O25">
        <v>1749</v>
      </c>
      <c r="P25">
        <v>157</v>
      </c>
      <c r="Q25">
        <v>5055</v>
      </c>
      <c r="R25">
        <v>794</v>
      </c>
      <c r="S25">
        <v>562</v>
      </c>
      <c r="T25">
        <v>688</v>
      </c>
      <c r="U25">
        <v>484</v>
      </c>
      <c r="V25">
        <v>1184</v>
      </c>
      <c r="W25">
        <v>834</v>
      </c>
      <c r="X25">
        <v>648</v>
      </c>
      <c r="Y25">
        <v>1273</v>
      </c>
      <c r="Z25">
        <v>1457</v>
      </c>
      <c r="AA25">
        <v>2559</v>
      </c>
      <c r="AB25">
        <v>1070</v>
      </c>
      <c r="AC25">
        <v>1117</v>
      </c>
      <c r="AD25">
        <v>1602</v>
      </c>
      <c r="AE25">
        <v>2721</v>
      </c>
      <c r="AF25">
        <v>4621</v>
      </c>
      <c r="AG25">
        <v>99</v>
      </c>
      <c r="AH25">
        <v>1190</v>
      </c>
      <c r="AI25">
        <v>124</v>
      </c>
      <c r="AJ25">
        <v>1206</v>
      </c>
      <c r="AK25">
        <v>954</v>
      </c>
      <c r="AL25">
        <v>914</v>
      </c>
      <c r="AM25">
        <v>216</v>
      </c>
      <c r="AN25">
        <v>961</v>
      </c>
      <c r="AO25">
        <v>323</v>
      </c>
      <c r="AP25">
        <v>1291</v>
      </c>
      <c r="AQ25">
        <v>387</v>
      </c>
      <c r="AR25">
        <v>299</v>
      </c>
      <c r="AS25">
        <v>1163</v>
      </c>
      <c r="AT25">
        <v>1815</v>
      </c>
      <c r="AU25">
        <v>2556</v>
      </c>
      <c r="AV25">
        <v>44</v>
      </c>
      <c r="AW25">
        <v>119</v>
      </c>
      <c r="AX25">
        <v>141</v>
      </c>
      <c r="AY25">
        <v>851</v>
      </c>
      <c r="AZ25">
        <v>329</v>
      </c>
      <c r="BA25">
        <v>9999</v>
      </c>
      <c r="BB25">
        <v>1920</v>
      </c>
      <c r="BC25">
        <v>6180</v>
      </c>
      <c r="BD25">
        <v>2788</v>
      </c>
      <c r="BE25">
        <v>12648</v>
      </c>
      <c r="BF25">
        <v>2097</v>
      </c>
      <c r="BG25">
        <v>1416</v>
      </c>
      <c r="BH25">
        <v>2096</v>
      </c>
      <c r="BI25">
        <v>1941</v>
      </c>
      <c r="BJ25">
        <v>2732</v>
      </c>
      <c r="BK25">
        <v>76</v>
      </c>
      <c r="BL25">
        <v>164</v>
      </c>
      <c r="BM25">
        <v>78</v>
      </c>
      <c r="BN25">
        <v>217</v>
      </c>
      <c r="BO25">
        <v>31</v>
      </c>
      <c r="BP25">
        <v>16</v>
      </c>
      <c r="BQ25">
        <v>129</v>
      </c>
      <c r="BR25">
        <v>15</v>
      </c>
      <c r="BS25">
        <v>123</v>
      </c>
      <c r="BT25">
        <v>1</v>
      </c>
      <c r="BU25">
        <v>20</v>
      </c>
      <c r="BV25">
        <v>611</v>
      </c>
      <c r="BW25">
        <v>20</v>
      </c>
      <c r="BX25">
        <v>613</v>
      </c>
      <c r="BY25">
        <v>0</v>
      </c>
      <c r="BZ25">
        <v>4190</v>
      </c>
      <c r="CA25">
        <v>48358</v>
      </c>
      <c r="CB25">
        <v>4998</v>
      </c>
      <c r="CC25">
        <v>72102</v>
      </c>
      <c r="CD25">
        <v>5907</v>
      </c>
      <c r="CE25">
        <v>13151</v>
      </c>
      <c r="CF25">
        <v>41617</v>
      </c>
      <c r="CG25">
        <v>13459</v>
      </c>
      <c r="CH25">
        <v>43356</v>
      </c>
      <c r="CI25">
        <v>8690</v>
      </c>
    </row>
    <row r="26" spans="1:87" x14ac:dyDescent="0.4">
      <c r="A26" s="1" t="s">
        <v>40</v>
      </c>
      <c r="B26" s="1" t="s">
        <v>41</v>
      </c>
      <c r="C26">
        <v>22677</v>
      </c>
      <c r="D26">
        <v>361</v>
      </c>
      <c r="E26">
        <v>20734</v>
      </c>
      <c r="F26">
        <v>421</v>
      </c>
      <c r="G26">
        <v>19355</v>
      </c>
      <c r="H26">
        <v>475</v>
      </c>
      <c r="I26">
        <v>515</v>
      </c>
      <c r="J26">
        <v>556</v>
      </c>
      <c r="K26">
        <v>961</v>
      </c>
      <c r="L26">
        <v>779</v>
      </c>
      <c r="M26">
        <v>710</v>
      </c>
      <c r="N26">
        <v>226</v>
      </c>
      <c r="O26">
        <v>909</v>
      </c>
      <c r="P26">
        <v>161</v>
      </c>
      <c r="Q26">
        <v>5254</v>
      </c>
      <c r="R26">
        <v>892</v>
      </c>
      <c r="S26">
        <v>570</v>
      </c>
      <c r="T26">
        <v>647</v>
      </c>
      <c r="U26">
        <v>456</v>
      </c>
      <c r="V26">
        <v>1368</v>
      </c>
      <c r="W26">
        <v>1247</v>
      </c>
      <c r="X26">
        <v>1103</v>
      </c>
      <c r="Y26">
        <v>1217</v>
      </c>
      <c r="Z26">
        <v>1460</v>
      </c>
      <c r="AA26">
        <v>2614</v>
      </c>
      <c r="AB26">
        <v>1071</v>
      </c>
      <c r="AC26">
        <v>1281</v>
      </c>
      <c r="AD26">
        <v>1524</v>
      </c>
      <c r="AE26">
        <v>2306</v>
      </c>
      <c r="AF26">
        <v>4723</v>
      </c>
      <c r="AG26">
        <v>81</v>
      </c>
      <c r="AH26">
        <v>1067</v>
      </c>
      <c r="AI26">
        <v>145</v>
      </c>
      <c r="AJ26">
        <v>1439</v>
      </c>
      <c r="AK26">
        <v>896</v>
      </c>
      <c r="AL26">
        <v>1009</v>
      </c>
      <c r="AM26">
        <v>225</v>
      </c>
      <c r="AN26">
        <v>1112</v>
      </c>
      <c r="AO26">
        <v>419</v>
      </c>
      <c r="AP26">
        <v>1304</v>
      </c>
      <c r="AQ26">
        <v>382</v>
      </c>
      <c r="AR26">
        <v>262</v>
      </c>
      <c r="AS26">
        <v>1203</v>
      </c>
      <c r="AT26">
        <v>1851</v>
      </c>
      <c r="AU26">
        <v>2628</v>
      </c>
      <c r="AV26">
        <v>44</v>
      </c>
      <c r="AW26">
        <v>106</v>
      </c>
      <c r="AX26">
        <v>141</v>
      </c>
      <c r="AY26">
        <v>806</v>
      </c>
      <c r="AZ26">
        <v>299</v>
      </c>
      <c r="BA26">
        <v>9703</v>
      </c>
      <c r="BB26">
        <v>1842</v>
      </c>
      <c r="BC26">
        <v>6806</v>
      </c>
      <c r="BD26">
        <v>3040</v>
      </c>
      <c r="BE26">
        <v>11059</v>
      </c>
      <c r="BF26">
        <v>2008</v>
      </c>
      <c r="BG26">
        <v>1279</v>
      </c>
      <c r="BH26">
        <v>2395</v>
      </c>
      <c r="BI26">
        <v>1931</v>
      </c>
      <c r="BJ26">
        <v>2262</v>
      </c>
      <c r="BK26">
        <v>83</v>
      </c>
      <c r="BL26">
        <v>170</v>
      </c>
      <c r="BM26">
        <v>82</v>
      </c>
      <c r="BN26">
        <v>208</v>
      </c>
      <c r="BO26">
        <v>33</v>
      </c>
      <c r="BP26">
        <v>11</v>
      </c>
      <c r="BQ26">
        <v>82</v>
      </c>
      <c r="BR26">
        <v>11</v>
      </c>
      <c r="BS26">
        <v>74</v>
      </c>
      <c r="BT26">
        <v>2</v>
      </c>
      <c r="BU26">
        <v>15</v>
      </c>
      <c r="BV26">
        <v>573</v>
      </c>
      <c r="BW26">
        <v>14</v>
      </c>
      <c r="BX26">
        <v>572</v>
      </c>
      <c r="BY26">
        <v>1</v>
      </c>
      <c r="BZ26">
        <v>4303</v>
      </c>
      <c r="CA26">
        <v>47354</v>
      </c>
      <c r="CB26">
        <v>4914</v>
      </c>
      <c r="CC26">
        <v>67522</v>
      </c>
      <c r="CD26">
        <v>5902</v>
      </c>
      <c r="CE26">
        <v>13758</v>
      </c>
      <c r="CF26">
        <v>43154</v>
      </c>
      <c r="CG26">
        <v>13949</v>
      </c>
      <c r="CH26">
        <v>44754</v>
      </c>
      <c r="CI26">
        <v>8735</v>
      </c>
    </row>
    <row r="27" spans="1:87" x14ac:dyDescent="0.4">
      <c r="A27" s="1" t="s">
        <v>42</v>
      </c>
      <c r="B27" s="1" t="s">
        <v>43</v>
      </c>
      <c r="C27">
        <v>24139</v>
      </c>
      <c r="D27">
        <v>389</v>
      </c>
      <c r="E27">
        <v>23306</v>
      </c>
      <c r="F27">
        <v>486</v>
      </c>
      <c r="G27">
        <v>21038</v>
      </c>
      <c r="H27">
        <v>443</v>
      </c>
      <c r="I27">
        <v>491</v>
      </c>
      <c r="J27">
        <v>522</v>
      </c>
      <c r="K27">
        <v>927</v>
      </c>
      <c r="L27">
        <v>697</v>
      </c>
      <c r="M27">
        <v>626</v>
      </c>
      <c r="N27">
        <v>188</v>
      </c>
      <c r="O27">
        <v>1318</v>
      </c>
      <c r="P27">
        <v>362</v>
      </c>
      <c r="Q27">
        <v>5027</v>
      </c>
      <c r="R27">
        <v>602</v>
      </c>
      <c r="S27">
        <v>322</v>
      </c>
      <c r="T27">
        <v>691</v>
      </c>
      <c r="U27">
        <v>502</v>
      </c>
      <c r="V27">
        <v>1249</v>
      </c>
      <c r="W27">
        <v>1136</v>
      </c>
      <c r="X27">
        <v>938</v>
      </c>
      <c r="Y27">
        <v>1176</v>
      </c>
      <c r="Z27">
        <v>1365</v>
      </c>
      <c r="AA27">
        <v>2640</v>
      </c>
      <c r="AB27">
        <v>1134</v>
      </c>
      <c r="AC27">
        <v>1319</v>
      </c>
      <c r="AD27">
        <v>1629</v>
      </c>
      <c r="AE27">
        <v>2637</v>
      </c>
      <c r="AF27">
        <v>4839</v>
      </c>
      <c r="AG27">
        <v>91</v>
      </c>
      <c r="AH27">
        <v>1286</v>
      </c>
      <c r="AI27">
        <v>80</v>
      </c>
      <c r="AJ27">
        <v>1375</v>
      </c>
      <c r="AK27">
        <v>914</v>
      </c>
      <c r="AL27">
        <v>970</v>
      </c>
      <c r="AM27">
        <v>254</v>
      </c>
      <c r="AN27">
        <v>994</v>
      </c>
      <c r="AO27">
        <v>333</v>
      </c>
      <c r="AP27">
        <v>1376</v>
      </c>
      <c r="AQ27">
        <v>476</v>
      </c>
      <c r="AR27">
        <v>345</v>
      </c>
      <c r="AS27">
        <v>1257</v>
      </c>
      <c r="AT27">
        <v>1833</v>
      </c>
      <c r="AU27">
        <v>2658</v>
      </c>
      <c r="AV27">
        <v>37</v>
      </c>
      <c r="AW27">
        <v>101</v>
      </c>
      <c r="AX27">
        <v>155</v>
      </c>
      <c r="AY27">
        <v>750</v>
      </c>
      <c r="AZ27">
        <v>335</v>
      </c>
      <c r="BA27">
        <v>11124</v>
      </c>
      <c r="BB27">
        <v>2135</v>
      </c>
      <c r="BC27">
        <v>6764</v>
      </c>
      <c r="BD27">
        <v>3080</v>
      </c>
      <c r="BE27">
        <v>11341</v>
      </c>
      <c r="BF27">
        <v>2195</v>
      </c>
      <c r="BG27">
        <v>1387</v>
      </c>
      <c r="BH27">
        <v>2176</v>
      </c>
      <c r="BI27">
        <v>1808</v>
      </c>
      <c r="BJ27">
        <v>2409</v>
      </c>
      <c r="BK27">
        <v>86</v>
      </c>
      <c r="BL27">
        <v>244</v>
      </c>
      <c r="BM27">
        <v>85</v>
      </c>
      <c r="BN27">
        <v>296</v>
      </c>
      <c r="BO27">
        <v>32</v>
      </c>
      <c r="BP27">
        <v>13</v>
      </c>
      <c r="BQ27">
        <v>79</v>
      </c>
      <c r="BR27">
        <v>13</v>
      </c>
      <c r="BS27">
        <v>85</v>
      </c>
      <c r="BT27">
        <v>1</v>
      </c>
      <c r="BU27">
        <v>13</v>
      </c>
      <c r="BV27">
        <v>429</v>
      </c>
      <c r="BW27">
        <v>12</v>
      </c>
      <c r="BX27">
        <v>427</v>
      </c>
      <c r="BY27">
        <v>0</v>
      </c>
      <c r="BZ27">
        <v>4190</v>
      </c>
      <c r="CA27">
        <v>44529</v>
      </c>
      <c r="CB27">
        <v>4449</v>
      </c>
      <c r="CC27">
        <v>58523</v>
      </c>
      <c r="CD27">
        <v>6317</v>
      </c>
      <c r="CE27">
        <v>13243</v>
      </c>
      <c r="CF27">
        <v>38941</v>
      </c>
      <c r="CG27">
        <v>14071</v>
      </c>
      <c r="CH27">
        <v>42590</v>
      </c>
      <c r="CI27">
        <v>8024</v>
      </c>
    </row>
    <row r="28" spans="1:87" x14ac:dyDescent="0.4">
      <c r="A28" s="1" t="s">
        <v>44</v>
      </c>
      <c r="B28" s="1" t="s">
        <v>45</v>
      </c>
      <c r="C28">
        <v>21889</v>
      </c>
      <c r="D28">
        <v>358</v>
      </c>
      <c r="E28">
        <v>22751</v>
      </c>
      <c r="F28">
        <v>448</v>
      </c>
      <c r="G28">
        <v>21395</v>
      </c>
      <c r="H28">
        <v>418</v>
      </c>
      <c r="I28">
        <v>534</v>
      </c>
      <c r="J28">
        <v>596</v>
      </c>
      <c r="K28">
        <v>926</v>
      </c>
      <c r="L28">
        <v>715</v>
      </c>
      <c r="M28">
        <v>637</v>
      </c>
      <c r="N28">
        <v>220</v>
      </c>
      <c r="O28">
        <v>1037</v>
      </c>
      <c r="P28">
        <v>201</v>
      </c>
      <c r="Q28">
        <v>5025</v>
      </c>
      <c r="R28">
        <v>595</v>
      </c>
      <c r="S28">
        <v>427</v>
      </c>
      <c r="T28">
        <v>557</v>
      </c>
      <c r="U28">
        <v>392</v>
      </c>
      <c r="V28">
        <v>1237</v>
      </c>
      <c r="W28">
        <v>995</v>
      </c>
      <c r="X28">
        <v>793</v>
      </c>
      <c r="Y28">
        <v>919</v>
      </c>
      <c r="Z28">
        <v>1117</v>
      </c>
      <c r="AA28">
        <v>2825</v>
      </c>
      <c r="AB28">
        <v>1052</v>
      </c>
      <c r="AC28">
        <v>1303</v>
      </c>
      <c r="AD28">
        <v>1260</v>
      </c>
      <c r="AE28">
        <v>1976</v>
      </c>
      <c r="AF28">
        <v>5148</v>
      </c>
      <c r="AG28">
        <v>78</v>
      </c>
      <c r="AH28">
        <v>1129</v>
      </c>
      <c r="AI28">
        <v>85</v>
      </c>
      <c r="AJ28">
        <v>1288</v>
      </c>
      <c r="AK28">
        <v>911</v>
      </c>
      <c r="AL28">
        <v>1074</v>
      </c>
      <c r="AM28">
        <v>238</v>
      </c>
      <c r="AN28">
        <v>1021</v>
      </c>
      <c r="AO28">
        <v>334</v>
      </c>
      <c r="AP28">
        <v>1577</v>
      </c>
      <c r="AQ28">
        <v>341</v>
      </c>
      <c r="AR28">
        <v>277</v>
      </c>
      <c r="AS28">
        <v>1114</v>
      </c>
      <c r="AT28">
        <v>1660</v>
      </c>
      <c r="AU28">
        <v>2871</v>
      </c>
      <c r="AV28">
        <v>45</v>
      </c>
      <c r="AW28">
        <v>120</v>
      </c>
      <c r="AX28">
        <v>141</v>
      </c>
      <c r="AY28">
        <v>703</v>
      </c>
      <c r="AZ28">
        <v>331</v>
      </c>
      <c r="BA28">
        <v>10024</v>
      </c>
      <c r="BB28">
        <v>2038</v>
      </c>
      <c r="BC28">
        <v>6322</v>
      </c>
      <c r="BD28">
        <v>2912</v>
      </c>
      <c r="BE28">
        <v>11119</v>
      </c>
      <c r="BF28">
        <v>2093</v>
      </c>
      <c r="BG28">
        <v>1406</v>
      </c>
      <c r="BH28">
        <v>2044</v>
      </c>
      <c r="BI28">
        <v>1728</v>
      </c>
      <c r="BJ28">
        <v>2514</v>
      </c>
      <c r="BK28">
        <v>78</v>
      </c>
      <c r="BL28">
        <v>278</v>
      </c>
      <c r="BM28">
        <v>79</v>
      </c>
      <c r="BN28">
        <v>331</v>
      </c>
      <c r="BO28">
        <v>31</v>
      </c>
      <c r="BP28">
        <v>11</v>
      </c>
      <c r="BQ28">
        <v>59</v>
      </c>
      <c r="BR28">
        <v>10</v>
      </c>
      <c r="BS28">
        <v>66</v>
      </c>
      <c r="BT28">
        <v>2</v>
      </c>
      <c r="BU28">
        <v>10</v>
      </c>
      <c r="BV28">
        <v>385</v>
      </c>
      <c r="BW28">
        <v>10</v>
      </c>
      <c r="BX28">
        <v>386</v>
      </c>
      <c r="BY28">
        <v>0</v>
      </c>
      <c r="BZ28">
        <v>3936</v>
      </c>
      <c r="CA28">
        <v>42507</v>
      </c>
      <c r="CB28">
        <v>4285</v>
      </c>
      <c r="CC28">
        <v>55554</v>
      </c>
      <c r="CD28">
        <v>6647</v>
      </c>
      <c r="CE28">
        <v>13319</v>
      </c>
      <c r="CF28">
        <v>39037</v>
      </c>
      <c r="CG28">
        <v>13148</v>
      </c>
      <c r="CH28">
        <v>39364</v>
      </c>
      <c r="CI28">
        <v>8385</v>
      </c>
    </row>
    <row r="29" spans="1:87" x14ac:dyDescent="0.4">
      <c r="A29" s="1" t="s">
        <v>46</v>
      </c>
      <c r="B29" s="1" t="s">
        <v>47</v>
      </c>
      <c r="C29">
        <v>26243</v>
      </c>
      <c r="D29">
        <v>398</v>
      </c>
      <c r="E29">
        <v>22643</v>
      </c>
      <c r="F29">
        <v>462</v>
      </c>
      <c r="G29">
        <v>23448</v>
      </c>
      <c r="H29">
        <v>460</v>
      </c>
      <c r="I29">
        <v>551</v>
      </c>
      <c r="J29">
        <v>499</v>
      </c>
      <c r="K29">
        <v>972</v>
      </c>
      <c r="L29">
        <v>693</v>
      </c>
      <c r="M29">
        <v>676</v>
      </c>
      <c r="N29">
        <v>232</v>
      </c>
      <c r="O29">
        <v>857</v>
      </c>
      <c r="P29">
        <v>161</v>
      </c>
      <c r="Q29">
        <v>5256</v>
      </c>
      <c r="R29">
        <v>1029</v>
      </c>
      <c r="S29">
        <v>834</v>
      </c>
      <c r="T29">
        <v>593</v>
      </c>
      <c r="U29">
        <v>412</v>
      </c>
      <c r="V29">
        <v>1628</v>
      </c>
      <c r="W29">
        <v>657</v>
      </c>
      <c r="X29">
        <v>631</v>
      </c>
      <c r="Y29">
        <v>1026</v>
      </c>
      <c r="Z29">
        <v>1170</v>
      </c>
      <c r="AA29">
        <v>2502</v>
      </c>
      <c r="AB29">
        <v>1289</v>
      </c>
      <c r="AC29">
        <v>1577</v>
      </c>
      <c r="AD29">
        <v>1163</v>
      </c>
      <c r="AE29">
        <v>1848</v>
      </c>
      <c r="AF29">
        <v>5787</v>
      </c>
      <c r="AG29">
        <v>76</v>
      </c>
      <c r="AH29">
        <v>1216</v>
      </c>
      <c r="AI29">
        <v>90</v>
      </c>
      <c r="AJ29">
        <v>1322</v>
      </c>
      <c r="AK29">
        <v>893</v>
      </c>
      <c r="AL29">
        <v>1071</v>
      </c>
      <c r="AM29">
        <v>249</v>
      </c>
      <c r="AN29">
        <v>835</v>
      </c>
      <c r="AO29">
        <v>292</v>
      </c>
      <c r="AP29">
        <v>1937</v>
      </c>
      <c r="AQ29">
        <v>312</v>
      </c>
      <c r="AR29">
        <v>302</v>
      </c>
      <c r="AS29">
        <v>1112</v>
      </c>
      <c r="AT29">
        <v>1803</v>
      </c>
      <c r="AU29">
        <v>2866</v>
      </c>
      <c r="AV29">
        <v>56</v>
      </c>
      <c r="AW29">
        <v>154</v>
      </c>
      <c r="AX29">
        <v>130</v>
      </c>
      <c r="AY29">
        <v>774</v>
      </c>
      <c r="AZ29">
        <v>354</v>
      </c>
      <c r="BA29">
        <v>10894</v>
      </c>
      <c r="BB29">
        <v>2140</v>
      </c>
      <c r="BC29">
        <v>6905</v>
      </c>
      <c r="BD29">
        <v>3170</v>
      </c>
      <c r="BE29">
        <v>11418</v>
      </c>
      <c r="BF29">
        <v>2507</v>
      </c>
      <c r="BG29">
        <v>1539</v>
      </c>
      <c r="BH29">
        <v>2239</v>
      </c>
      <c r="BI29">
        <v>1846</v>
      </c>
      <c r="BJ29">
        <v>2851</v>
      </c>
      <c r="BK29">
        <v>84</v>
      </c>
      <c r="BL29">
        <v>226</v>
      </c>
      <c r="BM29">
        <v>83</v>
      </c>
      <c r="BN29">
        <v>276</v>
      </c>
      <c r="BO29">
        <v>32</v>
      </c>
      <c r="BP29">
        <v>14</v>
      </c>
      <c r="BQ29">
        <v>81</v>
      </c>
      <c r="BR29">
        <v>14</v>
      </c>
      <c r="BS29">
        <v>98</v>
      </c>
      <c r="BT29">
        <v>1</v>
      </c>
      <c r="BU29">
        <v>12</v>
      </c>
      <c r="BV29">
        <v>470</v>
      </c>
      <c r="BW29">
        <v>12</v>
      </c>
      <c r="BX29">
        <v>471</v>
      </c>
      <c r="BY29">
        <v>0</v>
      </c>
      <c r="BZ29">
        <v>4388</v>
      </c>
      <c r="CA29">
        <v>49722</v>
      </c>
      <c r="CB29">
        <v>4803</v>
      </c>
      <c r="CC29">
        <v>63561</v>
      </c>
      <c r="CD29">
        <v>6710</v>
      </c>
      <c r="CE29">
        <v>13716</v>
      </c>
      <c r="CF29">
        <v>41975</v>
      </c>
      <c r="CG29">
        <v>13845</v>
      </c>
      <c r="CH29">
        <v>43234</v>
      </c>
      <c r="CI29">
        <v>8456</v>
      </c>
    </row>
    <row r="30" spans="1:87" x14ac:dyDescent="0.4">
      <c r="A30" s="1" t="s">
        <v>48</v>
      </c>
      <c r="B30" s="1" t="s">
        <v>49</v>
      </c>
      <c r="C30">
        <v>27781</v>
      </c>
      <c r="D30">
        <v>434</v>
      </c>
      <c r="E30">
        <v>24778</v>
      </c>
      <c r="F30">
        <v>486</v>
      </c>
      <c r="G30">
        <v>26155</v>
      </c>
      <c r="H30">
        <v>530</v>
      </c>
      <c r="I30">
        <v>576</v>
      </c>
      <c r="J30">
        <v>494</v>
      </c>
      <c r="K30">
        <v>947</v>
      </c>
      <c r="L30">
        <v>749</v>
      </c>
      <c r="M30">
        <v>443</v>
      </c>
      <c r="N30">
        <v>137</v>
      </c>
      <c r="O30">
        <v>883</v>
      </c>
      <c r="P30">
        <v>163</v>
      </c>
      <c r="Q30">
        <v>5231</v>
      </c>
      <c r="R30">
        <v>403</v>
      </c>
      <c r="S30">
        <v>263</v>
      </c>
      <c r="T30">
        <v>499</v>
      </c>
      <c r="U30">
        <v>368</v>
      </c>
      <c r="V30">
        <v>1480</v>
      </c>
      <c r="W30">
        <v>1375</v>
      </c>
      <c r="X30">
        <v>1611</v>
      </c>
      <c r="Y30">
        <v>790</v>
      </c>
      <c r="Z30">
        <v>979</v>
      </c>
      <c r="AA30">
        <v>3182</v>
      </c>
      <c r="AB30">
        <v>1172</v>
      </c>
      <c r="AC30">
        <v>1528</v>
      </c>
      <c r="AD30">
        <v>1210</v>
      </c>
      <c r="AE30">
        <v>1912</v>
      </c>
      <c r="AF30">
        <v>6242</v>
      </c>
      <c r="AG30">
        <v>86</v>
      </c>
      <c r="AH30">
        <v>1719</v>
      </c>
      <c r="AI30">
        <v>96</v>
      </c>
      <c r="AJ30">
        <v>1540</v>
      </c>
      <c r="AK30">
        <v>850</v>
      </c>
      <c r="AL30">
        <v>1158</v>
      </c>
      <c r="AM30">
        <v>275</v>
      </c>
      <c r="AN30">
        <v>854</v>
      </c>
      <c r="AO30">
        <v>317</v>
      </c>
      <c r="AP30">
        <v>2358</v>
      </c>
      <c r="AQ30">
        <v>312</v>
      </c>
      <c r="AR30">
        <v>270</v>
      </c>
      <c r="AS30">
        <v>1188</v>
      </c>
      <c r="AT30">
        <v>1914</v>
      </c>
      <c r="AU30">
        <v>2791</v>
      </c>
      <c r="AV30">
        <v>53</v>
      </c>
      <c r="AW30">
        <v>145</v>
      </c>
      <c r="AX30">
        <v>158</v>
      </c>
      <c r="AY30">
        <v>917</v>
      </c>
      <c r="AZ30">
        <v>326</v>
      </c>
      <c r="BA30">
        <v>11579</v>
      </c>
      <c r="BB30">
        <v>2385</v>
      </c>
      <c r="BC30">
        <v>7401</v>
      </c>
      <c r="BD30">
        <v>3416</v>
      </c>
      <c r="BE30">
        <v>12221</v>
      </c>
      <c r="BF30">
        <v>2566</v>
      </c>
      <c r="BG30">
        <v>1517</v>
      </c>
      <c r="BH30">
        <v>2379</v>
      </c>
      <c r="BI30">
        <v>2063</v>
      </c>
      <c r="BJ30">
        <v>3190</v>
      </c>
      <c r="BK30">
        <v>71</v>
      </c>
      <c r="BL30">
        <v>160</v>
      </c>
      <c r="BM30">
        <v>72</v>
      </c>
      <c r="BN30">
        <v>204</v>
      </c>
      <c r="BO30">
        <v>30</v>
      </c>
      <c r="BP30">
        <v>13</v>
      </c>
      <c r="BQ30">
        <v>76</v>
      </c>
      <c r="BR30">
        <v>14</v>
      </c>
      <c r="BS30">
        <v>85</v>
      </c>
      <c r="BT30">
        <v>0</v>
      </c>
      <c r="BU30">
        <v>16</v>
      </c>
      <c r="BV30">
        <v>629</v>
      </c>
      <c r="BW30">
        <v>16</v>
      </c>
      <c r="BX30">
        <v>629</v>
      </c>
      <c r="BY30">
        <v>0</v>
      </c>
      <c r="BZ30">
        <v>4612</v>
      </c>
      <c r="CA30">
        <v>54216</v>
      </c>
      <c r="CB30">
        <v>5387</v>
      </c>
      <c r="CC30">
        <v>79994</v>
      </c>
      <c r="CD30">
        <v>6404</v>
      </c>
      <c r="CE30">
        <v>14979</v>
      </c>
      <c r="CF30">
        <v>43678</v>
      </c>
      <c r="CG30">
        <v>15443</v>
      </c>
      <c r="CH30">
        <v>45017</v>
      </c>
      <c r="CI30">
        <v>8210</v>
      </c>
    </row>
    <row r="31" spans="1:87" x14ac:dyDescent="0.4">
      <c r="A31" s="1" t="s">
        <v>50</v>
      </c>
      <c r="B31" s="1" t="s">
        <v>51</v>
      </c>
      <c r="C31">
        <v>18863</v>
      </c>
      <c r="D31">
        <v>318</v>
      </c>
      <c r="E31">
        <v>22954</v>
      </c>
      <c r="F31">
        <v>448</v>
      </c>
      <c r="G31">
        <v>22118</v>
      </c>
      <c r="H31">
        <v>391</v>
      </c>
      <c r="I31">
        <v>456</v>
      </c>
      <c r="J31">
        <v>500</v>
      </c>
      <c r="K31">
        <v>869</v>
      </c>
      <c r="L31">
        <v>730</v>
      </c>
      <c r="M31">
        <v>339</v>
      </c>
      <c r="N31">
        <v>88</v>
      </c>
      <c r="O31">
        <v>829</v>
      </c>
      <c r="P31">
        <v>136</v>
      </c>
      <c r="Q31">
        <v>5109</v>
      </c>
      <c r="R31">
        <v>801</v>
      </c>
      <c r="S31">
        <v>663</v>
      </c>
      <c r="T31">
        <v>434</v>
      </c>
      <c r="U31">
        <v>307</v>
      </c>
      <c r="V31">
        <v>1823</v>
      </c>
      <c r="W31">
        <v>860</v>
      </c>
      <c r="X31">
        <v>894</v>
      </c>
      <c r="Y31">
        <v>618</v>
      </c>
      <c r="Z31">
        <v>733</v>
      </c>
      <c r="AA31">
        <v>3464</v>
      </c>
      <c r="AB31">
        <v>852</v>
      </c>
      <c r="AC31">
        <v>978</v>
      </c>
      <c r="AD31">
        <v>1117</v>
      </c>
      <c r="AE31">
        <v>1809</v>
      </c>
      <c r="AF31">
        <v>6444</v>
      </c>
      <c r="AG31">
        <v>61</v>
      </c>
      <c r="AH31">
        <v>974</v>
      </c>
      <c r="AI31">
        <v>74</v>
      </c>
      <c r="AJ31">
        <v>1406</v>
      </c>
      <c r="AK31">
        <v>840</v>
      </c>
      <c r="AL31">
        <v>800</v>
      </c>
      <c r="AM31">
        <v>199</v>
      </c>
      <c r="AN31">
        <v>862</v>
      </c>
      <c r="AO31">
        <v>347</v>
      </c>
      <c r="AP31">
        <v>2418</v>
      </c>
      <c r="AQ31">
        <v>267</v>
      </c>
      <c r="AR31">
        <v>227</v>
      </c>
      <c r="AS31">
        <v>1005</v>
      </c>
      <c r="AT31">
        <v>1595</v>
      </c>
      <c r="AU31">
        <v>2863</v>
      </c>
      <c r="AV31">
        <v>43</v>
      </c>
      <c r="AW31">
        <v>142</v>
      </c>
      <c r="AX31">
        <v>136</v>
      </c>
      <c r="AY31">
        <v>788</v>
      </c>
      <c r="AZ31">
        <v>332</v>
      </c>
      <c r="BA31">
        <v>9485</v>
      </c>
      <c r="BB31">
        <v>1780</v>
      </c>
      <c r="BC31">
        <v>5735</v>
      </c>
      <c r="BD31">
        <v>2598</v>
      </c>
      <c r="BE31">
        <v>12248</v>
      </c>
      <c r="BF31">
        <v>1763</v>
      </c>
      <c r="BG31">
        <v>1166</v>
      </c>
      <c r="BH31">
        <v>1885</v>
      </c>
      <c r="BI31">
        <v>1661</v>
      </c>
      <c r="BJ31">
        <v>3081</v>
      </c>
      <c r="BK31">
        <v>65</v>
      </c>
      <c r="BL31">
        <v>126</v>
      </c>
      <c r="BM31">
        <v>65</v>
      </c>
      <c r="BN31">
        <v>177</v>
      </c>
      <c r="BO31">
        <v>30</v>
      </c>
      <c r="BP31">
        <v>10</v>
      </c>
      <c r="BQ31">
        <v>72</v>
      </c>
      <c r="BR31">
        <v>10</v>
      </c>
      <c r="BS31">
        <v>72</v>
      </c>
      <c r="BT31">
        <v>0</v>
      </c>
      <c r="BU31">
        <v>17</v>
      </c>
      <c r="BV31">
        <v>557</v>
      </c>
      <c r="BW31">
        <v>17</v>
      </c>
      <c r="BX31">
        <v>557</v>
      </c>
      <c r="BY31">
        <v>0</v>
      </c>
      <c r="BZ31">
        <v>3455</v>
      </c>
      <c r="CA31">
        <v>40800</v>
      </c>
      <c r="CB31">
        <v>4173</v>
      </c>
      <c r="CC31">
        <v>62355</v>
      </c>
      <c r="CD31">
        <v>6221</v>
      </c>
      <c r="CE31">
        <v>11409</v>
      </c>
      <c r="CF31">
        <v>32104</v>
      </c>
      <c r="CG31">
        <v>11743</v>
      </c>
      <c r="CH31">
        <v>33301</v>
      </c>
      <c r="CI31">
        <v>7979</v>
      </c>
    </row>
    <row r="32" spans="1:87" x14ac:dyDescent="0.4">
      <c r="A32" s="1" t="s">
        <v>52</v>
      </c>
      <c r="B32" s="1" t="s">
        <v>53</v>
      </c>
      <c r="C32">
        <v>25390</v>
      </c>
      <c r="D32">
        <v>401</v>
      </c>
      <c r="E32">
        <v>24280</v>
      </c>
      <c r="F32">
        <v>466</v>
      </c>
      <c r="G32">
        <v>21735</v>
      </c>
      <c r="H32">
        <v>459</v>
      </c>
      <c r="I32">
        <v>573</v>
      </c>
      <c r="J32">
        <v>429</v>
      </c>
      <c r="K32">
        <v>1036</v>
      </c>
      <c r="L32">
        <v>738</v>
      </c>
      <c r="M32">
        <v>337</v>
      </c>
      <c r="N32">
        <v>74</v>
      </c>
      <c r="O32">
        <v>868</v>
      </c>
      <c r="P32">
        <v>155</v>
      </c>
      <c r="Q32">
        <v>4925</v>
      </c>
      <c r="R32">
        <v>928</v>
      </c>
      <c r="S32">
        <v>666</v>
      </c>
      <c r="T32">
        <v>473</v>
      </c>
      <c r="U32">
        <v>348</v>
      </c>
      <c r="V32">
        <v>2238</v>
      </c>
      <c r="W32">
        <v>1065</v>
      </c>
      <c r="X32">
        <v>955</v>
      </c>
      <c r="Y32">
        <v>736</v>
      </c>
      <c r="Z32">
        <v>840</v>
      </c>
      <c r="AA32">
        <v>3968</v>
      </c>
      <c r="AB32">
        <v>862</v>
      </c>
      <c r="AC32">
        <v>1058</v>
      </c>
      <c r="AD32">
        <v>1424</v>
      </c>
      <c r="AE32">
        <v>2479</v>
      </c>
      <c r="AF32">
        <v>6337</v>
      </c>
      <c r="AG32">
        <v>69</v>
      </c>
      <c r="AH32">
        <v>1301</v>
      </c>
      <c r="AI32">
        <v>101</v>
      </c>
      <c r="AJ32">
        <v>1378</v>
      </c>
      <c r="AK32">
        <v>812</v>
      </c>
      <c r="AL32">
        <v>945</v>
      </c>
      <c r="AM32">
        <v>208</v>
      </c>
      <c r="AN32">
        <v>948</v>
      </c>
      <c r="AO32">
        <v>328</v>
      </c>
      <c r="AP32">
        <v>2497</v>
      </c>
      <c r="AQ32">
        <v>356</v>
      </c>
      <c r="AR32">
        <v>286</v>
      </c>
      <c r="AS32">
        <v>1158</v>
      </c>
      <c r="AT32">
        <v>1924</v>
      </c>
      <c r="AU32">
        <v>3063</v>
      </c>
      <c r="AV32">
        <v>38</v>
      </c>
      <c r="AW32">
        <v>125</v>
      </c>
      <c r="AX32">
        <v>141</v>
      </c>
      <c r="AY32">
        <v>895</v>
      </c>
      <c r="AZ32">
        <v>303</v>
      </c>
      <c r="BA32">
        <v>11914</v>
      </c>
      <c r="BB32">
        <v>2325</v>
      </c>
      <c r="BC32">
        <v>7259</v>
      </c>
      <c r="BD32">
        <v>3171</v>
      </c>
      <c r="BE32">
        <v>12103</v>
      </c>
      <c r="BF32">
        <v>2641</v>
      </c>
      <c r="BG32">
        <v>1513</v>
      </c>
      <c r="BH32">
        <v>2647</v>
      </c>
      <c r="BI32">
        <v>2140</v>
      </c>
      <c r="BJ32">
        <v>3009</v>
      </c>
      <c r="BK32">
        <v>71</v>
      </c>
      <c r="BL32">
        <v>207</v>
      </c>
      <c r="BM32">
        <v>75</v>
      </c>
      <c r="BN32">
        <v>265</v>
      </c>
      <c r="BO32">
        <v>43</v>
      </c>
      <c r="BP32">
        <v>12</v>
      </c>
      <c r="BQ32">
        <v>86</v>
      </c>
      <c r="BR32">
        <v>12</v>
      </c>
      <c r="BS32">
        <v>79</v>
      </c>
      <c r="BT32">
        <v>0</v>
      </c>
      <c r="BU32">
        <v>16</v>
      </c>
      <c r="BV32">
        <v>637</v>
      </c>
      <c r="BW32">
        <v>16</v>
      </c>
      <c r="BX32">
        <v>637</v>
      </c>
      <c r="BY32">
        <v>0</v>
      </c>
      <c r="BZ32">
        <v>4430</v>
      </c>
      <c r="CA32">
        <v>53888</v>
      </c>
      <c r="CB32">
        <v>4861</v>
      </c>
      <c r="CC32">
        <v>72183</v>
      </c>
      <c r="CD32">
        <v>6412</v>
      </c>
      <c r="CE32">
        <v>14192</v>
      </c>
      <c r="CF32">
        <v>45180</v>
      </c>
      <c r="CG32">
        <v>14439</v>
      </c>
      <c r="CH32">
        <v>46429</v>
      </c>
      <c r="CI32">
        <v>7824</v>
      </c>
    </row>
    <row r="33" spans="1:87" x14ac:dyDescent="0.4">
      <c r="A33" s="1" t="s">
        <v>54</v>
      </c>
      <c r="B33" s="1" t="s">
        <v>55</v>
      </c>
      <c r="C33">
        <v>27176</v>
      </c>
      <c r="D33">
        <v>419</v>
      </c>
      <c r="E33">
        <v>27055</v>
      </c>
      <c r="F33">
        <v>498</v>
      </c>
      <c r="G33">
        <v>22327</v>
      </c>
      <c r="H33">
        <v>462</v>
      </c>
      <c r="I33">
        <v>615</v>
      </c>
      <c r="J33">
        <v>498</v>
      </c>
      <c r="K33">
        <v>960</v>
      </c>
      <c r="L33">
        <v>651</v>
      </c>
      <c r="M33">
        <v>311</v>
      </c>
      <c r="N33">
        <v>64</v>
      </c>
      <c r="O33">
        <v>865</v>
      </c>
      <c r="P33">
        <v>157</v>
      </c>
      <c r="Q33">
        <v>4774</v>
      </c>
      <c r="R33">
        <v>905</v>
      </c>
      <c r="S33">
        <v>704</v>
      </c>
      <c r="T33">
        <v>661</v>
      </c>
      <c r="U33">
        <v>516</v>
      </c>
      <c r="V33">
        <v>2434</v>
      </c>
      <c r="W33">
        <v>727</v>
      </c>
      <c r="X33">
        <v>790</v>
      </c>
      <c r="Y33">
        <v>889</v>
      </c>
      <c r="Z33">
        <v>1033</v>
      </c>
      <c r="AA33">
        <v>3809</v>
      </c>
      <c r="AB33">
        <v>1124</v>
      </c>
      <c r="AC33">
        <v>1295</v>
      </c>
      <c r="AD33">
        <v>1727</v>
      </c>
      <c r="AE33">
        <v>2834</v>
      </c>
      <c r="AF33">
        <v>6231</v>
      </c>
      <c r="AG33">
        <v>77</v>
      </c>
      <c r="AH33">
        <v>1431</v>
      </c>
      <c r="AI33">
        <v>88</v>
      </c>
      <c r="AJ33">
        <v>1415</v>
      </c>
      <c r="AK33">
        <v>807</v>
      </c>
      <c r="AL33">
        <v>941</v>
      </c>
      <c r="AM33">
        <v>232</v>
      </c>
      <c r="AN33">
        <v>1138</v>
      </c>
      <c r="AO33">
        <v>367</v>
      </c>
      <c r="AP33">
        <v>2414</v>
      </c>
      <c r="AQ33">
        <v>466</v>
      </c>
      <c r="AR33">
        <v>367</v>
      </c>
      <c r="AS33">
        <v>1481</v>
      </c>
      <c r="AT33">
        <v>2229</v>
      </c>
      <c r="AU33">
        <v>2931</v>
      </c>
      <c r="AV33">
        <v>47</v>
      </c>
      <c r="AW33">
        <v>145</v>
      </c>
      <c r="AX33">
        <v>157</v>
      </c>
      <c r="AY33">
        <v>1048</v>
      </c>
      <c r="AZ33">
        <v>313</v>
      </c>
      <c r="BA33">
        <v>12253</v>
      </c>
      <c r="BB33">
        <v>2335</v>
      </c>
      <c r="BC33">
        <v>8041</v>
      </c>
      <c r="BD33">
        <v>3513</v>
      </c>
      <c r="BE33">
        <v>11497</v>
      </c>
      <c r="BF33">
        <v>2697</v>
      </c>
      <c r="BG33">
        <v>1580</v>
      </c>
      <c r="BH33">
        <v>2862</v>
      </c>
      <c r="BI33">
        <v>2388</v>
      </c>
      <c r="BJ33">
        <v>3190</v>
      </c>
      <c r="BK33">
        <v>73</v>
      </c>
      <c r="BL33">
        <v>200</v>
      </c>
      <c r="BM33">
        <v>77</v>
      </c>
      <c r="BN33">
        <v>260</v>
      </c>
      <c r="BO33">
        <v>38</v>
      </c>
      <c r="BP33">
        <v>12</v>
      </c>
      <c r="BQ33">
        <v>93</v>
      </c>
      <c r="BR33">
        <v>12</v>
      </c>
      <c r="BS33">
        <v>93</v>
      </c>
      <c r="BT33">
        <v>0</v>
      </c>
      <c r="BU33">
        <v>19</v>
      </c>
      <c r="BV33">
        <v>755</v>
      </c>
      <c r="BW33">
        <v>19</v>
      </c>
      <c r="BX33">
        <v>756</v>
      </c>
      <c r="BY33">
        <v>0</v>
      </c>
      <c r="BZ33">
        <v>4916</v>
      </c>
      <c r="CA33">
        <v>58449</v>
      </c>
      <c r="CB33">
        <v>5461</v>
      </c>
      <c r="CC33">
        <v>78700</v>
      </c>
      <c r="CD33">
        <v>6484</v>
      </c>
      <c r="CE33">
        <v>14642</v>
      </c>
      <c r="CF33">
        <v>48639</v>
      </c>
      <c r="CG33">
        <v>14697</v>
      </c>
      <c r="CH33">
        <v>49407</v>
      </c>
      <c r="CI33">
        <v>7855</v>
      </c>
    </row>
    <row r="34" spans="1:87" x14ac:dyDescent="0.4">
      <c r="A34" s="1" t="s">
        <v>56</v>
      </c>
      <c r="B34" s="1" t="s">
        <v>57</v>
      </c>
      <c r="C34">
        <v>22511</v>
      </c>
      <c r="D34">
        <v>351</v>
      </c>
      <c r="E34">
        <v>20652</v>
      </c>
      <c r="F34">
        <v>409</v>
      </c>
      <c r="G34">
        <v>23359</v>
      </c>
      <c r="H34">
        <v>420</v>
      </c>
      <c r="I34">
        <v>607</v>
      </c>
      <c r="J34">
        <v>517</v>
      </c>
      <c r="K34">
        <v>1071</v>
      </c>
      <c r="L34">
        <v>808</v>
      </c>
      <c r="M34">
        <v>307</v>
      </c>
      <c r="N34">
        <v>64</v>
      </c>
      <c r="O34">
        <v>866</v>
      </c>
      <c r="P34">
        <v>128</v>
      </c>
      <c r="Q34">
        <v>4632</v>
      </c>
      <c r="R34">
        <v>488</v>
      </c>
      <c r="S34">
        <v>341</v>
      </c>
      <c r="T34">
        <v>737</v>
      </c>
      <c r="U34">
        <v>624</v>
      </c>
      <c r="V34">
        <v>2125</v>
      </c>
      <c r="W34">
        <v>1003</v>
      </c>
      <c r="X34">
        <v>998</v>
      </c>
      <c r="Y34">
        <v>849</v>
      </c>
      <c r="Z34">
        <v>1023</v>
      </c>
      <c r="AA34">
        <v>3976</v>
      </c>
      <c r="AB34">
        <v>1086</v>
      </c>
      <c r="AC34">
        <v>1251</v>
      </c>
      <c r="AD34">
        <v>1924</v>
      </c>
      <c r="AE34">
        <v>3021</v>
      </c>
      <c r="AF34">
        <v>5987</v>
      </c>
      <c r="AG34">
        <v>72</v>
      </c>
      <c r="AH34">
        <v>1121</v>
      </c>
      <c r="AI34">
        <v>80</v>
      </c>
      <c r="AJ34">
        <v>1180</v>
      </c>
      <c r="AK34">
        <v>805</v>
      </c>
      <c r="AL34">
        <v>858</v>
      </c>
      <c r="AM34">
        <v>171</v>
      </c>
      <c r="AN34">
        <v>1233</v>
      </c>
      <c r="AO34">
        <v>349</v>
      </c>
      <c r="AP34">
        <v>2134</v>
      </c>
      <c r="AQ34">
        <v>491</v>
      </c>
      <c r="AR34">
        <v>343</v>
      </c>
      <c r="AS34">
        <v>1423</v>
      </c>
      <c r="AT34">
        <v>2152</v>
      </c>
      <c r="AU34">
        <v>3006</v>
      </c>
      <c r="AV34">
        <v>46</v>
      </c>
      <c r="AW34">
        <v>137</v>
      </c>
      <c r="AX34">
        <v>147</v>
      </c>
      <c r="AY34">
        <v>960</v>
      </c>
      <c r="AZ34">
        <v>330</v>
      </c>
      <c r="BA34">
        <v>11224</v>
      </c>
      <c r="BB34">
        <v>2327</v>
      </c>
      <c r="BC34">
        <v>6858</v>
      </c>
      <c r="BD34">
        <v>3037</v>
      </c>
      <c r="BE34">
        <v>10872</v>
      </c>
      <c r="BF34">
        <v>2518</v>
      </c>
      <c r="BG34">
        <v>1568</v>
      </c>
      <c r="BH34">
        <v>2491</v>
      </c>
      <c r="BI34">
        <v>2130</v>
      </c>
      <c r="BJ34">
        <v>3307</v>
      </c>
      <c r="BK34">
        <v>74</v>
      </c>
      <c r="BL34">
        <v>210</v>
      </c>
      <c r="BM34">
        <v>75</v>
      </c>
      <c r="BN34">
        <v>268</v>
      </c>
      <c r="BO34">
        <v>44</v>
      </c>
      <c r="BP34">
        <v>11</v>
      </c>
      <c r="BQ34">
        <v>91</v>
      </c>
      <c r="BR34">
        <v>11</v>
      </c>
      <c r="BS34">
        <v>89</v>
      </c>
      <c r="BT34">
        <v>1</v>
      </c>
      <c r="BU34">
        <v>15</v>
      </c>
      <c r="BV34">
        <v>593</v>
      </c>
      <c r="BW34">
        <v>15</v>
      </c>
      <c r="BX34">
        <v>596</v>
      </c>
      <c r="BY34">
        <v>0</v>
      </c>
      <c r="BZ34">
        <v>4392</v>
      </c>
      <c r="CA34">
        <v>54338</v>
      </c>
      <c r="CB34">
        <v>5015</v>
      </c>
      <c r="CC34">
        <v>72412</v>
      </c>
      <c r="CD34">
        <v>6643</v>
      </c>
      <c r="CE34">
        <v>13309</v>
      </c>
      <c r="CF34">
        <v>42471</v>
      </c>
      <c r="CG34">
        <v>13387</v>
      </c>
      <c r="CH34">
        <v>42986</v>
      </c>
      <c r="CI34">
        <v>7838</v>
      </c>
    </row>
    <row r="35" spans="1:87" x14ac:dyDescent="0.4">
      <c r="A35" s="1" t="s">
        <v>58</v>
      </c>
      <c r="B35" s="1" t="s">
        <v>59</v>
      </c>
      <c r="C35">
        <v>19837</v>
      </c>
      <c r="D35">
        <v>328</v>
      </c>
      <c r="E35">
        <v>21089</v>
      </c>
      <c r="F35">
        <v>417</v>
      </c>
      <c r="G35">
        <v>21492</v>
      </c>
      <c r="H35">
        <v>436</v>
      </c>
      <c r="I35">
        <v>605</v>
      </c>
      <c r="J35">
        <v>525</v>
      </c>
      <c r="K35">
        <v>1118</v>
      </c>
      <c r="L35">
        <v>690</v>
      </c>
      <c r="M35">
        <v>324</v>
      </c>
      <c r="N35">
        <v>60</v>
      </c>
      <c r="O35">
        <v>901</v>
      </c>
      <c r="P35">
        <v>147</v>
      </c>
      <c r="Q35">
        <v>4503</v>
      </c>
      <c r="R35">
        <v>619</v>
      </c>
      <c r="S35">
        <v>455</v>
      </c>
      <c r="T35">
        <v>892</v>
      </c>
      <c r="U35">
        <v>737</v>
      </c>
      <c r="V35">
        <v>1781</v>
      </c>
      <c r="W35">
        <v>780</v>
      </c>
      <c r="X35">
        <v>528</v>
      </c>
      <c r="Y35">
        <v>1083</v>
      </c>
      <c r="Z35">
        <v>1339</v>
      </c>
      <c r="AA35">
        <v>3628</v>
      </c>
      <c r="AB35">
        <v>971</v>
      </c>
      <c r="AC35">
        <v>1165</v>
      </c>
      <c r="AD35">
        <v>2381</v>
      </c>
      <c r="AE35">
        <v>3674</v>
      </c>
      <c r="AF35">
        <v>5259</v>
      </c>
      <c r="AG35">
        <v>76</v>
      </c>
      <c r="AH35">
        <v>1237</v>
      </c>
      <c r="AI35">
        <v>88</v>
      </c>
      <c r="AJ35">
        <v>1298</v>
      </c>
      <c r="AK35">
        <v>797</v>
      </c>
      <c r="AL35">
        <v>798</v>
      </c>
      <c r="AM35">
        <v>169</v>
      </c>
      <c r="AN35">
        <v>1347</v>
      </c>
      <c r="AO35">
        <v>366</v>
      </c>
      <c r="AP35">
        <v>1668</v>
      </c>
      <c r="AQ35">
        <v>515</v>
      </c>
      <c r="AR35">
        <v>361</v>
      </c>
      <c r="AS35">
        <v>1465</v>
      </c>
      <c r="AT35">
        <v>2359</v>
      </c>
      <c r="AU35">
        <v>3129</v>
      </c>
      <c r="AV35">
        <v>41</v>
      </c>
      <c r="AW35">
        <v>130</v>
      </c>
      <c r="AX35">
        <v>160</v>
      </c>
      <c r="AY35">
        <v>1054</v>
      </c>
      <c r="AZ35">
        <v>434</v>
      </c>
      <c r="BA35">
        <v>10998</v>
      </c>
      <c r="BB35">
        <v>2226</v>
      </c>
      <c r="BC35">
        <v>8302</v>
      </c>
      <c r="BD35">
        <v>3706</v>
      </c>
      <c r="BE35">
        <v>8734</v>
      </c>
      <c r="BF35">
        <v>2233</v>
      </c>
      <c r="BG35">
        <v>1553</v>
      </c>
      <c r="BH35">
        <v>3152</v>
      </c>
      <c r="BI35">
        <v>2740</v>
      </c>
      <c r="BJ35">
        <v>2543</v>
      </c>
      <c r="BK35">
        <v>73</v>
      </c>
      <c r="BL35">
        <v>246</v>
      </c>
      <c r="BM35">
        <v>77</v>
      </c>
      <c r="BN35">
        <v>300</v>
      </c>
      <c r="BO35">
        <v>46</v>
      </c>
      <c r="BP35">
        <v>9</v>
      </c>
      <c r="BQ35">
        <v>85</v>
      </c>
      <c r="BR35">
        <v>10</v>
      </c>
      <c r="BS35">
        <v>93</v>
      </c>
      <c r="BT35">
        <v>0</v>
      </c>
      <c r="BU35">
        <v>17</v>
      </c>
      <c r="BV35">
        <v>661</v>
      </c>
      <c r="BW35">
        <v>17</v>
      </c>
      <c r="BX35">
        <v>662</v>
      </c>
      <c r="BY35">
        <v>0</v>
      </c>
      <c r="BZ35">
        <v>4728</v>
      </c>
      <c r="CA35">
        <v>62463</v>
      </c>
      <c r="CB35">
        <v>5455</v>
      </c>
      <c r="CC35">
        <v>87504</v>
      </c>
      <c r="CD35">
        <v>6510</v>
      </c>
      <c r="CE35">
        <v>13595</v>
      </c>
      <c r="CF35">
        <v>43458</v>
      </c>
      <c r="CG35">
        <v>13584</v>
      </c>
      <c r="CH35">
        <v>44223</v>
      </c>
      <c r="CI35">
        <v>7906</v>
      </c>
    </row>
    <row r="36" spans="1:87" x14ac:dyDescent="0.4">
      <c r="A36" s="1" t="s">
        <v>60</v>
      </c>
      <c r="B36" s="1" t="s">
        <v>61</v>
      </c>
      <c r="C36">
        <v>19438</v>
      </c>
      <c r="D36">
        <v>325</v>
      </c>
      <c r="E36">
        <v>19945</v>
      </c>
      <c r="F36">
        <v>415</v>
      </c>
      <c r="G36">
        <v>19772</v>
      </c>
      <c r="H36">
        <v>447</v>
      </c>
      <c r="I36">
        <v>599</v>
      </c>
      <c r="J36">
        <v>578</v>
      </c>
      <c r="K36">
        <v>1119</v>
      </c>
      <c r="L36">
        <v>602</v>
      </c>
      <c r="M36">
        <v>334</v>
      </c>
      <c r="N36">
        <v>57</v>
      </c>
      <c r="O36">
        <v>797</v>
      </c>
      <c r="P36">
        <v>108</v>
      </c>
      <c r="Q36">
        <v>4393</v>
      </c>
      <c r="R36">
        <v>851</v>
      </c>
      <c r="S36">
        <v>553</v>
      </c>
      <c r="T36">
        <v>589</v>
      </c>
      <c r="U36">
        <v>449</v>
      </c>
      <c r="V36">
        <v>1984</v>
      </c>
      <c r="W36">
        <v>547</v>
      </c>
      <c r="X36">
        <v>364</v>
      </c>
      <c r="Y36">
        <v>929</v>
      </c>
      <c r="Z36">
        <v>1063</v>
      </c>
      <c r="AA36">
        <v>3246</v>
      </c>
      <c r="AB36">
        <v>753</v>
      </c>
      <c r="AC36">
        <v>827</v>
      </c>
      <c r="AD36">
        <v>1539</v>
      </c>
      <c r="AE36">
        <v>2392</v>
      </c>
      <c r="AF36">
        <v>4985</v>
      </c>
      <c r="AG36">
        <v>73</v>
      </c>
      <c r="AH36">
        <v>1303</v>
      </c>
      <c r="AI36">
        <v>89</v>
      </c>
      <c r="AJ36">
        <v>1366</v>
      </c>
      <c r="AK36">
        <v>786</v>
      </c>
      <c r="AL36">
        <v>771</v>
      </c>
      <c r="AM36">
        <v>196</v>
      </c>
      <c r="AN36">
        <v>946</v>
      </c>
      <c r="AO36">
        <v>331</v>
      </c>
      <c r="AP36">
        <v>1573</v>
      </c>
      <c r="AQ36">
        <v>544</v>
      </c>
      <c r="AR36">
        <v>378</v>
      </c>
      <c r="AS36">
        <v>1426</v>
      </c>
      <c r="AT36">
        <v>2071</v>
      </c>
      <c r="AU36">
        <v>3306</v>
      </c>
      <c r="AV36">
        <v>65</v>
      </c>
      <c r="AW36">
        <v>145</v>
      </c>
      <c r="AX36">
        <v>178</v>
      </c>
      <c r="AY36">
        <v>1123</v>
      </c>
      <c r="AZ36">
        <v>467</v>
      </c>
      <c r="BA36">
        <v>10208</v>
      </c>
      <c r="BB36">
        <v>1909</v>
      </c>
      <c r="BC36">
        <v>5895</v>
      </c>
      <c r="BD36">
        <v>2914</v>
      </c>
      <c r="BE36">
        <v>8964</v>
      </c>
      <c r="BF36">
        <v>1686</v>
      </c>
      <c r="BG36">
        <v>1630</v>
      </c>
      <c r="BH36">
        <v>2052</v>
      </c>
      <c r="BI36">
        <v>2156</v>
      </c>
      <c r="BJ36">
        <v>2460</v>
      </c>
      <c r="BK36">
        <v>74</v>
      </c>
      <c r="BL36">
        <v>263</v>
      </c>
      <c r="BM36">
        <v>75</v>
      </c>
      <c r="BN36">
        <v>319</v>
      </c>
      <c r="BO36">
        <v>50</v>
      </c>
      <c r="BP36">
        <v>10</v>
      </c>
      <c r="BQ36">
        <v>82</v>
      </c>
      <c r="BR36">
        <v>10</v>
      </c>
      <c r="BS36">
        <v>83</v>
      </c>
      <c r="BT36">
        <v>0</v>
      </c>
      <c r="BU36">
        <v>14</v>
      </c>
      <c r="BV36">
        <v>573</v>
      </c>
      <c r="BW36">
        <v>14</v>
      </c>
      <c r="BX36">
        <v>576</v>
      </c>
      <c r="BY36">
        <v>0</v>
      </c>
      <c r="BZ36">
        <v>4458</v>
      </c>
      <c r="CA36">
        <v>62402</v>
      </c>
      <c r="CB36">
        <v>4950</v>
      </c>
      <c r="CC36">
        <v>85128</v>
      </c>
      <c r="CD36">
        <v>6573</v>
      </c>
      <c r="CE36">
        <v>13332</v>
      </c>
      <c r="CF36">
        <v>42568</v>
      </c>
      <c r="CG36">
        <v>13445</v>
      </c>
      <c r="CH36">
        <v>43575</v>
      </c>
      <c r="CI36">
        <v>7852</v>
      </c>
    </row>
    <row r="37" spans="1:87" x14ac:dyDescent="0.4">
      <c r="A37" s="1" t="s">
        <v>62</v>
      </c>
      <c r="B37" s="1" t="s">
        <v>63</v>
      </c>
      <c r="C37">
        <v>21064</v>
      </c>
      <c r="D37">
        <v>326</v>
      </c>
      <c r="E37">
        <v>19352</v>
      </c>
      <c r="F37">
        <v>430</v>
      </c>
      <c r="G37">
        <v>21122</v>
      </c>
      <c r="H37">
        <v>425</v>
      </c>
      <c r="I37">
        <v>576</v>
      </c>
      <c r="J37">
        <v>466</v>
      </c>
      <c r="K37">
        <v>1129</v>
      </c>
      <c r="L37">
        <v>663</v>
      </c>
      <c r="M37">
        <v>195</v>
      </c>
      <c r="N37">
        <v>41</v>
      </c>
      <c r="O37">
        <v>740</v>
      </c>
      <c r="P37">
        <v>88</v>
      </c>
      <c r="Q37">
        <v>4255</v>
      </c>
      <c r="R37">
        <v>605</v>
      </c>
      <c r="S37">
        <v>421</v>
      </c>
      <c r="T37">
        <v>510</v>
      </c>
      <c r="U37">
        <v>383</v>
      </c>
      <c r="V37">
        <v>2026</v>
      </c>
      <c r="W37">
        <v>895</v>
      </c>
      <c r="X37">
        <v>505</v>
      </c>
      <c r="Y37">
        <v>788</v>
      </c>
      <c r="Z37">
        <v>923</v>
      </c>
      <c r="AA37">
        <v>3336</v>
      </c>
      <c r="AB37">
        <v>748</v>
      </c>
      <c r="AC37">
        <v>792</v>
      </c>
      <c r="AD37">
        <v>1234</v>
      </c>
      <c r="AE37">
        <v>1843</v>
      </c>
      <c r="AF37">
        <v>5010</v>
      </c>
      <c r="AG37">
        <v>85</v>
      </c>
      <c r="AH37">
        <v>1288</v>
      </c>
      <c r="AI37">
        <v>90</v>
      </c>
      <c r="AJ37">
        <v>1274</v>
      </c>
      <c r="AK37">
        <v>782</v>
      </c>
      <c r="AL37">
        <v>787</v>
      </c>
      <c r="AM37">
        <v>194</v>
      </c>
      <c r="AN37">
        <v>1025</v>
      </c>
      <c r="AO37">
        <v>355</v>
      </c>
      <c r="AP37">
        <v>1469</v>
      </c>
      <c r="AQ37">
        <v>544</v>
      </c>
      <c r="AR37">
        <v>367</v>
      </c>
      <c r="AS37">
        <v>1298</v>
      </c>
      <c r="AT37">
        <v>1971</v>
      </c>
      <c r="AU37">
        <v>3340</v>
      </c>
      <c r="AV37">
        <v>45</v>
      </c>
      <c r="AW37">
        <v>123</v>
      </c>
      <c r="AX37">
        <v>175</v>
      </c>
      <c r="AY37">
        <v>1156</v>
      </c>
      <c r="AZ37">
        <v>454</v>
      </c>
      <c r="BA37">
        <v>11106</v>
      </c>
      <c r="BB37">
        <v>2148</v>
      </c>
      <c r="BC37">
        <v>6052</v>
      </c>
      <c r="BD37">
        <v>2997</v>
      </c>
      <c r="BE37">
        <v>9483</v>
      </c>
      <c r="BF37">
        <v>1923</v>
      </c>
      <c r="BG37">
        <v>1622</v>
      </c>
      <c r="BH37">
        <v>2082</v>
      </c>
      <c r="BI37">
        <v>2082</v>
      </c>
      <c r="BJ37">
        <v>2544</v>
      </c>
      <c r="BK37">
        <v>70</v>
      </c>
      <c r="BL37">
        <v>191</v>
      </c>
      <c r="BM37">
        <v>75</v>
      </c>
      <c r="BN37">
        <v>249</v>
      </c>
      <c r="BO37">
        <v>52</v>
      </c>
      <c r="BP37">
        <v>7</v>
      </c>
      <c r="BQ37">
        <v>74</v>
      </c>
      <c r="BR37">
        <v>7</v>
      </c>
      <c r="BS37">
        <v>69</v>
      </c>
      <c r="BT37">
        <v>0</v>
      </c>
      <c r="BU37">
        <v>16</v>
      </c>
      <c r="BV37">
        <v>655</v>
      </c>
      <c r="BW37">
        <v>16</v>
      </c>
      <c r="BX37">
        <v>658</v>
      </c>
      <c r="BY37">
        <v>0</v>
      </c>
      <c r="BZ37">
        <v>4291</v>
      </c>
      <c r="CA37">
        <v>60649</v>
      </c>
      <c r="CB37">
        <v>4896</v>
      </c>
      <c r="CC37">
        <v>82676</v>
      </c>
      <c r="CD37">
        <v>6707</v>
      </c>
      <c r="CE37">
        <v>13624</v>
      </c>
      <c r="CF37">
        <v>43483</v>
      </c>
      <c r="CG37">
        <v>13663</v>
      </c>
      <c r="CH37">
        <v>44014</v>
      </c>
      <c r="CI37">
        <v>7870</v>
      </c>
    </row>
    <row r="38" spans="1:87" x14ac:dyDescent="0.4">
      <c r="A38" s="1" t="s">
        <v>64</v>
      </c>
      <c r="B38" s="1" t="s">
        <v>65</v>
      </c>
      <c r="C38">
        <v>20080</v>
      </c>
      <c r="D38">
        <v>302</v>
      </c>
      <c r="E38">
        <v>20658</v>
      </c>
      <c r="F38">
        <v>360</v>
      </c>
      <c r="G38">
        <v>20184</v>
      </c>
      <c r="H38">
        <v>447</v>
      </c>
      <c r="I38">
        <v>597</v>
      </c>
      <c r="J38">
        <v>526</v>
      </c>
      <c r="K38">
        <v>1232</v>
      </c>
      <c r="L38">
        <v>678</v>
      </c>
      <c r="M38">
        <v>375</v>
      </c>
      <c r="N38">
        <v>92</v>
      </c>
      <c r="O38">
        <v>914</v>
      </c>
      <c r="P38">
        <v>126</v>
      </c>
      <c r="Q38">
        <v>4213</v>
      </c>
      <c r="R38">
        <v>592</v>
      </c>
      <c r="S38">
        <v>298</v>
      </c>
      <c r="T38">
        <v>609</v>
      </c>
      <c r="U38">
        <v>426</v>
      </c>
      <c r="V38">
        <v>1986</v>
      </c>
      <c r="W38">
        <v>865</v>
      </c>
      <c r="X38">
        <v>750</v>
      </c>
      <c r="Y38">
        <v>1095</v>
      </c>
      <c r="Z38">
        <v>1186</v>
      </c>
      <c r="AA38">
        <v>3203</v>
      </c>
      <c r="AB38">
        <v>777</v>
      </c>
      <c r="AC38">
        <v>795</v>
      </c>
      <c r="AD38">
        <v>1479</v>
      </c>
      <c r="AE38">
        <v>2006</v>
      </c>
      <c r="AF38">
        <v>4755</v>
      </c>
      <c r="AG38">
        <v>88</v>
      </c>
      <c r="AH38">
        <v>1509</v>
      </c>
      <c r="AI38">
        <v>100</v>
      </c>
      <c r="AJ38">
        <v>1451</v>
      </c>
      <c r="AK38">
        <v>775</v>
      </c>
      <c r="AL38">
        <v>649</v>
      </c>
      <c r="AM38">
        <v>191</v>
      </c>
      <c r="AN38">
        <v>964</v>
      </c>
      <c r="AO38">
        <v>341</v>
      </c>
      <c r="AP38">
        <v>1213</v>
      </c>
      <c r="AQ38">
        <v>643</v>
      </c>
      <c r="AR38">
        <v>418</v>
      </c>
      <c r="AS38">
        <v>1610</v>
      </c>
      <c r="AT38">
        <v>2419</v>
      </c>
      <c r="AU38">
        <v>3090</v>
      </c>
      <c r="AV38">
        <v>50</v>
      </c>
      <c r="AW38">
        <v>172</v>
      </c>
      <c r="AX38">
        <v>168</v>
      </c>
      <c r="AY38">
        <v>1169</v>
      </c>
      <c r="AZ38">
        <v>401</v>
      </c>
      <c r="BA38">
        <v>10350</v>
      </c>
      <c r="BB38">
        <v>2764</v>
      </c>
      <c r="BC38">
        <v>7404</v>
      </c>
      <c r="BD38">
        <v>4164</v>
      </c>
      <c r="BE38">
        <v>8540</v>
      </c>
      <c r="BF38">
        <v>2156</v>
      </c>
      <c r="BG38">
        <v>1726</v>
      </c>
      <c r="BH38">
        <v>2420</v>
      </c>
      <c r="BI38">
        <v>2395</v>
      </c>
      <c r="BJ38">
        <v>2493</v>
      </c>
      <c r="BK38">
        <v>73</v>
      </c>
      <c r="BL38">
        <v>288</v>
      </c>
      <c r="BM38">
        <v>80</v>
      </c>
      <c r="BN38">
        <v>353</v>
      </c>
      <c r="BO38">
        <v>46</v>
      </c>
      <c r="BP38">
        <v>2</v>
      </c>
      <c r="BQ38">
        <v>61</v>
      </c>
      <c r="BR38">
        <v>2</v>
      </c>
      <c r="BS38">
        <v>50</v>
      </c>
      <c r="BT38">
        <v>0</v>
      </c>
      <c r="BU38">
        <v>13</v>
      </c>
      <c r="BV38">
        <v>530</v>
      </c>
      <c r="BW38">
        <v>13</v>
      </c>
      <c r="BX38">
        <v>530</v>
      </c>
      <c r="BY38">
        <v>0</v>
      </c>
      <c r="BZ38">
        <v>4792</v>
      </c>
      <c r="CA38">
        <v>67966</v>
      </c>
      <c r="CB38">
        <v>5306</v>
      </c>
      <c r="CC38">
        <v>88707</v>
      </c>
      <c r="CD38">
        <v>6685</v>
      </c>
      <c r="CE38">
        <v>14148</v>
      </c>
      <c r="CF38">
        <v>47452</v>
      </c>
      <c r="CG38">
        <v>14216</v>
      </c>
      <c r="CH38">
        <v>48148</v>
      </c>
      <c r="CI38">
        <v>7876</v>
      </c>
    </row>
    <row r="39" spans="1:87" x14ac:dyDescent="0.4">
      <c r="A39" s="1"/>
      <c r="B39" s="1"/>
    </row>
    <row r="40" spans="1:87" x14ac:dyDescent="0.4">
      <c r="A40" s="1"/>
      <c r="B40" s="1"/>
    </row>
  </sheetData>
  <phoneticPr fontId="2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8C748-DA0B-4F8C-8874-B5DF53082B4E}">
  <dimension ref="A1:AY40"/>
  <sheetViews>
    <sheetView workbookViewId="0">
      <selection activeCell="C9" sqref="C9"/>
    </sheetView>
  </sheetViews>
  <sheetFormatPr defaultColWidth="15.625" defaultRowHeight="18.75" x14ac:dyDescent="0.4"/>
  <sheetData>
    <row r="1" spans="1:51" x14ac:dyDescent="0.4">
      <c r="A1" s="1" t="s">
        <v>66</v>
      </c>
      <c r="B1" s="1"/>
    </row>
    <row r="2" spans="1:51" x14ac:dyDescent="0.4">
      <c r="A2" s="4" t="str">
        <f>HYPERLINK("#'目次(Contents)'!A3","目次に戻る(Return to Contents)")</f>
        <v>目次に戻る(Return to Contents)</v>
      </c>
      <c r="B2" s="1"/>
    </row>
    <row r="3" spans="1:51" x14ac:dyDescent="0.4">
      <c r="A3" s="1"/>
      <c r="B3" s="2" t="s">
        <v>0</v>
      </c>
      <c r="C3" t="s">
        <v>1152</v>
      </c>
      <c r="D3" t="s">
        <v>1152</v>
      </c>
      <c r="E3" t="s">
        <v>1152</v>
      </c>
      <c r="F3" t="s">
        <v>1152</v>
      </c>
      <c r="G3" t="s">
        <v>1152</v>
      </c>
      <c r="H3" t="s">
        <v>1154</v>
      </c>
      <c r="I3" t="s">
        <v>1154</v>
      </c>
      <c r="J3" t="s">
        <v>1154</v>
      </c>
      <c r="K3" t="s">
        <v>1154</v>
      </c>
      <c r="L3" t="s">
        <v>1154</v>
      </c>
      <c r="M3" t="s">
        <v>1156</v>
      </c>
      <c r="N3" t="s">
        <v>1156</v>
      </c>
      <c r="O3" t="s">
        <v>1156</v>
      </c>
      <c r="P3" t="s">
        <v>1156</v>
      </c>
      <c r="Q3" t="s">
        <v>1156</v>
      </c>
      <c r="R3" t="s">
        <v>1158</v>
      </c>
      <c r="S3" t="s">
        <v>1160</v>
      </c>
      <c r="T3" t="s">
        <v>1162</v>
      </c>
      <c r="U3" t="s">
        <v>1162</v>
      </c>
      <c r="V3" t="s">
        <v>1164</v>
      </c>
      <c r="W3" t="s">
        <v>1166</v>
      </c>
      <c r="X3" t="s">
        <v>1166</v>
      </c>
      <c r="Y3" t="s">
        <v>1168</v>
      </c>
      <c r="Z3" t="s">
        <v>1168</v>
      </c>
      <c r="AA3" t="s">
        <v>1170</v>
      </c>
      <c r="AB3" t="s">
        <v>1170</v>
      </c>
      <c r="AC3" t="s">
        <v>1170</v>
      </c>
      <c r="AD3" t="s">
        <v>1170</v>
      </c>
      <c r="AE3" t="s">
        <v>1170</v>
      </c>
      <c r="AF3" t="s">
        <v>1172</v>
      </c>
      <c r="AG3" t="s">
        <v>1172</v>
      </c>
      <c r="AH3" t="s">
        <v>1172</v>
      </c>
      <c r="AI3" t="s">
        <v>1172</v>
      </c>
      <c r="AJ3" t="s">
        <v>1172</v>
      </c>
      <c r="AK3" t="s">
        <v>1174</v>
      </c>
      <c r="AL3" t="s">
        <v>1174</v>
      </c>
      <c r="AM3" t="s">
        <v>1176</v>
      </c>
      <c r="AN3" t="s">
        <v>1176</v>
      </c>
      <c r="AO3" t="s">
        <v>1178</v>
      </c>
      <c r="AP3" t="s">
        <v>1178</v>
      </c>
      <c r="AQ3" t="s">
        <v>1180</v>
      </c>
      <c r="AR3" t="s">
        <v>1180</v>
      </c>
      <c r="AS3" t="s">
        <v>1182</v>
      </c>
      <c r="AT3" t="s">
        <v>1182</v>
      </c>
      <c r="AU3" t="s">
        <v>1184</v>
      </c>
      <c r="AV3" t="s">
        <v>1184</v>
      </c>
      <c r="AW3" t="s">
        <v>1186</v>
      </c>
      <c r="AX3" t="s">
        <v>1188</v>
      </c>
      <c r="AY3" t="s">
        <v>1188</v>
      </c>
    </row>
    <row r="4" spans="1:51" x14ac:dyDescent="0.4">
      <c r="A4" s="1"/>
      <c r="B4" s="2" t="s">
        <v>1</v>
      </c>
      <c r="C4" t="s">
        <v>1153</v>
      </c>
      <c r="D4" t="s">
        <v>1153</v>
      </c>
      <c r="E4" t="s">
        <v>1153</v>
      </c>
      <c r="F4" t="s">
        <v>1153</v>
      </c>
      <c r="G4" t="s">
        <v>1153</v>
      </c>
      <c r="H4" t="s">
        <v>1155</v>
      </c>
      <c r="I4" t="s">
        <v>1155</v>
      </c>
      <c r="J4" t="s">
        <v>1155</v>
      </c>
      <c r="K4" t="s">
        <v>1155</v>
      </c>
      <c r="L4" t="s">
        <v>1155</v>
      </c>
      <c r="M4" t="s">
        <v>1157</v>
      </c>
      <c r="N4" t="s">
        <v>1157</v>
      </c>
      <c r="O4" t="s">
        <v>1157</v>
      </c>
      <c r="P4" t="s">
        <v>1157</v>
      </c>
      <c r="Q4" t="s">
        <v>1157</v>
      </c>
      <c r="R4" t="s">
        <v>1159</v>
      </c>
      <c r="S4" t="s">
        <v>1161</v>
      </c>
      <c r="T4" t="s">
        <v>1163</v>
      </c>
      <c r="U4" t="s">
        <v>1163</v>
      </c>
      <c r="V4" t="s">
        <v>1165</v>
      </c>
      <c r="W4" t="s">
        <v>1167</v>
      </c>
      <c r="X4" t="s">
        <v>1167</v>
      </c>
      <c r="Y4" t="s">
        <v>1169</v>
      </c>
      <c r="Z4" t="s">
        <v>1169</v>
      </c>
      <c r="AA4" t="s">
        <v>1171</v>
      </c>
      <c r="AB4" t="s">
        <v>1171</v>
      </c>
      <c r="AC4" t="s">
        <v>1171</v>
      </c>
      <c r="AD4" t="s">
        <v>1171</v>
      </c>
      <c r="AE4" t="s">
        <v>1171</v>
      </c>
      <c r="AF4" t="s">
        <v>1173</v>
      </c>
      <c r="AG4" t="s">
        <v>1173</v>
      </c>
      <c r="AH4" t="s">
        <v>1173</v>
      </c>
      <c r="AI4" t="s">
        <v>1173</v>
      </c>
      <c r="AJ4" t="s">
        <v>1173</v>
      </c>
      <c r="AK4" t="s">
        <v>1175</v>
      </c>
      <c r="AL4" t="s">
        <v>1175</v>
      </c>
      <c r="AM4" t="s">
        <v>1177</v>
      </c>
      <c r="AN4" t="s">
        <v>1177</v>
      </c>
      <c r="AO4" t="s">
        <v>1179</v>
      </c>
      <c r="AP4" t="s">
        <v>1179</v>
      </c>
      <c r="AQ4" t="s">
        <v>1181</v>
      </c>
      <c r="AR4" t="s">
        <v>1181</v>
      </c>
      <c r="AS4" t="s">
        <v>1183</v>
      </c>
      <c r="AT4" t="s">
        <v>1183</v>
      </c>
      <c r="AU4" t="s">
        <v>1185</v>
      </c>
      <c r="AV4" t="s">
        <v>1185</v>
      </c>
      <c r="AW4" t="s">
        <v>1187</v>
      </c>
      <c r="AX4" t="s">
        <v>1189</v>
      </c>
      <c r="AY4" t="s">
        <v>1189</v>
      </c>
    </row>
    <row r="5" spans="1:5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257</v>
      </c>
      <c r="S5" t="s">
        <v>257</v>
      </c>
      <c r="T5" t="s">
        <v>69</v>
      </c>
      <c r="U5" t="s">
        <v>257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74</v>
      </c>
      <c r="AD5" t="s">
        <v>263</v>
      </c>
      <c r="AE5" t="s">
        <v>76</v>
      </c>
      <c r="AF5" t="s">
        <v>69</v>
      </c>
      <c r="AG5" t="s">
        <v>257</v>
      </c>
      <c r="AH5" t="s">
        <v>74</v>
      </c>
      <c r="AI5" t="s">
        <v>263</v>
      </c>
      <c r="AJ5" t="s">
        <v>76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257</v>
      </c>
      <c r="AX5" t="s">
        <v>69</v>
      </c>
      <c r="AY5" t="s">
        <v>257</v>
      </c>
    </row>
    <row r="6" spans="1:5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259</v>
      </c>
      <c r="S6" t="s">
        <v>259</v>
      </c>
      <c r="T6" t="s">
        <v>72</v>
      </c>
      <c r="U6" t="s">
        <v>259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75</v>
      </c>
      <c r="AD6" t="s">
        <v>264</v>
      </c>
      <c r="AE6" t="s">
        <v>77</v>
      </c>
      <c r="AF6" t="s">
        <v>72</v>
      </c>
      <c r="AG6" t="s">
        <v>259</v>
      </c>
      <c r="AH6" t="s">
        <v>75</v>
      </c>
      <c r="AI6" t="s">
        <v>264</v>
      </c>
      <c r="AJ6" t="s">
        <v>77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259</v>
      </c>
      <c r="AX6" t="s">
        <v>72</v>
      </c>
      <c r="AY6" t="s">
        <v>259</v>
      </c>
    </row>
    <row r="7" spans="1:5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481</v>
      </c>
      <c r="N7" t="s">
        <v>258</v>
      </c>
      <c r="O7" t="s">
        <v>481</v>
      </c>
      <c r="P7" t="s">
        <v>258</v>
      </c>
      <c r="Q7" t="s">
        <v>481</v>
      </c>
      <c r="R7" t="s">
        <v>258</v>
      </c>
      <c r="S7" t="s">
        <v>258</v>
      </c>
      <c r="T7" t="s">
        <v>251</v>
      </c>
      <c r="U7" t="s">
        <v>258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251</v>
      </c>
      <c r="AG7" t="s">
        <v>258</v>
      </c>
      <c r="AH7" t="s">
        <v>251</v>
      </c>
      <c r="AI7" t="s">
        <v>258</v>
      </c>
      <c r="AJ7" t="s">
        <v>251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258</v>
      </c>
      <c r="AX7" t="s">
        <v>251</v>
      </c>
      <c r="AY7" t="s">
        <v>258</v>
      </c>
    </row>
    <row r="8" spans="1:5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260</v>
      </c>
      <c r="T8" t="s">
        <v>253</v>
      </c>
      <c r="U8" t="s">
        <v>260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253</v>
      </c>
      <c r="AG8" t="s">
        <v>260</v>
      </c>
      <c r="AH8" t="s">
        <v>253</v>
      </c>
      <c r="AI8" t="s">
        <v>260</v>
      </c>
      <c r="AJ8" t="s">
        <v>253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260</v>
      </c>
      <c r="AX8" t="s">
        <v>253</v>
      </c>
      <c r="AY8" t="s">
        <v>260</v>
      </c>
    </row>
    <row r="9" spans="1:51" x14ac:dyDescent="0.4">
      <c r="A9" s="1" t="s">
        <v>6</v>
      </c>
      <c r="B9" s="3" t="s">
        <v>7</v>
      </c>
      <c r="C9">
        <v>132906</v>
      </c>
      <c r="D9">
        <v>1656</v>
      </c>
      <c r="E9">
        <v>163914</v>
      </c>
      <c r="F9">
        <v>1810</v>
      </c>
      <c r="G9">
        <v>25116</v>
      </c>
      <c r="H9">
        <v>99291</v>
      </c>
      <c r="I9">
        <v>13924</v>
      </c>
      <c r="J9">
        <v>122804</v>
      </c>
      <c r="K9">
        <v>23829</v>
      </c>
      <c r="L9">
        <v>6842</v>
      </c>
      <c r="M9">
        <v>1529692</v>
      </c>
      <c r="N9">
        <v>21525</v>
      </c>
      <c r="O9">
        <v>4972429</v>
      </c>
      <c r="P9">
        <v>50315</v>
      </c>
      <c r="Q9">
        <v>1152975</v>
      </c>
      <c r="R9">
        <v>15880</v>
      </c>
      <c r="S9">
        <v>7690</v>
      </c>
      <c r="T9">
        <v>9965</v>
      </c>
      <c r="U9">
        <v>63003</v>
      </c>
      <c r="V9">
        <v>59023</v>
      </c>
      <c r="W9">
        <v>138049</v>
      </c>
      <c r="X9">
        <v>104294</v>
      </c>
      <c r="Y9">
        <v>214305</v>
      </c>
      <c r="Z9">
        <v>25594</v>
      </c>
      <c r="AA9" t="s">
        <v>73</v>
      </c>
      <c r="AB9" t="s">
        <v>73</v>
      </c>
      <c r="AC9" t="s">
        <v>73</v>
      </c>
      <c r="AD9" t="s">
        <v>73</v>
      </c>
      <c r="AE9" t="s">
        <v>73</v>
      </c>
      <c r="AF9">
        <v>2356134</v>
      </c>
      <c r="AG9">
        <v>38150</v>
      </c>
      <c r="AH9">
        <v>2498138</v>
      </c>
      <c r="AI9">
        <v>44818</v>
      </c>
      <c r="AJ9">
        <v>468593</v>
      </c>
      <c r="AK9">
        <v>179040</v>
      </c>
      <c r="AL9">
        <v>17316</v>
      </c>
      <c r="AM9">
        <v>55704</v>
      </c>
      <c r="AN9">
        <v>78911</v>
      </c>
      <c r="AO9">
        <v>4149848</v>
      </c>
      <c r="AP9">
        <v>19127</v>
      </c>
      <c r="AQ9">
        <v>35663</v>
      </c>
      <c r="AR9">
        <v>57983</v>
      </c>
      <c r="AS9">
        <v>805385</v>
      </c>
      <c r="AT9">
        <v>41580</v>
      </c>
      <c r="AU9">
        <v>5182</v>
      </c>
      <c r="AV9">
        <v>28658</v>
      </c>
      <c r="AW9">
        <v>154525</v>
      </c>
      <c r="AX9">
        <v>1118317</v>
      </c>
      <c r="AY9">
        <v>27987</v>
      </c>
    </row>
    <row r="10" spans="1:51" x14ac:dyDescent="0.4">
      <c r="A10" s="1" t="s">
        <v>8</v>
      </c>
      <c r="B10" s="3" t="s">
        <v>9</v>
      </c>
      <c r="C10">
        <v>112100</v>
      </c>
      <c r="D10">
        <v>1404</v>
      </c>
      <c r="E10">
        <v>142569</v>
      </c>
      <c r="F10">
        <v>1546</v>
      </c>
      <c r="G10">
        <v>31922</v>
      </c>
      <c r="H10">
        <v>109283</v>
      </c>
      <c r="I10">
        <v>13560</v>
      </c>
      <c r="J10">
        <v>130820</v>
      </c>
      <c r="K10">
        <v>22896</v>
      </c>
      <c r="L10">
        <v>6544</v>
      </c>
      <c r="M10">
        <v>1563598</v>
      </c>
      <c r="N10">
        <v>30445</v>
      </c>
      <c r="O10">
        <v>4684795</v>
      </c>
      <c r="P10">
        <v>57286</v>
      </c>
      <c r="Q10">
        <v>1451879</v>
      </c>
      <c r="R10">
        <v>14572</v>
      </c>
      <c r="S10">
        <v>5777</v>
      </c>
      <c r="T10">
        <v>9058</v>
      </c>
      <c r="U10">
        <v>57782</v>
      </c>
      <c r="V10">
        <v>59376</v>
      </c>
      <c r="W10">
        <v>114182</v>
      </c>
      <c r="X10">
        <v>85234</v>
      </c>
      <c r="Y10">
        <v>163653</v>
      </c>
      <c r="Z10">
        <v>28645</v>
      </c>
      <c r="AA10" t="s">
        <v>73</v>
      </c>
      <c r="AB10" t="s">
        <v>73</v>
      </c>
      <c r="AC10" t="s">
        <v>73</v>
      </c>
      <c r="AD10" t="s">
        <v>73</v>
      </c>
      <c r="AE10" t="s">
        <v>73</v>
      </c>
      <c r="AF10">
        <v>2444795</v>
      </c>
      <c r="AG10">
        <v>33630</v>
      </c>
      <c r="AH10">
        <v>2688677</v>
      </c>
      <c r="AI10">
        <v>39910</v>
      </c>
      <c r="AJ10">
        <v>456159</v>
      </c>
      <c r="AK10">
        <v>224990</v>
      </c>
      <c r="AL10">
        <v>17977</v>
      </c>
      <c r="AM10">
        <v>44961</v>
      </c>
      <c r="AN10">
        <v>63993</v>
      </c>
      <c r="AO10">
        <v>4464975</v>
      </c>
      <c r="AP10">
        <v>19129</v>
      </c>
      <c r="AQ10">
        <v>36490</v>
      </c>
      <c r="AR10">
        <v>41905</v>
      </c>
      <c r="AS10">
        <v>675868</v>
      </c>
      <c r="AT10">
        <v>24383</v>
      </c>
      <c r="AU10">
        <v>21788</v>
      </c>
      <c r="AV10">
        <v>26722</v>
      </c>
      <c r="AW10">
        <v>118265</v>
      </c>
      <c r="AX10">
        <v>835365</v>
      </c>
      <c r="AY10">
        <v>24731</v>
      </c>
    </row>
    <row r="11" spans="1:51" x14ac:dyDescent="0.4">
      <c r="A11" s="1" t="s">
        <v>10</v>
      </c>
      <c r="B11" s="3" t="s">
        <v>11</v>
      </c>
      <c r="C11">
        <v>141310</v>
      </c>
      <c r="D11">
        <v>1589</v>
      </c>
      <c r="E11">
        <v>148042</v>
      </c>
      <c r="F11">
        <v>1623</v>
      </c>
      <c r="G11">
        <v>32020</v>
      </c>
      <c r="H11">
        <v>123376</v>
      </c>
      <c r="I11">
        <v>15617</v>
      </c>
      <c r="J11">
        <v>141028</v>
      </c>
      <c r="K11">
        <v>25624</v>
      </c>
      <c r="L11">
        <v>8556</v>
      </c>
      <c r="M11">
        <v>1360478</v>
      </c>
      <c r="N11">
        <v>29618</v>
      </c>
      <c r="O11">
        <v>5012372</v>
      </c>
      <c r="P11">
        <v>67679</v>
      </c>
      <c r="Q11">
        <v>824525</v>
      </c>
      <c r="R11">
        <v>7578</v>
      </c>
      <c r="S11">
        <v>5582</v>
      </c>
      <c r="T11">
        <v>6381</v>
      </c>
      <c r="U11">
        <v>41363</v>
      </c>
      <c r="V11">
        <v>80515</v>
      </c>
      <c r="W11">
        <v>71530</v>
      </c>
      <c r="X11">
        <v>68716</v>
      </c>
      <c r="Y11">
        <v>123958</v>
      </c>
      <c r="Z11">
        <v>20416</v>
      </c>
      <c r="AA11" t="s">
        <v>73</v>
      </c>
      <c r="AB11" t="s">
        <v>73</v>
      </c>
      <c r="AC11" t="s">
        <v>73</v>
      </c>
      <c r="AD11" t="s">
        <v>73</v>
      </c>
      <c r="AE11" t="s">
        <v>73</v>
      </c>
      <c r="AF11" t="s">
        <v>73</v>
      </c>
      <c r="AG11" t="s">
        <v>73</v>
      </c>
      <c r="AH11" t="s">
        <v>73</v>
      </c>
      <c r="AI11" t="s">
        <v>73</v>
      </c>
      <c r="AJ11" t="s">
        <v>73</v>
      </c>
      <c r="AK11">
        <v>249843</v>
      </c>
      <c r="AL11">
        <v>23764</v>
      </c>
      <c r="AM11">
        <v>48449</v>
      </c>
      <c r="AN11">
        <v>57898</v>
      </c>
      <c r="AO11">
        <v>5175698</v>
      </c>
      <c r="AP11">
        <v>23519</v>
      </c>
      <c r="AQ11">
        <v>56069</v>
      </c>
      <c r="AR11">
        <v>50347</v>
      </c>
      <c r="AS11">
        <v>730108</v>
      </c>
      <c r="AT11">
        <v>21672</v>
      </c>
      <c r="AU11">
        <v>9420</v>
      </c>
      <c r="AV11">
        <v>26576</v>
      </c>
      <c r="AW11">
        <v>120355</v>
      </c>
      <c r="AX11">
        <v>801679</v>
      </c>
      <c r="AY11">
        <v>31345</v>
      </c>
    </row>
    <row r="12" spans="1:51" x14ac:dyDescent="0.4">
      <c r="A12" s="1" t="s">
        <v>12</v>
      </c>
      <c r="B12" s="3" t="s">
        <v>13</v>
      </c>
      <c r="C12">
        <v>140611</v>
      </c>
      <c r="D12">
        <v>1121</v>
      </c>
      <c r="E12">
        <v>141565</v>
      </c>
      <c r="F12">
        <v>1363</v>
      </c>
      <c r="G12">
        <v>47016</v>
      </c>
      <c r="H12">
        <v>77122</v>
      </c>
      <c r="I12">
        <v>12459</v>
      </c>
      <c r="J12">
        <v>97458</v>
      </c>
      <c r="K12">
        <v>22192</v>
      </c>
      <c r="L12">
        <v>5212</v>
      </c>
      <c r="M12">
        <v>1504034</v>
      </c>
      <c r="N12">
        <v>39710</v>
      </c>
      <c r="O12">
        <v>4867094</v>
      </c>
      <c r="P12">
        <v>77769</v>
      </c>
      <c r="Q12">
        <v>517156</v>
      </c>
      <c r="R12">
        <v>6073</v>
      </c>
      <c r="S12">
        <v>5853</v>
      </c>
      <c r="T12">
        <v>6052</v>
      </c>
      <c r="U12">
        <v>39566</v>
      </c>
      <c r="V12">
        <v>71164</v>
      </c>
      <c r="W12">
        <v>37732</v>
      </c>
      <c r="X12">
        <v>55275</v>
      </c>
      <c r="Y12">
        <v>132507</v>
      </c>
      <c r="Z12">
        <v>24081</v>
      </c>
      <c r="AA12" t="s">
        <v>73</v>
      </c>
      <c r="AB12" t="s">
        <v>73</v>
      </c>
      <c r="AC12" t="s">
        <v>73</v>
      </c>
      <c r="AD12" t="s">
        <v>73</v>
      </c>
      <c r="AE12" t="s">
        <v>73</v>
      </c>
      <c r="AF12" t="s">
        <v>73</v>
      </c>
      <c r="AG12" t="s">
        <v>73</v>
      </c>
      <c r="AH12" t="s">
        <v>73</v>
      </c>
      <c r="AI12" t="s">
        <v>73</v>
      </c>
      <c r="AJ12" t="s">
        <v>73</v>
      </c>
      <c r="AK12">
        <v>212490</v>
      </c>
      <c r="AL12">
        <v>16336</v>
      </c>
      <c r="AM12">
        <v>7149</v>
      </c>
      <c r="AN12">
        <v>27590</v>
      </c>
      <c r="AO12">
        <v>5698736</v>
      </c>
      <c r="AP12">
        <v>30924</v>
      </c>
      <c r="AQ12">
        <v>31971</v>
      </c>
      <c r="AR12">
        <v>84304</v>
      </c>
      <c r="AS12">
        <v>527907</v>
      </c>
      <c r="AT12">
        <v>26079</v>
      </c>
      <c r="AU12">
        <v>4549</v>
      </c>
      <c r="AV12">
        <v>18064</v>
      </c>
      <c r="AW12">
        <v>194049</v>
      </c>
      <c r="AX12">
        <v>347343</v>
      </c>
      <c r="AY12">
        <v>30347</v>
      </c>
    </row>
    <row r="13" spans="1:51" x14ac:dyDescent="0.4">
      <c r="A13" s="1" t="s">
        <v>14</v>
      </c>
      <c r="B13" s="3" t="s">
        <v>15</v>
      </c>
      <c r="C13">
        <v>112692</v>
      </c>
      <c r="D13">
        <v>1159</v>
      </c>
      <c r="E13">
        <v>131497</v>
      </c>
      <c r="F13">
        <v>1330</v>
      </c>
      <c r="G13">
        <v>28228</v>
      </c>
      <c r="H13">
        <v>87089</v>
      </c>
      <c r="I13">
        <v>13355</v>
      </c>
      <c r="J13">
        <v>102045</v>
      </c>
      <c r="K13">
        <v>23479</v>
      </c>
      <c r="L13">
        <v>5454</v>
      </c>
      <c r="M13">
        <v>1388382</v>
      </c>
      <c r="N13">
        <v>41827</v>
      </c>
      <c r="O13">
        <v>4592913</v>
      </c>
      <c r="P13">
        <v>76462</v>
      </c>
      <c r="Q13">
        <v>619467</v>
      </c>
      <c r="R13">
        <v>3215</v>
      </c>
      <c r="S13">
        <v>3790</v>
      </c>
      <c r="T13" t="s">
        <v>73</v>
      </c>
      <c r="U13" t="s">
        <v>73</v>
      </c>
      <c r="V13" t="s">
        <v>73</v>
      </c>
      <c r="W13">
        <v>36870</v>
      </c>
      <c r="X13">
        <v>57749</v>
      </c>
      <c r="Y13">
        <v>111425</v>
      </c>
      <c r="Z13">
        <v>28917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73</v>
      </c>
      <c r="AI13" t="s">
        <v>73</v>
      </c>
      <c r="AJ13" t="s">
        <v>73</v>
      </c>
      <c r="AK13">
        <v>170767</v>
      </c>
      <c r="AL13">
        <v>27975</v>
      </c>
      <c r="AM13">
        <v>19112</v>
      </c>
      <c r="AN13">
        <v>35059</v>
      </c>
      <c r="AO13">
        <v>5086262</v>
      </c>
      <c r="AP13">
        <v>27094</v>
      </c>
      <c r="AQ13">
        <v>34101</v>
      </c>
      <c r="AR13">
        <v>55161</v>
      </c>
      <c r="AS13">
        <v>576084</v>
      </c>
      <c r="AT13">
        <v>44041</v>
      </c>
      <c r="AU13">
        <v>4503</v>
      </c>
      <c r="AV13">
        <v>18913</v>
      </c>
      <c r="AW13">
        <v>192936</v>
      </c>
      <c r="AX13">
        <v>354939</v>
      </c>
      <c r="AY13">
        <v>27034</v>
      </c>
    </row>
    <row r="14" spans="1:51" x14ac:dyDescent="0.4">
      <c r="A14" s="1" t="s">
        <v>16</v>
      </c>
      <c r="B14" s="1" t="s">
        <v>17</v>
      </c>
      <c r="C14">
        <v>18624</v>
      </c>
      <c r="D14">
        <v>118</v>
      </c>
      <c r="E14">
        <v>20514</v>
      </c>
      <c r="F14">
        <v>184</v>
      </c>
      <c r="G14">
        <v>29304</v>
      </c>
      <c r="H14">
        <v>8553</v>
      </c>
      <c r="I14">
        <v>1128</v>
      </c>
      <c r="J14">
        <v>11861</v>
      </c>
      <c r="K14">
        <v>2539</v>
      </c>
      <c r="L14">
        <v>5491</v>
      </c>
      <c r="M14">
        <v>86448</v>
      </c>
      <c r="N14">
        <v>1747</v>
      </c>
      <c r="O14">
        <v>413622</v>
      </c>
      <c r="P14">
        <v>7074</v>
      </c>
      <c r="Q14">
        <v>747939</v>
      </c>
      <c r="R14">
        <v>975</v>
      </c>
      <c r="S14">
        <v>469</v>
      </c>
      <c r="T14">
        <v>632</v>
      </c>
      <c r="U14">
        <v>4068</v>
      </c>
      <c r="V14">
        <v>11224</v>
      </c>
      <c r="W14">
        <v>4766</v>
      </c>
      <c r="X14">
        <v>16243</v>
      </c>
      <c r="Y14">
        <v>8577</v>
      </c>
      <c r="Z14">
        <v>5420</v>
      </c>
      <c r="AA14" t="s">
        <v>73</v>
      </c>
      <c r="AB14" t="s">
        <v>73</v>
      </c>
      <c r="AC14" t="s">
        <v>73</v>
      </c>
      <c r="AD14" t="s">
        <v>73</v>
      </c>
      <c r="AE14" t="s">
        <v>73</v>
      </c>
      <c r="AF14" t="s">
        <v>73</v>
      </c>
      <c r="AG14" t="s">
        <v>73</v>
      </c>
      <c r="AH14" t="s">
        <v>73</v>
      </c>
      <c r="AI14" t="s">
        <v>73</v>
      </c>
      <c r="AJ14" t="s">
        <v>73</v>
      </c>
      <c r="AK14">
        <v>18748</v>
      </c>
      <c r="AL14">
        <v>2280</v>
      </c>
      <c r="AM14">
        <v>1356</v>
      </c>
      <c r="AN14">
        <v>8704</v>
      </c>
      <c r="AO14">
        <v>510159</v>
      </c>
      <c r="AP14">
        <v>2443</v>
      </c>
      <c r="AQ14">
        <v>2670</v>
      </c>
      <c r="AR14">
        <v>13674</v>
      </c>
      <c r="AS14">
        <v>49833</v>
      </c>
      <c r="AT14">
        <v>4167</v>
      </c>
      <c r="AU14">
        <v>1781</v>
      </c>
      <c r="AV14">
        <v>8708</v>
      </c>
      <c r="AW14">
        <v>39195</v>
      </c>
      <c r="AX14">
        <v>60321</v>
      </c>
      <c r="AY14">
        <v>5672</v>
      </c>
    </row>
    <row r="15" spans="1:51" x14ac:dyDescent="0.4">
      <c r="A15" s="1" t="s">
        <v>18</v>
      </c>
      <c r="B15" s="1" t="s">
        <v>19</v>
      </c>
      <c r="C15">
        <v>15434</v>
      </c>
      <c r="D15">
        <v>109</v>
      </c>
      <c r="E15">
        <v>8408</v>
      </c>
      <c r="F15">
        <v>101</v>
      </c>
      <c r="G15">
        <v>36330</v>
      </c>
      <c r="H15">
        <v>4981</v>
      </c>
      <c r="I15">
        <v>1072</v>
      </c>
      <c r="J15">
        <v>3994</v>
      </c>
      <c r="K15">
        <v>1188</v>
      </c>
      <c r="L15">
        <v>7709</v>
      </c>
      <c r="M15">
        <v>111369</v>
      </c>
      <c r="N15">
        <v>3097</v>
      </c>
      <c r="O15">
        <v>393733</v>
      </c>
      <c r="P15">
        <v>5730</v>
      </c>
      <c r="Q15">
        <v>762847</v>
      </c>
      <c r="R15">
        <v>446</v>
      </c>
      <c r="S15">
        <v>390</v>
      </c>
      <c r="T15">
        <v>263</v>
      </c>
      <c r="U15">
        <v>1684</v>
      </c>
      <c r="V15">
        <v>4991</v>
      </c>
      <c r="W15">
        <v>2086</v>
      </c>
      <c r="X15">
        <v>1602</v>
      </c>
      <c r="Y15">
        <v>7173</v>
      </c>
      <c r="Z15">
        <v>751</v>
      </c>
      <c r="AA15" t="s">
        <v>73</v>
      </c>
      <c r="AB15" t="s">
        <v>73</v>
      </c>
      <c r="AC15" t="s">
        <v>73</v>
      </c>
      <c r="AD15" t="s">
        <v>73</v>
      </c>
      <c r="AE15" t="s">
        <v>73</v>
      </c>
      <c r="AF15" t="s">
        <v>73</v>
      </c>
      <c r="AG15" t="s">
        <v>73</v>
      </c>
      <c r="AH15" t="s">
        <v>73</v>
      </c>
      <c r="AI15" t="s">
        <v>73</v>
      </c>
      <c r="AJ15" t="s">
        <v>73</v>
      </c>
      <c r="AK15">
        <v>19283</v>
      </c>
      <c r="AL15">
        <v>630</v>
      </c>
      <c r="AM15">
        <v>694</v>
      </c>
      <c r="AN15">
        <v>1482</v>
      </c>
      <c r="AO15">
        <v>452713</v>
      </c>
      <c r="AP15">
        <v>2285</v>
      </c>
      <c r="AQ15">
        <v>2301</v>
      </c>
      <c r="AR15">
        <v>2641</v>
      </c>
      <c r="AS15">
        <v>42776</v>
      </c>
      <c r="AT15">
        <v>1093</v>
      </c>
      <c r="AU15">
        <v>197</v>
      </c>
      <c r="AV15">
        <v>109</v>
      </c>
      <c r="AW15">
        <v>10954</v>
      </c>
      <c r="AX15">
        <v>16267</v>
      </c>
      <c r="AY15">
        <v>1569</v>
      </c>
    </row>
    <row r="16" spans="1:51" x14ac:dyDescent="0.4">
      <c r="A16" s="1" t="s">
        <v>20</v>
      </c>
      <c r="B16" s="1" t="s">
        <v>21</v>
      </c>
      <c r="C16">
        <v>10317</v>
      </c>
      <c r="D16">
        <v>75</v>
      </c>
      <c r="E16">
        <v>15389</v>
      </c>
      <c r="F16">
        <v>128</v>
      </c>
      <c r="G16">
        <v>47208</v>
      </c>
      <c r="H16">
        <v>4598</v>
      </c>
      <c r="I16">
        <v>945</v>
      </c>
      <c r="J16">
        <v>4833</v>
      </c>
      <c r="K16">
        <v>1152</v>
      </c>
      <c r="L16">
        <v>9110</v>
      </c>
      <c r="M16">
        <v>127851</v>
      </c>
      <c r="N16">
        <v>3173</v>
      </c>
      <c r="O16">
        <v>397740</v>
      </c>
      <c r="P16">
        <v>6347</v>
      </c>
      <c r="Q16">
        <v>723424</v>
      </c>
      <c r="R16">
        <v>405</v>
      </c>
      <c r="S16">
        <v>373</v>
      </c>
      <c r="T16">
        <v>287</v>
      </c>
      <c r="U16">
        <v>1836</v>
      </c>
      <c r="V16">
        <v>5182</v>
      </c>
      <c r="W16">
        <v>2396</v>
      </c>
      <c r="X16">
        <v>2241</v>
      </c>
      <c r="Y16">
        <v>8627</v>
      </c>
      <c r="Z16">
        <v>827</v>
      </c>
      <c r="AA16" t="s">
        <v>73</v>
      </c>
      <c r="AB16" t="s">
        <v>73</v>
      </c>
      <c r="AC16" t="s">
        <v>73</v>
      </c>
      <c r="AD16" t="s">
        <v>73</v>
      </c>
      <c r="AE16" t="s">
        <v>73</v>
      </c>
      <c r="AF16" t="s">
        <v>73</v>
      </c>
      <c r="AG16" t="s">
        <v>73</v>
      </c>
      <c r="AH16" t="s">
        <v>73</v>
      </c>
      <c r="AI16" t="s">
        <v>73</v>
      </c>
      <c r="AJ16" t="s">
        <v>73</v>
      </c>
      <c r="AK16">
        <v>16158</v>
      </c>
      <c r="AL16">
        <v>667</v>
      </c>
      <c r="AM16">
        <v>395</v>
      </c>
      <c r="AN16">
        <v>1553</v>
      </c>
      <c r="AO16">
        <v>403587</v>
      </c>
      <c r="AP16">
        <v>1966</v>
      </c>
      <c r="AQ16">
        <v>2694</v>
      </c>
      <c r="AR16">
        <v>2002</v>
      </c>
      <c r="AS16">
        <v>40957</v>
      </c>
      <c r="AT16">
        <v>1016</v>
      </c>
      <c r="AU16">
        <v>131</v>
      </c>
      <c r="AV16">
        <v>540</v>
      </c>
      <c r="AW16">
        <v>11216</v>
      </c>
      <c r="AX16">
        <v>18600</v>
      </c>
      <c r="AY16">
        <v>1327</v>
      </c>
    </row>
    <row r="17" spans="1:51" x14ac:dyDescent="0.4">
      <c r="A17" s="1" t="s">
        <v>22</v>
      </c>
      <c r="B17" s="1" t="s">
        <v>23</v>
      </c>
      <c r="C17">
        <v>9754</v>
      </c>
      <c r="D17">
        <v>51</v>
      </c>
      <c r="E17">
        <v>6488</v>
      </c>
      <c r="F17">
        <v>71</v>
      </c>
      <c r="G17">
        <v>50474</v>
      </c>
      <c r="H17">
        <v>3599</v>
      </c>
      <c r="I17">
        <v>933</v>
      </c>
      <c r="J17">
        <v>4773</v>
      </c>
      <c r="K17">
        <v>1203</v>
      </c>
      <c r="L17">
        <v>9730</v>
      </c>
      <c r="M17">
        <v>128314</v>
      </c>
      <c r="N17">
        <v>3305</v>
      </c>
      <c r="O17">
        <v>506517</v>
      </c>
      <c r="P17">
        <v>6605</v>
      </c>
      <c r="Q17">
        <v>607058</v>
      </c>
      <c r="R17">
        <v>493</v>
      </c>
      <c r="S17">
        <v>383</v>
      </c>
      <c r="T17">
        <v>438</v>
      </c>
      <c r="U17">
        <v>2926</v>
      </c>
      <c r="V17">
        <v>5808</v>
      </c>
      <c r="W17">
        <v>3455</v>
      </c>
      <c r="X17">
        <v>3655</v>
      </c>
      <c r="Y17">
        <v>7032</v>
      </c>
      <c r="Z17">
        <v>1434</v>
      </c>
      <c r="AA17" t="s">
        <v>73</v>
      </c>
      <c r="AB17" t="s">
        <v>73</v>
      </c>
      <c r="AC17" t="s">
        <v>73</v>
      </c>
      <c r="AD17" t="s">
        <v>73</v>
      </c>
      <c r="AE17" t="s">
        <v>73</v>
      </c>
      <c r="AF17" t="s">
        <v>73</v>
      </c>
      <c r="AG17" t="s">
        <v>73</v>
      </c>
      <c r="AH17" t="s">
        <v>73</v>
      </c>
      <c r="AI17" t="s">
        <v>73</v>
      </c>
      <c r="AJ17" t="s">
        <v>73</v>
      </c>
      <c r="AK17">
        <v>18132</v>
      </c>
      <c r="AL17">
        <v>1452</v>
      </c>
      <c r="AM17">
        <v>614</v>
      </c>
      <c r="AN17">
        <v>1225</v>
      </c>
      <c r="AO17">
        <v>472633</v>
      </c>
      <c r="AP17">
        <v>2291</v>
      </c>
      <c r="AQ17">
        <v>2689</v>
      </c>
      <c r="AR17">
        <v>2261</v>
      </c>
      <c r="AS17">
        <v>37173</v>
      </c>
      <c r="AT17">
        <v>3977</v>
      </c>
      <c r="AU17">
        <v>256</v>
      </c>
      <c r="AV17">
        <v>1127</v>
      </c>
      <c r="AW17">
        <v>11183</v>
      </c>
      <c r="AX17">
        <v>19723</v>
      </c>
      <c r="AY17">
        <v>1700</v>
      </c>
    </row>
    <row r="18" spans="1:51" x14ac:dyDescent="0.4">
      <c r="A18" s="1" t="s">
        <v>24</v>
      </c>
      <c r="B18" s="1" t="s">
        <v>25</v>
      </c>
      <c r="C18">
        <v>14476</v>
      </c>
      <c r="D18">
        <v>104</v>
      </c>
      <c r="E18">
        <v>11383</v>
      </c>
      <c r="F18">
        <v>110</v>
      </c>
      <c r="G18">
        <v>53567</v>
      </c>
      <c r="H18">
        <v>4001</v>
      </c>
      <c r="I18">
        <v>676</v>
      </c>
      <c r="J18">
        <v>8587</v>
      </c>
      <c r="K18">
        <v>2297</v>
      </c>
      <c r="L18">
        <v>6300</v>
      </c>
      <c r="M18">
        <v>140903</v>
      </c>
      <c r="N18">
        <v>3823</v>
      </c>
      <c r="O18">
        <v>300940</v>
      </c>
      <c r="P18">
        <v>6605</v>
      </c>
      <c r="Q18">
        <v>750138</v>
      </c>
      <c r="R18">
        <v>429</v>
      </c>
      <c r="S18">
        <v>450</v>
      </c>
      <c r="T18">
        <v>493</v>
      </c>
      <c r="U18">
        <v>3237</v>
      </c>
      <c r="V18">
        <v>5390</v>
      </c>
      <c r="W18">
        <v>3321</v>
      </c>
      <c r="X18">
        <v>2133</v>
      </c>
      <c r="Y18">
        <v>6391</v>
      </c>
      <c r="Z18">
        <v>911</v>
      </c>
      <c r="AA18" t="s">
        <v>73</v>
      </c>
      <c r="AB18" t="s">
        <v>73</v>
      </c>
      <c r="AC18" t="s">
        <v>73</v>
      </c>
      <c r="AD18" t="s">
        <v>73</v>
      </c>
      <c r="AE18" t="s">
        <v>73</v>
      </c>
      <c r="AF18" t="s">
        <v>73</v>
      </c>
      <c r="AG18" t="s">
        <v>73</v>
      </c>
      <c r="AH18" t="s">
        <v>73</v>
      </c>
      <c r="AI18" t="s">
        <v>73</v>
      </c>
      <c r="AJ18" t="s">
        <v>73</v>
      </c>
      <c r="AK18">
        <v>18913</v>
      </c>
      <c r="AL18">
        <v>2405</v>
      </c>
      <c r="AM18">
        <v>304</v>
      </c>
      <c r="AN18">
        <v>856</v>
      </c>
      <c r="AO18">
        <v>496513</v>
      </c>
      <c r="AP18">
        <v>2566</v>
      </c>
      <c r="AQ18">
        <v>2776</v>
      </c>
      <c r="AR18">
        <v>22994</v>
      </c>
      <c r="AS18">
        <v>39801</v>
      </c>
      <c r="AT18">
        <v>2292</v>
      </c>
      <c r="AU18">
        <v>117</v>
      </c>
      <c r="AV18">
        <v>456</v>
      </c>
      <c r="AW18">
        <v>8925</v>
      </c>
      <c r="AX18">
        <v>20376</v>
      </c>
      <c r="AY18">
        <v>2292</v>
      </c>
    </row>
    <row r="19" spans="1:51" x14ac:dyDescent="0.4">
      <c r="A19" s="1" t="s">
        <v>26</v>
      </c>
      <c r="B19" s="1" t="s">
        <v>27</v>
      </c>
      <c r="C19">
        <v>10440</v>
      </c>
      <c r="D19">
        <v>74</v>
      </c>
      <c r="E19">
        <v>9070</v>
      </c>
      <c r="F19">
        <v>90</v>
      </c>
      <c r="G19">
        <v>54937</v>
      </c>
      <c r="H19">
        <v>4349</v>
      </c>
      <c r="I19">
        <v>912</v>
      </c>
      <c r="J19">
        <v>6659</v>
      </c>
      <c r="K19">
        <v>1635</v>
      </c>
      <c r="L19">
        <v>5137</v>
      </c>
      <c r="M19">
        <v>109845</v>
      </c>
      <c r="N19">
        <v>3130</v>
      </c>
      <c r="O19">
        <v>477207</v>
      </c>
      <c r="P19">
        <v>5945</v>
      </c>
      <c r="Q19">
        <v>646783</v>
      </c>
      <c r="R19">
        <v>259</v>
      </c>
      <c r="S19">
        <v>381</v>
      </c>
      <c r="T19">
        <v>383</v>
      </c>
      <c r="U19">
        <v>2495</v>
      </c>
      <c r="V19">
        <v>4531</v>
      </c>
      <c r="W19">
        <v>2664</v>
      </c>
      <c r="X19">
        <v>2023</v>
      </c>
      <c r="Y19">
        <v>9609</v>
      </c>
      <c r="Z19">
        <v>1295</v>
      </c>
      <c r="AA19" t="s">
        <v>73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  <c r="AG19" t="s">
        <v>73</v>
      </c>
      <c r="AH19" t="s">
        <v>73</v>
      </c>
      <c r="AI19" t="s">
        <v>73</v>
      </c>
      <c r="AJ19" t="s">
        <v>73</v>
      </c>
      <c r="AK19">
        <v>17804</v>
      </c>
      <c r="AL19">
        <v>1807</v>
      </c>
      <c r="AM19">
        <v>466</v>
      </c>
      <c r="AN19">
        <v>746</v>
      </c>
      <c r="AO19">
        <v>412876</v>
      </c>
      <c r="AP19">
        <v>2112</v>
      </c>
      <c r="AQ19">
        <v>2275</v>
      </c>
      <c r="AR19">
        <v>1565</v>
      </c>
      <c r="AS19">
        <v>31352</v>
      </c>
      <c r="AT19">
        <v>2385</v>
      </c>
      <c r="AU19">
        <v>180</v>
      </c>
      <c r="AV19">
        <v>658</v>
      </c>
      <c r="AW19">
        <v>10153</v>
      </c>
      <c r="AX19">
        <v>12937</v>
      </c>
      <c r="AY19">
        <v>2264</v>
      </c>
    </row>
    <row r="20" spans="1:51" x14ac:dyDescent="0.4">
      <c r="A20" s="1" t="s">
        <v>28</v>
      </c>
      <c r="B20" s="1" t="s">
        <v>29</v>
      </c>
      <c r="C20">
        <v>10067</v>
      </c>
      <c r="D20">
        <v>58</v>
      </c>
      <c r="E20">
        <v>10162</v>
      </c>
      <c r="F20">
        <v>75</v>
      </c>
      <c r="G20">
        <v>54842</v>
      </c>
      <c r="H20">
        <v>4485</v>
      </c>
      <c r="I20">
        <v>981</v>
      </c>
      <c r="J20">
        <v>6972</v>
      </c>
      <c r="K20">
        <v>2078</v>
      </c>
      <c r="L20">
        <v>4186</v>
      </c>
      <c r="M20">
        <v>111718</v>
      </c>
      <c r="N20">
        <v>3561</v>
      </c>
      <c r="O20">
        <v>316269</v>
      </c>
      <c r="P20">
        <v>7558</v>
      </c>
      <c r="Q20">
        <v>660604</v>
      </c>
      <c r="R20">
        <v>287</v>
      </c>
      <c r="S20">
        <v>457</v>
      </c>
      <c r="T20">
        <v>657</v>
      </c>
      <c r="U20">
        <v>4250</v>
      </c>
      <c r="V20">
        <v>6349</v>
      </c>
      <c r="W20">
        <v>3006</v>
      </c>
      <c r="X20">
        <v>4773</v>
      </c>
      <c r="Y20">
        <v>12451</v>
      </c>
      <c r="Z20">
        <v>1872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>
        <v>16134</v>
      </c>
      <c r="AL20">
        <v>1839</v>
      </c>
      <c r="AM20">
        <v>317</v>
      </c>
      <c r="AN20">
        <v>1201</v>
      </c>
      <c r="AO20">
        <v>478085</v>
      </c>
      <c r="AP20">
        <v>2422</v>
      </c>
      <c r="AQ20">
        <v>2083</v>
      </c>
      <c r="AR20">
        <v>4393</v>
      </c>
      <c r="AS20">
        <v>50052</v>
      </c>
      <c r="AT20">
        <v>3543</v>
      </c>
      <c r="AU20">
        <v>272</v>
      </c>
      <c r="AV20">
        <v>1010</v>
      </c>
      <c r="AW20">
        <v>21698</v>
      </c>
      <c r="AX20">
        <v>17568</v>
      </c>
      <c r="AY20">
        <v>2264</v>
      </c>
    </row>
    <row r="21" spans="1:51" x14ac:dyDescent="0.4">
      <c r="A21" s="1" t="s">
        <v>30</v>
      </c>
      <c r="B21" s="1" t="s">
        <v>31</v>
      </c>
      <c r="C21">
        <v>7041</v>
      </c>
      <c r="D21">
        <v>94</v>
      </c>
      <c r="E21">
        <v>9266</v>
      </c>
      <c r="F21">
        <v>100</v>
      </c>
      <c r="G21">
        <v>52617</v>
      </c>
      <c r="H21">
        <v>4899</v>
      </c>
      <c r="I21">
        <v>912</v>
      </c>
      <c r="J21">
        <v>4615</v>
      </c>
      <c r="K21">
        <v>1680</v>
      </c>
      <c r="L21">
        <v>5505</v>
      </c>
      <c r="M21">
        <v>145481</v>
      </c>
      <c r="N21">
        <v>3890</v>
      </c>
      <c r="O21">
        <v>401253</v>
      </c>
      <c r="P21">
        <v>6313</v>
      </c>
      <c r="Q21">
        <v>728993</v>
      </c>
      <c r="R21">
        <v>450</v>
      </c>
      <c r="S21">
        <v>606</v>
      </c>
      <c r="T21">
        <v>616</v>
      </c>
      <c r="U21">
        <v>4355</v>
      </c>
      <c r="V21">
        <v>7220</v>
      </c>
      <c r="W21">
        <v>3308</v>
      </c>
      <c r="X21">
        <v>3599</v>
      </c>
      <c r="Y21">
        <v>12590</v>
      </c>
      <c r="Z21">
        <v>2048</v>
      </c>
      <c r="AA21" t="s">
        <v>73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  <c r="AG21" t="s">
        <v>73</v>
      </c>
      <c r="AH21" t="s">
        <v>73</v>
      </c>
      <c r="AI21" t="s">
        <v>73</v>
      </c>
      <c r="AJ21" t="s">
        <v>73</v>
      </c>
      <c r="AK21">
        <v>20141</v>
      </c>
      <c r="AL21">
        <v>1198</v>
      </c>
      <c r="AM21">
        <v>242</v>
      </c>
      <c r="AN21">
        <v>980</v>
      </c>
      <c r="AO21">
        <v>507288</v>
      </c>
      <c r="AP21">
        <v>2522</v>
      </c>
      <c r="AQ21">
        <v>2776</v>
      </c>
      <c r="AR21">
        <v>2185</v>
      </c>
      <c r="AS21">
        <v>48313</v>
      </c>
      <c r="AT21">
        <v>1588</v>
      </c>
      <c r="AU21">
        <v>107</v>
      </c>
      <c r="AV21">
        <v>359</v>
      </c>
      <c r="AW21">
        <v>6074</v>
      </c>
      <c r="AX21">
        <v>23704</v>
      </c>
      <c r="AY21">
        <v>1520</v>
      </c>
    </row>
    <row r="22" spans="1:51" x14ac:dyDescent="0.4">
      <c r="A22" s="1" t="s">
        <v>32</v>
      </c>
      <c r="B22" s="1" t="s">
        <v>33</v>
      </c>
      <c r="C22">
        <v>11163</v>
      </c>
      <c r="D22">
        <v>97</v>
      </c>
      <c r="E22">
        <v>11649</v>
      </c>
      <c r="F22">
        <v>96</v>
      </c>
      <c r="G22">
        <v>52131</v>
      </c>
      <c r="H22">
        <v>8143</v>
      </c>
      <c r="I22">
        <v>1144</v>
      </c>
      <c r="J22">
        <v>10316</v>
      </c>
      <c r="K22">
        <v>1963</v>
      </c>
      <c r="L22">
        <v>4910</v>
      </c>
      <c r="M22">
        <v>132506</v>
      </c>
      <c r="N22">
        <v>3814</v>
      </c>
      <c r="O22">
        <v>531942</v>
      </c>
      <c r="P22">
        <v>6357</v>
      </c>
      <c r="Q22">
        <v>544529</v>
      </c>
      <c r="R22">
        <v>347</v>
      </c>
      <c r="S22">
        <v>587</v>
      </c>
      <c r="T22">
        <v>634</v>
      </c>
      <c r="U22">
        <v>4085</v>
      </c>
      <c r="V22">
        <v>5340</v>
      </c>
      <c r="W22">
        <v>3047</v>
      </c>
      <c r="X22">
        <v>3570</v>
      </c>
      <c r="Y22">
        <v>15359</v>
      </c>
      <c r="Z22">
        <v>2156</v>
      </c>
      <c r="AA22" t="s">
        <v>73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  <c r="AG22" t="s">
        <v>73</v>
      </c>
      <c r="AH22" t="s">
        <v>73</v>
      </c>
      <c r="AI22" t="s">
        <v>73</v>
      </c>
      <c r="AJ22" t="s">
        <v>73</v>
      </c>
      <c r="AK22">
        <v>14143</v>
      </c>
      <c r="AL22">
        <v>1180</v>
      </c>
      <c r="AM22">
        <v>256</v>
      </c>
      <c r="AN22">
        <v>1517</v>
      </c>
      <c r="AO22">
        <v>520136</v>
      </c>
      <c r="AP22">
        <v>2727</v>
      </c>
      <c r="AQ22">
        <v>2576</v>
      </c>
      <c r="AR22">
        <v>3768</v>
      </c>
      <c r="AS22">
        <v>45508</v>
      </c>
      <c r="AT22">
        <v>1745</v>
      </c>
      <c r="AU22">
        <v>144</v>
      </c>
      <c r="AV22">
        <v>689</v>
      </c>
      <c r="AW22">
        <v>17675</v>
      </c>
      <c r="AX22">
        <v>21605</v>
      </c>
      <c r="AY22">
        <v>3300</v>
      </c>
    </row>
    <row r="23" spans="1:51" x14ac:dyDescent="0.4">
      <c r="A23" s="1" t="s">
        <v>34</v>
      </c>
      <c r="B23" s="1" t="s">
        <v>35</v>
      </c>
      <c r="C23">
        <v>7670</v>
      </c>
      <c r="D23">
        <v>61</v>
      </c>
      <c r="E23">
        <v>12785</v>
      </c>
      <c r="F23">
        <v>92</v>
      </c>
      <c r="G23">
        <v>47016</v>
      </c>
      <c r="H23">
        <v>10905</v>
      </c>
      <c r="I23">
        <v>1308</v>
      </c>
      <c r="J23">
        <v>12030</v>
      </c>
      <c r="K23">
        <v>2339</v>
      </c>
      <c r="L23">
        <v>5212</v>
      </c>
      <c r="M23">
        <v>134020</v>
      </c>
      <c r="N23">
        <v>3634</v>
      </c>
      <c r="O23">
        <v>405160</v>
      </c>
      <c r="P23">
        <v>6213</v>
      </c>
      <c r="Q23">
        <v>517156</v>
      </c>
      <c r="R23">
        <v>452</v>
      </c>
      <c r="S23">
        <v>658</v>
      </c>
      <c r="T23">
        <v>681</v>
      </c>
      <c r="U23">
        <v>4368</v>
      </c>
      <c r="V23">
        <v>5299</v>
      </c>
      <c r="W23">
        <v>2506</v>
      </c>
      <c r="X23">
        <v>7459</v>
      </c>
      <c r="Y23">
        <v>29892</v>
      </c>
      <c r="Z23">
        <v>3658</v>
      </c>
      <c r="AA23" t="s">
        <v>73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  <c r="AG23" t="s">
        <v>73</v>
      </c>
      <c r="AH23" t="s">
        <v>73</v>
      </c>
      <c r="AI23" t="s">
        <v>73</v>
      </c>
      <c r="AJ23" t="s">
        <v>73</v>
      </c>
      <c r="AK23">
        <v>9341</v>
      </c>
      <c r="AL23">
        <v>653</v>
      </c>
      <c r="AM23">
        <v>324</v>
      </c>
      <c r="AN23">
        <v>2164</v>
      </c>
      <c r="AO23">
        <v>484326</v>
      </c>
      <c r="AP23">
        <v>2655</v>
      </c>
      <c r="AQ23">
        <v>2851</v>
      </c>
      <c r="AR23">
        <v>2823</v>
      </c>
      <c r="AS23">
        <v>39448</v>
      </c>
      <c r="AT23">
        <v>1029</v>
      </c>
      <c r="AU23">
        <v>391</v>
      </c>
      <c r="AV23">
        <v>1683</v>
      </c>
      <c r="AW23">
        <v>30530</v>
      </c>
      <c r="AX23">
        <v>14248</v>
      </c>
      <c r="AY23">
        <v>4803</v>
      </c>
    </row>
    <row r="24" spans="1:51" x14ac:dyDescent="0.4">
      <c r="A24" s="1" t="s">
        <v>36</v>
      </c>
      <c r="B24" s="1" t="s">
        <v>37</v>
      </c>
      <c r="C24">
        <v>10118</v>
      </c>
      <c r="D24">
        <v>236</v>
      </c>
      <c r="E24">
        <v>12535</v>
      </c>
      <c r="F24">
        <v>251</v>
      </c>
      <c r="G24">
        <v>44599</v>
      </c>
      <c r="H24">
        <v>8661</v>
      </c>
      <c r="I24">
        <v>842</v>
      </c>
      <c r="J24">
        <v>9606</v>
      </c>
      <c r="K24">
        <v>1819</v>
      </c>
      <c r="L24">
        <v>5742</v>
      </c>
      <c r="M24">
        <v>142358</v>
      </c>
      <c r="N24">
        <v>3736</v>
      </c>
      <c r="O24">
        <v>305404</v>
      </c>
      <c r="P24">
        <v>7255</v>
      </c>
      <c r="Q24">
        <v>598056</v>
      </c>
      <c r="R24">
        <v>361</v>
      </c>
      <c r="S24">
        <v>125</v>
      </c>
      <c r="T24" t="s">
        <v>73</v>
      </c>
      <c r="U24" t="s">
        <v>73</v>
      </c>
      <c r="V24" t="s">
        <v>73</v>
      </c>
      <c r="W24">
        <v>2243</v>
      </c>
      <c r="X24">
        <v>3805</v>
      </c>
      <c r="Y24">
        <v>16187</v>
      </c>
      <c r="Z24">
        <v>3239</v>
      </c>
      <c r="AA24" t="s">
        <v>73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  <c r="AG24" t="s">
        <v>73</v>
      </c>
      <c r="AH24" t="s">
        <v>73</v>
      </c>
      <c r="AI24" t="s">
        <v>73</v>
      </c>
      <c r="AJ24" t="s">
        <v>73</v>
      </c>
      <c r="AK24">
        <v>15526</v>
      </c>
      <c r="AL24">
        <v>3077</v>
      </c>
      <c r="AM24">
        <v>797</v>
      </c>
      <c r="AN24">
        <v>2786</v>
      </c>
      <c r="AO24">
        <v>464164</v>
      </c>
      <c r="AP24">
        <v>2593</v>
      </c>
      <c r="AQ24">
        <v>2870</v>
      </c>
      <c r="AR24">
        <v>2326</v>
      </c>
      <c r="AS24">
        <v>40749</v>
      </c>
      <c r="AT24">
        <v>4136</v>
      </c>
      <c r="AU24">
        <v>132</v>
      </c>
      <c r="AV24">
        <v>599</v>
      </c>
      <c r="AW24">
        <v>9801</v>
      </c>
      <c r="AX24">
        <v>19242</v>
      </c>
      <c r="AY24">
        <v>1776</v>
      </c>
    </row>
    <row r="25" spans="1:51" x14ac:dyDescent="0.4">
      <c r="A25" s="1" t="s">
        <v>38</v>
      </c>
      <c r="B25" s="1" t="s">
        <v>39</v>
      </c>
      <c r="C25">
        <v>9171</v>
      </c>
      <c r="D25">
        <v>106</v>
      </c>
      <c r="E25">
        <v>13379</v>
      </c>
      <c r="F25">
        <v>129</v>
      </c>
      <c r="G25">
        <v>40391</v>
      </c>
      <c r="H25">
        <v>9438</v>
      </c>
      <c r="I25">
        <v>1031</v>
      </c>
      <c r="J25">
        <v>10165</v>
      </c>
      <c r="K25">
        <v>2057</v>
      </c>
      <c r="L25">
        <v>6347</v>
      </c>
      <c r="M25">
        <v>126576</v>
      </c>
      <c r="N25">
        <v>3258</v>
      </c>
      <c r="O25">
        <v>454845</v>
      </c>
      <c r="P25">
        <v>7032</v>
      </c>
      <c r="Q25">
        <v>559083</v>
      </c>
      <c r="R25">
        <v>256</v>
      </c>
      <c r="S25">
        <v>681</v>
      </c>
      <c r="T25" t="s">
        <v>73</v>
      </c>
      <c r="U25" t="s">
        <v>73</v>
      </c>
      <c r="V25" t="s">
        <v>73</v>
      </c>
      <c r="W25">
        <v>3505</v>
      </c>
      <c r="X25">
        <v>5534</v>
      </c>
      <c r="Y25">
        <v>13713</v>
      </c>
      <c r="Z25">
        <v>1997</v>
      </c>
      <c r="AA25" t="s">
        <v>73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  <c r="AG25" t="s">
        <v>73</v>
      </c>
      <c r="AH25" t="s">
        <v>73</v>
      </c>
      <c r="AI25" t="s">
        <v>73</v>
      </c>
      <c r="AJ25" t="s">
        <v>73</v>
      </c>
      <c r="AK25">
        <v>11056</v>
      </c>
      <c r="AL25">
        <v>3052</v>
      </c>
      <c r="AM25">
        <v>2473</v>
      </c>
      <c r="AN25">
        <v>4331</v>
      </c>
      <c r="AO25">
        <v>425490</v>
      </c>
      <c r="AP25">
        <v>2294</v>
      </c>
      <c r="AQ25">
        <v>2687</v>
      </c>
      <c r="AR25">
        <v>3751</v>
      </c>
      <c r="AS25">
        <v>35606</v>
      </c>
      <c r="AT25">
        <v>11594</v>
      </c>
      <c r="AU25">
        <v>353</v>
      </c>
      <c r="AV25">
        <v>1474</v>
      </c>
      <c r="AW25">
        <v>15835</v>
      </c>
      <c r="AX25">
        <v>10747</v>
      </c>
      <c r="AY25">
        <v>1819</v>
      </c>
    </row>
    <row r="26" spans="1:51" x14ac:dyDescent="0.4">
      <c r="A26" s="1" t="s">
        <v>40</v>
      </c>
      <c r="B26" s="1" t="s">
        <v>41</v>
      </c>
      <c r="C26">
        <v>12911</v>
      </c>
      <c r="D26">
        <v>86</v>
      </c>
      <c r="E26">
        <v>14392</v>
      </c>
      <c r="F26">
        <v>110</v>
      </c>
      <c r="G26">
        <v>38910</v>
      </c>
      <c r="H26">
        <v>9345</v>
      </c>
      <c r="I26">
        <v>1606</v>
      </c>
      <c r="J26">
        <v>13020</v>
      </c>
      <c r="K26">
        <v>2787</v>
      </c>
      <c r="L26">
        <v>4631</v>
      </c>
      <c r="M26">
        <v>113459</v>
      </c>
      <c r="N26">
        <v>3084</v>
      </c>
      <c r="O26">
        <v>399609</v>
      </c>
      <c r="P26">
        <v>7295</v>
      </c>
      <c r="Q26">
        <v>467254</v>
      </c>
      <c r="R26">
        <v>333</v>
      </c>
      <c r="S26">
        <v>339</v>
      </c>
      <c r="T26" t="s">
        <v>73</v>
      </c>
      <c r="U26" t="s">
        <v>73</v>
      </c>
      <c r="V26" t="s">
        <v>73</v>
      </c>
      <c r="W26">
        <v>4161</v>
      </c>
      <c r="X26">
        <v>12228</v>
      </c>
      <c r="Y26">
        <v>9615</v>
      </c>
      <c r="Z26">
        <v>6320</v>
      </c>
      <c r="AA26" t="s">
        <v>73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  <c r="AG26" t="s">
        <v>73</v>
      </c>
      <c r="AH26" t="s">
        <v>73</v>
      </c>
      <c r="AI26" t="s">
        <v>73</v>
      </c>
      <c r="AJ26" t="s">
        <v>73</v>
      </c>
      <c r="AK26">
        <v>14199</v>
      </c>
      <c r="AL26">
        <v>10875</v>
      </c>
      <c r="AM26">
        <v>2794</v>
      </c>
      <c r="AN26">
        <v>6942</v>
      </c>
      <c r="AO26">
        <v>424499</v>
      </c>
      <c r="AP26">
        <v>2368</v>
      </c>
      <c r="AQ26">
        <v>3431</v>
      </c>
      <c r="AR26">
        <v>14191</v>
      </c>
      <c r="AS26">
        <v>49753</v>
      </c>
      <c r="AT26">
        <v>6936</v>
      </c>
      <c r="AU26">
        <v>2618</v>
      </c>
      <c r="AV26">
        <v>10903</v>
      </c>
      <c r="AW26">
        <v>46373</v>
      </c>
      <c r="AX26">
        <v>48472</v>
      </c>
      <c r="AY26">
        <v>3353</v>
      </c>
    </row>
    <row r="27" spans="1:51" x14ac:dyDescent="0.4">
      <c r="A27" s="1" t="s">
        <v>42</v>
      </c>
      <c r="B27" s="1" t="s">
        <v>43</v>
      </c>
      <c r="C27">
        <v>7501</v>
      </c>
      <c r="D27">
        <v>66</v>
      </c>
      <c r="E27">
        <v>8512</v>
      </c>
      <c r="F27">
        <v>74</v>
      </c>
      <c r="G27">
        <v>37899</v>
      </c>
      <c r="H27">
        <v>5326</v>
      </c>
      <c r="I27">
        <v>1020</v>
      </c>
      <c r="J27">
        <v>5971</v>
      </c>
      <c r="K27">
        <v>1631</v>
      </c>
      <c r="L27">
        <v>5559</v>
      </c>
      <c r="M27">
        <v>128235</v>
      </c>
      <c r="N27">
        <v>3612</v>
      </c>
      <c r="O27">
        <v>343468</v>
      </c>
      <c r="P27">
        <v>5529</v>
      </c>
      <c r="Q27">
        <v>587534</v>
      </c>
      <c r="R27">
        <v>228</v>
      </c>
      <c r="S27">
        <v>246</v>
      </c>
      <c r="T27" t="s">
        <v>73</v>
      </c>
      <c r="U27" t="s">
        <v>73</v>
      </c>
      <c r="V27" t="s">
        <v>73</v>
      </c>
      <c r="W27">
        <v>2371</v>
      </c>
      <c r="X27">
        <v>2473</v>
      </c>
      <c r="Y27">
        <v>6445</v>
      </c>
      <c r="Z27">
        <v>974</v>
      </c>
      <c r="AA27" t="s">
        <v>73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  <c r="AG27" t="s">
        <v>73</v>
      </c>
      <c r="AH27" t="s">
        <v>73</v>
      </c>
      <c r="AI27" t="s">
        <v>73</v>
      </c>
      <c r="AJ27" t="s">
        <v>73</v>
      </c>
      <c r="AK27">
        <v>13704</v>
      </c>
      <c r="AL27">
        <v>514</v>
      </c>
      <c r="AM27">
        <v>1454</v>
      </c>
      <c r="AN27">
        <v>1471</v>
      </c>
      <c r="AO27">
        <v>394666</v>
      </c>
      <c r="AP27">
        <v>1971</v>
      </c>
      <c r="AQ27">
        <v>2676</v>
      </c>
      <c r="AR27">
        <v>2275</v>
      </c>
      <c r="AS27">
        <v>37500</v>
      </c>
      <c r="AT27">
        <v>2231</v>
      </c>
      <c r="AU27">
        <v>188</v>
      </c>
      <c r="AV27">
        <v>730</v>
      </c>
      <c r="AW27">
        <v>5869</v>
      </c>
      <c r="AX27">
        <v>23009</v>
      </c>
      <c r="AY27">
        <v>1461</v>
      </c>
    </row>
    <row r="28" spans="1:51" x14ac:dyDescent="0.4">
      <c r="A28" s="1" t="s">
        <v>44</v>
      </c>
      <c r="B28" s="1" t="s">
        <v>45</v>
      </c>
      <c r="C28">
        <v>8194</v>
      </c>
      <c r="D28">
        <v>68</v>
      </c>
      <c r="E28">
        <v>7163</v>
      </c>
      <c r="F28">
        <v>64</v>
      </c>
      <c r="G28">
        <v>38930</v>
      </c>
      <c r="H28">
        <v>2664</v>
      </c>
      <c r="I28">
        <v>768</v>
      </c>
      <c r="J28">
        <v>4415</v>
      </c>
      <c r="K28">
        <v>1528</v>
      </c>
      <c r="L28">
        <v>5421</v>
      </c>
      <c r="M28">
        <v>107986</v>
      </c>
      <c r="N28">
        <v>3037</v>
      </c>
      <c r="O28">
        <v>360202</v>
      </c>
      <c r="P28">
        <v>5772</v>
      </c>
      <c r="Q28">
        <v>614042</v>
      </c>
      <c r="R28">
        <v>108</v>
      </c>
      <c r="S28">
        <v>237</v>
      </c>
      <c r="T28" t="s">
        <v>73</v>
      </c>
      <c r="U28" t="s">
        <v>73</v>
      </c>
      <c r="V28" t="s">
        <v>73</v>
      </c>
      <c r="W28">
        <v>2643</v>
      </c>
      <c r="X28">
        <v>2248</v>
      </c>
      <c r="Y28">
        <v>8813</v>
      </c>
      <c r="Z28">
        <v>1175</v>
      </c>
      <c r="AA28" t="s">
        <v>73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  <c r="AG28" t="s">
        <v>73</v>
      </c>
      <c r="AH28" t="s">
        <v>73</v>
      </c>
      <c r="AI28" t="s">
        <v>73</v>
      </c>
      <c r="AJ28" t="s">
        <v>73</v>
      </c>
      <c r="AK28">
        <v>8377</v>
      </c>
      <c r="AL28">
        <v>1168</v>
      </c>
      <c r="AM28">
        <v>1099</v>
      </c>
      <c r="AN28">
        <v>1327</v>
      </c>
      <c r="AO28">
        <v>397705</v>
      </c>
      <c r="AP28">
        <v>2079</v>
      </c>
      <c r="AQ28">
        <v>2803</v>
      </c>
      <c r="AR28">
        <v>2436</v>
      </c>
      <c r="AS28">
        <v>42555</v>
      </c>
      <c r="AT28">
        <v>1222</v>
      </c>
      <c r="AU28">
        <v>99</v>
      </c>
      <c r="AV28">
        <v>423</v>
      </c>
      <c r="AW28">
        <v>5307</v>
      </c>
      <c r="AX28">
        <v>21156</v>
      </c>
      <c r="AY28">
        <v>2204</v>
      </c>
    </row>
    <row r="29" spans="1:51" x14ac:dyDescent="0.4">
      <c r="A29" s="1" t="s">
        <v>46</v>
      </c>
      <c r="B29" s="1" t="s">
        <v>47</v>
      </c>
      <c r="C29">
        <v>9809</v>
      </c>
      <c r="D29">
        <v>87</v>
      </c>
      <c r="E29">
        <v>12460</v>
      </c>
      <c r="F29">
        <v>113</v>
      </c>
      <c r="G29">
        <v>36279</v>
      </c>
      <c r="H29">
        <v>7270</v>
      </c>
      <c r="I29">
        <v>1080</v>
      </c>
      <c r="J29">
        <v>8030</v>
      </c>
      <c r="K29">
        <v>1930</v>
      </c>
      <c r="L29">
        <v>4906</v>
      </c>
      <c r="M29">
        <v>106740</v>
      </c>
      <c r="N29">
        <v>3393</v>
      </c>
      <c r="O29">
        <v>388538</v>
      </c>
      <c r="P29">
        <v>6639</v>
      </c>
      <c r="Q29">
        <v>597076</v>
      </c>
      <c r="R29">
        <v>188</v>
      </c>
      <c r="S29">
        <v>248</v>
      </c>
      <c r="T29" t="s">
        <v>73</v>
      </c>
      <c r="U29" t="s">
        <v>73</v>
      </c>
      <c r="V29" t="s">
        <v>73</v>
      </c>
      <c r="W29">
        <v>2607</v>
      </c>
      <c r="X29">
        <v>4379</v>
      </c>
      <c r="Y29">
        <v>8645</v>
      </c>
      <c r="Z29">
        <v>1075</v>
      </c>
      <c r="AA29" t="s">
        <v>73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  <c r="AG29" t="s">
        <v>73</v>
      </c>
      <c r="AH29" t="s">
        <v>73</v>
      </c>
      <c r="AI29" t="s">
        <v>73</v>
      </c>
      <c r="AJ29" t="s">
        <v>73</v>
      </c>
      <c r="AK29">
        <v>11352</v>
      </c>
      <c r="AL29">
        <v>1204</v>
      </c>
      <c r="AM29">
        <v>1175</v>
      </c>
      <c r="AN29">
        <v>1357</v>
      </c>
      <c r="AO29">
        <v>422541</v>
      </c>
      <c r="AP29">
        <v>2294</v>
      </c>
      <c r="AQ29">
        <v>3298</v>
      </c>
      <c r="AR29">
        <v>3256</v>
      </c>
      <c r="AS29">
        <v>55394</v>
      </c>
      <c r="AT29">
        <v>1615</v>
      </c>
      <c r="AU29">
        <v>142</v>
      </c>
      <c r="AV29">
        <v>546</v>
      </c>
      <c r="AW29">
        <v>9009</v>
      </c>
      <c r="AX29">
        <v>35965</v>
      </c>
      <c r="AY29">
        <v>2553</v>
      </c>
    </row>
    <row r="30" spans="1:51" x14ac:dyDescent="0.4">
      <c r="A30" s="1" t="s">
        <v>48</v>
      </c>
      <c r="B30" s="1" t="s">
        <v>49</v>
      </c>
      <c r="C30">
        <v>8503</v>
      </c>
      <c r="D30">
        <v>92</v>
      </c>
      <c r="E30">
        <v>12263</v>
      </c>
      <c r="F30">
        <v>120</v>
      </c>
      <c r="G30">
        <v>32539</v>
      </c>
      <c r="H30">
        <v>9935</v>
      </c>
      <c r="I30">
        <v>1423</v>
      </c>
      <c r="J30">
        <v>10646</v>
      </c>
      <c r="K30">
        <v>2103</v>
      </c>
      <c r="L30">
        <v>5901</v>
      </c>
      <c r="M30">
        <v>109268</v>
      </c>
      <c r="N30">
        <v>3372</v>
      </c>
      <c r="O30">
        <v>380101</v>
      </c>
      <c r="P30">
        <v>6068</v>
      </c>
      <c r="Q30">
        <v>638449</v>
      </c>
      <c r="R30">
        <v>204</v>
      </c>
      <c r="S30">
        <v>279</v>
      </c>
      <c r="T30" t="s">
        <v>73</v>
      </c>
      <c r="U30" t="s">
        <v>73</v>
      </c>
      <c r="V30" t="s">
        <v>73</v>
      </c>
      <c r="W30">
        <v>3158</v>
      </c>
      <c r="X30">
        <v>3387</v>
      </c>
      <c r="Y30">
        <v>5458</v>
      </c>
      <c r="Z30">
        <v>1357</v>
      </c>
      <c r="AA30" t="s">
        <v>73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  <c r="AG30" t="s">
        <v>73</v>
      </c>
      <c r="AH30" t="s">
        <v>73</v>
      </c>
      <c r="AI30" t="s">
        <v>73</v>
      </c>
      <c r="AJ30" t="s">
        <v>73</v>
      </c>
      <c r="AK30">
        <v>13499</v>
      </c>
      <c r="AL30">
        <v>962</v>
      </c>
      <c r="AM30">
        <v>1292</v>
      </c>
      <c r="AN30">
        <v>1742</v>
      </c>
      <c r="AO30">
        <v>428163</v>
      </c>
      <c r="AP30">
        <v>2498</v>
      </c>
      <c r="AQ30">
        <v>3403</v>
      </c>
      <c r="AR30">
        <v>6855</v>
      </c>
      <c r="AS30">
        <v>57420</v>
      </c>
      <c r="AT30">
        <v>3122</v>
      </c>
      <c r="AU30">
        <v>67</v>
      </c>
      <c r="AV30">
        <v>405</v>
      </c>
      <c r="AW30">
        <v>10482</v>
      </c>
      <c r="AX30">
        <v>26745</v>
      </c>
      <c r="AY30">
        <v>1631</v>
      </c>
    </row>
    <row r="31" spans="1:51" x14ac:dyDescent="0.4">
      <c r="A31" s="1" t="s">
        <v>50</v>
      </c>
      <c r="B31" s="1" t="s">
        <v>51</v>
      </c>
      <c r="C31">
        <v>7305</v>
      </c>
      <c r="D31">
        <v>80</v>
      </c>
      <c r="E31">
        <v>8853</v>
      </c>
      <c r="F31">
        <v>89</v>
      </c>
      <c r="G31">
        <v>30988</v>
      </c>
      <c r="H31">
        <v>7438</v>
      </c>
      <c r="I31">
        <v>1050</v>
      </c>
      <c r="J31">
        <v>7454</v>
      </c>
      <c r="K31">
        <v>1777</v>
      </c>
      <c r="L31">
        <v>7552</v>
      </c>
      <c r="M31">
        <v>91837</v>
      </c>
      <c r="N31">
        <v>3279</v>
      </c>
      <c r="O31">
        <v>450139</v>
      </c>
      <c r="P31">
        <v>5697</v>
      </c>
      <c r="Q31">
        <v>544225</v>
      </c>
      <c r="R31">
        <v>217</v>
      </c>
      <c r="S31">
        <v>256</v>
      </c>
      <c r="T31" t="s">
        <v>73</v>
      </c>
      <c r="U31" t="s">
        <v>73</v>
      </c>
      <c r="V31" t="s">
        <v>73</v>
      </c>
      <c r="W31">
        <v>2731</v>
      </c>
      <c r="X31">
        <v>2887</v>
      </c>
      <c r="Y31">
        <v>4041</v>
      </c>
      <c r="Z31">
        <v>1348</v>
      </c>
      <c r="AA31" t="s">
        <v>73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>
        <v>15065</v>
      </c>
      <c r="AL31">
        <v>800</v>
      </c>
      <c r="AM31">
        <v>1169</v>
      </c>
      <c r="AN31">
        <v>1957</v>
      </c>
      <c r="AO31">
        <v>394370</v>
      </c>
      <c r="AP31">
        <v>2049</v>
      </c>
      <c r="AQ31">
        <v>2037</v>
      </c>
      <c r="AR31">
        <v>5136</v>
      </c>
      <c r="AS31">
        <v>48013</v>
      </c>
      <c r="AT31">
        <v>1026</v>
      </c>
      <c r="AU31">
        <v>29</v>
      </c>
      <c r="AV31">
        <v>134</v>
      </c>
      <c r="AW31">
        <v>7426</v>
      </c>
      <c r="AX31">
        <v>41540</v>
      </c>
      <c r="AY31">
        <v>2403</v>
      </c>
    </row>
    <row r="32" spans="1:51" x14ac:dyDescent="0.4">
      <c r="A32" s="1" t="s">
        <v>52</v>
      </c>
      <c r="B32" s="1" t="s">
        <v>53</v>
      </c>
      <c r="C32">
        <v>10745</v>
      </c>
      <c r="D32">
        <v>90</v>
      </c>
      <c r="E32">
        <v>9582</v>
      </c>
      <c r="F32">
        <v>80</v>
      </c>
      <c r="G32">
        <v>32151</v>
      </c>
      <c r="H32">
        <v>7775</v>
      </c>
      <c r="I32">
        <v>1009</v>
      </c>
      <c r="J32">
        <v>11250</v>
      </c>
      <c r="K32">
        <v>2350</v>
      </c>
      <c r="L32">
        <v>5023</v>
      </c>
      <c r="M32">
        <v>112486</v>
      </c>
      <c r="N32">
        <v>3781</v>
      </c>
      <c r="O32">
        <v>330482</v>
      </c>
      <c r="P32">
        <v>8074</v>
      </c>
      <c r="Q32">
        <v>553080</v>
      </c>
      <c r="R32">
        <v>284</v>
      </c>
      <c r="S32">
        <v>318</v>
      </c>
      <c r="T32" t="s">
        <v>73</v>
      </c>
      <c r="U32" t="s">
        <v>73</v>
      </c>
      <c r="V32" t="s">
        <v>73</v>
      </c>
      <c r="W32">
        <v>3859</v>
      </c>
      <c r="X32">
        <v>5229</v>
      </c>
      <c r="Y32">
        <v>8239</v>
      </c>
      <c r="Z32">
        <v>3283</v>
      </c>
      <c r="AA32" t="s">
        <v>73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>
        <v>18229</v>
      </c>
      <c r="AL32">
        <v>1918</v>
      </c>
      <c r="AM32">
        <v>1444</v>
      </c>
      <c r="AN32">
        <v>3043</v>
      </c>
      <c r="AO32">
        <v>431490</v>
      </c>
      <c r="AP32">
        <v>2200</v>
      </c>
      <c r="AQ32">
        <v>2867</v>
      </c>
      <c r="AR32">
        <v>4276</v>
      </c>
      <c r="AS32">
        <v>72929</v>
      </c>
      <c r="AT32">
        <v>3759</v>
      </c>
      <c r="AU32">
        <v>104</v>
      </c>
      <c r="AV32">
        <v>484</v>
      </c>
      <c r="AW32">
        <v>18931</v>
      </c>
      <c r="AX32">
        <v>25529</v>
      </c>
      <c r="AY32">
        <v>2805</v>
      </c>
    </row>
    <row r="33" spans="1:51" x14ac:dyDescent="0.4">
      <c r="A33" s="1" t="s">
        <v>54</v>
      </c>
      <c r="B33" s="1" t="s">
        <v>55</v>
      </c>
      <c r="C33">
        <v>9818</v>
      </c>
      <c r="D33">
        <v>92</v>
      </c>
      <c r="E33">
        <v>11109</v>
      </c>
      <c r="F33">
        <v>110</v>
      </c>
      <c r="G33">
        <v>30860</v>
      </c>
      <c r="H33">
        <v>8021</v>
      </c>
      <c r="I33">
        <v>1362</v>
      </c>
      <c r="J33">
        <v>8028</v>
      </c>
      <c r="K33">
        <v>1902</v>
      </c>
      <c r="L33">
        <v>6242</v>
      </c>
      <c r="M33">
        <v>123433</v>
      </c>
      <c r="N33">
        <v>4018</v>
      </c>
      <c r="O33">
        <v>338493</v>
      </c>
      <c r="P33">
        <v>5654</v>
      </c>
      <c r="Q33">
        <v>667119</v>
      </c>
      <c r="R33">
        <v>432</v>
      </c>
      <c r="S33">
        <v>325</v>
      </c>
      <c r="T33" t="s">
        <v>73</v>
      </c>
      <c r="U33" t="s">
        <v>73</v>
      </c>
      <c r="V33" t="s">
        <v>73</v>
      </c>
      <c r="W33">
        <v>3280</v>
      </c>
      <c r="X33">
        <v>4435</v>
      </c>
      <c r="Y33">
        <v>12607</v>
      </c>
      <c r="Z33">
        <v>2582</v>
      </c>
      <c r="AA33" t="s">
        <v>73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>
        <v>19213</v>
      </c>
      <c r="AL33">
        <v>769</v>
      </c>
      <c r="AM33">
        <v>2043</v>
      </c>
      <c r="AN33">
        <v>3090</v>
      </c>
      <c r="AO33">
        <v>435918</v>
      </c>
      <c r="AP33">
        <v>2179</v>
      </c>
      <c r="AQ33">
        <v>3115</v>
      </c>
      <c r="AR33">
        <v>4623</v>
      </c>
      <c r="AS33">
        <v>56750</v>
      </c>
      <c r="AT33">
        <v>2105</v>
      </c>
      <c r="AU33">
        <v>155</v>
      </c>
      <c r="AV33">
        <v>618</v>
      </c>
      <c r="AW33">
        <v>15069</v>
      </c>
      <c r="AX33">
        <v>48883</v>
      </c>
      <c r="AY33">
        <v>2625</v>
      </c>
    </row>
    <row r="34" spans="1:51" x14ac:dyDescent="0.4">
      <c r="A34" s="1" t="s">
        <v>56</v>
      </c>
      <c r="B34" s="1" t="s">
        <v>57</v>
      </c>
      <c r="C34">
        <v>9240</v>
      </c>
      <c r="D34">
        <v>76</v>
      </c>
      <c r="E34">
        <v>10874</v>
      </c>
      <c r="F34">
        <v>94</v>
      </c>
      <c r="G34">
        <v>29226</v>
      </c>
      <c r="H34">
        <v>5872</v>
      </c>
      <c r="I34">
        <v>1096</v>
      </c>
      <c r="J34">
        <v>7102</v>
      </c>
      <c r="K34">
        <v>1741</v>
      </c>
      <c r="L34">
        <v>5496</v>
      </c>
      <c r="M34">
        <v>113621</v>
      </c>
      <c r="N34">
        <v>3708</v>
      </c>
      <c r="O34">
        <v>476215</v>
      </c>
      <c r="P34">
        <v>5619</v>
      </c>
      <c r="Q34">
        <v>596661</v>
      </c>
      <c r="R34">
        <v>306</v>
      </c>
      <c r="S34">
        <v>313</v>
      </c>
      <c r="T34" t="s">
        <v>73</v>
      </c>
      <c r="U34" t="s">
        <v>73</v>
      </c>
      <c r="V34" t="s">
        <v>73</v>
      </c>
      <c r="W34">
        <v>3051</v>
      </c>
      <c r="X34">
        <v>3431</v>
      </c>
      <c r="Y34">
        <v>8137</v>
      </c>
      <c r="Z34">
        <v>2133</v>
      </c>
      <c r="AA34" t="s">
        <v>73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>
        <v>9818</v>
      </c>
      <c r="AL34">
        <v>1609</v>
      </c>
      <c r="AM34">
        <v>2020</v>
      </c>
      <c r="AN34">
        <v>2786</v>
      </c>
      <c r="AO34">
        <v>447953</v>
      </c>
      <c r="AP34">
        <v>2287</v>
      </c>
      <c r="AQ34">
        <v>2263</v>
      </c>
      <c r="AR34">
        <v>3169</v>
      </c>
      <c r="AS34">
        <v>37458</v>
      </c>
      <c r="AT34">
        <v>2211</v>
      </c>
      <c r="AU34">
        <v>82</v>
      </c>
      <c r="AV34">
        <v>326</v>
      </c>
      <c r="AW34">
        <v>12526</v>
      </c>
      <c r="AX34">
        <v>23643</v>
      </c>
      <c r="AY34">
        <v>2202</v>
      </c>
    </row>
    <row r="35" spans="1:51" x14ac:dyDescent="0.4">
      <c r="A35" s="1" t="s">
        <v>58</v>
      </c>
      <c r="B35" s="1" t="s">
        <v>59</v>
      </c>
      <c r="C35">
        <v>9377</v>
      </c>
      <c r="D35">
        <v>80</v>
      </c>
      <c r="E35">
        <v>10375</v>
      </c>
      <c r="F35">
        <v>96</v>
      </c>
      <c r="G35">
        <v>28228</v>
      </c>
      <c r="H35">
        <v>5344</v>
      </c>
      <c r="I35">
        <v>1068</v>
      </c>
      <c r="J35">
        <v>6358</v>
      </c>
      <c r="K35">
        <v>1854</v>
      </c>
      <c r="L35">
        <v>5454</v>
      </c>
      <c r="M35">
        <v>112383</v>
      </c>
      <c r="N35">
        <v>3549</v>
      </c>
      <c r="O35">
        <v>365417</v>
      </c>
      <c r="P35">
        <v>5828</v>
      </c>
      <c r="Q35">
        <v>619467</v>
      </c>
      <c r="R35">
        <v>298</v>
      </c>
      <c r="S35">
        <v>423</v>
      </c>
      <c r="T35" t="s">
        <v>73</v>
      </c>
      <c r="U35" t="s">
        <v>73</v>
      </c>
      <c r="V35" t="s">
        <v>73</v>
      </c>
      <c r="W35">
        <v>3261</v>
      </c>
      <c r="X35">
        <v>7713</v>
      </c>
      <c r="Y35">
        <v>9525</v>
      </c>
      <c r="Z35">
        <v>3434</v>
      </c>
      <c r="AA35" t="s">
        <v>73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>
        <v>20729</v>
      </c>
      <c r="AL35">
        <v>2027</v>
      </c>
      <c r="AM35">
        <v>1352</v>
      </c>
      <c r="AN35">
        <v>4227</v>
      </c>
      <c r="AO35">
        <v>419303</v>
      </c>
      <c r="AP35">
        <v>2282</v>
      </c>
      <c r="AQ35">
        <v>2651</v>
      </c>
      <c r="AR35">
        <v>2867</v>
      </c>
      <c r="AS35">
        <v>41957</v>
      </c>
      <c r="AT35">
        <v>4084</v>
      </c>
      <c r="AU35">
        <v>534</v>
      </c>
      <c r="AV35">
        <v>2271</v>
      </c>
      <c r="AW35">
        <v>36308</v>
      </c>
      <c r="AX35">
        <v>30008</v>
      </c>
      <c r="AY35">
        <v>2202</v>
      </c>
    </row>
    <row r="36" spans="1:51" x14ac:dyDescent="0.4">
      <c r="A36" s="1" t="s">
        <v>60</v>
      </c>
      <c r="B36" s="1" t="s">
        <v>61</v>
      </c>
      <c r="C36">
        <v>9307</v>
      </c>
      <c r="D36">
        <v>150</v>
      </c>
      <c r="E36">
        <v>10493</v>
      </c>
      <c r="F36">
        <v>165</v>
      </c>
      <c r="G36">
        <v>27042</v>
      </c>
      <c r="H36">
        <v>5156</v>
      </c>
      <c r="I36">
        <v>1030</v>
      </c>
      <c r="J36">
        <v>6075</v>
      </c>
      <c r="K36">
        <v>1648</v>
      </c>
      <c r="L36">
        <v>5483</v>
      </c>
      <c r="M36">
        <v>118781</v>
      </c>
      <c r="N36">
        <v>3741</v>
      </c>
      <c r="O36">
        <v>241587</v>
      </c>
      <c r="P36">
        <v>7124</v>
      </c>
      <c r="Q36">
        <v>770406</v>
      </c>
      <c r="R36">
        <v>233</v>
      </c>
      <c r="S36">
        <v>356</v>
      </c>
      <c r="T36" t="s">
        <v>73</v>
      </c>
      <c r="U36" t="s">
        <v>73</v>
      </c>
      <c r="V36" t="s">
        <v>73</v>
      </c>
      <c r="W36">
        <v>2768</v>
      </c>
      <c r="X36">
        <v>2878</v>
      </c>
      <c r="Y36">
        <v>7149</v>
      </c>
      <c r="Z36">
        <v>3142</v>
      </c>
      <c r="AA36" t="s">
        <v>73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>
        <v>21143</v>
      </c>
      <c r="AL36">
        <v>1331</v>
      </c>
      <c r="AM36">
        <v>1739</v>
      </c>
      <c r="AN36">
        <v>5009</v>
      </c>
      <c r="AO36">
        <v>411877</v>
      </c>
      <c r="AP36">
        <v>2357</v>
      </c>
      <c r="AQ36">
        <v>2287</v>
      </c>
      <c r="AR36">
        <v>7657</v>
      </c>
      <c r="AS36">
        <v>54233</v>
      </c>
      <c r="AT36">
        <v>4171</v>
      </c>
      <c r="AU36">
        <v>209</v>
      </c>
      <c r="AV36">
        <v>802</v>
      </c>
      <c r="AW36">
        <v>10420</v>
      </c>
      <c r="AX36">
        <v>24356</v>
      </c>
      <c r="AY36">
        <v>2297</v>
      </c>
    </row>
    <row r="37" spans="1:51" x14ac:dyDescent="0.4">
      <c r="A37" s="1" t="s">
        <v>62</v>
      </c>
      <c r="B37" s="1" t="s">
        <v>63</v>
      </c>
      <c r="C37">
        <v>10811</v>
      </c>
      <c r="D37">
        <v>89</v>
      </c>
      <c r="E37">
        <v>14405</v>
      </c>
      <c r="F37">
        <v>119</v>
      </c>
      <c r="G37">
        <v>23448</v>
      </c>
      <c r="H37">
        <v>5503</v>
      </c>
      <c r="I37">
        <v>1086</v>
      </c>
      <c r="J37">
        <v>6826</v>
      </c>
      <c r="K37">
        <v>1895</v>
      </c>
      <c r="L37">
        <v>5190</v>
      </c>
      <c r="M37">
        <v>113734</v>
      </c>
      <c r="N37">
        <v>3649</v>
      </c>
      <c r="O37">
        <v>419810</v>
      </c>
      <c r="P37">
        <v>6914</v>
      </c>
      <c r="Q37">
        <v>738717</v>
      </c>
      <c r="R37">
        <v>231</v>
      </c>
      <c r="S37">
        <v>346</v>
      </c>
      <c r="T37" t="s">
        <v>73</v>
      </c>
      <c r="U37" t="s">
        <v>73</v>
      </c>
      <c r="V37" t="s">
        <v>73</v>
      </c>
      <c r="W37">
        <v>2931</v>
      </c>
      <c r="X37">
        <v>5688</v>
      </c>
      <c r="Y37">
        <v>3104</v>
      </c>
      <c r="Z37">
        <v>2448</v>
      </c>
      <c r="AA37" t="s">
        <v>73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>
        <v>20509</v>
      </c>
      <c r="AL37">
        <v>5782</v>
      </c>
      <c r="AM37">
        <v>956</v>
      </c>
      <c r="AN37">
        <v>3749</v>
      </c>
      <c r="AO37">
        <v>359310</v>
      </c>
      <c r="AP37">
        <v>2031</v>
      </c>
      <c r="AQ37">
        <v>1995</v>
      </c>
      <c r="AR37">
        <v>7747</v>
      </c>
      <c r="AS37">
        <v>49835</v>
      </c>
      <c r="AT37">
        <v>7691</v>
      </c>
      <c r="AU37">
        <v>578</v>
      </c>
      <c r="AV37">
        <v>2346</v>
      </c>
      <c r="AW37">
        <v>14677</v>
      </c>
      <c r="AX37">
        <v>27310</v>
      </c>
      <c r="AY37">
        <v>2132</v>
      </c>
    </row>
    <row r="38" spans="1:51" x14ac:dyDescent="0.4">
      <c r="A38" s="1" t="s">
        <v>64</v>
      </c>
      <c r="B38" s="1" t="s">
        <v>65</v>
      </c>
      <c r="C38">
        <v>14090</v>
      </c>
      <c r="D38">
        <v>111</v>
      </c>
      <c r="E38">
        <v>14292</v>
      </c>
      <c r="F38">
        <v>128</v>
      </c>
      <c r="G38">
        <v>23246</v>
      </c>
      <c r="H38">
        <v>5466</v>
      </c>
      <c r="I38">
        <v>854</v>
      </c>
      <c r="J38">
        <v>8530</v>
      </c>
      <c r="K38">
        <v>2225</v>
      </c>
      <c r="L38">
        <v>3398</v>
      </c>
      <c r="M38">
        <v>101989</v>
      </c>
      <c r="N38">
        <v>3700</v>
      </c>
      <c r="O38">
        <v>438068</v>
      </c>
      <c r="P38">
        <v>9368</v>
      </c>
      <c r="Q38">
        <v>585125</v>
      </c>
      <c r="R38">
        <v>236</v>
      </c>
      <c r="S38">
        <v>495</v>
      </c>
      <c r="T38" t="s">
        <v>73</v>
      </c>
      <c r="U38" t="s">
        <v>73</v>
      </c>
      <c r="V38" t="s">
        <v>73</v>
      </c>
      <c r="W38">
        <v>3622</v>
      </c>
      <c r="X38">
        <v>12167</v>
      </c>
      <c r="Y38">
        <v>6267</v>
      </c>
      <c r="Z38">
        <v>11881</v>
      </c>
      <c r="AA38" t="s">
        <v>73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>
        <v>23974</v>
      </c>
      <c r="AL38">
        <v>12139</v>
      </c>
      <c r="AM38">
        <v>1181</v>
      </c>
      <c r="AN38">
        <v>7501</v>
      </c>
      <c r="AO38">
        <v>438346</v>
      </c>
      <c r="AP38">
        <v>2408</v>
      </c>
      <c r="AQ38">
        <v>2301</v>
      </c>
      <c r="AR38">
        <v>11525</v>
      </c>
      <c r="AS38">
        <v>69630</v>
      </c>
      <c r="AT38">
        <v>8608</v>
      </c>
      <c r="AU38">
        <v>2074</v>
      </c>
      <c r="AV38">
        <v>8663</v>
      </c>
      <c r="AW38">
        <v>36627</v>
      </c>
      <c r="AX38">
        <v>29365</v>
      </c>
      <c r="AY38">
        <v>2208</v>
      </c>
    </row>
    <row r="39" spans="1:51" x14ac:dyDescent="0.4">
      <c r="A39" s="1"/>
      <c r="B39" s="1"/>
    </row>
    <row r="40" spans="1:51" x14ac:dyDescent="0.4">
      <c r="A40" s="1"/>
      <c r="B40" s="1"/>
    </row>
  </sheetData>
  <phoneticPr fontId="2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B1CBB-DCD6-45BE-AFCF-6460FCB57F39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1190</v>
      </c>
      <c r="D3" t="s">
        <v>1190</v>
      </c>
      <c r="E3" t="s">
        <v>1190</v>
      </c>
      <c r="F3" t="s">
        <v>1190</v>
      </c>
      <c r="G3" t="s">
        <v>1190</v>
      </c>
      <c r="H3" t="s">
        <v>1192</v>
      </c>
      <c r="I3" t="s">
        <v>1192</v>
      </c>
      <c r="J3" t="s">
        <v>1192</v>
      </c>
      <c r="K3" t="s">
        <v>1192</v>
      </c>
      <c r="L3" t="s">
        <v>1192</v>
      </c>
      <c r="M3" t="s">
        <v>1194</v>
      </c>
      <c r="N3" t="s">
        <v>1194</v>
      </c>
      <c r="O3" t="s">
        <v>1194</v>
      </c>
      <c r="P3" t="s">
        <v>1194</v>
      </c>
      <c r="Q3" t="s">
        <v>1194</v>
      </c>
      <c r="R3" t="s">
        <v>1196</v>
      </c>
      <c r="S3" t="s">
        <v>1196</v>
      </c>
      <c r="T3" t="s">
        <v>1196</v>
      </c>
      <c r="U3" t="s">
        <v>1196</v>
      </c>
      <c r="V3" t="s">
        <v>1196</v>
      </c>
      <c r="W3" t="s">
        <v>1198</v>
      </c>
      <c r="X3" t="s">
        <v>1198</v>
      </c>
      <c r="Y3" t="s">
        <v>1198</v>
      </c>
      <c r="Z3" t="s">
        <v>1198</v>
      </c>
      <c r="AA3" t="s">
        <v>1198</v>
      </c>
      <c r="AB3" t="s">
        <v>1200</v>
      </c>
      <c r="AC3" t="s">
        <v>1200</v>
      </c>
      <c r="AD3" t="s">
        <v>1200</v>
      </c>
      <c r="AE3" t="s">
        <v>1200</v>
      </c>
      <c r="AF3" t="s">
        <v>1200</v>
      </c>
    </row>
    <row r="4" spans="1:32" x14ac:dyDescent="0.4">
      <c r="A4" s="1"/>
      <c r="B4" s="2" t="s">
        <v>1</v>
      </c>
      <c r="C4" t="s">
        <v>1191</v>
      </c>
      <c r="D4" t="s">
        <v>1191</v>
      </c>
      <c r="E4" t="s">
        <v>1191</v>
      </c>
      <c r="F4" t="s">
        <v>1191</v>
      </c>
      <c r="G4" t="s">
        <v>1191</v>
      </c>
      <c r="H4" t="s">
        <v>1193</v>
      </c>
      <c r="I4" t="s">
        <v>1193</v>
      </c>
      <c r="J4" t="s">
        <v>1193</v>
      </c>
      <c r="K4" t="s">
        <v>1193</v>
      </c>
      <c r="L4" t="s">
        <v>1193</v>
      </c>
      <c r="M4" t="s">
        <v>1195</v>
      </c>
      <c r="N4" t="s">
        <v>1195</v>
      </c>
      <c r="O4" t="s">
        <v>1195</v>
      </c>
      <c r="P4" t="s">
        <v>1195</v>
      </c>
      <c r="Q4" t="s">
        <v>1195</v>
      </c>
      <c r="R4" t="s">
        <v>1197</v>
      </c>
      <c r="S4" t="s">
        <v>1197</v>
      </c>
      <c r="T4" t="s">
        <v>1197</v>
      </c>
      <c r="U4" t="s">
        <v>1197</v>
      </c>
      <c r="V4" t="s">
        <v>1197</v>
      </c>
      <c r="W4" t="s">
        <v>1199</v>
      </c>
      <c r="X4" t="s">
        <v>1199</v>
      </c>
      <c r="Y4" t="s">
        <v>1199</v>
      </c>
      <c r="Z4" t="s">
        <v>1199</v>
      </c>
      <c r="AA4" t="s">
        <v>1199</v>
      </c>
      <c r="AB4" t="s">
        <v>1201</v>
      </c>
      <c r="AC4" t="s">
        <v>1201</v>
      </c>
      <c r="AD4" t="s">
        <v>1201</v>
      </c>
      <c r="AE4" t="s">
        <v>1201</v>
      </c>
      <c r="AF4" t="s">
        <v>1201</v>
      </c>
    </row>
    <row r="5" spans="1:3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</row>
    <row r="7" spans="1:3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</row>
    <row r="8" spans="1:3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</row>
    <row r="9" spans="1:32" x14ac:dyDescent="0.4">
      <c r="A9" s="1" t="s">
        <v>6</v>
      </c>
      <c r="B9" s="3" t="s">
        <v>7</v>
      </c>
      <c r="C9">
        <v>98214</v>
      </c>
      <c r="D9">
        <v>8342</v>
      </c>
      <c r="E9">
        <v>892691</v>
      </c>
      <c r="F9">
        <v>59820</v>
      </c>
      <c r="G9">
        <v>22059</v>
      </c>
      <c r="H9">
        <v>1546117</v>
      </c>
      <c r="I9">
        <v>93173</v>
      </c>
      <c r="J9">
        <v>1587406</v>
      </c>
      <c r="K9">
        <v>121631</v>
      </c>
      <c r="L9">
        <v>115461</v>
      </c>
      <c r="M9">
        <v>399573</v>
      </c>
      <c r="N9">
        <v>10587</v>
      </c>
      <c r="O9">
        <v>648256</v>
      </c>
      <c r="P9">
        <v>16235</v>
      </c>
      <c r="Q9">
        <v>55532</v>
      </c>
      <c r="R9">
        <v>1297484</v>
      </c>
      <c r="S9">
        <v>29664</v>
      </c>
      <c r="T9">
        <v>2207527</v>
      </c>
      <c r="U9">
        <v>52816</v>
      </c>
      <c r="V9">
        <v>161078</v>
      </c>
      <c r="W9">
        <v>5031516</v>
      </c>
      <c r="X9">
        <v>229808</v>
      </c>
      <c r="Y9">
        <v>6552409</v>
      </c>
      <c r="Z9">
        <v>337083</v>
      </c>
      <c r="AA9">
        <v>310844</v>
      </c>
      <c r="AB9">
        <v>219893</v>
      </c>
      <c r="AC9">
        <v>8519</v>
      </c>
      <c r="AD9">
        <v>435085</v>
      </c>
      <c r="AE9">
        <v>19457</v>
      </c>
      <c r="AF9">
        <v>42837</v>
      </c>
    </row>
    <row r="10" spans="1:32" x14ac:dyDescent="0.4">
      <c r="A10" s="1" t="s">
        <v>8</v>
      </c>
      <c r="B10" s="3" t="s">
        <v>9</v>
      </c>
      <c r="C10">
        <v>165245</v>
      </c>
      <c r="D10">
        <v>13036</v>
      </c>
      <c r="E10">
        <v>842129</v>
      </c>
      <c r="F10">
        <v>87246</v>
      </c>
      <c r="G10">
        <v>133605</v>
      </c>
      <c r="H10">
        <v>1574821</v>
      </c>
      <c r="I10">
        <v>97117</v>
      </c>
      <c r="J10">
        <v>1600225</v>
      </c>
      <c r="K10">
        <v>137032</v>
      </c>
      <c r="L10">
        <v>130603</v>
      </c>
      <c r="M10">
        <v>411366</v>
      </c>
      <c r="N10">
        <v>11557</v>
      </c>
      <c r="O10">
        <v>436111</v>
      </c>
      <c r="P10">
        <v>14920</v>
      </c>
      <c r="Q10">
        <v>38071</v>
      </c>
      <c r="R10">
        <v>868409</v>
      </c>
      <c r="S10">
        <v>20992</v>
      </c>
      <c r="T10">
        <v>1803055</v>
      </c>
      <c r="U10">
        <v>43562</v>
      </c>
      <c r="V10">
        <v>149131</v>
      </c>
      <c r="W10">
        <v>4840776</v>
      </c>
      <c r="X10">
        <v>218482</v>
      </c>
      <c r="Y10">
        <v>5808486</v>
      </c>
      <c r="Z10">
        <v>318010</v>
      </c>
      <c r="AA10">
        <v>328514</v>
      </c>
      <c r="AB10">
        <v>200202</v>
      </c>
      <c r="AC10">
        <v>7688</v>
      </c>
      <c r="AD10">
        <v>429893</v>
      </c>
      <c r="AE10">
        <v>20294</v>
      </c>
      <c r="AF10">
        <v>43046</v>
      </c>
    </row>
    <row r="11" spans="1:32" x14ac:dyDescent="0.4">
      <c r="A11" s="1" t="s">
        <v>10</v>
      </c>
      <c r="B11" s="3" t="s">
        <v>11</v>
      </c>
      <c r="C11">
        <v>124841</v>
      </c>
      <c r="D11">
        <v>10256</v>
      </c>
      <c r="E11">
        <v>781848</v>
      </c>
      <c r="F11">
        <v>96074</v>
      </c>
      <c r="G11">
        <v>41442</v>
      </c>
      <c r="H11">
        <v>1652128</v>
      </c>
      <c r="I11">
        <v>105263</v>
      </c>
      <c r="J11">
        <v>1660287</v>
      </c>
      <c r="K11">
        <v>167472</v>
      </c>
      <c r="L11">
        <v>188139</v>
      </c>
      <c r="M11">
        <v>674660</v>
      </c>
      <c r="N11">
        <v>18886</v>
      </c>
      <c r="O11">
        <v>644679</v>
      </c>
      <c r="P11">
        <v>22614</v>
      </c>
      <c r="Q11">
        <v>67835</v>
      </c>
      <c r="R11">
        <v>632075</v>
      </c>
      <c r="S11">
        <v>11985</v>
      </c>
      <c r="T11">
        <v>1540056</v>
      </c>
      <c r="U11">
        <v>34129</v>
      </c>
      <c r="V11">
        <v>142014</v>
      </c>
      <c r="W11">
        <v>6006752</v>
      </c>
      <c r="X11">
        <v>264839</v>
      </c>
      <c r="Y11">
        <v>6043450</v>
      </c>
      <c r="Z11">
        <v>364268</v>
      </c>
      <c r="AA11">
        <v>298546</v>
      </c>
      <c r="AB11">
        <v>158279</v>
      </c>
      <c r="AC11">
        <v>7045</v>
      </c>
      <c r="AD11">
        <v>456906</v>
      </c>
      <c r="AE11">
        <v>22195</v>
      </c>
      <c r="AF11">
        <v>38686</v>
      </c>
    </row>
    <row r="12" spans="1:32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483637</v>
      </c>
      <c r="S12">
        <v>8249</v>
      </c>
      <c r="T12">
        <v>1147680</v>
      </c>
      <c r="U12">
        <v>24314</v>
      </c>
      <c r="V12">
        <v>127309</v>
      </c>
      <c r="W12">
        <v>6021577</v>
      </c>
      <c r="X12">
        <v>247132</v>
      </c>
      <c r="Y12">
        <v>5519887</v>
      </c>
      <c r="Z12">
        <v>359443</v>
      </c>
      <c r="AA12">
        <v>255820</v>
      </c>
      <c r="AB12">
        <v>132824</v>
      </c>
      <c r="AC12">
        <v>6419</v>
      </c>
      <c r="AD12">
        <v>427783</v>
      </c>
      <c r="AE12">
        <v>22164</v>
      </c>
      <c r="AF12">
        <v>42488</v>
      </c>
    </row>
    <row r="13" spans="1:32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696130</v>
      </c>
      <c r="S13">
        <v>10118</v>
      </c>
      <c r="T13">
        <v>1547268</v>
      </c>
      <c r="U13">
        <v>34938</v>
      </c>
      <c r="V13">
        <v>96600</v>
      </c>
      <c r="W13">
        <v>3848772</v>
      </c>
      <c r="X13">
        <v>244681</v>
      </c>
      <c r="Y13">
        <v>4928850</v>
      </c>
      <c r="Z13">
        <v>341734</v>
      </c>
      <c r="AA13">
        <v>276556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</row>
    <row r="14" spans="1:32" x14ac:dyDescent="0.4">
      <c r="A14" s="1" t="s">
        <v>16</v>
      </c>
      <c r="B14" s="1" t="s">
        <v>17</v>
      </c>
      <c r="C14">
        <v>10507</v>
      </c>
      <c r="D14">
        <v>982</v>
      </c>
      <c r="E14">
        <v>69591</v>
      </c>
      <c r="F14">
        <v>7704</v>
      </c>
      <c r="G14">
        <v>48762</v>
      </c>
      <c r="H14">
        <v>126490</v>
      </c>
      <c r="I14">
        <v>9138</v>
      </c>
      <c r="J14">
        <v>94129</v>
      </c>
      <c r="K14">
        <v>12139</v>
      </c>
      <c r="L14">
        <v>275403</v>
      </c>
      <c r="M14">
        <v>72566</v>
      </c>
      <c r="N14">
        <v>2042</v>
      </c>
      <c r="O14">
        <v>63746</v>
      </c>
      <c r="P14">
        <v>2271</v>
      </c>
      <c r="Q14">
        <v>112703</v>
      </c>
      <c r="R14">
        <v>41800</v>
      </c>
      <c r="S14">
        <v>732</v>
      </c>
      <c r="T14">
        <v>99014</v>
      </c>
      <c r="U14">
        <v>2177</v>
      </c>
      <c r="V14">
        <v>135314</v>
      </c>
      <c r="W14">
        <v>521726</v>
      </c>
      <c r="X14">
        <v>18987</v>
      </c>
      <c r="Y14">
        <v>509110</v>
      </c>
      <c r="Z14">
        <v>30283</v>
      </c>
      <c r="AA14">
        <v>259725</v>
      </c>
      <c r="AB14">
        <v>13966</v>
      </c>
      <c r="AC14">
        <v>624</v>
      </c>
      <c r="AD14">
        <v>37834</v>
      </c>
      <c r="AE14">
        <v>1930</v>
      </c>
      <c r="AF14">
        <v>45244</v>
      </c>
    </row>
    <row r="15" spans="1:32" x14ac:dyDescent="0.4">
      <c r="A15" s="1" t="s">
        <v>18</v>
      </c>
      <c r="B15" s="1" t="s">
        <v>19</v>
      </c>
      <c r="C15">
        <v>5769</v>
      </c>
      <c r="D15">
        <v>396</v>
      </c>
      <c r="E15">
        <v>50461</v>
      </c>
      <c r="F15">
        <v>5834</v>
      </c>
      <c r="G15">
        <v>46908</v>
      </c>
      <c r="H15">
        <v>108124</v>
      </c>
      <c r="I15">
        <v>7532</v>
      </c>
      <c r="J15">
        <v>96089</v>
      </c>
      <c r="K15">
        <v>10921</v>
      </c>
      <c r="L15">
        <v>290979</v>
      </c>
      <c r="M15">
        <v>52170</v>
      </c>
      <c r="N15">
        <v>1477</v>
      </c>
      <c r="O15">
        <v>58132</v>
      </c>
      <c r="P15">
        <v>2271</v>
      </c>
      <c r="Q15">
        <v>106707</v>
      </c>
      <c r="R15">
        <v>38778</v>
      </c>
      <c r="S15">
        <v>824</v>
      </c>
      <c r="T15">
        <v>86439</v>
      </c>
      <c r="U15">
        <v>1747</v>
      </c>
      <c r="V15">
        <v>131491</v>
      </c>
      <c r="W15">
        <v>497925</v>
      </c>
      <c r="X15">
        <v>19732</v>
      </c>
      <c r="Y15">
        <v>432508</v>
      </c>
      <c r="Z15">
        <v>27829</v>
      </c>
      <c r="AA15">
        <v>283233</v>
      </c>
      <c r="AB15">
        <v>11378</v>
      </c>
      <c r="AC15">
        <v>577</v>
      </c>
      <c r="AD15">
        <v>33967</v>
      </c>
      <c r="AE15">
        <v>1832</v>
      </c>
      <c r="AF15">
        <v>47268</v>
      </c>
    </row>
    <row r="16" spans="1:32" x14ac:dyDescent="0.4">
      <c r="A16" s="1" t="s">
        <v>20</v>
      </c>
      <c r="B16" s="1" t="s">
        <v>21</v>
      </c>
      <c r="C16">
        <v>3595</v>
      </c>
      <c r="D16">
        <v>222</v>
      </c>
      <c r="E16">
        <v>44271</v>
      </c>
      <c r="F16">
        <v>4909</v>
      </c>
      <c r="G16">
        <v>65287</v>
      </c>
      <c r="H16">
        <v>106820</v>
      </c>
      <c r="I16">
        <v>7779</v>
      </c>
      <c r="J16">
        <v>92723</v>
      </c>
      <c r="K16">
        <v>12384</v>
      </c>
      <c r="L16">
        <v>308086</v>
      </c>
      <c r="M16">
        <v>57090</v>
      </c>
      <c r="N16">
        <v>1620</v>
      </c>
      <c r="O16">
        <v>85780</v>
      </c>
      <c r="P16">
        <v>3085</v>
      </c>
      <c r="Q16">
        <v>77992</v>
      </c>
      <c r="R16">
        <v>36950</v>
      </c>
      <c r="S16">
        <v>744</v>
      </c>
      <c r="T16">
        <v>88502</v>
      </c>
      <c r="U16">
        <v>1936</v>
      </c>
      <c r="V16">
        <v>120688</v>
      </c>
      <c r="W16">
        <v>507146</v>
      </c>
      <c r="X16">
        <v>20549</v>
      </c>
      <c r="Y16">
        <v>454071</v>
      </c>
      <c r="Z16">
        <v>29422</v>
      </c>
      <c r="AA16">
        <v>295309</v>
      </c>
      <c r="AB16">
        <v>7983</v>
      </c>
      <c r="AC16">
        <v>413</v>
      </c>
      <c r="AD16">
        <v>34779</v>
      </c>
      <c r="AE16">
        <v>1802</v>
      </c>
      <c r="AF16">
        <v>45853</v>
      </c>
    </row>
    <row r="17" spans="1:32" x14ac:dyDescent="0.4">
      <c r="A17" s="1" t="s">
        <v>22</v>
      </c>
      <c r="B17" s="1" t="s">
        <v>23</v>
      </c>
      <c r="C17">
        <v>4385</v>
      </c>
      <c r="D17">
        <v>271</v>
      </c>
      <c r="E17">
        <v>64675</v>
      </c>
      <c r="F17">
        <v>9252</v>
      </c>
      <c r="G17">
        <v>47188</v>
      </c>
      <c r="H17">
        <v>69710</v>
      </c>
      <c r="I17">
        <v>4414</v>
      </c>
      <c r="J17">
        <v>122157</v>
      </c>
      <c r="K17">
        <v>12707</v>
      </c>
      <c r="L17">
        <v>260003</v>
      </c>
      <c r="M17">
        <v>43080</v>
      </c>
      <c r="N17">
        <v>1101</v>
      </c>
      <c r="O17">
        <v>63156</v>
      </c>
      <c r="P17">
        <v>2510</v>
      </c>
      <c r="Q17">
        <v>58896</v>
      </c>
      <c r="R17">
        <v>37725</v>
      </c>
      <c r="S17">
        <v>690</v>
      </c>
      <c r="T17">
        <v>91751</v>
      </c>
      <c r="U17">
        <v>1921</v>
      </c>
      <c r="V17">
        <v>104453</v>
      </c>
      <c r="W17">
        <v>494335</v>
      </c>
      <c r="X17">
        <v>20268</v>
      </c>
      <c r="Y17">
        <v>502747</v>
      </c>
      <c r="Z17">
        <v>33026</v>
      </c>
      <c r="AA17">
        <v>278268</v>
      </c>
      <c r="AB17">
        <v>9200</v>
      </c>
      <c r="AC17">
        <v>494</v>
      </c>
      <c r="AD17">
        <v>33621</v>
      </c>
      <c r="AE17">
        <v>1790</v>
      </c>
      <c r="AF17">
        <v>44678</v>
      </c>
    </row>
    <row r="18" spans="1:32" x14ac:dyDescent="0.4">
      <c r="A18" s="1" t="s">
        <v>24</v>
      </c>
      <c r="B18" s="1" t="s">
        <v>25</v>
      </c>
      <c r="C18">
        <v>4157</v>
      </c>
      <c r="D18">
        <v>254</v>
      </c>
      <c r="E18">
        <v>62517</v>
      </c>
      <c r="F18">
        <v>7941</v>
      </c>
      <c r="G18">
        <v>54340</v>
      </c>
      <c r="H18">
        <v>154914</v>
      </c>
      <c r="I18">
        <v>12136</v>
      </c>
      <c r="J18">
        <v>200912</v>
      </c>
      <c r="K18">
        <v>22935</v>
      </c>
      <c r="L18">
        <v>223316</v>
      </c>
      <c r="M18">
        <v>46650</v>
      </c>
      <c r="N18">
        <v>1087</v>
      </c>
      <c r="O18">
        <v>41690</v>
      </c>
      <c r="P18">
        <v>1382</v>
      </c>
      <c r="Q18">
        <v>67884</v>
      </c>
      <c r="R18">
        <v>47507</v>
      </c>
      <c r="S18">
        <v>838</v>
      </c>
      <c r="T18">
        <v>108732</v>
      </c>
      <c r="U18">
        <v>2368</v>
      </c>
      <c r="V18">
        <v>99938</v>
      </c>
      <c r="W18">
        <v>550939</v>
      </c>
      <c r="X18">
        <v>22828</v>
      </c>
      <c r="Y18">
        <v>497235</v>
      </c>
      <c r="Z18">
        <v>32568</v>
      </c>
      <c r="AA18">
        <v>261446</v>
      </c>
      <c r="AB18">
        <v>10408</v>
      </c>
      <c r="AC18">
        <v>518</v>
      </c>
      <c r="AD18">
        <v>33744</v>
      </c>
      <c r="AE18">
        <v>1751</v>
      </c>
      <c r="AF18">
        <v>46845</v>
      </c>
    </row>
    <row r="19" spans="1:32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32560</v>
      </c>
      <c r="S19">
        <v>529</v>
      </c>
      <c r="T19">
        <v>85466</v>
      </c>
      <c r="U19">
        <v>1863</v>
      </c>
      <c r="V19">
        <v>104750</v>
      </c>
      <c r="W19">
        <v>417612</v>
      </c>
      <c r="X19">
        <v>16841</v>
      </c>
      <c r="Y19">
        <v>357301</v>
      </c>
      <c r="Z19">
        <v>23376</v>
      </c>
      <c r="AA19">
        <v>267436</v>
      </c>
      <c r="AB19">
        <v>10330</v>
      </c>
      <c r="AC19">
        <v>492</v>
      </c>
      <c r="AD19">
        <v>31410</v>
      </c>
      <c r="AE19">
        <v>1682</v>
      </c>
      <c r="AF19">
        <v>46706</v>
      </c>
    </row>
    <row r="20" spans="1:32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40623</v>
      </c>
      <c r="S20">
        <v>659</v>
      </c>
      <c r="T20">
        <v>106869</v>
      </c>
      <c r="U20">
        <v>2291</v>
      </c>
      <c r="V20">
        <v>105420</v>
      </c>
      <c r="W20">
        <v>520429</v>
      </c>
      <c r="X20">
        <v>20987</v>
      </c>
      <c r="Y20">
        <v>494634</v>
      </c>
      <c r="Z20">
        <v>32257</v>
      </c>
      <c r="AA20">
        <v>248519</v>
      </c>
      <c r="AB20">
        <v>10188</v>
      </c>
      <c r="AC20">
        <v>489</v>
      </c>
      <c r="AD20">
        <v>40841</v>
      </c>
      <c r="AE20">
        <v>2080</v>
      </c>
      <c r="AF20">
        <v>39633</v>
      </c>
    </row>
    <row r="21" spans="1:32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43187</v>
      </c>
      <c r="S21">
        <v>699</v>
      </c>
      <c r="T21">
        <v>110323</v>
      </c>
      <c r="U21">
        <v>2499</v>
      </c>
      <c r="V21">
        <v>125881</v>
      </c>
      <c r="W21">
        <v>574662</v>
      </c>
      <c r="X21">
        <v>24485</v>
      </c>
      <c r="Y21">
        <v>507663</v>
      </c>
      <c r="Z21">
        <v>33743</v>
      </c>
      <c r="AA21">
        <v>257503</v>
      </c>
      <c r="AB21">
        <v>9435</v>
      </c>
      <c r="AC21">
        <v>507</v>
      </c>
      <c r="AD21">
        <v>38928</v>
      </c>
      <c r="AE21">
        <v>2014</v>
      </c>
      <c r="AF21">
        <v>42830</v>
      </c>
    </row>
    <row r="22" spans="1:32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39678</v>
      </c>
      <c r="S22">
        <v>573</v>
      </c>
      <c r="T22">
        <v>98543</v>
      </c>
      <c r="U22">
        <v>2085</v>
      </c>
      <c r="V22">
        <v>136168</v>
      </c>
      <c r="W22">
        <v>537528</v>
      </c>
      <c r="X22">
        <v>23601</v>
      </c>
      <c r="Y22">
        <v>480077</v>
      </c>
      <c r="Z22">
        <v>32753</v>
      </c>
      <c r="AA22">
        <v>251265</v>
      </c>
      <c r="AB22">
        <v>11979</v>
      </c>
      <c r="AC22">
        <v>549</v>
      </c>
      <c r="AD22">
        <v>36671</v>
      </c>
      <c r="AE22">
        <v>1884</v>
      </c>
      <c r="AF22">
        <v>45382</v>
      </c>
    </row>
    <row r="23" spans="1:32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34201</v>
      </c>
      <c r="S23">
        <v>505</v>
      </c>
      <c r="T23">
        <v>98455</v>
      </c>
      <c r="U23">
        <v>2229</v>
      </c>
      <c r="V23">
        <v>127309</v>
      </c>
      <c r="W23">
        <v>469294</v>
      </c>
      <c r="X23">
        <v>21049</v>
      </c>
      <c r="Y23">
        <v>431933</v>
      </c>
      <c r="Z23">
        <v>29323</v>
      </c>
      <c r="AA23">
        <v>255820</v>
      </c>
      <c r="AB23">
        <v>11358</v>
      </c>
      <c r="AC23">
        <v>603</v>
      </c>
      <c r="AD23">
        <v>38819</v>
      </c>
      <c r="AE23">
        <v>1993</v>
      </c>
      <c r="AF23">
        <v>42488</v>
      </c>
    </row>
    <row r="24" spans="1:32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44434</v>
      </c>
      <c r="S24">
        <v>642</v>
      </c>
      <c r="T24">
        <v>112785</v>
      </c>
      <c r="U24">
        <v>2482</v>
      </c>
      <c r="V24">
        <v>132813</v>
      </c>
      <c r="W24">
        <v>342736</v>
      </c>
      <c r="X24">
        <v>22006</v>
      </c>
      <c r="Y24">
        <v>426824</v>
      </c>
      <c r="Z24">
        <v>29232</v>
      </c>
      <c r="AA24">
        <v>282634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</row>
    <row r="25" spans="1:32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43956</v>
      </c>
      <c r="S25">
        <v>640</v>
      </c>
      <c r="T25">
        <v>114180</v>
      </c>
      <c r="U25">
        <v>2550</v>
      </c>
      <c r="V25">
        <v>127060</v>
      </c>
      <c r="W25">
        <v>374373</v>
      </c>
      <c r="X25">
        <v>21326</v>
      </c>
      <c r="Y25">
        <v>437706</v>
      </c>
      <c r="Z25">
        <v>29807</v>
      </c>
      <c r="AA25">
        <v>281421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</row>
    <row r="26" spans="1:32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46453</v>
      </c>
      <c r="S26">
        <v>683</v>
      </c>
      <c r="T26">
        <v>113916</v>
      </c>
      <c r="U26">
        <v>2493</v>
      </c>
      <c r="V26">
        <v>126324</v>
      </c>
      <c r="W26">
        <v>354790</v>
      </c>
      <c r="X26">
        <v>22013</v>
      </c>
      <c r="Y26">
        <v>468682</v>
      </c>
      <c r="Z26">
        <v>32037</v>
      </c>
      <c r="AA26">
        <v>259509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</row>
    <row r="27" spans="1:32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38552</v>
      </c>
      <c r="S27">
        <v>635</v>
      </c>
      <c r="T27">
        <v>105322</v>
      </c>
      <c r="U27">
        <v>2380</v>
      </c>
      <c r="V27">
        <v>119212</v>
      </c>
      <c r="W27">
        <v>328401</v>
      </c>
      <c r="X27">
        <v>20243</v>
      </c>
      <c r="Y27">
        <v>400705</v>
      </c>
      <c r="Z27">
        <v>27209</v>
      </c>
      <c r="AA27">
        <v>265844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</row>
    <row r="28" spans="1:32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37236</v>
      </c>
      <c r="S28">
        <v>565</v>
      </c>
      <c r="T28">
        <v>105842</v>
      </c>
      <c r="U28">
        <v>2591</v>
      </c>
      <c r="V28">
        <v>119913</v>
      </c>
      <c r="W28">
        <v>316595</v>
      </c>
      <c r="X28">
        <v>19090</v>
      </c>
      <c r="Y28">
        <v>395552</v>
      </c>
      <c r="Z28">
        <v>27105</v>
      </c>
      <c r="AA28">
        <v>265368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</row>
    <row r="29" spans="1:32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175468</v>
      </c>
      <c r="I29">
        <v>11903</v>
      </c>
      <c r="J29">
        <v>135394</v>
      </c>
      <c r="K29">
        <v>13878</v>
      </c>
      <c r="L29">
        <v>210774</v>
      </c>
      <c r="M29">
        <v>82845</v>
      </c>
      <c r="N29">
        <v>3253</v>
      </c>
      <c r="O29">
        <v>68996</v>
      </c>
      <c r="P29">
        <v>4002</v>
      </c>
      <c r="Q29">
        <v>78189</v>
      </c>
      <c r="R29">
        <v>45332</v>
      </c>
      <c r="S29">
        <v>747</v>
      </c>
      <c r="T29">
        <v>122371</v>
      </c>
      <c r="U29">
        <v>2931</v>
      </c>
      <c r="V29">
        <v>113454</v>
      </c>
      <c r="W29">
        <v>337768</v>
      </c>
      <c r="X29">
        <v>20305</v>
      </c>
      <c r="Y29">
        <v>439846</v>
      </c>
      <c r="Z29">
        <v>29553</v>
      </c>
      <c r="AA29">
        <v>259457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</row>
    <row r="30" spans="1:32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165457</v>
      </c>
      <c r="I30">
        <v>11682</v>
      </c>
      <c r="J30">
        <v>212190</v>
      </c>
      <c r="K30">
        <v>24031</v>
      </c>
      <c r="L30">
        <v>164077</v>
      </c>
      <c r="M30">
        <v>84060</v>
      </c>
      <c r="N30">
        <v>3633</v>
      </c>
      <c r="O30">
        <v>108658</v>
      </c>
      <c r="P30">
        <v>6431</v>
      </c>
      <c r="Q30">
        <v>53578</v>
      </c>
      <c r="R30">
        <v>52619</v>
      </c>
      <c r="S30">
        <v>861</v>
      </c>
      <c r="T30">
        <v>125537</v>
      </c>
      <c r="U30">
        <v>3011</v>
      </c>
      <c r="V30">
        <v>117042</v>
      </c>
      <c r="W30">
        <v>357658</v>
      </c>
      <c r="X30">
        <v>22418</v>
      </c>
      <c r="Y30">
        <v>432846</v>
      </c>
      <c r="Z30">
        <v>29542</v>
      </c>
      <c r="AA30">
        <v>277180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</row>
    <row r="31" spans="1:32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109790</v>
      </c>
      <c r="I31">
        <v>7748</v>
      </c>
      <c r="J31">
        <v>98777</v>
      </c>
      <c r="K31">
        <v>9016</v>
      </c>
      <c r="L31">
        <v>175204</v>
      </c>
      <c r="M31">
        <v>62088</v>
      </c>
      <c r="N31">
        <v>2777</v>
      </c>
      <c r="O31">
        <v>53826</v>
      </c>
      <c r="P31">
        <v>3370</v>
      </c>
      <c r="Q31">
        <v>61235</v>
      </c>
      <c r="R31">
        <v>40115</v>
      </c>
      <c r="S31">
        <v>681</v>
      </c>
      <c r="T31">
        <v>98007</v>
      </c>
      <c r="U31">
        <v>2438</v>
      </c>
      <c r="V31">
        <v>112742</v>
      </c>
      <c r="W31">
        <v>247896</v>
      </c>
      <c r="X31">
        <v>16584</v>
      </c>
      <c r="Y31">
        <v>335656</v>
      </c>
      <c r="Z31">
        <v>22875</v>
      </c>
      <c r="AA31">
        <v>298564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</row>
    <row r="32" spans="1:32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116799</v>
      </c>
      <c r="I32">
        <v>6612</v>
      </c>
      <c r="J32">
        <v>146881</v>
      </c>
      <c r="K32">
        <v>15006</v>
      </c>
      <c r="L32">
        <v>145323</v>
      </c>
      <c r="M32">
        <v>115500</v>
      </c>
      <c r="N32">
        <v>4134</v>
      </c>
      <c r="O32">
        <v>62350</v>
      </c>
      <c r="P32">
        <v>4069</v>
      </c>
      <c r="Q32">
        <v>114375</v>
      </c>
      <c r="R32">
        <v>69034</v>
      </c>
      <c r="S32">
        <v>1065</v>
      </c>
      <c r="T32">
        <v>148080</v>
      </c>
      <c r="U32">
        <v>3455</v>
      </c>
      <c r="V32">
        <v>104898</v>
      </c>
      <c r="W32">
        <v>312217</v>
      </c>
      <c r="X32">
        <v>20058</v>
      </c>
      <c r="Y32">
        <v>433543</v>
      </c>
      <c r="Z32">
        <v>30264</v>
      </c>
      <c r="AA32">
        <v>279567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</row>
    <row r="33" spans="1:32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209614</v>
      </c>
      <c r="I33">
        <v>14029</v>
      </c>
      <c r="J33">
        <v>175931</v>
      </c>
      <c r="K33">
        <v>18387</v>
      </c>
      <c r="L33">
        <v>179370</v>
      </c>
      <c r="M33">
        <v>139778</v>
      </c>
      <c r="N33">
        <v>4444</v>
      </c>
      <c r="O33">
        <v>135926</v>
      </c>
      <c r="P33">
        <v>7081</v>
      </c>
      <c r="Q33">
        <v>112132</v>
      </c>
      <c r="R33">
        <v>96396</v>
      </c>
      <c r="S33">
        <v>1305</v>
      </c>
      <c r="T33">
        <v>175248</v>
      </c>
      <c r="U33">
        <v>3758</v>
      </c>
      <c r="V33">
        <v>103341</v>
      </c>
      <c r="W33">
        <v>318943</v>
      </c>
      <c r="X33">
        <v>22520</v>
      </c>
      <c r="Y33">
        <v>429951</v>
      </c>
      <c r="Z33">
        <v>31025</v>
      </c>
      <c r="AA33">
        <v>275521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</row>
    <row r="34" spans="1:32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195876</v>
      </c>
      <c r="I34">
        <v>11661</v>
      </c>
      <c r="J34">
        <v>215855</v>
      </c>
      <c r="K34">
        <v>21494</v>
      </c>
      <c r="L34">
        <v>159608</v>
      </c>
      <c r="M34">
        <v>114880</v>
      </c>
      <c r="N34">
        <v>3900</v>
      </c>
      <c r="O34">
        <v>130445</v>
      </c>
      <c r="P34">
        <v>6554</v>
      </c>
      <c r="Q34">
        <v>96539</v>
      </c>
      <c r="R34">
        <v>90553</v>
      </c>
      <c r="S34">
        <v>1181</v>
      </c>
      <c r="T34">
        <v>160968</v>
      </c>
      <c r="U34">
        <v>3403</v>
      </c>
      <c r="V34">
        <v>104740</v>
      </c>
      <c r="W34">
        <v>267473</v>
      </c>
      <c r="X34">
        <v>18777</v>
      </c>
      <c r="Y34">
        <v>369213</v>
      </c>
      <c r="Z34">
        <v>26386</v>
      </c>
      <c r="AA34">
        <v>273029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</row>
    <row r="35" spans="1:32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229130</v>
      </c>
      <c r="I35">
        <v>13737</v>
      </c>
      <c r="J35">
        <v>207762</v>
      </c>
      <c r="K35">
        <v>19839</v>
      </c>
      <c r="L35">
        <v>181158</v>
      </c>
      <c r="M35">
        <v>117343</v>
      </c>
      <c r="N35">
        <v>3484</v>
      </c>
      <c r="O35">
        <v>125008</v>
      </c>
      <c r="P35">
        <v>6190</v>
      </c>
      <c r="Q35">
        <v>88866</v>
      </c>
      <c r="R35">
        <v>91450</v>
      </c>
      <c r="S35">
        <v>1113</v>
      </c>
      <c r="T35">
        <v>165012</v>
      </c>
      <c r="U35">
        <v>3446</v>
      </c>
      <c r="V35">
        <v>96600</v>
      </c>
      <c r="W35">
        <v>289922</v>
      </c>
      <c r="X35">
        <v>19341</v>
      </c>
      <c r="Y35">
        <v>358326</v>
      </c>
      <c r="Z35">
        <v>26699</v>
      </c>
      <c r="AA35">
        <v>276556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</row>
    <row r="36" spans="1:32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163604</v>
      </c>
      <c r="I36">
        <v>10109</v>
      </c>
      <c r="J36">
        <v>148865</v>
      </c>
      <c r="K36">
        <v>13679</v>
      </c>
      <c r="L36">
        <v>195891</v>
      </c>
      <c r="M36">
        <v>70702</v>
      </c>
      <c r="N36">
        <v>2250</v>
      </c>
      <c r="O36">
        <v>70379</v>
      </c>
      <c r="P36">
        <v>3370</v>
      </c>
      <c r="Q36">
        <v>90039</v>
      </c>
      <c r="R36">
        <v>86672</v>
      </c>
      <c r="S36">
        <v>1009</v>
      </c>
      <c r="T36">
        <v>156345</v>
      </c>
      <c r="U36">
        <v>3171</v>
      </c>
      <c r="V36">
        <v>98911</v>
      </c>
      <c r="W36">
        <v>275626</v>
      </c>
      <c r="X36">
        <v>18426</v>
      </c>
      <c r="Y36">
        <v>359733</v>
      </c>
      <c r="Z36">
        <v>26442</v>
      </c>
      <c r="AA36">
        <v>283623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</row>
    <row r="37" spans="1:32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190045</v>
      </c>
      <c r="I37">
        <v>11807</v>
      </c>
      <c r="J37">
        <v>174594</v>
      </c>
      <c r="K37">
        <v>15415</v>
      </c>
      <c r="L37">
        <v>211798</v>
      </c>
      <c r="M37">
        <v>98981</v>
      </c>
      <c r="N37">
        <v>2693</v>
      </c>
      <c r="O37">
        <v>83577</v>
      </c>
      <c r="P37">
        <v>4099</v>
      </c>
      <c r="Q37">
        <v>106293</v>
      </c>
      <c r="R37">
        <v>106313</v>
      </c>
      <c r="S37">
        <v>1211</v>
      </c>
      <c r="T37">
        <v>180098</v>
      </c>
      <c r="U37">
        <v>3567</v>
      </c>
      <c r="V37">
        <v>92484</v>
      </c>
      <c r="W37">
        <v>422787</v>
      </c>
      <c r="X37">
        <v>21526</v>
      </c>
      <c r="Y37">
        <v>497273</v>
      </c>
      <c r="Z37">
        <v>28049</v>
      </c>
      <c r="AA37">
        <v>283184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</row>
    <row r="38" spans="1:32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210252</v>
      </c>
      <c r="I38">
        <v>13159</v>
      </c>
      <c r="J38">
        <v>166647</v>
      </c>
      <c r="K38">
        <v>14165</v>
      </c>
      <c r="L38">
        <v>255821</v>
      </c>
      <c r="M38">
        <v>124352</v>
      </c>
      <c r="N38">
        <v>3545</v>
      </c>
      <c r="O38">
        <v>108479</v>
      </c>
      <c r="P38">
        <v>4765</v>
      </c>
      <c r="Q38">
        <v>122143</v>
      </c>
      <c r="R38">
        <v>138963</v>
      </c>
      <c r="S38">
        <v>1715</v>
      </c>
      <c r="T38">
        <v>221011</v>
      </c>
      <c r="U38">
        <v>4386</v>
      </c>
      <c r="V38">
        <v>91927</v>
      </c>
      <c r="W38">
        <v>354259</v>
      </c>
      <c r="X38">
        <v>24946</v>
      </c>
      <c r="Y38">
        <v>433112</v>
      </c>
      <c r="Z38">
        <v>32205</v>
      </c>
      <c r="AA38">
        <v>269630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2A6BD-1064-42B6-91EB-6096F8327AA7}">
  <dimension ref="A1:BW40"/>
  <sheetViews>
    <sheetView workbookViewId="0">
      <selection activeCell="C9" sqref="C9"/>
    </sheetView>
  </sheetViews>
  <sheetFormatPr defaultColWidth="15.625" defaultRowHeight="18.75" x14ac:dyDescent="0.4"/>
  <sheetData>
    <row r="1" spans="1:75" x14ac:dyDescent="0.4">
      <c r="A1" s="1" t="s">
        <v>66</v>
      </c>
      <c r="B1" s="1"/>
    </row>
    <row r="2" spans="1:75" x14ac:dyDescent="0.4">
      <c r="A2" s="4" t="str">
        <f>HYPERLINK("#'目次(Contents)'!A3","目次に戻る(Return to Contents)")</f>
        <v>目次に戻る(Return to Contents)</v>
      </c>
      <c r="B2" s="1"/>
    </row>
    <row r="3" spans="1:75" x14ac:dyDescent="0.4">
      <c r="A3" s="1"/>
      <c r="B3" s="2" t="s">
        <v>0</v>
      </c>
      <c r="C3" t="s">
        <v>1202</v>
      </c>
      <c r="D3" t="s">
        <v>1202</v>
      </c>
      <c r="E3" t="s">
        <v>1204</v>
      </c>
      <c r="F3" t="s">
        <v>1204</v>
      </c>
      <c r="G3" t="s">
        <v>1206</v>
      </c>
      <c r="H3" t="s">
        <v>1206</v>
      </c>
      <c r="I3" t="s">
        <v>1208</v>
      </c>
      <c r="J3" t="s">
        <v>1208</v>
      </c>
      <c r="K3" t="s">
        <v>1210</v>
      </c>
      <c r="L3" t="s">
        <v>1210</v>
      </c>
      <c r="M3" t="s">
        <v>1212</v>
      </c>
      <c r="N3" t="s">
        <v>1212</v>
      </c>
      <c r="O3" t="s">
        <v>1214</v>
      </c>
      <c r="P3" t="s">
        <v>1214</v>
      </c>
      <c r="Q3" t="s">
        <v>1216</v>
      </c>
      <c r="R3" t="s">
        <v>1216</v>
      </c>
      <c r="S3" t="s">
        <v>1218</v>
      </c>
      <c r="T3" t="s">
        <v>1218</v>
      </c>
      <c r="U3" t="s">
        <v>1220</v>
      </c>
      <c r="V3" t="s">
        <v>1220</v>
      </c>
      <c r="W3" t="s">
        <v>1222</v>
      </c>
      <c r="X3" t="s">
        <v>1222</v>
      </c>
      <c r="Y3" t="s">
        <v>1224</v>
      </c>
      <c r="Z3" t="s">
        <v>1224</v>
      </c>
      <c r="AA3" t="s">
        <v>1226</v>
      </c>
      <c r="AB3" t="s">
        <v>1226</v>
      </c>
      <c r="AC3" t="s">
        <v>1228</v>
      </c>
      <c r="AD3" t="s">
        <v>1228</v>
      </c>
      <c r="AE3" t="s">
        <v>1230</v>
      </c>
      <c r="AF3" t="s">
        <v>1230</v>
      </c>
      <c r="AG3" t="s">
        <v>1232</v>
      </c>
      <c r="AH3" t="s">
        <v>1232</v>
      </c>
      <c r="AI3" t="s">
        <v>1234</v>
      </c>
      <c r="AJ3" t="s">
        <v>1234</v>
      </c>
      <c r="AK3" t="s">
        <v>1236</v>
      </c>
      <c r="AL3" t="s">
        <v>1236</v>
      </c>
      <c r="AM3" t="s">
        <v>1238</v>
      </c>
      <c r="AN3" t="s">
        <v>1238</v>
      </c>
      <c r="AO3" t="s">
        <v>1240</v>
      </c>
      <c r="AP3" t="s">
        <v>1240</v>
      </c>
      <c r="AQ3" t="s">
        <v>1242</v>
      </c>
      <c r="AR3" t="s">
        <v>1242</v>
      </c>
      <c r="AS3" t="s">
        <v>1244</v>
      </c>
      <c r="AT3" t="s">
        <v>1244</v>
      </c>
      <c r="AU3" t="s">
        <v>1246</v>
      </c>
      <c r="AV3" t="s">
        <v>1246</v>
      </c>
      <c r="AW3" t="s">
        <v>1249</v>
      </c>
      <c r="AX3" t="s">
        <v>1249</v>
      </c>
      <c r="AY3" t="s">
        <v>1251</v>
      </c>
      <c r="AZ3" t="s">
        <v>1251</v>
      </c>
      <c r="BA3" t="s">
        <v>1253</v>
      </c>
      <c r="BB3" t="s">
        <v>1253</v>
      </c>
      <c r="BC3" t="s">
        <v>1255</v>
      </c>
      <c r="BD3" t="s">
        <v>1255</v>
      </c>
      <c r="BE3" t="s">
        <v>1257</v>
      </c>
      <c r="BF3" t="s">
        <v>1257</v>
      </c>
      <c r="BG3" t="s">
        <v>1259</v>
      </c>
      <c r="BH3" t="s">
        <v>1259</v>
      </c>
      <c r="BI3" t="s">
        <v>1261</v>
      </c>
      <c r="BJ3" t="s">
        <v>1261</v>
      </c>
      <c r="BK3" t="s">
        <v>1263</v>
      </c>
      <c r="BL3" t="s">
        <v>1263</v>
      </c>
      <c r="BM3" t="s">
        <v>1265</v>
      </c>
      <c r="BN3" t="s">
        <v>1265</v>
      </c>
      <c r="BO3" t="s">
        <v>1267</v>
      </c>
      <c r="BP3" t="s">
        <v>1267</v>
      </c>
      <c r="BQ3" t="s">
        <v>1269</v>
      </c>
      <c r="BR3" t="s">
        <v>1269</v>
      </c>
      <c r="BS3" t="s">
        <v>1271</v>
      </c>
      <c r="BT3" t="s">
        <v>1271</v>
      </c>
      <c r="BU3" t="s">
        <v>1273</v>
      </c>
      <c r="BV3" t="s">
        <v>1275</v>
      </c>
      <c r="BW3" t="s">
        <v>1275</v>
      </c>
    </row>
    <row r="4" spans="1:75" x14ac:dyDescent="0.4">
      <c r="A4" s="1"/>
      <c r="B4" s="2" t="s">
        <v>1</v>
      </c>
      <c r="C4" t="s">
        <v>1203</v>
      </c>
      <c r="D4" t="s">
        <v>1203</v>
      </c>
      <c r="E4" t="s">
        <v>1205</v>
      </c>
      <c r="F4" t="s">
        <v>1205</v>
      </c>
      <c r="G4" t="s">
        <v>1207</v>
      </c>
      <c r="H4" t="s">
        <v>1207</v>
      </c>
      <c r="I4" t="s">
        <v>1209</v>
      </c>
      <c r="J4" t="s">
        <v>1209</v>
      </c>
      <c r="K4" t="s">
        <v>1211</v>
      </c>
      <c r="L4" t="s">
        <v>1211</v>
      </c>
      <c r="M4" t="s">
        <v>1213</v>
      </c>
      <c r="N4" t="s">
        <v>1213</v>
      </c>
      <c r="O4" t="s">
        <v>1215</v>
      </c>
      <c r="P4" t="s">
        <v>1215</v>
      </c>
      <c r="Q4" t="s">
        <v>1217</v>
      </c>
      <c r="R4" t="s">
        <v>1217</v>
      </c>
      <c r="S4" t="s">
        <v>1219</v>
      </c>
      <c r="T4" t="s">
        <v>1219</v>
      </c>
      <c r="U4" t="s">
        <v>1221</v>
      </c>
      <c r="V4" t="s">
        <v>1221</v>
      </c>
      <c r="W4" t="s">
        <v>1223</v>
      </c>
      <c r="X4" t="s">
        <v>1223</v>
      </c>
      <c r="Y4" t="s">
        <v>1225</v>
      </c>
      <c r="Z4" t="s">
        <v>1225</v>
      </c>
      <c r="AA4" t="s">
        <v>1227</v>
      </c>
      <c r="AB4" t="s">
        <v>1227</v>
      </c>
      <c r="AC4" t="s">
        <v>1229</v>
      </c>
      <c r="AD4" t="s">
        <v>1229</v>
      </c>
      <c r="AE4" t="s">
        <v>1231</v>
      </c>
      <c r="AF4" t="s">
        <v>1231</v>
      </c>
      <c r="AG4" t="s">
        <v>1233</v>
      </c>
      <c r="AH4" t="s">
        <v>1233</v>
      </c>
      <c r="AI4" t="s">
        <v>1235</v>
      </c>
      <c r="AJ4" t="s">
        <v>1235</v>
      </c>
      <c r="AK4" t="s">
        <v>1237</v>
      </c>
      <c r="AL4" t="s">
        <v>1237</v>
      </c>
      <c r="AM4" t="s">
        <v>1239</v>
      </c>
      <c r="AN4" t="s">
        <v>1239</v>
      </c>
      <c r="AO4" t="s">
        <v>1241</v>
      </c>
      <c r="AP4" t="s">
        <v>1241</v>
      </c>
      <c r="AQ4" t="s">
        <v>1243</v>
      </c>
      <c r="AR4" t="s">
        <v>1243</v>
      </c>
      <c r="AS4" t="s">
        <v>1245</v>
      </c>
      <c r="AT4" t="s">
        <v>1245</v>
      </c>
      <c r="AU4" t="s">
        <v>1248</v>
      </c>
      <c r="AV4" t="s">
        <v>1248</v>
      </c>
      <c r="AW4" t="s">
        <v>1250</v>
      </c>
      <c r="AX4" t="s">
        <v>1250</v>
      </c>
      <c r="AY4" t="s">
        <v>1252</v>
      </c>
      <c r="AZ4" t="s">
        <v>1252</v>
      </c>
      <c r="BA4" t="s">
        <v>1254</v>
      </c>
      <c r="BB4" t="s">
        <v>1254</v>
      </c>
      <c r="BC4" t="s">
        <v>1256</v>
      </c>
      <c r="BD4" t="s">
        <v>1256</v>
      </c>
      <c r="BE4" t="s">
        <v>1258</v>
      </c>
      <c r="BF4" t="s">
        <v>1258</v>
      </c>
      <c r="BG4" t="s">
        <v>1260</v>
      </c>
      <c r="BH4" t="s">
        <v>1260</v>
      </c>
      <c r="BI4" t="s">
        <v>1262</v>
      </c>
      <c r="BJ4" t="s">
        <v>1262</v>
      </c>
      <c r="BK4" t="s">
        <v>1264</v>
      </c>
      <c r="BL4" t="s">
        <v>1264</v>
      </c>
      <c r="BM4" t="s">
        <v>1266</v>
      </c>
      <c r="BN4" t="s">
        <v>1266</v>
      </c>
      <c r="BO4" t="s">
        <v>1268</v>
      </c>
      <c r="BP4" t="s">
        <v>1268</v>
      </c>
      <c r="BQ4" t="s">
        <v>1270</v>
      </c>
      <c r="BR4" t="s">
        <v>1270</v>
      </c>
      <c r="BS4" t="s">
        <v>1272</v>
      </c>
      <c r="BT4" t="s">
        <v>1272</v>
      </c>
      <c r="BU4" t="s">
        <v>1274</v>
      </c>
      <c r="BV4" t="s">
        <v>1277</v>
      </c>
      <c r="BW4" t="s">
        <v>1277</v>
      </c>
    </row>
    <row r="5" spans="1:75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257</v>
      </c>
      <c r="BV5" t="s">
        <v>69</v>
      </c>
      <c r="BW5" t="s">
        <v>257</v>
      </c>
    </row>
    <row r="6" spans="1:75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259</v>
      </c>
      <c r="BV6" t="s">
        <v>72</v>
      </c>
      <c r="BW6" t="s">
        <v>259</v>
      </c>
    </row>
    <row r="7" spans="1:7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258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258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258</v>
      </c>
      <c r="AS7" t="s">
        <v>743</v>
      </c>
      <c r="AT7" t="s">
        <v>258</v>
      </c>
      <c r="AU7" t="s">
        <v>1247</v>
      </c>
      <c r="AV7" t="s">
        <v>258</v>
      </c>
      <c r="AW7" t="s">
        <v>1247</v>
      </c>
      <c r="AX7" t="s">
        <v>258</v>
      </c>
      <c r="AY7" t="s">
        <v>1247</v>
      </c>
      <c r="AZ7" t="s">
        <v>258</v>
      </c>
      <c r="BA7" t="s">
        <v>1247</v>
      </c>
      <c r="BB7" t="s">
        <v>258</v>
      </c>
      <c r="BC7" t="s">
        <v>1247</v>
      </c>
      <c r="BD7" t="s">
        <v>258</v>
      </c>
      <c r="BE7" t="s">
        <v>1247</v>
      </c>
      <c r="BF7" t="s">
        <v>258</v>
      </c>
      <c r="BG7" t="s">
        <v>1247</v>
      </c>
      <c r="BH7" t="s">
        <v>258</v>
      </c>
      <c r="BI7" t="s">
        <v>1247</v>
      </c>
      <c r="BJ7" t="s">
        <v>258</v>
      </c>
      <c r="BK7" t="s">
        <v>1247</v>
      </c>
      <c r="BL7" t="s">
        <v>258</v>
      </c>
      <c r="BM7" t="s">
        <v>1247</v>
      </c>
      <c r="BN7" t="s">
        <v>258</v>
      </c>
      <c r="BO7" t="s">
        <v>743</v>
      </c>
      <c r="BP7" t="s">
        <v>258</v>
      </c>
      <c r="BQ7" t="s">
        <v>743</v>
      </c>
      <c r="BR7" t="s">
        <v>258</v>
      </c>
      <c r="BS7" t="s">
        <v>743</v>
      </c>
      <c r="BT7" t="s">
        <v>258</v>
      </c>
      <c r="BU7" t="s">
        <v>258</v>
      </c>
      <c r="BV7" t="s">
        <v>1276</v>
      </c>
      <c r="BW7" t="s">
        <v>258</v>
      </c>
    </row>
    <row r="8" spans="1:7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260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260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260</v>
      </c>
      <c r="AS8" t="s">
        <v>745</v>
      </c>
      <c r="AT8" t="s">
        <v>260</v>
      </c>
      <c r="AU8" t="s">
        <v>1247</v>
      </c>
      <c r="AV8" t="s">
        <v>260</v>
      </c>
      <c r="AW8" t="s">
        <v>1247</v>
      </c>
      <c r="AX8" t="s">
        <v>260</v>
      </c>
      <c r="AY8" t="s">
        <v>1247</v>
      </c>
      <c r="AZ8" t="s">
        <v>260</v>
      </c>
      <c r="BA8" t="s">
        <v>1247</v>
      </c>
      <c r="BB8" t="s">
        <v>260</v>
      </c>
      <c r="BC8" t="s">
        <v>1247</v>
      </c>
      <c r="BD8" t="s">
        <v>260</v>
      </c>
      <c r="BE8" t="s">
        <v>1247</v>
      </c>
      <c r="BF8" t="s">
        <v>260</v>
      </c>
      <c r="BG8" t="s">
        <v>1247</v>
      </c>
      <c r="BH8" t="s">
        <v>260</v>
      </c>
      <c r="BI8" t="s">
        <v>1247</v>
      </c>
      <c r="BJ8" t="s">
        <v>260</v>
      </c>
      <c r="BK8" t="s">
        <v>1247</v>
      </c>
      <c r="BL8" t="s">
        <v>260</v>
      </c>
      <c r="BM8" t="s">
        <v>1247</v>
      </c>
      <c r="BN8" t="s">
        <v>260</v>
      </c>
      <c r="BO8" t="s">
        <v>745</v>
      </c>
      <c r="BP8" t="s">
        <v>260</v>
      </c>
      <c r="BQ8" t="s">
        <v>745</v>
      </c>
      <c r="BR8" t="s">
        <v>260</v>
      </c>
      <c r="BS8" t="s">
        <v>745</v>
      </c>
      <c r="BT8" t="s">
        <v>260</v>
      </c>
      <c r="BU8" t="s">
        <v>260</v>
      </c>
      <c r="BV8" t="s">
        <v>745</v>
      </c>
      <c r="BW8" t="s">
        <v>260</v>
      </c>
    </row>
    <row r="9" spans="1:75" x14ac:dyDescent="0.4">
      <c r="A9" s="1" t="s">
        <v>6</v>
      </c>
      <c r="B9" s="3" t="s">
        <v>7</v>
      </c>
      <c r="C9">
        <v>575412</v>
      </c>
      <c r="D9">
        <v>22955</v>
      </c>
      <c r="E9">
        <v>155121</v>
      </c>
      <c r="F9">
        <v>6898</v>
      </c>
      <c r="G9">
        <v>8519892</v>
      </c>
      <c r="H9">
        <v>8661</v>
      </c>
      <c r="I9">
        <v>162150002</v>
      </c>
      <c r="J9">
        <v>53031</v>
      </c>
      <c r="K9">
        <v>8158225</v>
      </c>
      <c r="L9">
        <v>20242</v>
      </c>
      <c r="M9">
        <v>11555204</v>
      </c>
      <c r="N9">
        <v>150966</v>
      </c>
      <c r="O9">
        <v>1330749</v>
      </c>
      <c r="P9">
        <v>20646</v>
      </c>
      <c r="Q9">
        <v>1412559568</v>
      </c>
      <c r="R9">
        <v>752401</v>
      </c>
      <c r="S9">
        <v>458982</v>
      </c>
      <c r="T9">
        <v>17247</v>
      </c>
      <c r="U9">
        <v>131494</v>
      </c>
      <c r="V9">
        <v>24138</v>
      </c>
      <c r="W9">
        <v>7279</v>
      </c>
      <c r="X9">
        <v>5757</v>
      </c>
      <c r="Y9">
        <v>178880116</v>
      </c>
      <c r="Z9">
        <v>84511</v>
      </c>
      <c r="AA9">
        <v>3860453</v>
      </c>
      <c r="AB9">
        <v>61030</v>
      </c>
      <c r="AC9">
        <v>21013346</v>
      </c>
      <c r="AD9">
        <v>128136</v>
      </c>
      <c r="AE9">
        <v>7646691</v>
      </c>
      <c r="AF9">
        <v>117519</v>
      </c>
      <c r="AG9">
        <v>10081641</v>
      </c>
      <c r="AH9">
        <v>56511</v>
      </c>
      <c r="AI9">
        <v>2796516</v>
      </c>
      <c r="AJ9">
        <v>20930</v>
      </c>
      <c r="AK9">
        <v>18904525</v>
      </c>
      <c r="AL9">
        <v>215089</v>
      </c>
      <c r="AM9">
        <v>376325</v>
      </c>
      <c r="AN9">
        <v>20860</v>
      </c>
      <c r="AO9">
        <v>3107519</v>
      </c>
      <c r="AP9">
        <v>32608</v>
      </c>
      <c r="AQ9">
        <v>10648378</v>
      </c>
      <c r="AR9">
        <v>60120</v>
      </c>
      <c r="AS9">
        <v>619484</v>
      </c>
      <c r="AT9">
        <v>27716</v>
      </c>
      <c r="AU9">
        <v>1574235</v>
      </c>
      <c r="AV9">
        <v>9086</v>
      </c>
      <c r="AW9">
        <v>4045442</v>
      </c>
      <c r="AX9">
        <v>72180</v>
      </c>
      <c r="AY9">
        <v>2125196</v>
      </c>
      <c r="AZ9">
        <v>63561</v>
      </c>
      <c r="BA9">
        <v>956527</v>
      </c>
      <c r="BB9">
        <v>70389</v>
      </c>
      <c r="BC9">
        <v>119696</v>
      </c>
      <c r="BD9">
        <v>26674</v>
      </c>
      <c r="BE9">
        <v>904126</v>
      </c>
      <c r="BF9">
        <v>171012</v>
      </c>
      <c r="BG9">
        <v>678801</v>
      </c>
      <c r="BH9">
        <v>8029</v>
      </c>
      <c r="BI9">
        <v>931369</v>
      </c>
      <c r="BJ9">
        <v>23433</v>
      </c>
      <c r="BK9">
        <v>444309</v>
      </c>
      <c r="BL9">
        <v>198342</v>
      </c>
      <c r="BM9">
        <v>328979</v>
      </c>
      <c r="BN9">
        <v>5581</v>
      </c>
      <c r="BO9">
        <v>11080455</v>
      </c>
      <c r="BP9">
        <v>149802</v>
      </c>
      <c r="BQ9">
        <v>3767867</v>
      </c>
      <c r="BR9">
        <v>121370</v>
      </c>
      <c r="BS9">
        <v>98943</v>
      </c>
      <c r="BT9">
        <v>13360</v>
      </c>
      <c r="BU9" t="s">
        <v>73</v>
      </c>
      <c r="BV9">
        <v>22191</v>
      </c>
      <c r="BW9">
        <v>64789</v>
      </c>
    </row>
    <row r="10" spans="1:75" x14ac:dyDescent="0.4">
      <c r="A10" s="1" t="s">
        <v>8</v>
      </c>
      <c r="B10" s="3" t="s">
        <v>9</v>
      </c>
      <c r="C10">
        <v>458210</v>
      </c>
      <c r="D10">
        <v>25138</v>
      </c>
      <c r="E10">
        <v>155277</v>
      </c>
      <c r="F10">
        <v>7195</v>
      </c>
      <c r="G10">
        <v>4456174</v>
      </c>
      <c r="H10">
        <v>7234</v>
      </c>
      <c r="I10">
        <v>145211388</v>
      </c>
      <c r="J10">
        <v>56439</v>
      </c>
      <c r="K10">
        <v>5489414</v>
      </c>
      <c r="L10">
        <v>18886</v>
      </c>
      <c r="M10">
        <v>11189534</v>
      </c>
      <c r="N10">
        <v>164776</v>
      </c>
      <c r="O10">
        <v>1122661</v>
      </c>
      <c r="P10">
        <v>20399</v>
      </c>
      <c r="Q10">
        <v>1127535302</v>
      </c>
      <c r="R10">
        <v>780135</v>
      </c>
      <c r="S10">
        <v>442052</v>
      </c>
      <c r="T10">
        <v>19598</v>
      </c>
      <c r="U10">
        <v>130398</v>
      </c>
      <c r="V10">
        <v>27312</v>
      </c>
      <c r="W10">
        <v>7196</v>
      </c>
      <c r="X10">
        <v>5510</v>
      </c>
      <c r="Y10">
        <v>136923379</v>
      </c>
      <c r="Z10">
        <v>87508</v>
      </c>
      <c r="AA10">
        <v>3799366</v>
      </c>
      <c r="AB10">
        <v>64704</v>
      </c>
      <c r="AC10">
        <v>12789036</v>
      </c>
      <c r="AD10">
        <v>95508</v>
      </c>
      <c r="AE10">
        <v>5912555</v>
      </c>
      <c r="AF10">
        <v>124432</v>
      </c>
      <c r="AG10">
        <v>8631484</v>
      </c>
      <c r="AH10">
        <v>54638</v>
      </c>
      <c r="AI10">
        <v>2367789</v>
      </c>
      <c r="AJ10">
        <v>19617</v>
      </c>
      <c r="AK10">
        <v>15942422</v>
      </c>
      <c r="AL10">
        <v>211231</v>
      </c>
      <c r="AM10">
        <v>345085</v>
      </c>
      <c r="AN10">
        <v>22338</v>
      </c>
      <c r="AO10">
        <v>2959283</v>
      </c>
      <c r="AP10">
        <v>30963</v>
      </c>
      <c r="AQ10">
        <v>9978906</v>
      </c>
      <c r="AR10">
        <v>56942</v>
      </c>
      <c r="AS10">
        <v>578859</v>
      </c>
      <c r="AT10">
        <v>27493</v>
      </c>
      <c r="AU10">
        <v>1492380</v>
      </c>
      <c r="AV10">
        <v>9297</v>
      </c>
      <c r="AW10">
        <v>3776547</v>
      </c>
      <c r="AX10">
        <v>77883</v>
      </c>
      <c r="AY10">
        <v>2055215</v>
      </c>
      <c r="AZ10">
        <v>71361</v>
      </c>
      <c r="BA10">
        <v>893028</v>
      </c>
      <c r="BB10">
        <v>79186</v>
      </c>
      <c r="BC10">
        <v>125492</v>
      </c>
      <c r="BD10">
        <v>29473</v>
      </c>
      <c r="BE10">
        <v>804286</v>
      </c>
      <c r="BF10">
        <v>163192</v>
      </c>
      <c r="BG10">
        <v>572090</v>
      </c>
      <c r="BH10">
        <v>6303</v>
      </c>
      <c r="BI10">
        <v>959765</v>
      </c>
      <c r="BJ10">
        <v>24374</v>
      </c>
      <c r="BK10">
        <v>419495</v>
      </c>
      <c r="BL10">
        <v>226609</v>
      </c>
      <c r="BM10">
        <v>264733</v>
      </c>
      <c r="BN10">
        <v>5453</v>
      </c>
      <c r="BO10">
        <v>11186914</v>
      </c>
      <c r="BP10">
        <v>155679</v>
      </c>
      <c r="BQ10">
        <v>4242770</v>
      </c>
      <c r="BR10">
        <v>108546</v>
      </c>
      <c r="BS10">
        <v>87187</v>
      </c>
      <c r="BT10">
        <v>15899</v>
      </c>
      <c r="BU10">
        <v>35221</v>
      </c>
      <c r="BV10">
        <v>22204</v>
      </c>
      <c r="BW10">
        <v>76976</v>
      </c>
    </row>
    <row r="11" spans="1:75" x14ac:dyDescent="0.4">
      <c r="A11" s="1" t="s">
        <v>10</v>
      </c>
      <c r="B11" s="3" t="s">
        <v>11</v>
      </c>
      <c r="C11">
        <v>432781</v>
      </c>
      <c r="D11">
        <v>26110</v>
      </c>
      <c r="E11">
        <v>93852</v>
      </c>
      <c r="F11">
        <v>6892</v>
      </c>
      <c r="G11">
        <v>3579506</v>
      </c>
      <c r="H11">
        <v>6775</v>
      </c>
      <c r="I11">
        <v>124055388</v>
      </c>
      <c r="J11">
        <v>54576</v>
      </c>
      <c r="K11">
        <v>4905831</v>
      </c>
      <c r="L11">
        <v>19369</v>
      </c>
      <c r="M11">
        <v>9441800</v>
      </c>
      <c r="N11">
        <v>160510</v>
      </c>
      <c r="O11">
        <v>721233</v>
      </c>
      <c r="P11">
        <v>11876</v>
      </c>
      <c r="Q11">
        <v>1003765126</v>
      </c>
      <c r="R11">
        <v>742771</v>
      </c>
      <c r="S11">
        <v>297459</v>
      </c>
      <c r="T11">
        <v>22219</v>
      </c>
      <c r="U11">
        <v>109135</v>
      </c>
      <c r="V11">
        <v>38224</v>
      </c>
      <c r="W11">
        <v>8580</v>
      </c>
      <c r="X11">
        <v>7477</v>
      </c>
      <c r="Y11">
        <v>121569123</v>
      </c>
      <c r="Z11">
        <v>79987</v>
      </c>
      <c r="AA11">
        <v>2947036</v>
      </c>
      <c r="AB11">
        <v>54459</v>
      </c>
      <c r="AC11">
        <v>12212090</v>
      </c>
      <c r="AD11">
        <v>104122</v>
      </c>
      <c r="AE11">
        <v>5163790</v>
      </c>
      <c r="AF11">
        <v>120687</v>
      </c>
      <c r="AG11">
        <v>6591444</v>
      </c>
      <c r="AH11">
        <v>46183</v>
      </c>
      <c r="AI11">
        <v>1885475</v>
      </c>
      <c r="AJ11">
        <v>15175</v>
      </c>
      <c r="AK11">
        <v>13097532</v>
      </c>
      <c r="AL11">
        <v>174350</v>
      </c>
      <c r="AM11">
        <v>268216</v>
      </c>
      <c r="AN11">
        <v>19392</v>
      </c>
      <c r="AO11">
        <v>2206761</v>
      </c>
      <c r="AP11">
        <v>24862</v>
      </c>
      <c r="AQ11">
        <v>8621447</v>
      </c>
      <c r="AR11">
        <v>53761</v>
      </c>
      <c r="AS11">
        <v>506025</v>
      </c>
      <c r="AT11">
        <v>24980</v>
      </c>
      <c r="AU11">
        <v>1345539</v>
      </c>
      <c r="AV11">
        <v>9000</v>
      </c>
      <c r="AW11">
        <v>3065518</v>
      </c>
      <c r="AX11">
        <v>67369</v>
      </c>
      <c r="AY11">
        <v>1823693</v>
      </c>
      <c r="AZ11">
        <v>61979</v>
      </c>
      <c r="BA11">
        <v>762898</v>
      </c>
      <c r="BB11">
        <v>70467</v>
      </c>
      <c r="BC11">
        <v>99879</v>
      </c>
      <c r="BD11">
        <v>24573</v>
      </c>
      <c r="BE11">
        <v>628462</v>
      </c>
      <c r="BF11">
        <v>118360</v>
      </c>
      <c r="BG11">
        <v>528025</v>
      </c>
      <c r="BH11">
        <v>5541</v>
      </c>
      <c r="BI11">
        <v>843016</v>
      </c>
      <c r="BJ11">
        <v>21282</v>
      </c>
      <c r="BK11">
        <v>253583</v>
      </c>
      <c r="BL11">
        <v>185225</v>
      </c>
      <c r="BM11">
        <v>277977</v>
      </c>
      <c r="BN11">
        <v>5498</v>
      </c>
      <c r="BO11">
        <v>12040959</v>
      </c>
      <c r="BP11">
        <v>177215</v>
      </c>
      <c r="BQ11">
        <v>3840605</v>
      </c>
      <c r="BR11">
        <v>112332</v>
      </c>
      <c r="BS11">
        <v>83761</v>
      </c>
      <c r="BT11">
        <v>20646</v>
      </c>
      <c r="BU11" t="s">
        <v>73</v>
      </c>
      <c r="BV11">
        <v>28067</v>
      </c>
      <c r="BW11">
        <v>99704</v>
      </c>
    </row>
    <row r="12" spans="1:75" x14ac:dyDescent="0.4">
      <c r="A12" s="1" t="s">
        <v>12</v>
      </c>
      <c r="B12" s="3" t="s">
        <v>13</v>
      </c>
      <c r="C12">
        <v>415992</v>
      </c>
      <c r="D12">
        <v>27670</v>
      </c>
      <c r="E12">
        <v>179495</v>
      </c>
      <c r="F12">
        <v>6483</v>
      </c>
      <c r="G12">
        <v>2688143</v>
      </c>
      <c r="H12">
        <v>5582</v>
      </c>
      <c r="I12">
        <v>116967470</v>
      </c>
      <c r="J12">
        <v>54389</v>
      </c>
      <c r="K12">
        <v>4430962</v>
      </c>
      <c r="L12">
        <v>17508</v>
      </c>
      <c r="M12">
        <v>8905580</v>
      </c>
      <c r="N12">
        <v>159287</v>
      </c>
      <c r="O12">
        <v>764658</v>
      </c>
      <c r="P12">
        <v>15202</v>
      </c>
      <c r="Q12">
        <v>1077681279</v>
      </c>
      <c r="R12">
        <v>819401</v>
      </c>
      <c r="S12">
        <v>239070</v>
      </c>
      <c r="T12">
        <v>21605</v>
      </c>
      <c r="U12">
        <v>109265</v>
      </c>
      <c r="V12">
        <v>33724</v>
      </c>
      <c r="W12">
        <v>9289</v>
      </c>
      <c r="X12">
        <v>7723</v>
      </c>
      <c r="Y12">
        <v>161194248</v>
      </c>
      <c r="Z12">
        <v>98130</v>
      </c>
      <c r="AA12">
        <v>3256938</v>
      </c>
      <c r="AB12">
        <v>57288</v>
      </c>
      <c r="AC12">
        <v>11605867</v>
      </c>
      <c r="AD12">
        <v>91028</v>
      </c>
      <c r="AE12">
        <v>5524107</v>
      </c>
      <c r="AF12">
        <v>141925</v>
      </c>
      <c r="AG12">
        <v>7221175</v>
      </c>
      <c r="AH12">
        <v>47948</v>
      </c>
      <c r="AI12">
        <v>1957965</v>
      </c>
      <c r="AJ12">
        <v>14535</v>
      </c>
      <c r="AK12">
        <v>11641418</v>
      </c>
      <c r="AL12">
        <v>186960</v>
      </c>
      <c r="AM12">
        <v>199352</v>
      </c>
      <c r="AN12">
        <v>14974</v>
      </c>
      <c r="AO12">
        <v>2471026</v>
      </c>
      <c r="AP12">
        <v>23394</v>
      </c>
      <c r="AQ12">
        <v>7357259</v>
      </c>
      <c r="AR12">
        <v>52305</v>
      </c>
      <c r="AS12">
        <v>473263</v>
      </c>
      <c r="AT12">
        <v>25022</v>
      </c>
      <c r="AU12">
        <v>1270164</v>
      </c>
      <c r="AV12">
        <v>8400</v>
      </c>
      <c r="AW12">
        <v>2617901</v>
      </c>
      <c r="AX12">
        <v>66297</v>
      </c>
      <c r="AY12">
        <v>1670499</v>
      </c>
      <c r="AZ12">
        <v>56586</v>
      </c>
      <c r="BA12">
        <v>709171</v>
      </c>
      <c r="BB12">
        <v>66766</v>
      </c>
      <c r="BC12">
        <v>86814</v>
      </c>
      <c r="BD12">
        <v>27691</v>
      </c>
      <c r="BE12">
        <v>614727</v>
      </c>
      <c r="BF12">
        <v>109571</v>
      </c>
      <c r="BG12">
        <v>517356</v>
      </c>
      <c r="BH12">
        <v>6287</v>
      </c>
      <c r="BI12">
        <v>900304</v>
      </c>
      <c r="BJ12">
        <v>22108</v>
      </c>
      <c r="BK12">
        <v>243181</v>
      </c>
      <c r="BL12">
        <v>175757</v>
      </c>
      <c r="BM12">
        <v>326570</v>
      </c>
      <c r="BN12">
        <v>5703</v>
      </c>
      <c r="BO12">
        <v>10292208</v>
      </c>
      <c r="BP12">
        <v>165640</v>
      </c>
      <c r="BQ12">
        <v>4064384</v>
      </c>
      <c r="BR12">
        <v>129631</v>
      </c>
      <c r="BS12">
        <v>86647</v>
      </c>
      <c r="BT12">
        <v>19633</v>
      </c>
      <c r="BU12" t="s">
        <v>73</v>
      </c>
      <c r="BV12">
        <v>21976</v>
      </c>
      <c r="BW12">
        <v>95568</v>
      </c>
    </row>
    <row r="13" spans="1:75" x14ac:dyDescent="0.4">
      <c r="A13" s="1" t="s">
        <v>14</v>
      </c>
      <c r="B13" s="3" t="s">
        <v>15</v>
      </c>
      <c r="C13">
        <v>483743</v>
      </c>
      <c r="D13">
        <v>35055</v>
      </c>
      <c r="E13">
        <v>180797</v>
      </c>
      <c r="F13">
        <v>6565</v>
      </c>
      <c r="G13">
        <v>2722203</v>
      </c>
      <c r="H13">
        <v>6300</v>
      </c>
      <c r="I13">
        <v>127315634</v>
      </c>
      <c r="J13">
        <v>58469</v>
      </c>
      <c r="K13">
        <v>4555214</v>
      </c>
      <c r="L13">
        <v>18630</v>
      </c>
      <c r="M13">
        <v>9614654</v>
      </c>
      <c r="N13">
        <v>183244</v>
      </c>
      <c r="O13">
        <v>861532</v>
      </c>
      <c r="P13">
        <v>22726</v>
      </c>
      <c r="Q13">
        <v>1088844328</v>
      </c>
      <c r="R13">
        <v>833001</v>
      </c>
      <c r="S13">
        <v>262331</v>
      </c>
      <c r="T13">
        <v>21945</v>
      </c>
      <c r="U13">
        <v>121920</v>
      </c>
      <c r="V13">
        <v>27558</v>
      </c>
      <c r="W13">
        <v>8808</v>
      </c>
      <c r="X13">
        <v>8104</v>
      </c>
      <c r="Y13">
        <v>150924801</v>
      </c>
      <c r="Z13">
        <v>101009</v>
      </c>
      <c r="AA13">
        <v>3625094</v>
      </c>
      <c r="AB13">
        <v>58639</v>
      </c>
      <c r="AC13">
        <v>11206306</v>
      </c>
      <c r="AD13">
        <v>78032</v>
      </c>
      <c r="AE13">
        <v>5403240</v>
      </c>
      <c r="AF13">
        <v>120157</v>
      </c>
      <c r="AG13">
        <v>7451602</v>
      </c>
      <c r="AH13">
        <v>48659</v>
      </c>
      <c r="AI13">
        <v>2071405</v>
      </c>
      <c r="AJ13">
        <v>14707</v>
      </c>
      <c r="AK13">
        <v>12365962</v>
      </c>
      <c r="AL13">
        <v>204386</v>
      </c>
      <c r="AM13">
        <v>264006</v>
      </c>
      <c r="AN13">
        <v>12827</v>
      </c>
      <c r="AO13">
        <v>2317667</v>
      </c>
      <c r="AP13">
        <v>23700</v>
      </c>
      <c r="AQ13">
        <v>7828421</v>
      </c>
      <c r="AR13">
        <v>55622</v>
      </c>
      <c r="AS13">
        <v>463073</v>
      </c>
      <c r="AT13">
        <v>24738</v>
      </c>
      <c r="AU13">
        <v>1200490</v>
      </c>
      <c r="AV13">
        <v>9322</v>
      </c>
      <c r="AW13">
        <v>2629105</v>
      </c>
      <c r="AX13">
        <v>71927</v>
      </c>
      <c r="AY13">
        <v>1335666</v>
      </c>
      <c r="AZ13">
        <v>52175</v>
      </c>
      <c r="BA13">
        <v>626061</v>
      </c>
      <c r="BB13">
        <v>69312</v>
      </c>
      <c r="BC13">
        <v>86530</v>
      </c>
      <c r="BD13">
        <v>29381</v>
      </c>
      <c r="BE13">
        <v>610329</v>
      </c>
      <c r="BF13">
        <v>123935</v>
      </c>
      <c r="BG13">
        <v>507441</v>
      </c>
      <c r="BH13">
        <v>4883</v>
      </c>
      <c r="BI13">
        <v>969128</v>
      </c>
      <c r="BJ13">
        <v>23209</v>
      </c>
      <c r="BK13">
        <v>222060</v>
      </c>
      <c r="BL13">
        <v>221621</v>
      </c>
      <c r="BM13">
        <v>264770</v>
      </c>
      <c r="BN13">
        <v>4834</v>
      </c>
      <c r="BO13">
        <v>10691982</v>
      </c>
      <c r="BP13">
        <v>172977</v>
      </c>
      <c r="BQ13">
        <v>4508593</v>
      </c>
      <c r="BR13">
        <v>151114</v>
      </c>
      <c r="BS13">
        <v>104177</v>
      </c>
      <c r="BT13">
        <v>19437</v>
      </c>
      <c r="BU13" t="s">
        <v>73</v>
      </c>
      <c r="BV13">
        <v>13782</v>
      </c>
      <c r="BW13">
        <v>87446</v>
      </c>
    </row>
    <row r="14" spans="1:75" x14ac:dyDescent="0.4">
      <c r="A14" s="1" t="s">
        <v>16</v>
      </c>
      <c r="B14" s="1" t="s">
        <v>17</v>
      </c>
      <c r="C14">
        <v>32616</v>
      </c>
      <c r="D14">
        <v>2292</v>
      </c>
      <c r="E14">
        <v>15661</v>
      </c>
      <c r="F14">
        <v>554</v>
      </c>
      <c r="G14">
        <v>240984</v>
      </c>
      <c r="H14">
        <v>482</v>
      </c>
      <c r="I14">
        <v>9932753</v>
      </c>
      <c r="J14">
        <v>4583</v>
      </c>
      <c r="K14">
        <v>370918</v>
      </c>
      <c r="L14">
        <v>1384</v>
      </c>
      <c r="M14">
        <v>714121</v>
      </c>
      <c r="N14">
        <v>12449</v>
      </c>
      <c r="O14">
        <v>63927</v>
      </c>
      <c r="P14">
        <v>930</v>
      </c>
      <c r="Q14">
        <v>89103904</v>
      </c>
      <c r="R14">
        <v>66383</v>
      </c>
      <c r="S14">
        <v>19069</v>
      </c>
      <c r="T14">
        <v>1858</v>
      </c>
      <c r="U14">
        <v>9105</v>
      </c>
      <c r="V14">
        <v>2853</v>
      </c>
      <c r="W14">
        <v>783</v>
      </c>
      <c r="X14">
        <v>645</v>
      </c>
      <c r="Y14">
        <v>14303446</v>
      </c>
      <c r="Z14">
        <v>7772</v>
      </c>
      <c r="AA14">
        <v>258182</v>
      </c>
      <c r="AB14">
        <v>4688</v>
      </c>
      <c r="AC14">
        <v>1088192</v>
      </c>
      <c r="AD14">
        <v>10050</v>
      </c>
      <c r="AE14">
        <v>456049</v>
      </c>
      <c r="AF14">
        <v>10806</v>
      </c>
      <c r="AG14">
        <v>568792</v>
      </c>
      <c r="AH14">
        <v>3995</v>
      </c>
      <c r="AI14">
        <v>144586</v>
      </c>
      <c r="AJ14">
        <v>1124</v>
      </c>
      <c r="AK14">
        <v>891765</v>
      </c>
      <c r="AL14">
        <v>14249</v>
      </c>
      <c r="AM14">
        <v>15706</v>
      </c>
      <c r="AN14">
        <v>1377</v>
      </c>
      <c r="AO14">
        <v>194248</v>
      </c>
      <c r="AP14">
        <v>1936</v>
      </c>
      <c r="AQ14">
        <v>576844</v>
      </c>
      <c r="AR14">
        <v>4030</v>
      </c>
      <c r="AS14">
        <v>40719</v>
      </c>
      <c r="AT14">
        <v>2201</v>
      </c>
      <c r="AU14">
        <v>105846</v>
      </c>
      <c r="AV14">
        <v>690</v>
      </c>
      <c r="AW14">
        <v>211178</v>
      </c>
      <c r="AX14">
        <v>5508</v>
      </c>
      <c r="AY14">
        <v>150079</v>
      </c>
      <c r="AZ14">
        <v>5016</v>
      </c>
      <c r="BA14">
        <v>60820</v>
      </c>
      <c r="BB14">
        <v>5751</v>
      </c>
      <c r="BC14">
        <v>8152</v>
      </c>
      <c r="BD14">
        <v>2574</v>
      </c>
      <c r="BE14">
        <v>59599</v>
      </c>
      <c r="BF14">
        <v>10473</v>
      </c>
      <c r="BG14">
        <v>41770</v>
      </c>
      <c r="BH14">
        <v>532</v>
      </c>
      <c r="BI14">
        <v>70334</v>
      </c>
      <c r="BJ14">
        <v>2025</v>
      </c>
      <c r="BK14">
        <v>19663</v>
      </c>
      <c r="BL14">
        <v>13417</v>
      </c>
      <c r="BM14">
        <v>25832</v>
      </c>
      <c r="BN14">
        <v>473</v>
      </c>
      <c r="BO14">
        <v>887941</v>
      </c>
      <c r="BP14">
        <v>14885</v>
      </c>
      <c r="BQ14">
        <v>326794</v>
      </c>
      <c r="BR14">
        <v>9696</v>
      </c>
      <c r="BS14">
        <v>6419</v>
      </c>
      <c r="BT14">
        <v>1305</v>
      </c>
      <c r="BU14" t="s">
        <v>73</v>
      </c>
      <c r="BV14">
        <v>2381</v>
      </c>
      <c r="BW14">
        <v>8112</v>
      </c>
    </row>
    <row r="15" spans="1:75" x14ac:dyDescent="0.4">
      <c r="A15" s="1" t="s">
        <v>18</v>
      </c>
      <c r="B15" s="1" t="s">
        <v>19</v>
      </c>
      <c r="C15">
        <v>30853</v>
      </c>
      <c r="D15">
        <v>2294</v>
      </c>
      <c r="E15">
        <v>15051</v>
      </c>
      <c r="F15">
        <v>564</v>
      </c>
      <c r="G15">
        <v>234646</v>
      </c>
      <c r="H15">
        <v>519</v>
      </c>
      <c r="I15">
        <v>10128203</v>
      </c>
      <c r="J15">
        <v>4621</v>
      </c>
      <c r="K15">
        <v>375691</v>
      </c>
      <c r="L15">
        <v>1471</v>
      </c>
      <c r="M15">
        <v>748622</v>
      </c>
      <c r="N15">
        <v>13508</v>
      </c>
      <c r="O15">
        <v>53707</v>
      </c>
      <c r="P15">
        <v>954</v>
      </c>
      <c r="Q15">
        <v>95933302</v>
      </c>
      <c r="R15">
        <v>74662</v>
      </c>
      <c r="S15">
        <v>20022</v>
      </c>
      <c r="T15">
        <v>2046</v>
      </c>
      <c r="U15">
        <v>9404</v>
      </c>
      <c r="V15">
        <v>2952</v>
      </c>
      <c r="W15">
        <v>764</v>
      </c>
      <c r="X15">
        <v>614</v>
      </c>
      <c r="Y15">
        <v>13791473</v>
      </c>
      <c r="Z15">
        <v>7978</v>
      </c>
      <c r="AA15">
        <v>269738</v>
      </c>
      <c r="AB15">
        <v>4759</v>
      </c>
      <c r="AC15">
        <v>1019506</v>
      </c>
      <c r="AD15">
        <v>7942</v>
      </c>
      <c r="AE15">
        <v>511626</v>
      </c>
      <c r="AF15">
        <v>12320</v>
      </c>
      <c r="AG15">
        <v>620280</v>
      </c>
      <c r="AH15">
        <v>4042</v>
      </c>
      <c r="AI15">
        <v>195174</v>
      </c>
      <c r="AJ15">
        <v>1364</v>
      </c>
      <c r="AK15">
        <v>928650</v>
      </c>
      <c r="AL15">
        <v>15332</v>
      </c>
      <c r="AM15">
        <v>9189</v>
      </c>
      <c r="AN15">
        <v>1359</v>
      </c>
      <c r="AO15">
        <v>187862</v>
      </c>
      <c r="AP15">
        <v>1835</v>
      </c>
      <c r="AQ15">
        <v>629531</v>
      </c>
      <c r="AR15">
        <v>4400</v>
      </c>
      <c r="AS15">
        <v>40841</v>
      </c>
      <c r="AT15">
        <v>2242</v>
      </c>
      <c r="AU15">
        <v>95933</v>
      </c>
      <c r="AV15">
        <v>673</v>
      </c>
      <c r="AW15">
        <v>216928</v>
      </c>
      <c r="AX15">
        <v>5629</v>
      </c>
      <c r="AY15">
        <v>139138</v>
      </c>
      <c r="AZ15">
        <v>4749</v>
      </c>
      <c r="BA15">
        <v>59216</v>
      </c>
      <c r="BB15">
        <v>5592</v>
      </c>
      <c r="BC15">
        <v>7634</v>
      </c>
      <c r="BD15">
        <v>2157</v>
      </c>
      <c r="BE15">
        <v>50584</v>
      </c>
      <c r="BF15">
        <v>9334</v>
      </c>
      <c r="BG15">
        <v>46112</v>
      </c>
      <c r="BH15">
        <v>571</v>
      </c>
      <c r="BI15">
        <v>73165</v>
      </c>
      <c r="BJ15">
        <v>1595</v>
      </c>
      <c r="BK15">
        <v>23749</v>
      </c>
      <c r="BL15">
        <v>13056</v>
      </c>
      <c r="BM15">
        <v>28466</v>
      </c>
      <c r="BN15">
        <v>452</v>
      </c>
      <c r="BO15">
        <v>849750</v>
      </c>
      <c r="BP15">
        <v>13464</v>
      </c>
      <c r="BQ15">
        <v>295348</v>
      </c>
      <c r="BR15">
        <v>9001</v>
      </c>
      <c r="BS15">
        <v>6734</v>
      </c>
      <c r="BT15">
        <v>1611</v>
      </c>
      <c r="BU15" t="s">
        <v>73</v>
      </c>
      <c r="BV15">
        <v>2443</v>
      </c>
      <c r="BW15">
        <v>8705</v>
      </c>
    </row>
    <row r="16" spans="1:75" x14ac:dyDescent="0.4">
      <c r="A16" s="1" t="s">
        <v>20</v>
      </c>
      <c r="B16" s="1" t="s">
        <v>21</v>
      </c>
      <c r="C16">
        <v>38470</v>
      </c>
      <c r="D16">
        <v>2260</v>
      </c>
      <c r="E16">
        <v>13221</v>
      </c>
      <c r="F16">
        <v>540</v>
      </c>
      <c r="G16">
        <v>219932</v>
      </c>
      <c r="H16">
        <v>481</v>
      </c>
      <c r="I16">
        <v>9553680</v>
      </c>
      <c r="J16">
        <v>4397</v>
      </c>
      <c r="K16">
        <v>341330</v>
      </c>
      <c r="L16">
        <v>1321</v>
      </c>
      <c r="M16">
        <v>756451</v>
      </c>
      <c r="N16">
        <v>13730</v>
      </c>
      <c r="O16">
        <v>56447</v>
      </c>
      <c r="P16">
        <v>1040</v>
      </c>
      <c r="Q16">
        <v>82009859</v>
      </c>
      <c r="R16">
        <v>64473</v>
      </c>
      <c r="S16">
        <v>21429</v>
      </c>
      <c r="T16">
        <v>1730</v>
      </c>
      <c r="U16">
        <v>9703</v>
      </c>
      <c r="V16">
        <v>2755</v>
      </c>
      <c r="W16">
        <v>693</v>
      </c>
      <c r="X16">
        <v>599</v>
      </c>
      <c r="Y16">
        <v>13360271</v>
      </c>
      <c r="Z16">
        <v>7612</v>
      </c>
      <c r="AA16">
        <v>263877</v>
      </c>
      <c r="AB16">
        <v>4680</v>
      </c>
      <c r="AC16">
        <v>932905</v>
      </c>
      <c r="AD16">
        <v>7125</v>
      </c>
      <c r="AE16">
        <v>404010</v>
      </c>
      <c r="AF16">
        <v>8938</v>
      </c>
      <c r="AG16">
        <v>582124</v>
      </c>
      <c r="AH16">
        <v>3965</v>
      </c>
      <c r="AI16">
        <v>148392</v>
      </c>
      <c r="AJ16">
        <v>1432</v>
      </c>
      <c r="AK16">
        <v>917001</v>
      </c>
      <c r="AL16">
        <v>15137</v>
      </c>
      <c r="AM16">
        <v>16322</v>
      </c>
      <c r="AN16">
        <v>1346</v>
      </c>
      <c r="AO16">
        <v>244919</v>
      </c>
      <c r="AP16">
        <v>2032</v>
      </c>
      <c r="AQ16">
        <v>564173</v>
      </c>
      <c r="AR16">
        <v>4092</v>
      </c>
      <c r="AS16">
        <v>37421</v>
      </c>
      <c r="AT16">
        <v>1976</v>
      </c>
      <c r="AU16">
        <v>102731</v>
      </c>
      <c r="AV16">
        <v>678</v>
      </c>
      <c r="AW16">
        <v>220164</v>
      </c>
      <c r="AX16">
        <v>5527</v>
      </c>
      <c r="AY16">
        <v>136546</v>
      </c>
      <c r="AZ16">
        <v>4745</v>
      </c>
      <c r="BA16">
        <v>56936</v>
      </c>
      <c r="BB16">
        <v>5251</v>
      </c>
      <c r="BC16">
        <v>7037</v>
      </c>
      <c r="BD16">
        <v>2267</v>
      </c>
      <c r="BE16">
        <v>45382</v>
      </c>
      <c r="BF16">
        <v>8340</v>
      </c>
      <c r="BG16">
        <v>38939</v>
      </c>
      <c r="BH16">
        <v>564</v>
      </c>
      <c r="BI16">
        <v>72530</v>
      </c>
      <c r="BJ16">
        <v>1540</v>
      </c>
      <c r="BK16">
        <v>20978</v>
      </c>
      <c r="BL16">
        <v>12838</v>
      </c>
      <c r="BM16">
        <v>29182</v>
      </c>
      <c r="BN16">
        <v>509</v>
      </c>
      <c r="BO16">
        <v>840433</v>
      </c>
      <c r="BP16">
        <v>13738</v>
      </c>
      <c r="BQ16">
        <v>308781</v>
      </c>
      <c r="BR16">
        <v>10344</v>
      </c>
      <c r="BS16">
        <v>7293</v>
      </c>
      <c r="BT16">
        <v>1849</v>
      </c>
      <c r="BU16" t="s">
        <v>73</v>
      </c>
      <c r="BV16">
        <v>1850</v>
      </c>
      <c r="BW16">
        <v>7935</v>
      </c>
    </row>
    <row r="17" spans="1:75" x14ac:dyDescent="0.4">
      <c r="A17" s="1" t="s">
        <v>22</v>
      </c>
      <c r="B17" s="1" t="s">
        <v>23</v>
      </c>
      <c r="C17">
        <v>36092</v>
      </c>
      <c r="D17">
        <v>2290</v>
      </c>
      <c r="E17">
        <v>14056</v>
      </c>
      <c r="F17">
        <v>533</v>
      </c>
      <c r="G17">
        <v>224981</v>
      </c>
      <c r="H17">
        <v>481</v>
      </c>
      <c r="I17">
        <v>10123996</v>
      </c>
      <c r="J17">
        <v>4703</v>
      </c>
      <c r="K17">
        <v>332358</v>
      </c>
      <c r="L17">
        <v>1411</v>
      </c>
      <c r="M17">
        <v>762714</v>
      </c>
      <c r="N17">
        <v>13530</v>
      </c>
      <c r="O17">
        <v>72189</v>
      </c>
      <c r="P17">
        <v>1293</v>
      </c>
      <c r="Q17">
        <v>82678033</v>
      </c>
      <c r="R17">
        <v>64841</v>
      </c>
      <c r="S17">
        <v>21742</v>
      </c>
      <c r="T17">
        <v>1709</v>
      </c>
      <c r="U17">
        <v>9938</v>
      </c>
      <c r="V17">
        <v>2794</v>
      </c>
      <c r="W17">
        <v>842</v>
      </c>
      <c r="X17">
        <v>702</v>
      </c>
      <c r="Y17">
        <v>14561632</v>
      </c>
      <c r="Z17">
        <v>8543</v>
      </c>
      <c r="AA17">
        <v>273106</v>
      </c>
      <c r="AB17">
        <v>4922</v>
      </c>
      <c r="AC17">
        <v>902653</v>
      </c>
      <c r="AD17">
        <v>6915</v>
      </c>
      <c r="AE17">
        <v>410057</v>
      </c>
      <c r="AF17">
        <v>10831</v>
      </c>
      <c r="AG17">
        <v>639468</v>
      </c>
      <c r="AH17">
        <v>4250</v>
      </c>
      <c r="AI17">
        <v>157889</v>
      </c>
      <c r="AJ17">
        <v>1377</v>
      </c>
      <c r="AK17">
        <v>990304</v>
      </c>
      <c r="AL17">
        <v>15724</v>
      </c>
      <c r="AM17">
        <v>21204</v>
      </c>
      <c r="AN17">
        <v>1226</v>
      </c>
      <c r="AO17">
        <v>211442</v>
      </c>
      <c r="AP17">
        <v>1874</v>
      </c>
      <c r="AQ17">
        <v>620131</v>
      </c>
      <c r="AR17">
        <v>4373</v>
      </c>
      <c r="AS17">
        <v>41442</v>
      </c>
      <c r="AT17">
        <v>2173</v>
      </c>
      <c r="AU17">
        <v>111118</v>
      </c>
      <c r="AV17">
        <v>717</v>
      </c>
      <c r="AW17">
        <v>221487</v>
      </c>
      <c r="AX17">
        <v>5993</v>
      </c>
      <c r="AY17">
        <v>139354</v>
      </c>
      <c r="AZ17">
        <v>5173</v>
      </c>
      <c r="BA17">
        <v>58482</v>
      </c>
      <c r="BB17">
        <v>5602</v>
      </c>
      <c r="BC17">
        <v>7324</v>
      </c>
      <c r="BD17">
        <v>2580</v>
      </c>
      <c r="BE17">
        <v>48940</v>
      </c>
      <c r="BF17">
        <v>9709</v>
      </c>
      <c r="BG17">
        <v>43570</v>
      </c>
      <c r="BH17">
        <v>599</v>
      </c>
      <c r="BI17">
        <v>72374</v>
      </c>
      <c r="BJ17">
        <v>1895</v>
      </c>
      <c r="BK17">
        <v>20318</v>
      </c>
      <c r="BL17">
        <v>15335</v>
      </c>
      <c r="BM17">
        <v>28044</v>
      </c>
      <c r="BN17">
        <v>471</v>
      </c>
      <c r="BO17">
        <v>893948</v>
      </c>
      <c r="BP17">
        <v>14326</v>
      </c>
      <c r="BQ17">
        <v>331885</v>
      </c>
      <c r="BR17">
        <v>10891</v>
      </c>
      <c r="BS17">
        <v>6682</v>
      </c>
      <c r="BT17">
        <v>1635</v>
      </c>
      <c r="BU17" t="s">
        <v>73</v>
      </c>
      <c r="BV17">
        <v>1904</v>
      </c>
      <c r="BW17">
        <v>8297</v>
      </c>
    </row>
    <row r="18" spans="1:75" x14ac:dyDescent="0.4">
      <c r="A18" s="1" t="s">
        <v>24</v>
      </c>
      <c r="B18" s="1" t="s">
        <v>25</v>
      </c>
      <c r="C18">
        <v>37604</v>
      </c>
      <c r="D18">
        <v>2478</v>
      </c>
      <c r="E18">
        <v>16085</v>
      </c>
      <c r="F18">
        <v>582</v>
      </c>
      <c r="G18">
        <v>213421</v>
      </c>
      <c r="H18">
        <v>440</v>
      </c>
      <c r="I18">
        <v>10156599</v>
      </c>
      <c r="J18">
        <v>4963</v>
      </c>
      <c r="K18">
        <v>375367</v>
      </c>
      <c r="L18">
        <v>1594</v>
      </c>
      <c r="M18">
        <v>834293</v>
      </c>
      <c r="N18">
        <v>14640</v>
      </c>
      <c r="O18">
        <v>67131</v>
      </c>
      <c r="P18">
        <v>1423</v>
      </c>
      <c r="Q18">
        <v>99894095</v>
      </c>
      <c r="R18">
        <v>77261</v>
      </c>
      <c r="S18">
        <v>22701</v>
      </c>
      <c r="T18">
        <v>1970</v>
      </c>
      <c r="U18">
        <v>9676</v>
      </c>
      <c r="V18">
        <v>3097</v>
      </c>
      <c r="W18">
        <v>805</v>
      </c>
      <c r="X18">
        <v>703</v>
      </c>
      <c r="Y18">
        <v>15586583</v>
      </c>
      <c r="Z18">
        <v>9313</v>
      </c>
      <c r="AA18">
        <v>287020</v>
      </c>
      <c r="AB18">
        <v>5147</v>
      </c>
      <c r="AC18">
        <v>1061051</v>
      </c>
      <c r="AD18">
        <v>7605</v>
      </c>
      <c r="AE18">
        <v>523651</v>
      </c>
      <c r="AF18">
        <v>15485</v>
      </c>
      <c r="AG18">
        <v>629817</v>
      </c>
      <c r="AH18">
        <v>4327</v>
      </c>
      <c r="AI18">
        <v>168535</v>
      </c>
      <c r="AJ18">
        <v>1275</v>
      </c>
      <c r="AK18">
        <v>1100248</v>
      </c>
      <c r="AL18">
        <v>17361</v>
      </c>
      <c r="AM18">
        <v>20431</v>
      </c>
      <c r="AN18">
        <v>1273</v>
      </c>
      <c r="AO18">
        <v>218144</v>
      </c>
      <c r="AP18">
        <v>2285</v>
      </c>
      <c r="AQ18">
        <v>630349</v>
      </c>
      <c r="AR18">
        <v>4788</v>
      </c>
      <c r="AS18">
        <v>45509</v>
      </c>
      <c r="AT18">
        <v>2520</v>
      </c>
      <c r="AU18">
        <v>107637</v>
      </c>
      <c r="AV18">
        <v>746</v>
      </c>
      <c r="AW18">
        <v>235474</v>
      </c>
      <c r="AX18">
        <v>6309</v>
      </c>
      <c r="AY18">
        <v>145199</v>
      </c>
      <c r="AZ18">
        <v>4845</v>
      </c>
      <c r="BA18">
        <v>58169</v>
      </c>
      <c r="BB18">
        <v>6028</v>
      </c>
      <c r="BC18">
        <v>8182</v>
      </c>
      <c r="BD18">
        <v>2355</v>
      </c>
      <c r="BE18">
        <v>53310</v>
      </c>
      <c r="BF18">
        <v>9981</v>
      </c>
      <c r="BG18">
        <v>47633</v>
      </c>
      <c r="BH18">
        <v>614</v>
      </c>
      <c r="BI18">
        <v>87926</v>
      </c>
      <c r="BJ18">
        <v>2113</v>
      </c>
      <c r="BK18">
        <v>22716</v>
      </c>
      <c r="BL18">
        <v>18104</v>
      </c>
      <c r="BM18">
        <v>30856</v>
      </c>
      <c r="BN18">
        <v>513</v>
      </c>
      <c r="BO18">
        <v>925221</v>
      </c>
      <c r="BP18">
        <v>14862</v>
      </c>
      <c r="BQ18">
        <v>391266</v>
      </c>
      <c r="BR18">
        <v>12501</v>
      </c>
      <c r="BS18">
        <v>8642</v>
      </c>
      <c r="BT18">
        <v>1844</v>
      </c>
      <c r="BU18" t="s">
        <v>73</v>
      </c>
      <c r="BV18">
        <v>1828</v>
      </c>
      <c r="BW18">
        <v>8692</v>
      </c>
    </row>
    <row r="19" spans="1:75" x14ac:dyDescent="0.4">
      <c r="A19" s="1" t="s">
        <v>26</v>
      </c>
      <c r="B19" s="1" t="s">
        <v>27</v>
      </c>
      <c r="C19">
        <v>33255</v>
      </c>
      <c r="D19">
        <v>1962</v>
      </c>
      <c r="E19">
        <v>12228</v>
      </c>
      <c r="F19">
        <v>491</v>
      </c>
      <c r="G19">
        <v>206674</v>
      </c>
      <c r="H19">
        <v>406</v>
      </c>
      <c r="I19">
        <v>8849984</v>
      </c>
      <c r="J19">
        <v>4168</v>
      </c>
      <c r="K19">
        <v>349869</v>
      </c>
      <c r="L19">
        <v>1413</v>
      </c>
      <c r="M19">
        <v>648741</v>
      </c>
      <c r="N19">
        <v>11949</v>
      </c>
      <c r="O19">
        <v>55925</v>
      </c>
      <c r="P19">
        <v>1244</v>
      </c>
      <c r="Q19">
        <v>92324886</v>
      </c>
      <c r="R19">
        <v>67223</v>
      </c>
      <c r="S19">
        <v>17890</v>
      </c>
      <c r="T19">
        <v>1424</v>
      </c>
      <c r="U19">
        <v>8172</v>
      </c>
      <c r="V19">
        <v>2180</v>
      </c>
      <c r="W19">
        <v>779</v>
      </c>
      <c r="X19">
        <v>594</v>
      </c>
      <c r="Y19">
        <v>11259410</v>
      </c>
      <c r="Z19">
        <v>8091</v>
      </c>
      <c r="AA19">
        <v>254247</v>
      </c>
      <c r="AB19">
        <v>4665</v>
      </c>
      <c r="AC19">
        <v>865204</v>
      </c>
      <c r="AD19">
        <v>6241</v>
      </c>
      <c r="AE19">
        <v>461502</v>
      </c>
      <c r="AF19">
        <v>13075</v>
      </c>
      <c r="AG19">
        <v>595395</v>
      </c>
      <c r="AH19">
        <v>3711</v>
      </c>
      <c r="AI19">
        <v>148455</v>
      </c>
      <c r="AJ19">
        <v>1299</v>
      </c>
      <c r="AK19">
        <v>928322</v>
      </c>
      <c r="AL19">
        <v>15065</v>
      </c>
      <c r="AM19">
        <v>16902</v>
      </c>
      <c r="AN19">
        <v>1162</v>
      </c>
      <c r="AO19">
        <v>200926</v>
      </c>
      <c r="AP19">
        <v>1907</v>
      </c>
      <c r="AQ19">
        <v>508047</v>
      </c>
      <c r="AR19">
        <v>4249</v>
      </c>
      <c r="AS19">
        <v>36736</v>
      </c>
      <c r="AT19">
        <v>2015</v>
      </c>
      <c r="AU19">
        <v>88179</v>
      </c>
      <c r="AV19">
        <v>652</v>
      </c>
      <c r="AW19">
        <v>197178</v>
      </c>
      <c r="AX19">
        <v>4789</v>
      </c>
      <c r="AY19">
        <v>117969</v>
      </c>
      <c r="AZ19">
        <v>4062</v>
      </c>
      <c r="BA19">
        <v>54815</v>
      </c>
      <c r="BB19">
        <v>4830</v>
      </c>
      <c r="BC19">
        <v>5840</v>
      </c>
      <c r="BD19">
        <v>2078</v>
      </c>
      <c r="BE19">
        <v>46566</v>
      </c>
      <c r="BF19">
        <v>9148</v>
      </c>
      <c r="BG19">
        <v>33752</v>
      </c>
      <c r="BH19">
        <v>499</v>
      </c>
      <c r="BI19">
        <v>72700</v>
      </c>
      <c r="BJ19">
        <v>1653</v>
      </c>
      <c r="BK19">
        <v>19394</v>
      </c>
      <c r="BL19">
        <v>16686</v>
      </c>
      <c r="BM19">
        <v>27767</v>
      </c>
      <c r="BN19">
        <v>482</v>
      </c>
      <c r="BO19">
        <v>729732</v>
      </c>
      <c r="BP19">
        <v>12286</v>
      </c>
      <c r="BQ19">
        <v>302749</v>
      </c>
      <c r="BR19">
        <v>10333</v>
      </c>
      <c r="BS19">
        <v>7130</v>
      </c>
      <c r="BT19">
        <v>1684</v>
      </c>
      <c r="BU19" t="s">
        <v>73</v>
      </c>
      <c r="BV19">
        <v>1411</v>
      </c>
      <c r="BW19">
        <v>6766</v>
      </c>
    </row>
    <row r="20" spans="1:75" x14ac:dyDescent="0.4">
      <c r="A20" s="1" t="s">
        <v>28</v>
      </c>
      <c r="B20" s="1" t="s">
        <v>29</v>
      </c>
      <c r="C20">
        <v>35778</v>
      </c>
      <c r="D20">
        <v>2300</v>
      </c>
      <c r="E20">
        <v>16578</v>
      </c>
      <c r="F20">
        <v>542</v>
      </c>
      <c r="G20">
        <v>228589</v>
      </c>
      <c r="H20">
        <v>441</v>
      </c>
      <c r="I20">
        <v>9740907</v>
      </c>
      <c r="J20">
        <v>4645</v>
      </c>
      <c r="K20">
        <v>412388</v>
      </c>
      <c r="L20">
        <v>1489</v>
      </c>
      <c r="M20">
        <v>764507</v>
      </c>
      <c r="N20">
        <v>13555</v>
      </c>
      <c r="O20">
        <v>78716</v>
      </c>
      <c r="P20">
        <v>1743</v>
      </c>
      <c r="Q20">
        <v>100074749</v>
      </c>
      <c r="R20">
        <v>69853</v>
      </c>
      <c r="S20">
        <v>18203</v>
      </c>
      <c r="T20">
        <v>1616</v>
      </c>
      <c r="U20">
        <v>8649</v>
      </c>
      <c r="V20">
        <v>2827</v>
      </c>
      <c r="W20">
        <v>771</v>
      </c>
      <c r="X20">
        <v>691</v>
      </c>
      <c r="Y20">
        <v>13714588</v>
      </c>
      <c r="Z20">
        <v>8786</v>
      </c>
      <c r="AA20">
        <v>283132</v>
      </c>
      <c r="AB20">
        <v>5079</v>
      </c>
      <c r="AC20">
        <v>1012330</v>
      </c>
      <c r="AD20">
        <v>7448</v>
      </c>
      <c r="AE20">
        <v>511425</v>
      </c>
      <c r="AF20">
        <v>14760</v>
      </c>
      <c r="AG20">
        <v>619264</v>
      </c>
      <c r="AH20">
        <v>4074</v>
      </c>
      <c r="AI20">
        <v>194616</v>
      </c>
      <c r="AJ20">
        <v>1242</v>
      </c>
      <c r="AK20">
        <v>1062702</v>
      </c>
      <c r="AL20">
        <v>16655</v>
      </c>
      <c r="AM20">
        <v>25980</v>
      </c>
      <c r="AN20">
        <v>1172</v>
      </c>
      <c r="AO20">
        <v>237873</v>
      </c>
      <c r="AP20">
        <v>2063</v>
      </c>
      <c r="AQ20">
        <v>645767</v>
      </c>
      <c r="AR20">
        <v>4670</v>
      </c>
      <c r="AS20">
        <v>41494</v>
      </c>
      <c r="AT20">
        <v>2140</v>
      </c>
      <c r="AU20">
        <v>113365</v>
      </c>
      <c r="AV20">
        <v>744</v>
      </c>
      <c r="AW20">
        <v>222611</v>
      </c>
      <c r="AX20">
        <v>5355</v>
      </c>
      <c r="AY20">
        <v>137441</v>
      </c>
      <c r="AZ20">
        <v>4629</v>
      </c>
      <c r="BA20">
        <v>60676</v>
      </c>
      <c r="BB20">
        <v>5679</v>
      </c>
      <c r="BC20">
        <v>6971</v>
      </c>
      <c r="BD20">
        <v>2292</v>
      </c>
      <c r="BE20">
        <v>54156</v>
      </c>
      <c r="BF20">
        <v>9681</v>
      </c>
      <c r="BG20">
        <v>46013</v>
      </c>
      <c r="BH20">
        <v>624</v>
      </c>
      <c r="BI20">
        <v>80566</v>
      </c>
      <c r="BJ20">
        <v>1763</v>
      </c>
      <c r="BK20">
        <v>17945</v>
      </c>
      <c r="BL20">
        <v>15354</v>
      </c>
      <c r="BM20">
        <v>26762</v>
      </c>
      <c r="BN20">
        <v>449</v>
      </c>
      <c r="BO20">
        <v>840292</v>
      </c>
      <c r="BP20">
        <v>13870</v>
      </c>
      <c r="BQ20">
        <v>352186</v>
      </c>
      <c r="BR20">
        <v>11665</v>
      </c>
      <c r="BS20">
        <v>7768</v>
      </c>
      <c r="BT20">
        <v>1693</v>
      </c>
      <c r="BU20" t="s">
        <v>73</v>
      </c>
      <c r="BV20">
        <v>1346</v>
      </c>
      <c r="BW20">
        <v>7398</v>
      </c>
    </row>
    <row r="21" spans="1:75" x14ac:dyDescent="0.4">
      <c r="A21" s="1" t="s">
        <v>30</v>
      </c>
      <c r="B21" s="1" t="s">
        <v>31</v>
      </c>
      <c r="C21">
        <v>39377</v>
      </c>
      <c r="D21">
        <v>2529</v>
      </c>
      <c r="E21">
        <v>18648</v>
      </c>
      <c r="F21">
        <v>562</v>
      </c>
      <c r="G21">
        <v>217431</v>
      </c>
      <c r="H21">
        <v>461</v>
      </c>
      <c r="I21">
        <v>9917483</v>
      </c>
      <c r="J21">
        <v>4783</v>
      </c>
      <c r="K21">
        <v>419985</v>
      </c>
      <c r="L21">
        <v>1610</v>
      </c>
      <c r="M21">
        <v>773855</v>
      </c>
      <c r="N21">
        <v>14544</v>
      </c>
      <c r="O21">
        <v>71433</v>
      </c>
      <c r="P21">
        <v>1681</v>
      </c>
      <c r="Q21">
        <v>90642911</v>
      </c>
      <c r="R21">
        <v>72213</v>
      </c>
      <c r="S21">
        <v>19996</v>
      </c>
      <c r="T21">
        <v>1889</v>
      </c>
      <c r="U21">
        <v>9452</v>
      </c>
      <c r="V21">
        <v>2999</v>
      </c>
      <c r="W21">
        <v>803</v>
      </c>
      <c r="X21">
        <v>642</v>
      </c>
      <c r="Y21">
        <v>13973611</v>
      </c>
      <c r="Z21">
        <v>9135</v>
      </c>
      <c r="AA21">
        <v>309430</v>
      </c>
      <c r="AB21">
        <v>5130</v>
      </c>
      <c r="AC21">
        <v>1050898</v>
      </c>
      <c r="AD21">
        <v>7412</v>
      </c>
      <c r="AE21">
        <v>456489</v>
      </c>
      <c r="AF21">
        <v>13854</v>
      </c>
      <c r="AG21">
        <v>635389</v>
      </c>
      <c r="AH21">
        <v>4033</v>
      </c>
      <c r="AI21">
        <v>199524</v>
      </c>
      <c r="AJ21">
        <v>1153</v>
      </c>
      <c r="AK21">
        <v>1092036</v>
      </c>
      <c r="AL21">
        <v>18087</v>
      </c>
      <c r="AM21">
        <v>21244</v>
      </c>
      <c r="AN21">
        <v>1231</v>
      </c>
      <c r="AO21">
        <v>230279</v>
      </c>
      <c r="AP21">
        <v>2164</v>
      </c>
      <c r="AQ21">
        <v>687531</v>
      </c>
      <c r="AR21">
        <v>4495</v>
      </c>
      <c r="AS21">
        <v>41523</v>
      </c>
      <c r="AT21">
        <v>2082</v>
      </c>
      <c r="AU21">
        <v>124469</v>
      </c>
      <c r="AV21">
        <v>818</v>
      </c>
      <c r="AW21">
        <v>240598</v>
      </c>
      <c r="AX21">
        <v>5742</v>
      </c>
      <c r="AY21">
        <v>148349</v>
      </c>
      <c r="AZ21">
        <v>4887</v>
      </c>
      <c r="BA21">
        <v>60959</v>
      </c>
      <c r="BB21">
        <v>5667</v>
      </c>
      <c r="BC21">
        <v>7932</v>
      </c>
      <c r="BD21">
        <v>2567</v>
      </c>
      <c r="BE21">
        <v>56115</v>
      </c>
      <c r="BF21">
        <v>9416</v>
      </c>
      <c r="BG21">
        <v>50018</v>
      </c>
      <c r="BH21">
        <v>469</v>
      </c>
      <c r="BI21">
        <v>85912</v>
      </c>
      <c r="BJ21">
        <v>2095</v>
      </c>
      <c r="BK21">
        <v>20302</v>
      </c>
      <c r="BL21">
        <v>15500</v>
      </c>
      <c r="BM21">
        <v>26365</v>
      </c>
      <c r="BN21">
        <v>474</v>
      </c>
      <c r="BO21">
        <v>886460</v>
      </c>
      <c r="BP21">
        <v>14369</v>
      </c>
      <c r="BQ21">
        <v>415010</v>
      </c>
      <c r="BR21">
        <v>12683</v>
      </c>
      <c r="BS21">
        <v>8359</v>
      </c>
      <c r="BT21">
        <v>1782</v>
      </c>
      <c r="BU21" t="s">
        <v>73</v>
      </c>
      <c r="BV21">
        <v>1348</v>
      </c>
      <c r="BW21">
        <v>7794</v>
      </c>
    </row>
    <row r="22" spans="1:75" x14ac:dyDescent="0.4">
      <c r="A22" s="1" t="s">
        <v>32</v>
      </c>
      <c r="B22" s="1" t="s">
        <v>33</v>
      </c>
      <c r="C22">
        <v>36952</v>
      </c>
      <c r="D22">
        <v>2682</v>
      </c>
      <c r="E22">
        <v>15314</v>
      </c>
      <c r="F22">
        <v>526</v>
      </c>
      <c r="G22">
        <v>210991</v>
      </c>
      <c r="H22">
        <v>465</v>
      </c>
      <c r="I22">
        <v>9864442</v>
      </c>
      <c r="J22">
        <v>4647</v>
      </c>
      <c r="K22">
        <v>386501</v>
      </c>
      <c r="L22">
        <v>1529</v>
      </c>
      <c r="M22">
        <v>744888</v>
      </c>
      <c r="N22">
        <v>13943</v>
      </c>
      <c r="O22">
        <v>71948</v>
      </c>
      <c r="P22">
        <v>1700</v>
      </c>
      <c r="Q22">
        <v>88365306</v>
      </c>
      <c r="R22">
        <v>68271</v>
      </c>
      <c r="S22">
        <v>19726</v>
      </c>
      <c r="T22">
        <v>1761</v>
      </c>
      <c r="U22">
        <v>9079</v>
      </c>
      <c r="V22">
        <v>2855</v>
      </c>
      <c r="W22">
        <v>734</v>
      </c>
      <c r="X22">
        <v>598</v>
      </c>
      <c r="Y22">
        <v>13803970</v>
      </c>
      <c r="Z22">
        <v>8807</v>
      </c>
      <c r="AA22">
        <v>291946</v>
      </c>
      <c r="AB22">
        <v>4887</v>
      </c>
      <c r="AC22">
        <v>858464</v>
      </c>
      <c r="AD22">
        <v>6431</v>
      </c>
      <c r="AE22">
        <v>432477</v>
      </c>
      <c r="AF22">
        <v>10917</v>
      </c>
      <c r="AG22">
        <v>658049</v>
      </c>
      <c r="AH22">
        <v>4275</v>
      </c>
      <c r="AI22">
        <v>165652</v>
      </c>
      <c r="AJ22">
        <v>1167</v>
      </c>
      <c r="AK22">
        <v>1037001</v>
      </c>
      <c r="AL22">
        <v>16755</v>
      </c>
      <c r="AM22">
        <v>21795</v>
      </c>
      <c r="AN22">
        <v>1164</v>
      </c>
      <c r="AO22">
        <v>205937</v>
      </c>
      <c r="AP22">
        <v>2182</v>
      </c>
      <c r="AQ22">
        <v>686889</v>
      </c>
      <c r="AR22">
        <v>4614</v>
      </c>
      <c r="AS22">
        <v>39079</v>
      </c>
      <c r="AT22">
        <v>2000</v>
      </c>
      <c r="AU22">
        <v>117912</v>
      </c>
      <c r="AV22">
        <v>747</v>
      </c>
      <c r="AW22">
        <v>229080</v>
      </c>
      <c r="AX22">
        <v>5633</v>
      </c>
      <c r="AY22">
        <v>133705</v>
      </c>
      <c r="AZ22">
        <v>4527</v>
      </c>
      <c r="BA22">
        <v>62649</v>
      </c>
      <c r="BB22">
        <v>6292</v>
      </c>
      <c r="BC22">
        <v>7739</v>
      </c>
      <c r="BD22">
        <v>2376</v>
      </c>
      <c r="BE22">
        <v>51385</v>
      </c>
      <c r="BF22">
        <v>9195</v>
      </c>
      <c r="BG22">
        <v>46553</v>
      </c>
      <c r="BH22">
        <v>432</v>
      </c>
      <c r="BI22">
        <v>76274</v>
      </c>
      <c r="BJ22">
        <v>1809</v>
      </c>
      <c r="BK22">
        <v>19629</v>
      </c>
      <c r="BL22">
        <v>16621</v>
      </c>
      <c r="BM22">
        <v>29656</v>
      </c>
      <c r="BN22">
        <v>533</v>
      </c>
      <c r="BO22">
        <v>833567</v>
      </c>
      <c r="BP22">
        <v>13092</v>
      </c>
      <c r="BQ22">
        <v>378477</v>
      </c>
      <c r="BR22">
        <v>11726</v>
      </c>
      <c r="BS22">
        <v>6861</v>
      </c>
      <c r="BT22">
        <v>1484</v>
      </c>
      <c r="BU22" t="s">
        <v>73</v>
      </c>
      <c r="BV22">
        <v>1474</v>
      </c>
      <c r="BW22">
        <v>7560</v>
      </c>
    </row>
    <row r="23" spans="1:75" x14ac:dyDescent="0.4">
      <c r="A23" s="1" t="s">
        <v>34</v>
      </c>
      <c r="B23" s="1" t="s">
        <v>35</v>
      </c>
      <c r="C23">
        <v>37765</v>
      </c>
      <c r="D23">
        <v>2528</v>
      </c>
      <c r="E23">
        <v>15079</v>
      </c>
      <c r="F23">
        <v>536</v>
      </c>
      <c r="G23">
        <v>208190</v>
      </c>
      <c r="H23">
        <v>445</v>
      </c>
      <c r="I23">
        <v>9936255</v>
      </c>
      <c r="J23">
        <v>4432</v>
      </c>
      <c r="K23">
        <v>358734</v>
      </c>
      <c r="L23">
        <v>1518</v>
      </c>
      <c r="M23">
        <v>734053</v>
      </c>
      <c r="N23">
        <v>13750</v>
      </c>
      <c r="O23">
        <v>86196</v>
      </c>
      <c r="P23">
        <v>1896</v>
      </c>
      <c r="Q23">
        <v>94341682</v>
      </c>
      <c r="R23">
        <v>71916</v>
      </c>
      <c r="S23">
        <v>20025</v>
      </c>
      <c r="T23">
        <v>1929</v>
      </c>
      <c r="U23">
        <v>8620</v>
      </c>
      <c r="V23">
        <v>2965</v>
      </c>
      <c r="W23">
        <v>852</v>
      </c>
      <c r="X23">
        <v>673</v>
      </c>
      <c r="Y23">
        <v>11861605</v>
      </c>
      <c r="Z23">
        <v>8160</v>
      </c>
      <c r="AA23">
        <v>274981</v>
      </c>
      <c r="AB23">
        <v>4723</v>
      </c>
      <c r="AC23">
        <v>865649</v>
      </c>
      <c r="AD23">
        <v>6445</v>
      </c>
      <c r="AE23">
        <v>505489</v>
      </c>
      <c r="AF23">
        <v>13274</v>
      </c>
      <c r="AG23">
        <v>624088</v>
      </c>
      <c r="AH23">
        <v>4019</v>
      </c>
      <c r="AI23">
        <v>167821</v>
      </c>
      <c r="AJ23">
        <v>1145</v>
      </c>
      <c r="AK23">
        <v>1045480</v>
      </c>
      <c r="AL23">
        <v>16885</v>
      </c>
      <c r="AM23">
        <v>19597</v>
      </c>
      <c r="AN23">
        <v>1142</v>
      </c>
      <c r="AO23">
        <v>147481</v>
      </c>
      <c r="AP23">
        <v>1652</v>
      </c>
      <c r="AQ23">
        <v>663479</v>
      </c>
      <c r="AR23">
        <v>4457</v>
      </c>
      <c r="AS23">
        <v>38408</v>
      </c>
      <c r="AT23">
        <v>1945</v>
      </c>
      <c r="AU23">
        <v>104841</v>
      </c>
      <c r="AV23">
        <v>666</v>
      </c>
      <c r="AW23">
        <v>213245</v>
      </c>
      <c r="AX23">
        <v>5297</v>
      </c>
      <c r="AY23">
        <v>128073</v>
      </c>
      <c r="AZ23">
        <v>4299</v>
      </c>
      <c r="BA23">
        <v>60236</v>
      </c>
      <c r="BB23">
        <v>5490</v>
      </c>
      <c r="BC23">
        <v>6841</v>
      </c>
      <c r="BD23">
        <v>2175</v>
      </c>
      <c r="BE23">
        <v>44717</v>
      </c>
      <c r="BF23">
        <v>7597</v>
      </c>
      <c r="BG23">
        <v>45207</v>
      </c>
      <c r="BH23">
        <v>408</v>
      </c>
      <c r="BI23">
        <v>80688</v>
      </c>
      <c r="BJ23">
        <v>1791</v>
      </c>
      <c r="BK23">
        <v>16799</v>
      </c>
      <c r="BL23">
        <v>13735</v>
      </c>
      <c r="BM23">
        <v>29989</v>
      </c>
      <c r="BN23">
        <v>526</v>
      </c>
      <c r="BO23">
        <v>827261</v>
      </c>
      <c r="BP23">
        <v>12866</v>
      </c>
      <c r="BQ23">
        <v>365828</v>
      </c>
      <c r="BR23">
        <v>11185</v>
      </c>
      <c r="BS23">
        <v>7782</v>
      </c>
      <c r="BT23">
        <v>1550</v>
      </c>
      <c r="BU23" t="s">
        <v>73</v>
      </c>
      <c r="BV23">
        <v>1386</v>
      </c>
      <c r="BW23">
        <v>7545</v>
      </c>
    </row>
    <row r="24" spans="1:75" x14ac:dyDescent="0.4">
      <c r="A24" s="1" t="s">
        <v>36</v>
      </c>
      <c r="B24" s="1" t="s">
        <v>37</v>
      </c>
      <c r="C24">
        <v>34914</v>
      </c>
      <c r="D24">
        <v>2572</v>
      </c>
      <c r="E24">
        <v>15114</v>
      </c>
      <c r="F24">
        <v>527</v>
      </c>
      <c r="G24">
        <v>211978</v>
      </c>
      <c r="H24">
        <v>511</v>
      </c>
      <c r="I24">
        <v>10151201</v>
      </c>
      <c r="J24">
        <v>4527</v>
      </c>
      <c r="K24">
        <v>349889</v>
      </c>
      <c r="L24">
        <v>1496</v>
      </c>
      <c r="M24">
        <v>709736</v>
      </c>
      <c r="N24">
        <v>13117</v>
      </c>
      <c r="O24">
        <v>63800</v>
      </c>
      <c r="P24">
        <v>1611</v>
      </c>
      <c r="Q24">
        <v>83483545</v>
      </c>
      <c r="R24">
        <v>64265</v>
      </c>
      <c r="S24">
        <v>21298</v>
      </c>
      <c r="T24">
        <v>1774</v>
      </c>
      <c r="U24">
        <v>9056</v>
      </c>
      <c r="V24">
        <v>2779</v>
      </c>
      <c r="W24">
        <v>728</v>
      </c>
      <c r="X24">
        <v>642</v>
      </c>
      <c r="Y24">
        <v>12121537</v>
      </c>
      <c r="Z24">
        <v>7828</v>
      </c>
      <c r="AA24">
        <v>282981</v>
      </c>
      <c r="AB24">
        <v>4814</v>
      </c>
      <c r="AC24">
        <v>759856</v>
      </c>
      <c r="AD24">
        <v>5455</v>
      </c>
      <c r="AE24">
        <v>425841</v>
      </c>
      <c r="AF24">
        <v>9125</v>
      </c>
      <c r="AG24">
        <v>528620</v>
      </c>
      <c r="AH24">
        <v>3701</v>
      </c>
      <c r="AI24">
        <v>116622</v>
      </c>
      <c r="AJ24">
        <v>966</v>
      </c>
      <c r="AK24">
        <v>962876</v>
      </c>
      <c r="AL24">
        <v>15682</v>
      </c>
      <c r="AM24">
        <v>21431</v>
      </c>
      <c r="AN24">
        <v>1167</v>
      </c>
      <c r="AO24">
        <v>165488</v>
      </c>
      <c r="AP24">
        <v>1742</v>
      </c>
      <c r="AQ24">
        <v>636883</v>
      </c>
      <c r="AR24">
        <v>3997</v>
      </c>
      <c r="AS24">
        <v>35602</v>
      </c>
      <c r="AT24">
        <v>1873</v>
      </c>
      <c r="AU24">
        <v>96589</v>
      </c>
      <c r="AV24">
        <v>707</v>
      </c>
      <c r="AW24">
        <v>201142</v>
      </c>
      <c r="AX24">
        <v>5020</v>
      </c>
      <c r="AY24">
        <v>111742</v>
      </c>
      <c r="AZ24">
        <v>3886</v>
      </c>
      <c r="BA24">
        <v>49193</v>
      </c>
      <c r="BB24">
        <v>4988</v>
      </c>
      <c r="BC24">
        <v>6783</v>
      </c>
      <c r="BD24">
        <v>2022</v>
      </c>
      <c r="BE24">
        <v>43172</v>
      </c>
      <c r="BF24">
        <v>6987</v>
      </c>
      <c r="BG24">
        <v>49904</v>
      </c>
      <c r="BH24">
        <v>391</v>
      </c>
      <c r="BI24">
        <v>85969</v>
      </c>
      <c r="BJ24">
        <v>1581</v>
      </c>
      <c r="BK24">
        <v>17693</v>
      </c>
      <c r="BL24">
        <v>16052</v>
      </c>
      <c r="BM24">
        <v>24166</v>
      </c>
      <c r="BN24">
        <v>457</v>
      </c>
      <c r="BO24">
        <v>855061</v>
      </c>
      <c r="BP24">
        <v>14200</v>
      </c>
      <c r="BQ24">
        <v>368018</v>
      </c>
      <c r="BR24">
        <v>12378</v>
      </c>
      <c r="BS24">
        <v>8526</v>
      </c>
      <c r="BT24">
        <v>1797</v>
      </c>
      <c r="BU24" t="s">
        <v>73</v>
      </c>
      <c r="BV24">
        <v>1128</v>
      </c>
      <c r="BW24">
        <v>6792</v>
      </c>
    </row>
    <row r="25" spans="1:75" x14ac:dyDescent="0.4">
      <c r="A25" s="1" t="s">
        <v>38</v>
      </c>
      <c r="B25" s="1" t="s">
        <v>39</v>
      </c>
      <c r="C25">
        <v>33829</v>
      </c>
      <c r="D25">
        <v>2643</v>
      </c>
      <c r="E25">
        <v>16986</v>
      </c>
      <c r="F25">
        <v>533</v>
      </c>
      <c r="G25">
        <v>210511</v>
      </c>
      <c r="H25">
        <v>489</v>
      </c>
      <c r="I25">
        <v>10425306</v>
      </c>
      <c r="J25">
        <v>4609</v>
      </c>
      <c r="K25">
        <v>366537</v>
      </c>
      <c r="L25">
        <v>1512</v>
      </c>
      <c r="M25">
        <v>746798</v>
      </c>
      <c r="N25">
        <v>14182</v>
      </c>
      <c r="O25">
        <v>65760</v>
      </c>
      <c r="P25">
        <v>1682</v>
      </c>
      <c r="Q25">
        <v>78378362</v>
      </c>
      <c r="R25">
        <v>65986</v>
      </c>
      <c r="S25">
        <v>21398</v>
      </c>
      <c r="T25">
        <v>1731</v>
      </c>
      <c r="U25">
        <v>9438</v>
      </c>
      <c r="V25">
        <v>2072</v>
      </c>
      <c r="W25">
        <v>818</v>
      </c>
      <c r="X25">
        <v>690</v>
      </c>
      <c r="Y25">
        <v>11482358</v>
      </c>
      <c r="Z25">
        <v>7980</v>
      </c>
      <c r="AA25">
        <v>278427</v>
      </c>
      <c r="AB25">
        <v>4533</v>
      </c>
      <c r="AC25">
        <v>770981</v>
      </c>
      <c r="AD25">
        <v>5453</v>
      </c>
      <c r="AE25">
        <v>446064</v>
      </c>
      <c r="AF25">
        <v>10385</v>
      </c>
      <c r="AG25">
        <v>556791</v>
      </c>
      <c r="AH25">
        <v>3949</v>
      </c>
      <c r="AI25">
        <v>140818</v>
      </c>
      <c r="AJ25">
        <v>1036</v>
      </c>
      <c r="AK25">
        <v>1016102</v>
      </c>
      <c r="AL25">
        <v>16204</v>
      </c>
      <c r="AM25">
        <v>22741</v>
      </c>
      <c r="AN25">
        <v>1193</v>
      </c>
      <c r="AO25">
        <v>153986</v>
      </c>
      <c r="AP25">
        <v>1624</v>
      </c>
      <c r="AQ25">
        <v>645969</v>
      </c>
      <c r="AR25">
        <v>4333</v>
      </c>
      <c r="AS25">
        <v>34512</v>
      </c>
      <c r="AT25">
        <v>1781</v>
      </c>
      <c r="AU25">
        <v>97455</v>
      </c>
      <c r="AV25">
        <v>679</v>
      </c>
      <c r="AW25">
        <v>198325</v>
      </c>
      <c r="AX25">
        <v>5060</v>
      </c>
      <c r="AY25">
        <v>104829</v>
      </c>
      <c r="AZ25">
        <v>3752</v>
      </c>
      <c r="BA25">
        <v>50076</v>
      </c>
      <c r="BB25">
        <v>5195</v>
      </c>
      <c r="BC25">
        <v>6050</v>
      </c>
      <c r="BD25">
        <v>2068</v>
      </c>
      <c r="BE25">
        <v>43378</v>
      </c>
      <c r="BF25">
        <v>7823</v>
      </c>
      <c r="BG25">
        <v>36701</v>
      </c>
      <c r="BH25">
        <v>396</v>
      </c>
      <c r="BI25">
        <v>67747</v>
      </c>
      <c r="BJ25">
        <v>2815</v>
      </c>
      <c r="BK25">
        <v>18285</v>
      </c>
      <c r="BL25">
        <v>17390</v>
      </c>
      <c r="BM25">
        <v>31814</v>
      </c>
      <c r="BN25">
        <v>555</v>
      </c>
      <c r="BO25">
        <v>852625</v>
      </c>
      <c r="BP25">
        <v>14414</v>
      </c>
      <c r="BQ25">
        <v>362454</v>
      </c>
      <c r="BR25">
        <v>11413</v>
      </c>
      <c r="BS25">
        <v>7781</v>
      </c>
      <c r="BT25">
        <v>1380</v>
      </c>
      <c r="BU25" t="s">
        <v>73</v>
      </c>
      <c r="BV25">
        <v>1330</v>
      </c>
      <c r="BW25">
        <v>7619</v>
      </c>
    </row>
    <row r="26" spans="1:75" x14ac:dyDescent="0.4">
      <c r="A26" s="1" t="s">
        <v>40</v>
      </c>
      <c r="B26" s="1" t="s">
        <v>41</v>
      </c>
      <c r="C26">
        <v>37316</v>
      </c>
      <c r="D26">
        <v>2914</v>
      </c>
      <c r="E26">
        <v>16943</v>
      </c>
      <c r="F26">
        <v>549</v>
      </c>
      <c r="G26">
        <v>235655</v>
      </c>
      <c r="H26">
        <v>523</v>
      </c>
      <c r="I26">
        <v>10762435</v>
      </c>
      <c r="J26">
        <v>4709</v>
      </c>
      <c r="K26">
        <v>368435</v>
      </c>
      <c r="L26">
        <v>1537</v>
      </c>
      <c r="M26">
        <v>789525</v>
      </c>
      <c r="N26">
        <v>14806</v>
      </c>
      <c r="O26">
        <v>79014</v>
      </c>
      <c r="P26">
        <v>2115</v>
      </c>
      <c r="Q26">
        <v>85478775</v>
      </c>
      <c r="R26">
        <v>69276</v>
      </c>
      <c r="S26">
        <v>22285</v>
      </c>
      <c r="T26">
        <v>1841</v>
      </c>
      <c r="U26">
        <v>10656</v>
      </c>
      <c r="V26">
        <v>2310</v>
      </c>
      <c r="W26">
        <v>708</v>
      </c>
      <c r="X26">
        <v>637</v>
      </c>
      <c r="Y26">
        <v>12300639</v>
      </c>
      <c r="Z26">
        <v>8733</v>
      </c>
      <c r="AA26">
        <v>285137</v>
      </c>
      <c r="AB26">
        <v>4600</v>
      </c>
      <c r="AC26">
        <v>899123</v>
      </c>
      <c r="AD26">
        <v>6118</v>
      </c>
      <c r="AE26">
        <v>463519</v>
      </c>
      <c r="AF26">
        <v>11257</v>
      </c>
      <c r="AG26">
        <v>623473</v>
      </c>
      <c r="AH26">
        <v>4156</v>
      </c>
      <c r="AI26">
        <v>173908</v>
      </c>
      <c r="AJ26">
        <v>1205</v>
      </c>
      <c r="AK26">
        <v>1082223</v>
      </c>
      <c r="AL26">
        <v>16917</v>
      </c>
      <c r="AM26">
        <v>22138</v>
      </c>
      <c r="AN26">
        <v>1194</v>
      </c>
      <c r="AO26">
        <v>168119</v>
      </c>
      <c r="AP26">
        <v>1911</v>
      </c>
      <c r="AQ26">
        <v>714911</v>
      </c>
      <c r="AR26">
        <v>4463</v>
      </c>
      <c r="AS26">
        <v>40073</v>
      </c>
      <c r="AT26">
        <v>2056</v>
      </c>
      <c r="AU26">
        <v>92452</v>
      </c>
      <c r="AV26">
        <v>733</v>
      </c>
      <c r="AW26">
        <v>222732</v>
      </c>
      <c r="AX26">
        <v>6036</v>
      </c>
      <c r="AY26">
        <v>113463</v>
      </c>
      <c r="AZ26">
        <v>4050</v>
      </c>
      <c r="BA26">
        <v>52733</v>
      </c>
      <c r="BB26">
        <v>5746</v>
      </c>
      <c r="BC26">
        <v>7269</v>
      </c>
      <c r="BD26">
        <v>2589</v>
      </c>
      <c r="BE26">
        <v>50128</v>
      </c>
      <c r="BF26">
        <v>8924</v>
      </c>
      <c r="BG26">
        <v>40687</v>
      </c>
      <c r="BH26">
        <v>413</v>
      </c>
      <c r="BI26">
        <v>79296</v>
      </c>
      <c r="BJ26">
        <v>2600</v>
      </c>
      <c r="BK26">
        <v>15240</v>
      </c>
      <c r="BL26">
        <v>16794</v>
      </c>
      <c r="BM26">
        <v>27779</v>
      </c>
      <c r="BN26">
        <v>533</v>
      </c>
      <c r="BO26">
        <v>873062</v>
      </c>
      <c r="BP26">
        <v>15024</v>
      </c>
      <c r="BQ26">
        <v>383517</v>
      </c>
      <c r="BR26">
        <v>12124</v>
      </c>
      <c r="BS26">
        <v>7795</v>
      </c>
      <c r="BT26">
        <v>1472</v>
      </c>
      <c r="BU26" t="s">
        <v>73</v>
      </c>
      <c r="BV26">
        <v>1156</v>
      </c>
      <c r="BW26">
        <v>7945</v>
      </c>
    </row>
    <row r="27" spans="1:75" x14ac:dyDescent="0.4">
      <c r="A27" s="1" t="s">
        <v>42</v>
      </c>
      <c r="B27" s="1" t="s">
        <v>43</v>
      </c>
      <c r="C27">
        <v>38630</v>
      </c>
      <c r="D27">
        <v>2745</v>
      </c>
      <c r="E27">
        <v>16412</v>
      </c>
      <c r="F27">
        <v>563</v>
      </c>
      <c r="G27">
        <v>232082</v>
      </c>
      <c r="H27">
        <v>520</v>
      </c>
      <c r="I27">
        <v>10876364</v>
      </c>
      <c r="J27">
        <v>4786</v>
      </c>
      <c r="K27">
        <v>373921</v>
      </c>
      <c r="L27">
        <v>1564</v>
      </c>
      <c r="M27">
        <v>837822</v>
      </c>
      <c r="N27">
        <v>15987</v>
      </c>
      <c r="O27">
        <v>74443</v>
      </c>
      <c r="P27">
        <v>1861</v>
      </c>
      <c r="Q27">
        <v>90380132</v>
      </c>
      <c r="R27">
        <v>71674</v>
      </c>
      <c r="S27">
        <v>20756</v>
      </c>
      <c r="T27">
        <v>1860</v>
      </c>
      <c r="U27">
        <v>10526</v>
      </c>
      <c r="V27">
        <v>2216</v>
      </c>
      <c r="W27">
        <v>689</v>
      </c>
      <c r="X27">
        <v>663</v>
      </c>
      <c r="Y27">
        <v>12426926</v>
      </c>
      <c r="Z27">
        <v>8472</v>
      </c>
      <c r="AA27">
        <v>296110</v>
      </c>
      <c r="AB27">
        <v>4763</v>
      </c>
      <c r="AC27">
        <v>919083</v>
      </c>
      <c r="AD27">
        <v>6261</v>
      </c>
      <c r="AE27">
        <v>527351</v>
      </c>
      <c r="AF27">
        <v>11856</v>
      </c>
      <c r="AG27">
        <v>602717</v>
      </c>
      <c r="AH27">
        <v>4067</v>
      </c>
      <c r="AI27">
        <v>175532</v>
      </c>
      <c r="AJ27">
        <v>1223</v>
      </c>
      <c r="AK27">
        <v>1028682</v>
      </c>
      <c r="AL27">
        <v>16717</v>
      </c>
      <c r="AM27">
        <v>25007</v>
      </c>
      <c r="AN27">
        <v>1252</v>
      </c>
      <c r="AO27">
        <v>169203</v>
      </c>
      <c r="AP27">
        <v>1993</v>
      </c>
      <c r="AQ27">
        <v>667910</v>
      </c>
      <c r="AR27">
        <v>4543</v>
      </c>
      <c r="AS27">
        <v>38722</v>
      </c>
      <c r="AT27">
        <v>2080</v>
      </c>
      <c r="AU27">
        <v>100411</v>
      </c>
      <c r="AV27">
        <v>765</v>
      </c>
      <c r="AW27">
        <v>218882</v>
      </c>
      <c r="AX27">
        <v>5833</v>
      </c>
      <c r="AY27">
        <v>109753</v>
      </c>
      <c r="AZ27">
        <v>4042</v>
      </c>
      <c r="BA27">
        <v>49075</v>
      </c>
      <c r="BB27">
        <v>5591</v>
      </c>
      <c r="BC27">
        <v>6446</v>
      </c>
      <c r="BD27">
        <v>2146</v>
      </c>
      <c r="BE27">
        <v>49363</v>
      </c>
      <c r="BF27">
        <v>10026</v>
      </c>
      <c r="BG27">
        <v>39645</v>
      </c>
      <c r="BH27">
        <v>410</v>
      </c>
      <c r="BI27">
        <v>69907</v>
      </c>
      <c r="BJ27">
        <v>1699</v>
      </c>
      <c r="BK27">
        <v>18724</v>
      </c>
      <c r="BL27">
        <v>19351</v>
      </c>
      <c r="BM27">
        <v>26273</v>
      </c>
      <c r="BN27">
        <v>506</v>
      </c>
      <c r="BO27">
        <v>833548</v>
      </c>
      <c r="BP27">
        <v>13755</v>
      </c>
      <c r="BQ27">
        <v>355275</v>
      </c>
      <c r="BR27">
        <v>12422</v>
      </c>
      <c r="BS27">
        <v>7753</v>
      </c>
      <c r="BT27">
        <v>2034</v>
      </c>
      <c r="BU27" t="s">
        <v>73</v>
      </c>
      <c r="BV27">
        <v>1191</v>
      </c>
      <c r="BW27">
        <v>7013</v>
      </c>
    </row>
    <row r="28" spans="1:75" x14ac:dyDescent="0.4">
      <c r="A28" s="1" t="s">
        <v>44</v>
      </c>
      <c r="B28" s="1" t="s">
        <v>45</v>
      </c>
      <c r="C28">
        <v>40426</v>
      </c>
      <c r="D28">
        <v>2753</v>
      </c>
      <c r="E28">
        <v>15045</v>
      </c>
      <c r="F28">
        <v>534</v>
      </c>
      <c r="G28">
        <v>223136</v>
      </c>
      <c r="H28">
        <v>513</v>
      </c>
      <c r="I28">
        <v>10084825</v>
      </c>
      <c r="J28">
        <v>4461</v>
      </c>
      <c r="K28">
        <v>376469</v>
      </c>
      <c r="L28">
        <v>1482</v>
      </c>
      <c r="M28">
        <v>772621</v>
      </c>
      <c r="N28">
        <v>14987</v>
      </c>
      <c r="O28">
        <v>72295</v>
      </c>
      <c r="P28">
        <v>1976</v>
      </c>
      <c r="Q28">
        <v>78214941</v>
      </c>
      <c r="R28">
        <v>64817</v>
      </c>
      <c r="S28">
        <v>20016</v>
      </c>
      <c r="T28">
        <v>1658</v>
      </c>
      <c r="U28">
        <v>10004</v>
      </c>
      <c r="V28">
        <v>2103</v>
      </c>
      <c r="W28">
        <v>663</v>
      </c>
      <c r="X28">
        <v>504</v>
      </c>
      <c r="Y28">
        <v>12509442</v>
      </c>
      <c r="Z28">
        <v>7912</v>
      </c>
      <c r="AA28">
        <v>276657</v>
      </c>
      <c r="AB28">
        <v>4468</v>
      </c>
      <c r="AC28">
        <v>874726</v>
      </c>
      <c r="AD28">
        <v>7175</v>
      </c>
      <c r="AE28">
        <v>414875</v>
      </c>
      <c r="AF28">
        <v>8903</v>
      </c>
      <c r="AG28">
        <v>617762</v>
      </c>
      <c r="AH28">
        <v>3810</v>
      </c>
      <c r="AI28">
        <v>156025</v>
      </c>
      <c r="AJ28">
        <v>1264</v>
      </c>
      <c r="AK28">
        <v>1059079</v>
      </c>
      <c r="AL28">
        <v>16636</v>
      </c>
      <c r="AM28">
        <v>22647</v>
      </c>
      <c r="AN28">
        <v>955</v>
      </c>
      <c r="AO28">
        <v>212943</v>
      </c>
      <c r="AP28">
        <v>1928</v>
      </c>
      <c r="AQ28">
        <v>636567</v>
      </c>
      <c r="AR28">
        <v>4165</v>
      </c>
      <c r="AS28">
        <v>35988</v>
      </c>
      <c r="AT28">
        <v>1942</v>
      </c>
      <c r="AU28">
        <v>100076</v>
      </c>
      <c r="AV28">
        <v>727</v>
      </c>
      <c r="AW28">
        <v>216993</v>
      </c>
      <c r="AX28">
        <v>6031</v>
      </c>
      <c r="AY28">
        <v>102746</v>
      </c>
      <c r="AZ28">
        <v>3730</v>
      </c>
      <c r="BA28">
        <v>49784</v>
      </c>
      <c r="BB28">
        <v>5199</v>
      </c>
      <c r="BC28">
        <v>6219</v>
      </c>
      <c r="BD28">
        <v>2430</v>
      </c>
      <c r="BE28">
        <v>46434</v>
      </c>
      <c r="BF28">
        <v>9342</v>
      </c>
      <c r="BG28">
        <v>37973</v>
      </c>
      <c r="BH28">
        <v>357</v>
      </c>
      <c r="BI28">
        <v>76591</v>
      </c>
      <c r="BJ28">
        <v>1684</v>
      </c>
      <c r="BK28">
        <v>18674</v>
      </c>
      <c r="BL28">
        <v>20511</v>
      </c>
      <c r="BM28">
        <v>25403</v>
      </c>
      <c r="BN28">
        <v>499</v>
      </c>
      <c r="BO28">
        <v>822816</v>
      </c>
      <c r="BP28">
        <v>13680</v>
      </c>
      <c r="BQ28">
        <v>363274</v>
      </c>
      <c r="BR28">
        <v>12316</v>
      </c>
      <c r="BS28">
        <v>8154</v>
      </c>
      <c r="BT28">
        <v>1636</v>
      </c>
      <c r="BU28" t="s">
        <v>73</v>
      </c>
      <c r="BV28">
        <v>1071</v>
      </c>
      <c r="BW28">
        <v>6794</v>
      </c>
    </row>
    <row r="29" spans="1:75" x14ac:dyDescent="0.4">
      <c r="A29" s="1" t="s">
        <v>46</v>
      </c>
      <c r="B29" s="1" t="s">
        <v>47</v>
      </c>
      <c r="C29">
        <v>41463</v>
      </c>
      <c r="D29">
        <v>3081</v>
      </c>
      <c r="E29">
        <v>15938</v>
      </c>
      <c r="F29">
        <v>557</v>
      </c>
      <c r="G29">
        <v>234319</v>
      </c>
      <c r="H29">
        <v>530</v>
      </c>
      <c r="I29">
        <v>11009220</v>
      </c>
      <c r="J29">
        <v>5022</v>
      </c>
      <c r="K29">
        <v>421671</v>
      </c>
      <c r="L29">
        <v>1603</v>
      </c>
      <c r="M29">
        <v>853515</v>
      </c>
      <c r="N29">
        <v>16272</v>
      </c>
      <c r="O29">
        <v>79486</v>
      </c>
      <c r="P29">
        <v>2068</v>
      </c>
      <c r="Q29">
        <v>89974684</v>
      </c>
      <c r="R29">
        <v>70222</v>
      </c>
      <c r="S29">
        <v>24769</v>
      </c>
      <c r="T29">
        <v>1856</v>
      </c>
      <c r="U29">
        <v>10334</v>
      </c>
      <c r="V29">
        <v>2410</v>
      </c>
      <c r="W29">
        <v>786</v>
      </c>
      <c r="X29">
        <v>736</v>
      </c>
      <c r="Y29">
        <v>13505149</v>
      </c>
      <c r="Z29">
        <v>8484</v>
      </c>
      <c r="AA29">
        <v>298058</v>
      </c>
      <c r="AB29">
        <v>4857</v>
      </c>
      <c r="AC29">
        <v>1003706</v>
      </c>
      <c r="AD29">
        <v>6776</v>
      </c>
      <c r="AE29">
        <v>449635</v>
      </c>
      <c r="AF29">
        <v>9473</v>
      </c>
      <c r="AG29">
        <v>646794</v>
      </c>
      <c r="AH29">
        <v>4135</v>
      </c>
      <c r="AI29">
        <v>177165</v>
      </c>
      <c r="AJ29">
        <v>1488</v>
      </c>
      <c r="AK29">
        <v>1150657</v>
      </c>
      <c r="AL29">
        <v>17534</v>
      </c>
      <c r="AM29">
        <v>27138</v>
      </c>
      <c r="AN29">
        <v>1006</v>
      </c>
      <c r="AO29">
        <v>251254</v>
      </c>
      <c r="AP29">
        <v>1931</v>
      </c>
      <c r="AQ29">
        <v>697767</v>
      </c>
      <c r="AR29">
        <v>4810</v>
      </c>
      <c r="AS29">
        <v>41179</v>
      </c>
      <c r="AT29">
        <v>2184</v>
      </c>
      <c r="AU29">
        <v>108329</v>
      </c>
      <c r="AV29">
        <v>865</v>
      </c>
      <c r="AW29">
        <v>219500</v>
      </c>
      <c r="AX29">
        <v>5939</v>
      </c>
      <c r="AY29">
        <v>112221</v>
      </c>
      <c r="AZ29">
        <v>4211</v>
      </c>
      <c r="BA29">
        <v>53875</v>
      </c>
      <c r="BB29">
        <v>5913</v>
      </c>
      <c r="BC29">
        <v>7465</v>
      </c>
      <c r="BD29">
        <v>2698</v>
      </c>
      <c r="BE29">
        <v>49049</v>
      </c>
      <c r="BF29">
        <v>11402</v>
      </c>
      <c r="BG29">
        <v>47740</v>
      </c>
      <c r="BH29">
        <v>439</v>
      </c>
      <c r="BI29">
        <v>91566</v>
      </c>
      <c r="BJ29">
        <v>1932</v>
      </c>
      <c r="BK29">
        <v>17013</v>
      </c>
      <c r="BL29">
        <v>14695</v>
      </c>
      <c r="BM29">
        <v>9527</v>
      </c>
      <c r="BN29">
        <v>266</v>
      </c>
      <c r="BO29">
        <v>862497</v>
      </c>
      <c r="BP29">
        <v>14706</v>
      </c>
      <c r="BQ29">
        <v>393130</v>
      </c>
      <c r="BR29">
        <v>12371</v>
      </c>
      <c r="BS29">
        <v>9389</v>
      </c>
      <c r="BT29">
        <v>1924</v>
      </c>
      <c r="BU29" t="s">
        <v>73</v>
      </c>
      <c r="BV29">
        <v>1106</v>
      </c>
      <c r="BW29">
        <v>7102</v>
      </c>
    </row>
    <row r="30" spans="1:75" x14ac:dyDescent="0.4">
      <c r="A30" s="1" t="s">
        <v>48</v>
      </c>
      <c r="B30" s="1" t="s">
        <v>49</v>
      </c>
      <c r="C30">
        <v>47230</v>
      </c>
      <c r="D30">
        <v>3325</v>
      </c>
      <c r="E30">
        <v>14819</v>
      </c>
      <c r="F30">
        <v>576</v>
      </c>
      <c r="G30">
        <v>221957</v>
      </c>
      <c r="H30">
        <v>528</v>
      </c>
      <c r="I30">
        <v>11367601</v>
      </c>
      <c r="J30">
        <v>5354</v>
      </c>
      <c r="K30">
        <v>420708</v>
      </c>
      <c r="L30">
        <v>1639</v>
      </c>
      <c r="M30">
        <v>871140</v>
      </c>
      <c r="N30">
        <v>16950</v>
      </c>
      <c r="O30">
        <v>75069</v>
      </c>
      <c r="P30">
        <v>2043</v>
      </c>
      <c r="Q30">
        <v>98762026</v>
      </c>
      <c r="R30">
        <v>74698</v>
      </c>
      <c r="S30">
        <v>24738</v>
      </c>
      <c r="T30">
        <v>1981</v>
      </c>
      <c r="U30">
        <v>10664</v>
      </c>
      <c r="V30">
        <v>2451</v>
      </c>
      <c r="W30">
        <v>686</v>
      </c>
      <c r="X30">
        <v>673</v>
      </c>
      <c r="Y30">
        <v>13872820</v>
      </c>
      <c r="Z30">
        <v>9176</v>
      </c>
      <c r="AA30">
        <v>324392</v>
      </c>
      <c r="AB30">
        <v>5219</v>
      </c>
      <c r="AC30">
        <v>1124115</v>
      </c>
      <c r="AD30">
        <v>7356</v>
      </c>
      <c r="AE30">
        <v>501573</v>
      </c>
      <c r="AF30">
        <v>11926</v>
      </c>
      <c r="AG30">
        <v>698143</v>
      </c>
      <c r="AH30">
        <v>4339</v>
      </c>
      <c r="AI30">
        <v>204775</v>
      </c>
      <c r="AJ30">
        <v>1563</v>
      </c>
      <c r="AK30">
        <v>1165003</v>
      </c>
      <c r="AL30">
        <v>18847</v>
      </c>
      <c r="AM30">
        <v>26756</v>
      </c>
      <c r="AN30">
        <v>1055</v>
      </c>
      <c r="AO30">
        <v>223530</v>
      </c>
      <c r="AP30">
        <v>2265</v>
      </c>
      <c r="AQ30">
        <v>699270</v>
      </c>
      <c r="AR30">
        <v>5165</v>
      </c>
      <c r="AS30">
        <v>42410</v>
      </c>
      <c r="AT30">
        <v>2187</v>
      </c>
      <c r="AU30">
        <v>105834</v>
      </c>
      <c r="AV30">
        <v>814</v>
      </c>
      <c r="AW30">
        <v>241399</v>
      </c>
      <c r="AX30">
        <v>6708</v>
      </c>
      <c r="AY30">
        <v>120081</v>
      </c>
      <c r="AZ30">
        <v>4396</v>
      </c>
      <c r="BA30">
        <v>56918</v>
      </c>
      <c r="BB30">
        <v>6442</v>
      </c>
      <c r="BC30">
        <v>7901</v>
      </c>
      <c r="BD30">
        <v>2689</v>
      </c>
      <c r="BE30">
        <v>52358</v>
      </c>
      <c r="BF30">
        <v>12092</v>
      </c>
      <c r="BG30">
        <v>41396</v>
      </c>
      <c r="BH30">
        <v>424</v>
      </c>
      <c r="BI30">
        <v>96807</v>
      </c>
      <c r="BJ30">
        <v>2359</v>
      </c>
      <c r="BK30">
        <v>20066</v>
      </c>
      <c r="BL30">
        <v>18625</v>
      </c>
      <c r="BM30">
        <v>21608</v>
      </c>
      <c r="BN30">
        <v>384</v>
      </c>
      <c r="BO30">
        <v>956379</v>
      </c>
      <c r="BP30">
        <v>15462</v>
      </c>
      <c r="BQ30">
        <v>403300</v>
      </c>
      <c r="BR30">
        <v>13380</v>
      </c>
      <c r="BS30">
        <v>10211</v>
      </c>
      <c r="BT30">
        <v>1810</v>
      </c>
      <c r="BU30" t="s">
        <v>73</v>
      </c>
      <c r="BV30">
        <v>1135</v>
      </c>
      <c r="BW30">
        <v>7706</v>
      </c>
    </row>
    <row r="31" spans="1:75" x14ac:dyDescent="0.4">
      <c r="A31" s="1" t="s">
        <v>50</v>
      </c>
      <c r="B31" s="1" t="s">
        <v>51</v>
      </c>
      <c r="C31">
        <v>39335</v>
      </c>
      <c r="D31">
        <v>2745</v>
      </c>
      <c r="E31">
        <v>12865</v>
      </c>
      <c r="F31">
        <v>485</v>
      </c>
      <c r="G31">
        <v>217685</v>
      </c>
      <c r="H31">
        <v>512</v>
      </c>
      <c r="I31">
        <v>9454014</v>
      </c>
      <c r="J31">
        <v>4430</v>
      </c>
      <c r="K31">
        <v>354493</v>
      </c>
      <c r="L31">
        <v>1381</v>
      </c>
      <c r="M31">
        <v>733969</v>
      </c>
      <c r="N31">
        <v>14287</v>
      </c>
      <c r="O31">
        <v>63345</v>
      </c>
      <c r="P31">
        <v>1777</v>
      </c>
      <c r="Q31">
        <v>98615801</v>
      </c>
      <c r="R31">
        <v>60557</v>
      </c>
      <c r="S31">
        <v>18868</v>
      </c>
      <c r="T31">
        <v>1501</v>
      </c>
      <c r="U31">
        <v>9119</v>
      </c>
      <c r="V31">
        <v>1835</v>
      </c>
      <c r="W31">
        <v>642</v>
      </c>
      <c r="X31">
        <v>524</v>
      </c>
      <c r="Y31">
        <v>12126517</v>
      </c>
      <c r="Z31">
        <v>8134</v>
      </c>
      <c r="AA31">
        <v>303364</v>
      </c>
      <c r="AB31">
        <v>4872</v>
      </c>
      <c r="AC31">
        <v>934189</v>
      </c>
      <c r="AD31">
        <v>6510</v>
      </c>
      <c r="AE31">
        <v>434292</v>
      </c>
      <c r="AF31">
        <v>10003</v>
      </c>
      <c r="AG31">
        <v>561447</v>
      </c>
      <c r="AH31">
        <v>3520</v>
      </c>
      <c r="AI31">
        <v>189669</v>
      </c>
      <c r="AJ31">
        <v>1083</v>
      </c>
      <c r="AK31">
        <v>958409</v>
      </c>
      <c r="AL31">
        <v>15668</v>
      </c>
      <c r="AM31">
        <v>21048</v>
      </c>
      <c r="AN31">
        <v>908</v>
      </c>
      <c r="AO31">
        <v>193134</v>
      </c>
      <c r="AP31">
        <v>1725</v>
      </c>
      <c r="AQ31">
        <v>573921</v>
      </c>
      <c r="AR31">
        <v>4271</v>
      </c>
      <c r="AS31">
        <v>33779</v>
      </c>
      <c r="AT31">
        <v>1905</v>
      </c>
      <c r="AU31">
        <v>78259</v>
      </c>
      <c r="AV31">
        <v>654</v>
      </c>
      <c r="AW31">
        <v>197366</v>
      </c>
      <c r="AX31">
        <v>5954</v>
      </c>
      <c r="AY31">
        <v>99456</v>
      </c>
      <c r="AZ31">
        <v>4309</v>
      </c>
      <c r="BA31">
        <v>47666</v>
      </c>
      <c r="BB31">
        <v>4981</v>
      </c>
      <c r="BC31">
        <v>6102</v>
      </c>
      <c r="BD31">
        <v>2121</v>
      </c>
      <c r="BE31">
        <v>46565</v>
      </c>
      <c r="BF31">
        <v>10608</v>
      </c>
      <c r="BG31">
        <v>34824</v>
      </c>
      <c r="BH31">
        <v>359</v>
      </c>
      <c r="BI31">
        <v>64252</v>
      </c>
      <c r="BJ31">
        <v>1377</v>
      </c>
      <c r="BK31">
        <v>19589</v>
      </c>
      <c r="BL31">
        <v>19705</v>
      </c>
      <c r="BM31">
        <v>20651</v>
      </c>
      <c r="BN31">
        <v>383</v>
      </c>
      <c r="BO31">
        <v>749375</v>
      </c>
      <c r="BP31">
        <v>12228</v>
      </c>
      <c r="BQ31">
        <v>324637</v>
      </c>
      <c r="BR31">
        <v>11080</v>
      </c>
      <c r="BS31">
        <v>8542</v>
      </c>
      <c r="BT31">
        <v>1447</v>
      </c>
      <c r="BU31" t="s">
        <v>73</v>
      </c>
      <c r="BV31">
        <v>871</v>
      </c>
      <c r="BW31">
        <v>5533</v>
      </c>
    </row>
    <row r="32" spans="1:75" x14ac:dyDescent="0.4">
      <c r="A32" s="1" t="s">
        <v>52</v>
      </c>
      <c r="B32" s="1" t="s">
        <v>53</v>
      </c>
      <c r="C32">
        <v>41459</v>
      </c>
      <c r="D32">
        <v>3078</v>
      </c>
      <c r="E32">
        <v>14437</v>
      </c>
      <c r="F32">
        <v>566</v>
      </c>
      <c r="G32">
        <v>235184</v>
      </c>
      <c r="H32">
        <v>578</v>
      </c>
      <c r="I32">
        <v>11068268</v>
      </c>
      <c r="J32">
        <v>5323</v>
      </c>
      <c r="K32">
        <v>419415</v>
      </c>
      <c r="L32">
        <v>1648</v>
      </c>
      <c r="M32">
        <v>856109</v>
      </c>
      <c r="N32">
        <v>16004</v>
      </c>
      <c r="O32">
        <v>73870</v>
      </c>
      <c r="P32">
        <v>2048</v>
      </c>
      <c r="Q32">
        <v>104232201</v>
      </c>
      <c r="R32">
        <v>76915</v>
      </c>
      <c r="S32">
        <v>22911</v>
      </c>
      <c r="T32">
        <v>1978</v>
      </c>
      <c r="U32">
        <v>10160</v>
      </c>
      <c r="V32">
        <v>2403</v>
      </c>
      <c r="W32">
        <v>627</v>
      </c>
      <c r="X32">
        <v>629</v>
      </c>
      <c r="Y32">
        <v>13804491</v>
      </c>
      <c r="Z32">
        <v>8980</v>
      </c>
      <c r="AA32">
        <v>327987</v>
      </c>
      <c r="AB32">
        <v>5193</v>
      </c>
      <c r="AC32">
        <v>1140520</v>
      </c>
      <c r="AD32">
        <v>7597</v>
      </c>
      <c r="AE32">
        <v>494360</v>
      </c>
      <c r="AF32">
        <v>10748</v>
      </c>
      <c r="AG32">
        <v>663662</v>
      </c>
      <c r="AH32">
        <v>4236</v>
      </c>
      <c r="AI32">
        <v>186260</v>
      </c>
      <c r="AJ32">
        <v>1272</v>
      </c>
      <c r="AK32">
        <v>1016550</v>
      </c>
      <c r="AL32">
        <v>18040</v>
      </c>
      <c r="AM32">
        <v>24483</v>
      </c>
      <c r="AN32">
        <v>974</v>
      </c>
      <c r="AO32">
        <v>205242</v>
      </c>
      <c r="AP32">
        <v>2284</v>
      </c>
      <c r="AQ32">
        <v>668686</v>
      </c>
      <c r="AR32">
        <v>5036</v>
      </c>
      <c r="AS32">
        <v>38230</v>
      </c>
      <c r="AT32">
        <v>2030</v>
      </c>
      <c r="AU32">
        <v>104673</v>
      </c>
      <c r="AV32">
        <v>816</v>
      </c>
      <c r="AW32">
        <v>239077</v>
      </c>
      <c r="AX32">
        <v>6789</v>
      </c>
      <c r="AY32">
        <v>116080</v>
      </c>
      <c r="AZ32">
        <v>4887</v>
      </c>
      <c r="BA32">
        <v>55646</v>
      </c>
      <c r="BB32">
        <v>6282</v>
      </c>
      <c r="BC32">
        <v>6662</v>
      </c>
      <c r="BD32">
        <v>2451</v>
      </c>
      <c r="BE32">
        <v>57816</v>
      </c>
      <c r="BF32">
        <v>12885</v>
      </c>
      <c r="BG32">
        <v>43822</v>
      </c>
      <c r="BH32">
        <v>411</v>
      </c>
      <c r="BI32">
        <v>90402</v>
      </c>
      <c r="BJ32">
        <v>1786</v>
      </c>
      <c r="BK32">
        <v>20013</v>
      </c>
      <c r="BL32">
        <v>18216</v>
      </c>
      <c r="BM32">
        <v>24621</v>
      </c>
      <c r="BN32">
        <v>379</v>
      </c>
      <c r="BO32">
        <v>951017</v>
      </c>
      <c r="BP32">
        <v>14881</v>
      </c>
      <c r="BQ32">
        <v>385609</v>
      </c>
      <c r="BR32">
        <v>13901</v>
      </c>
      <c r="BS32">
        <v>9427</v>
      </c>
      <c r="BT32">
        <v>1544</v>
      </c>
      <c r="BU32" t="s">
        <v>73</v>
      </c>
      <c r="BV32">
        <v>1199</v>
      </c>
      <c r="BW32">
        <v>7673</v>
      </c>
    </row>
    <row r="33" spans="1:75" x14ac:dyDescent="0.4">
      <c r="A33" s="1" t="s">
        <v>54</v>
      </c>
      <c r="B33" s="1" t="s">
        <v>55</v>
      </c>
      <c r="C33">
        <v>48227</v>
      </c>
      <c r="D33">
        <v>3300</v>
      </c>
      <c r="E33">
        <v>15095</v>
      </c>
      <c r="F33">
        <v>560</v>
      </c>
      <c r="G33">
        <v>239238</v>
      </c>
      <c r="H33">
        <v>554</v>
      </c>
      <c r="I33">
        <v>11247185</v>
      </c>
      <c r="J33">
        <v>5456</v>
      </c>
      <c r="K33">
        <v>385405</v>
      </c>
      <c r="L33">
        <v>1670</v>
      </c>
      <c r="M33">
        <v>858410</v>
      </c>
      <c r="N33">
        <v>16421</v>
      </c>
      <c r="O33">
        <v>72597</v>
      </c>
      <c r="P33">
        <v>1965</v>
      </c>
      <c r="Q33">
        <v>94735172</v>
      </c>
      <c r="R33">
        <v>76247</v>
      </c>
      <c r="S33">
        <v>23185</v>
      </c>
      <c r="T33">
        <v>1983</v>
      </c>
      <c r="U33">
        <v>11069</v>
      </c>
      <c r="V33">
        <v>2442</v>
      </c>
      <c r="W33">
        <v>769</v>
      </c>
      <c r="X33">
        <v>818</v>
      </c>
      <c r="Y33">
        <v>13012789</v>
      </c>
      <c r="Z33">
        <v>8813</v>
      </c>
      <c r="AA33">
        <v>318721</v>
      </c>
      <c r="AB33">
        <v>5024</v>
      </c>
      <c r="AC33">
        <v>1068406</v>
      </c>
      <c r="AD33">
        <v>7292</v>
      </c>
      <c r="AE33">
        <v>432899</v>
      </c>
      <c r="AF33">
        <v>9241</v>
      </c>
      <c r="AG33">
        <v>679082</v>
      </c>
      <c r="AH33">
        <v>4324</v>
      </c>
      <c r="AI33">
        <v>171093</v>
      </c>
      <c r="AJ33">
        <v>1098</v>
      </c>
      <c r="AK33">
        <v>1023263</v>
      </c>
      <c r="AL33">
        <v>18665</v>
      </c>
      <c r="AM33">
        <v>23456</v>
      </c>
      <c r="AN33">
        <v>1128</v>
      </c>
      <c r="AO33">
        <v>203999</v>
      </c>
      <c r="AP33">
        <v>2233</v>
      </c>
      <c r="AQ33">
        <v>639360</v>
      </c>
      <c r="AR33">
        <v>5103</v>
      </c>
      <c r="AS33">
        <v>44080</v>
      </c>
      <c r="AT33">
        <v>2352</v>
      </c>
      <c r="AU33">
        <v>111427</v>
      </c>
      <c r="AV33">
        <v>931</v>
      </c>
      <c r="AW33">
        <v>241371</v>
      </c>
      <c r="AX33">
        <v>6340</v>
      </c>
      <c r="AY33">
        <v>120299</v>
      </c>
      <c r="AZ33">
        <v>5135</v>
      </c>
      <c r="BA33">
        <v>57548</v>
      </c>
      <c r="BB33">
        <v>6450</v>
      </c>
      <c r="BC33">
        <v>8432</v>
      </c>
      <c r="BD33">
        <v>2718</v>
      </c>
      <c r="BE33">
        <v>59608</v>
      </c>
      <c r="BF33">
        <v>12161</v>
      </c>
      <c r="BG33">
        <v>46428</v>
      </c>
      <c r="BH33">
        <v>439</v>
      </c>
      <c r="BI33">
        <v>100093</v>
      </c>
      <c r="BJ33">
        <v>2046</v>
      </c>
      <c r="BK33">
        <v>18660</v>
      </c>
      <c r="BL33">
        <v>18880</v>
      </c>
      <c r="BM33">
        <v>22879</v>
      </c>
      <c r="BN33">
        <v>364</v>
      </c>
      <c r="BO33">
        <v>1056967</v>
      </c>
      <c r="BP33">
        <v>15567</v>
      </c>
      <c r="BQ33">
        <v>407340</v>
      </c>
      <c r="BR33">
        <v>14850</v>
      </c>
      <c r="BS33">
        <v>9544</v>
      </c>
      <c r="BT33">
        <v>1485</v>
      </c>
      <c r="BU33" t="s">
        <v>73</v>
      </c>
      <c r="BV33">
        <v>1227</v>
      </c>
      <c r="BW33">
        <v>7650</v>
      </c>
    </row>
    <row r="34" spans="1:75" x14ac:dyDescent="0.4">
      <c r="A34" s="1" t="s">
        <v>56</v>
      </c>
      <c r="B34" s="1" t="s">
        <v>57</v>
      </c>
      <c r="C34">
        <v>38537</v>
      </c>
      <c r="D34">
        <v>2832</v>
      </c>
      <c r="E34">
        <v>13554</v>
      </c>
      <c r="F34">
        <v>550</v>
      </c>
      <c r="G34">
        <v>236358</v>
      </c>
      <c r="H34">
        <v>511</v>
      </c>
      <c r="I34">
        <v>10254379</v>
      </c>
      <c r="J34">
        <v>4803</v>
      </c>
      <c r="K34">
        <v>344187</v>
      </c>
      <c r="L34">
        <v>1497</v>
      </c>
      <c r="M34">
        <v>768752</v>
      </c>
      <c r="N34">
        <v>14639</v>
      </c>
      <c r="O34">
        <v>64141</v>
      </c>
      <c r="P34">
        <v>1755</v>
      </c>
      <c r="Q34">
        <v>81351726</v>
      </c>
      <c r="R34">
        <v>71276</v>
      </c>
      <c r="S34">
        <v>20522</v>
      </c>
      <c r="T34">
        <v>1814</v>
      </c>
      <c r="U34">
        <v>10215</v>
      </c>
      <c r="V34">
        <v>2227</v>
      </c>
      <c r="W34">
        <v>666</v>
      </c>
      <c r="X34">
        <v>681</v>
      </c>
      <c r="Y34">
        <v>12549376</v>
      </c>
      <c r="Z34">
        <v>8522</v>
      </c>
      <c r="AA34">
        <v>312824</v>
      </c>
      <c r="AB34">
        <v>4991</v>
      </c>
      <c r="AC34">
        <v>840240</v>
      </c>
      <c r="AD34">
        <v>5877</v>
      </c>
      <c r="AE34">
        <v>394811</v>
      </c>
      <c r="AF34">
        <v>8227</v>
      </c>
      <c r="AG34">
        <v>634947</v>
      </c>
      <c r="AH34">
        <v>4063</v>
      </c>
      <c r="AI34">
        <v>163231</v>
      </c>
      <c r="AJ34">
        <v>1170</v>
      </c>
      <c r="AK34">
        <v>957761</v>
      </c>
      <c r="AL34">
        <v>16553</v>
      </c>
      <c r="AM34">
        <v>14861</v>
      </c>
      <c r="AN34">
        <v>940</v>
      </c>
      <c r="AO34">
        <v>193814</v>
      </c>
      <c r="AP34">
        <v>1886</v>
      </c>
      <c r="AQ34">
        <v>623081</v>
      </c>
      <c r="AR34">
        <v>4765</v>
      </c>
      <c r="AS34">
        <v>37568</v>
      </c>
      <c r="AT34">
        <v>2060</v>
      </c>
      <c r="AU34">
        <v>103988</v>
      </c>
      <c r="AV34">
        <v>804</v>
      </c>
      <c r="AW34">
        <v>219717</v>
      </c>
      <c r="AX34">
        <v>6051</v>
      </c>
      <c r="AY34">
        <v>110490</v>
      </c>
      <c r="AZ34">
        <v>4859</v>
      </c>
      <c r="BA34">
        <v>49734</v>
      </c>
      <c r="BB34">
        <v>6167</v>
      </c>
      <c r="BC34">
        <v>7764</v>
      </c>
      <c r="BD34">
        <v>2472</v>
      </c>
      <c r="BE34">
        <v>52790</v>
      </c>
      <c r="BF34">
        <v>10331</v>
      </c>
      <c r="BG34">
        <v>43541</v>
      </c>
      <c r="BH34">
        <v>417</v>
      </c>
      <c r="BI34">
        <v>73114</v>
      </c>
      <c r="BJ34">
        <v>1717</v>
      </c>
      <c r="BK34">
        <v>17433</v>
      </c>
      <c r="BL34">
        <v>18399</v>
      </c>
      <c r="BM34">
        <v>15965</v>
      </c>
      <c r="BN34">
        <v>270</v>
      </c>
      <c r="BO34">
        <v>973035</v>
      </c>
      <c r="BP34">
        <v>14335</v>
      </c>
      <c r="BQ34">
        <v>373056</v>
      </c>
      <c r="BR34">
        <v>12371</v>
      </c>
      <c r="BS34">
        <v>8677</v>
      </c>
      <c r="BT34">
        <v>1411</v>
      </c>
      <c r="BU34" t="s">
        <v>73</v>
      </c>
      <c r="BV34">
        <v>1189</v>
      </c>
      <c r="BW34">
        <v>7341</v>
      </c>
    </row>
    <row r="35" spans="1:75" x14ac:dyDescent="0.4">
      <c r="A35" s="1" t="s">
        <v>58</v>
      </c>
      <c r="B35" s="1" t="s">
        <v>59</v>
      </c>
      <c r="C35">
        <v>42377</v>
      </c>
      <c r="D35">
        <v>3067</v>
      </c>
      <c r="E35">
        <v>13589</v>
      </c>
      <c r="F35">
        <v>565</v>
      </c>
      <c r="G35">
        <v>224100</v>
      </c>
      <c r="H35">
        <v>531</v>
      </c>
      <c r="I35">
        <v>10614836</v>
      </c>
      <c r="J35">
        <v>4989</v>
      </c>
      <c r="K35">
        <v>374084</v>
      </c>
      <c r="L35">
        <v>1601</v>
      </c>
      <c r="M35">
        <v>816257</v>
      </c>
      <c r="N35">
        <v>15592</v>
      </c>
      <c r="O35">
        <v>77712</v>
      </c>
      <c r="P35">
        <v>1825</v>
      </c>
      <c r="Q35">
        <v>105236963</v>
      </c>
      <c r="R35">
        <v>67068</v>
      </c>
      <c r="S35">
        <v>21585</v>
      </c>
      <c r="T35">
        <v>1968</v>
      </c>
      <c r="U35">
        <v>10679</v>
      </c>
      <c r="V35">
        <v>2310</v>
      </c>
      <c r="W35">
        <v>1026</v>
      </c>
      <c r="X35">
        <v>907</v>
      </c>
      <c r="Y35">
        <v>11212757</v>
      </c>
      <c r="Z35">
        <v>7975</v>
      </c>
      <c r="AA35">
        <v>320436</v>
      </c>
      <c r="AB35">
        <v>5305</v>
      </c>
      <c r="AC35">
        <v>871361</v>
      </c>
      <c r="AD35">
        <v>6162</v>
      </c>
      <c r="AE35">
        <v>418020</v>
      </c>
      <c r="AF35">
        <v>9013</v>
      </c>
      <c r="AG35">
        <v>638164</v>
      </c>
      <c r="AH35">
        <v>4359</v>
      </c>
      <c r="AI35">
        <v>216307</v>
      </c>
      <c r="AJ35">
        <v>1339</v>
      </c>
      <c r="AK35">
        <v>945357</v>
      </c>
      <c r="AL35">
        <v>16923</v>
      </c>
      <c r="AM35">
        <v>12300</v>
      </c>
      <c r="AN35">
        <v>1055</v>
      </c>
      <c r="AO35">
        <v>176955</v>
      </c>
      <c r="AP35">
        <v>2178</v>
      </c>
      <c r="AQ35">
        <v>624096</v>
      </c>
      <c r="AR35">
        <v>4971</v>
      </c>
      <c r="AS35">
        <v>40930</v>
      </c>
      <c r="AT35">
        <v>2288</v>
      </c>
      <c r="AU35">
        <v>100997</v>
      </c>
      <c r="AV35">
        <v>827</v>
      </c>
      <c r="AW35">
        <v>212601</v>
      </c>
      <c r="AX35">
        <v>6166</v>
      </c>
      <c r="AY35">
        <v>114506</v>
      </c>
      <c r="AZ35">
        <v>4918</v>
      </c>
      <c r="BA35">
        <v>53813</v>
      </c>
      <c r="BB35">
        <v>6358</v>
      </c>
      <c r="BC35">
        <v>9437</v>
      </c>
      <c r="BD35">
        <v>2977</v>
      </c>
      <c r="BE35">
        <v>59668</v>
      </c>
      <c r="BF35">
        <v>11354</v>
      </c>
      <c r="BG35">
        <v>44780</v>
      </c>
      <c r="BH35">
        <v>427</v>
      </c>
      <c r="BI35">
        <v>73384</v>
      </c>
      <c r="BJ35">
        <v>1613</v>
      </c>
      <c r="BK35">
        <v>20670</v>
      </c>
      <c r="BL35">
        <v>23003</v>
      </c>
      <c r="BM35">
        <v>14084</v>
      </c>
      <c r="BN35">
        <v>238</v>
      </c>
      <c r="BO35">
        <v>905600</v>
      </c>
      <c r="BP35">
        <v>14725</v>
      </c>
      <c r="BQ35">
        <v>388983</v>
      </c>
      <c r="BR35">
        <v>12508</v>
      </c>
      <c r="BS35">
        <v>8378</v>
      </c>
      <c r="BT35">
        <v>1497</v>
      </c>
      <c r="BU35" t="s">
        <v>73</v>
      </c>
      <c r="BV35">
        <v>1179</v>
      </c>
      <c r="BW35">
        <v>8278</v>
      </c>
    </row>
    <row r="36" spans="1:75" x14ac:dyDescent="0.4">
      <c r="A36" s="1" t="s">
        <v>60</v>
      </c>
      <c r="B36" s="1" t="s">
        <v>61</v>
      </c>
      <c r="C36">
        <v>39014</v>
      </c>
      <c r="D36">
        <v>2669</v>
      </c>
      <c r="E36">
        <v>10066</v>
      </c>
      <c r="F36">
        <v>495</v>
      </c>
      <c r="G36">
        <v>218286</v>
      </c>
      <c r="H36">
        <v>495</v>
      </c>
      <c r="I36">
        <v>10294771</v>
      </c>
      <c r="J36">
        <v>4959</v>
      </c>
      <c r="K36">
        <v>326268</v>
      </c>
      <c r="L36">
        <v>1537</v>
      </c>
      <c r="M36">
        <v>785190</v>
      </c>
      <c r="N36">
        <v>14817</v>
      </c>
      <c r="O36">
        <v>63307</v>
      </c>
      <c r="P36">
        <v>1557</v>
      </c>
      <c r="Q36">
        <v>95211635</v>
      </c>
      <c r="R36">
        <v>58039</v>
      </c>
      <c r="S36">
        <v>20030</v>
      </c>
      <c r="T36">
        <v>1806</v>
      </c>
      <c r="U36">
        <v>11032</v>
      </c>
      <c r="V36">
        <v>2114</v>
      </c>
      <c r="W36">
        <v>963</v>
      </c>
      <c r="X36">
        <v>874</v>
      </c>
      <c r="Y36">
        <v>12022584</v>
      </c>
      <c r="Z36">
        <v>8019</v>
      </c>
      <c r="AA36">
        <v>324889</v>
      </c>
      <c r="AB36">
        <v>5144</v>
      </c>
      <c r="AC36">
        <v>804447</v>
      </c>
      <c r="AD36">
        <v>5737</v>
      </c>
      <c r="AE36">
        <v>376815</v>
      </c>
      <c r="AF36">
        <v>8579</v>
      </c>
      <c r="AG36">
        <v>586881</v>
      </c>
      <c r="AH36">
        <v>3891</v>
      </c>
      <c r="AI36">
        <v>158863</v>
      </c>
      <c r="AJ36">
        <v>1134</v>
      </c>
      <c r="AK36">
        <v>809669</v>
      </c>
      <c r="AL36">
        <v>15505</v>
      </c>
      <c r="AM36">
        <v>13798</v>
      </c>
      <c r="AN36">
        <v>1030</v>
      </c>
      <c r="AO36">
        <v>193952</v>
      </c>
      <c r="AP36">
        <v>1916</v>
      </c>
      <c r="AQ36">
        <v>604086</v>
      </c>
      <c r="AR36">
        <v>4872</v>
      </c>
      <c r="AS36">
        <v>40065</v>
      </c>
      <c r="AT36">
        <v>2260</v>
      </c>
      <c r="AU36">
        <v>104994</v>
      </c>
      <c r="AV36">
        <v>784</v>
      </c>
      <c r="AW36">
        <v>212415</v>
      </c>
      <c r="AX36">
        <v>6221</v>
      </c>
      <c r="AY36">
        <v>108537</v>
      </c>
      <c r="AZ36">
        <v>4640</v>
      </c>
      <c r="BA36">
        <v>54354</v>
      </c>
      <c r="BB36">
        <v>6173</v>
      </c>
      <c r="BC36">
        <v>8735</v>
      </c>
      <c r="BD36">
        <v>2530</v>
      </c>
      <c r="BE36">
        <v>53071</v>
      </c>
      <c r="BF36">
        <v>10897</v>
      </c>
      <c r="BG36">
        <v>45032</v>
      </c>
      <c r="BH36">
        <v>372</v>
      </c>
      <c r="BI36">
        <v>74913</v>
      </c>
      <c r="BJ36">
        <v>1616</v>
      </c>
      <c r="BK36">
        <v>19585</v>
      </c>
      <c r="BL36">
        <v>22515</v>
      </c>
      <c r="BM36">
        <v>13827</v>
      </c>
      <c r="BN36">
        <v>270</v>
      </c>
      <c r="BO36">
        <v>895217</v>
      </c>
      <c r="BP36">
        <v>13888</v>
      </c>
      <c r="BQ36">
        <v>372365</v>
      </c>
      <c r="BR36">
        <v>13089</v>
      </c>
      <c r="BS36">
        <v>8149</v>
      </c>
      <c r="BT36">
        <v>1361</v>
      </c>
      <c r="BU36" t="s">
        <v>73</v>
      </c>
      <c r="BV36">
        <v>1151</v>
      </c>
      <c r="BW36">
        <v>7863</v>
      </c>
    </row>
    <row r="37" spans="1:75" x14ac:dyDescent="0.4">
      <c r="A37" s="1" t="s">
        <v>62</v>
      </c>
      <c r="B37" s="1" t="s">
        <v>63</v>
      </c>
      <c r="C37">
        <v>36248</v>
      </c>
      <c r="D37">
        <v>2806</v>
      </c>
      <c r="E37">
        <v>10342</v>
      </c>
      <c r="F37">
        <v>520</v>
      </c>
      <c r="G37">
        <v>217816</v>
      </c>
      <c r="H37">
        <v>506</v>
      </c>
      <c r="I37">
        <v>10590150</v>
      </c>
      <c r="J37">
        <v>5166</v>
      </c>
      <c r="K37">
        <v>300538</v>
      </c>
      <c r="L37">
        <v>1533</v>
      </c>
      <c r="M37">
        <v>808042</v>
      </c>
      <c r="N37">
        <v>15530</v>
      </c>
      <c r="O37">
        <v>67641</v>
      </c>
      <c r="P37">
        <v>1745</v>
      </c>
      <c r="Q37">
        <v>90094255</v>
      </c>
      <c r="R37">
        <v>55734</v>
      </c>
      <c r="S37">
        <v>18834</v>
      </c>
      <c r="T37">
        <v>2057</v>
      </c>
      <c r="U37">
        <v>10641</v>
      </c>
      <c r="V37">
        <v>2138</v>
      </c>
      <c r="W37">
        <v>976</v>
      </c>
      <c r="X37">
        <v>868</v>
      </c>
      <c r="Y37">
        <v>10836635</v>
      </c>
      <c r="Z37">
        <v>7966</v>
      </c>
      <c r="AA37">
        <v>333597</v>
      </c>
      <c r="AB37">
        <v>5123</v>
      </c>
      <c r="AC37">
        <v>733410</v>
      </c>
      <c r="AD37">
        <v>5004</v>
      </c>
      <c r="AE37">
        <v>339579</v>
      </c>
      <c r="AF37">
        <v>7198</v>
      </c>
      <c r="AG37">
        <v>546287</v>
      </c>
      <c r="AH37">
        <v>4120</v>
      </c>
      <c r="AI37">
        <v>103295</v>
      </c>
      <c r="AJ37">
        <v>913</v>
      </c>
      <c r="AK37">
        <v>880310</v>
      </c>
      <c r="AL37">
        <v>15410</v>
      </c>
      <c r="AM37">
        <v>23070</v>
      </c>
      <c r="AN37">
        <v>1085</v>
      </c>
      <c r="AO37">
        <v>191408</v>
      </c>
      <c r="AP37">
        <v>1974</v>
      </c>
      <c r="AQ37">
        <v>620021</v>
      </c>
      <c r="AR37">
        <v>5064</v>
      </c>
      <c r="AS37">
        <v>36398</v>
      </c>
      <c r="AT37">
        <v>2054</v>
      </c>
      <c r="AU37">
        <v>104174</v>
      </c>
      <c r="AV37">
        <v>810</v>
      </c>
      <c r="AW37">
        <v>210928</v>
      </c>
      <c r="AX37">
        <v>6074</v>
      </c>
      <c r="AY37">
        <v>105353</v>
      </c>
      <c r="AZ37">
        <v>4641</v>
      </c>
      <c r="BA37">
        <v>53101</v>
      </c>
      <c r="BB37">
        <v>6221</v>
      </c>
      <c r="BC37">
        <v>8191</v>
      </c>
      <c r="BD37">
        <v>2951</v>
      </c>
      <c r="BE37">
        <v>54695</v>
      </c>
      <c r="BF37">
        <v>11570</v>
      </c>
      <c r="BG37">
        <v>41664</v>
      </c>
      <c r="BH37">
        <v>377</v>
      </c>
      <c r="BI37">
        <v>73115</v>
      </c>
      <c r="BJ37">
        <v>2240</v>
      </c>
      <c r="BK37">
        <v>20360</v>
      </c>
      <c r="BL37">
        <v>23805</v>
      </c>
      <c r="BM37">
        <v>8027</v>
      </c>
      <c r="BN37">
        <v>165</v>
      </c>
      <c r="BO37">
        <v>873441</v>
      </c>
      <c r="BP37">
        <v>13831</v>
      </c>
      <c r="BQ37">
        <v>364816</v>
      </c>
      <c r="BR37">
        <v>12253</v>
      </c>
      <c r="BS37">
        <v>7597</v>
      </c>
      <c r="BT37">
        <v>1269</v>
      </c>
      <c r="BU37" t="s">
        <v>73</v>
      </c>
      <c r="BV37">
        <v>1202</v>
      </c>
      <c r="BW37">
        <v>7427</v>
      </c>
    </row>
    <row r="38" spans="1:75" x14ac:dyDescent="0.4">
      <c r="A38" s="1" t="s">
        <v>64</v>
      </c>
      <c r="B38" s="1" t="s">
        <v>65</v>
      </c>
      <c r="C38">
        <v>42849</v>
      </c>
      <c r="D38">
        <v>3070</v>
      </c>
      <c r="E38">
        <v>12066</v>
      </c>
      <c r="F38">
        <v>627</v>
      </c>
      <c r="G38">
        <v>240563</v>
      </c>
      <c r="H38">
        <v>583</v>
      </c>
      <c r="I38">
        <v>11228706</v>
      </c>
      <c r="J38">
        <v>5503</v>
      </c>
      <c r="K38">
        <v>326618</v>
      </c>
      <c r="L38">
        <v>1620</v>
      </c>
      <c r="M38">
        <v>880327</v>
      </c>
      <c r="N38">
        <v>17035</v>
      </c>
      <c r="O38">
        <v>83764</v>
      </c>
      <c r="P38">
        <v>2299</v>
      </c>
      <c r="Q38">
        <v>101116355</v>
      </c>
      <c r="R38">
        <v>63248</v>
      </c>
      <c r="S38">
        <v>22198</v>
      </c>
      <c r="T38">
        <v>2231</v>
      </c>
      <c r="U38">
        <v>12037</v>
      </c>
      <c r="V38">
        <v>2357</v>
      </c>
      <c r="W38">
        <v>996</v>
      </c>
      <c r="X38">
        <v>969</v>
      </c>
      <c r="Y38">
        <v>11705468</v>
      </c>
      <c r="Z38">
        <v>8442</v>
      </c>
      <c r="AA38">
        <v>348313</v>
      </c>
      <c r="AB38">
        <v>5557</v>
      </c>
      <c r="AC38">
        <v>884590</v>
      </c>
      <c r="AD38">
        <v>6286</v>
      </c>
      <c r="AE38">
        <v>393765</v>
      </c>
      <c r="AF38">
        <v>7998</v>
      </c>
      <c r="AG38">
        <v>754409</v>
      </c>
      <c r="AH38">
        <v>4879</v>
      </c>
      <c r="AI38">
        <v>143259</v>
      </c>
      <c r="AJ38">
        <v>1155</v>
      </c>
      <c r="AK38">
        <v>957827</v>
      </c>
      <c r="AL38">
        <v>17377</v>
      </c>
      <c r="AM38">
        <v>19160</v>
      </c>
      <c r="AN38">
        <v>1182</v>
      </c>
      <c r="AO38">
        <v>205864</v>
      </c>
      <c r="AP38">
        <v>2269</v>
      </c>
      <c r="AQ38">
        <v>647195</v>
      </c>
      <c r="AR38">
        <v>5154</v>
      </c>
      <c r="AS38">
        <v>44889</v>
      </c>
      <c r="AT38">
        <v>2529</v>
      </c>
      <c r="AU38">
        <v>112140</v>
      </c>
      <c r="AV38">
        <v>854</v>
      </c>
      <c r="AW38">
        <v>214543</v>
      </c>
      <c r="AX38">
        <v>6359</v>
      </c>
      <c r="AY38">
        <v>116610</v>
      </c>
      <c r="AZ38">
        <v>5065</v>
      </c>
      <c r="BA38">
        <v>57811</v>
      </c>
      <c r="BB38">
        <v>6601</v>
      </c>
      <c r="BC38">
        <v>9327</v>
      </c>
      <c r="BD38">
        <v>3627</v>
      </c>
      <c r="BE38">
        <v>59125</v>
      </c>
      <c r="BF38">
        <v>14491</v>
      </c>
      <c r="BG38">
        <v>49073</v>
      </c>
      <c r="BH38">
        <v>408</v>
      </c>
      <c r="BI38">
        <v>77799</v>
      </c>
      <c r="BJ38">
        <v>2417</v>
      </c>
      <c r="BK38">
        <v>22458</v>
      </c>
      <c r="BL38">
        <v>27307</v>
      </c>
      <c r="BM38">
        <v>4382</v>
      </c>
      <c r="BN38">
        <v>147</v>
      </c>
      <c r="BO38">
        <v>936838</v>
      </c>
      <c r="BP38">
        <v>16276</v>
      </c>
      <c r="BQ38">
        <v>374050</v>
      </c>
      <c r="BR38">
        <v>15249</v>
      </c>
      <c r="BS38">
        <v>8270</v>
      </c>
      <c r="BT38">
        <v>1304</v>
      </c>
      <c r="BU38" t="s">
        <v>73</v>
      </c>
      <c r="BV38">
        <v>1380</v>
      </c>
      <c r="BW38">
        <v>9872</v>
      </c>
    </row>
    <row r="39" spans="1:75" x14ac:dyDescent="0.4">
      <c r="A39" s="1"/>
      <c r="B39" s="1"/>
    </row>
    <row r="40" spans="1:75" x14ac:dyDescent="0.4">
      <c r="A40" s="1"/>
      <c r="B40" s="1"/>
    </row>
  </sheetData>
  <phoneticPr fontId="2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11B9B-FD13-445F-9111-0A953B2B4BFF}">
  <dimension ref="A1:FL40"/>
  <sheetViews>
    <sheetView workbookViewId="0">
      <selection activeCell="C9" sqref="C9"/>
    </sheetView>
  </sheetViews>
  <sheetFormatPr defaultColWidth="15.625" defaultRowHeight="18.75" x14ac:dyDescent="0.4"/>
  <sheetData>
    <row r="1" spans="1:168" x14ac:dyDescent="0.4">
      <c r="A1" s="1" t="s">
        <v>66</v>
      </c>
      <c r="B1" s="1"/>
    </row>
    <row r="2" spans="1:168" x14ac:dyDescent="0.4">
      <c r="A2" s="4" t="str">
        <f>HYPERLINK("#'目次(Contents)'!A3","目次に戻る(Return to Contents)")</f>
        <v>目次に戻る(Return to Contents)</v>
      </c>
      <c r="B2" s="1"/>
    </row>
    <row r="3" spans="1:168" x14ac:dyDescent="0.4">
      <c r="A3" s="1"/>
      <c r="B3" s="2" t="s">
        <v>0</v>
      </c>
      <c r="C3" t="s">
        <v>1278</v>
      </c>
      <c r="D3" t="s">
        <v>1278</v>
      </c>
      <c r="E3" t="s">
        <v>1280</v>
      </c>
      <c r="F3" t="s">
        <v>1280</v>
      </c>
      <c r="G3" t="s">
        <v>1282</v>
      </c>
      <c r="H3" t="s">
        <v>1282</v>
      </c>
      <c r="I3" t="s">
        <v>1284</v>
      </c>
      <c r="J3" t="s">
        <v>1284</v>
      </c>
      <c r="K3" t="s">
        <v>1284</v>
      </c>
      <c r="L3" t="s">
        <v>1284</v>
      </c>
      <c r="M3" t="s">
        <v>1284</v>
      </c>
      <c r="N3" t="s">
        <v>1286</v>
      </c>
      <c r="O3" t="s">
        <v>1286</v>
      </c>
      <c r="P3" t="s">
        <v>1286</v>
      </c>
      <c r="Q3" t="s">
        <v>1286</v>
      </c>
      <c r="R3" t="s">
        <v>1286</v>
      </c>
      <c r="S3" t="s">
        <v>1288</v>
      </c>
      <c r="T3" t="s">
        <v>1288</v>
      </c>
      <c r="U3" t="s">
        <v>1288</v>
      </c>
      <c r="V3" t="s">
        <v>1288</v>
      </c>
      <c r="W3" t="s">
        <v>1288</v>
      </c>
      <c r="X3" t="s">
        <v>1290</v>
      </c>
      <c r="Y3" t="s">
        <v>1290</v>
      </c>
      <c r="Z3" t="s">
        <v>1290</v>
      </c>
      <c r="AA3" t="s">
        <v>1290</v>
      </c>
      <c r="AB3" t="s">
        <v>1290</v>
      </c>
      <c r="AC3" t="s">
        <v>1292</v>
      </c>
      <c r="AD3" t="s">
        <v>1292</v>
      </c>
      <c r="AE3" t="s">
        <v>1292</v>
      </c>
      <c r="AF3" t="s">
        <v>1292</v>
      </c>
      <c r="AG3" t="s">
        <v>1292</v>
      </c>
      <c r="AH3" t="s">
        <v>1294</v>
      </c>
      <c r="AI3" t="s">
        <v>1294</v>
      </c>
      <c r="AJ3" t="s">
        <v>1294</v>
      </c>
      <c r="AK3" t="s">
        <v>1294</v>
      </c>
      <c r="AL3" t="s">
        <v>1294</v>
      </c>
      <c r="AM3" t="s">
        <v>1296</v>
      </c>
      <c r="AN3" t="s">
        <v>1296</v>
      </c>
      <c r="AO3" t="s">
        <v>1296</v>
      </c>
      <c r="AP3" t="s">
        <v>1296</v>
      </c>
      <c r="AQ3" t="s">
        <v>1296</v>
      </c>
      <c r="AR3" t="s">
        <v>1298</v>
      </c>
      <c r="AS3" t="s">
        <v>1298</v>
      </c>
      <c r="AT3" t="s">
        <v>1298</v>
      </c>
      <c r="AU3" t="s">
        <v>1298</v>
      </c>
      <c r="AV3" t="s">
        <v>1298</v>
      </c>
      <c r="AW3" t="s">
        <v>1300</v>
      </c>
      <c r="AX3" t="s">
        <v>1300</v>
      </c>
      <c r="AY3" t="s">
        <v>1300</v>
      </c>
      <c r="AZ3" t="s">
        <v>1300</v>
      </c>
      <c r="BA3" t="s">
        <v>1300</v>
      </c>
      <c r="BB3" t="s">
        <v>1302</v>
      </c>
      <c r="BC3" t="s">
        <v>1302</v>
      </c>
      <c r="BD3" t="s">
        <v>1302</v>
      </c>
      <c r="BE3" t="s">
        <v>1302</v>
      </c>
      <c r="BF3" t="s">
        <v>1302</v>
      </c>
      <c r="BG3" t="s">
        <v>1304</v>
      </c>
      <c r="BH3" t="s">
        <v>1304</v>
      </c>
      <c r="BI3" t="s">
        <v>1304</v>
      </c>
      <c r="BJ3" t="s">
        <v>1304</v>
      </c>
      <c r="BK3" t="s">
        <v>1304</v>
      </c>
      <c r="BL3" t="s">
        <v>1306</v>
      </c>
      <c r="BM3" t="s">
        <v>1306</v>
      </c>
      <c r="BN3" t="s">
        <v>1306</v>
      </c>
      <c r="BO3" t="s">
        <v>1306</v>
      </c>
      <c r="BP3" t="s">
        <v>1306</v>
      </c>
      <c r="BQ3" t="s">
        <v>1308</v>
      </c>
      <c r="BR3" t="s">
        <v>1308</v>
      </c>
      <c r="BS3" t="s">
        <v>1308</v>
      </c>
      <c r="BT3" t="s">
        <v>1308</v>
      </c>
      <c r="BU3" t="s">
        <v>1308</v>
      </c>
      <c r="BV3" t="s">
        <v>1310</v>
      </c>
      <c r="BW3" t="s">
        <v>1310</v>
      </c>
      <c r="BX3" t="s">
        <v>1310</v>
      </c>
      <c r="BY3" t="s">
        <v>1310</v>
      </c>
      <c r="BZ3" t="s">
        <v>1310</v>
      </c>
      <c r="CA3" t="s">
        <v>1312</v>
      </c>
      <c r="CB3" t="s">
        <v>1312</v>
      </c>
      <c r="CC3" t="s">
        <v>1312</v>
      </c>
      <c r="CD3" t="s">
        <v>1312</v>
      </c>
      <c r="CE3" t="s">
        <v>1312</v>
      </c>
      <c r="CF3" t="s">
        <v>1314</v>
      </c>
      <c r="CG3" t="s">
        <v>1314</v>
      </c>
      <c r="CH3" t="s">
        <v>1314</v>
      </c>
      <c r="CI3" t="s">
        <v>1314</v>
      </c>
      <c r="CJ3" t="s">
        <v>1314</v>
      </c>
      <c r="CK3" t="s">
        <v>1316</v>
      </c>
      <c r="CL3" t="s">
        <v>1316</v>
      </c>
      <c r="CM3" t="s">
        <v>1316</v>
      </c>
      <c r="CN3" t="s">
        <v>1316</v>
      </c>
      <c r="CO3" t="s">
        <v>1316</v>
      </c>
      <c r="CP3" t="s">
        <v>1318</v>
      </c>
      <c r="CQ3" t="s">
        <v>1318</v>
      </c>
      <c r="CR3" t="s">
        <v>1318</v>
      </c>
      <c r="CS3" t="s">
        <v>1318</v>
      </c>
      <c r="CT3" t="s">
        <v>1318</v>
      </c>
      <c r="CU3" t="s">
        <v>1320</v>
      </c>
      <c r="CV3" t="s">
        <v>1320</v>
      </c>
      <c r="CW3" t="s">
        <v>1320</v>
      </c>
      <c r="CX3" t="s">
        <v>1320</v>
      </c>
      <c r="CY3" t="s">
        <v>1320</v>
      </c>
      <c r="CZ3" t="s">
        <v>1322</v>
      </c>
      <c r="DA3" t="s">
        <v>1322</v>
      </c>
      <c r="DB3" t="s">
        <v>1322</v>
      </c>
      <c r="DC3" t="s">
        <v>1322</v>
      </c>
      <c r="DD3" t="s">
        <v>1322</v>
      </c>
      <c r="DE3" t="s">
        <v>1324</v>
      </c>
      <c r="DF3" t="s">
        <v>1324</v>
      </c>
      <c r="DG3" t="s">
        <v>1324</v>
      </c>
      <c r="DH3" t="s">
        <v>1324</v>
      </c>
      <c r="DI3" t="s">
        <v>1324</v>
      </c>
      <c r="DJ3" t="s">
        <v>1326</v>
      </c>
      <c r="DK3" t="s">
        <v>1326</v>
      </c>
      <c r="DL3" t="s">
        <v>1326</v>
      </c>
      <c r="DM3" t="s">
        <v>1326</v>
      </c>
      <c r="DN3" t="s">
        <v>1326</v>
      </c>
      <c r="DO3" t="s">
        <v>1328</v>
      </c>
      <c r="DP3" t="s">
        <v>1328</v>
      </c>
      <c r="DQ3" t="s">
        <v>1328</v>
      </c>
      <c r="DR3" t="s">
        <v>1328</v>
      </c>
      <c r="DS3" t="s">
        <v>1328</v>
      </c>
      <c r="DT3" t="s">
        <v>1330</v>
      </c>
      <c r="DU3" t="s">
        <v>1330</v>
      </c>
      <c r="DV3" t="s">
        <v>1330</v>
      </c>
      <c r="DW3" t="s">
        <v>1330</v>
      </c>
      <c r="DX3" t="s">
        <v>1330</v>
      </c>
      <c r="DY3" t="s">
        <v>1332</v>
      </c>
      <c r="DZ3" t="s">
        <v>1332</v>
      </c>
      <c r="EA3" t="s">
        <v>1332</v>
      </c>
      <c r="EB3" t="s">
        <v>1332</v>
      </c>
      <c r="EC3" t="s">
        <v>1332</v>
      </c>
      <c r="ED3" t="s">
        <v>1335</v>
      </c>
      <c r="EE3" t="s">
        <v>1335</v>
      </c>
      <c r="EF3" t="s">
        <v>1335</v>
      </c>
      <c r="EG3" t="s">
        <v>1335</v>
      </c>
      <c r="EH3" t="s">
        <v>1335</v>
      </c>
      <c r="EI3" t="s">
        <v>1337</v>
      </c>
      <c r="EJ3" t="s">
        <v>1337</v>
      </c>
      <c r="EK3" t="s">
        <v>1337</v>
      </c>
      <c r="EL3" t="s">
        <v>1337</v>
      </c>
      <c r="EM3" t="s">
        <v>1337</v>
      </c>
      <c r="EN3" t="s">
        <v>1339</v>
      </c>
      <c r="EO3" t="s">
        <v>1339</v>
      </c>
      <c r="EP3" t="s">
        <v>1339</v>
      </c>
      <c r="EQ3" t="s">
        <v>1339</v>
      </c>
      <c r="ER3" t="s">
        <v>1339</v>
      </c>
      <c r="ES3" t="s">
        <v>1341</v>
      </c>
      <c r="ET3" t="s">
        <v>1341</v>
      </c>
      <c r="EU3" t="s">
        <v>1341</v>
      </c>
      <c r="EV3" t="s">
        <v>1341</v>
      </c>
      <c r="EW3" t="s">
        <v>1341</v>
      </c>
      <c r="EX3" t="s">
        <v>1343</v>
      </c>
      <c r="EY3" t="s">
        <v>1343</v>
      </c>
      <c r="EZ3" t="s">
        <v>1343</v>
      </c>
      <c r="FA3" t="s">
        <v>1343</v>
      </c>
      <c r="FB3" t="s">
        <v>1343</v>
      </c>
      <c r="FC3" t="s">
        <v>1345</v>
      </c>
      <c r="FD3" t="s">
        <v>1345</v>
      </c>
      <c r="FE3" t="s">
        <v>1345</v>
      </c>
      <c r="FF3" t="s">
        <v>1345</v>
      </c>
      <c r="FG3" t="s">
        <v>1345</v>
      </c>
      <c r="FH3" t="s">
        <v>1347</v>
      </c>
      <c r="FI3" t="s">
        <v>1347</v>
      </c>
      <c r="FJ3" t="s">
        <v>1347</v>
      </c>
      <c r="FK3" t="s">
        <v>1347</v>
      </c>
      <c r="FL3" t="s">
        <v>1347</v>
      </c>
    </row>
    <row r="4" spans="1:168" x14ac:dyDescent="0.4">
      <c r="A4" s="1"/>
      <c r="B4" s="2" t="s">
        <v>1</v>
      </c>
      <c r="C4" t="s">
        <v>1279</v>
      </c>
      <c r="D4" t="s">
        <v>1279</v>
      </c>
      <c r="E4" t="s">
        <v>1281</v>
      </c>
      <c r="F4" t="s">
        <v>1281</v>
      </c>
      <c r="G4" t="s">
        <v>1283</v>
      </c>
      <c r="H4" t="s">
        <v>1283</v>
      </c>
      <c r="I4" t="s">
        <v>1285</v>
      </c>
      <c r="J4" t="s">
        <v>1285</v>
      </c>
      <c r="K4" t="s">
        <v>1285</v>
      </c>
      <c r="L4" t="s">
        <v>1285</v>
      </c>
      <c r="M4" t="s">
        <v>1285</v>
      </c>
      <c r="N4" t="s">
        <v>1287</v>
      </c>
      <c r="O4" t="s">
        <v>1287</v>
      </c>
      <c r="P4" t="s">
        <v>1287</v>
      </c>
      <c r="Q4" t="s">
        <v>1287</v>
      </c>
      <c r="R4" t="s">
        <v>1287</v>
      </c>
      <c r="S4" t="s">
        <v>1289</v>
      </c>
      <c r="T4" t="s">
        <v>1289</v>
      </c>
      <c r="U4" t="s">
        <v>1289</v>
      </c>
      <c r="V4" t="s">
        <v>1289</v>
      </c>
      <c r="W4" t="s">
        <v>1289</v>
      </c>
      <c r="X4" t="s">
        <v>1291</v>
      </c>
      <c r="Y4" t="s">
        <v>1291</v>
      </c>
      <c r="Z4" t="s">
        <v>1291</v>
      </c>
      <c r="AA4" t="s">
        <v>1291</v>
      </c>
      <c r="AB4" t="s">
        <v>1291</v>
      </c>
      <c r="AC4" t="s">
        <v>1293</v>
      </c>
      <c r="AD4" t="s">
        <v>1293</v>
      </c>
      <c r="AE4" t="s">
        <v>1293</v>
      </c>
      <c r="AF4" t="s">
        <v>1293</v>
      </c>
      <c r="AG4" t="s">
        <v>1293</v>
      </c>
      <c r="AH4" t="s">
        <v>1295</v>
      </c>
      <c r="AI4" t="s">
        <v>1295</v>
      </c>
      <c r="AJ4" t="s">
        <v>1295</v>
      </c>
      <c r="AK4" t="s">
        <v>1295</v>
      </c>
      <c r="AL4" t="s">
        <v>1295</v>
      </c>
      <c r="AM4" t="s">
        <v>1297</v>
      </c>
      <c r="AN4" t="s">
        <v>1297</v>
      </c>
      <c r="AO4" t="s">
        <v>1297</v>
      </c>
      <c r="AP4" t="s">
        <v>1297</v>
      </c>
      <c r="AQ4" t="s">
        <v>1297</v>
      </c>
      <c r="AR4" t="s">
        <v>1299</v>
      </c>
      <c r="AS4" t="s">
        <v>1299</v>
      </c>
      <c r="AT4" t="s">
        <v>1299</v>
      </c>
      <c r="AU4" t="s">
        <v>1299</v>
      </c>
      <c r="AV4" t="s">
        <v>1299</v>
      </c>
      <c r="AW4" t="s">
        <v>1301</v>
      </c>
      <c r="AX4" t="s">
        <v>1301</v>
      </c>
      <c r="AY4" t="s">
        <v>1301</v>
      </c>
      <c r="AZ4" t="s">
        <v>1301</v>
      </c>
      <c r="BA4" t="s">
        <v>1301</v>
      </c>
      <c r="BB4" t="s">
        <v>1303</v>
      </c>
      <c r="BC4" t="s">
        <v>1303</v>
      </c>
      <c r="BD4" t="s">
        <v>1303</v>
      </c>
      <c r="BE4" t="s">
        <v>1303</v>
      </c>
      <c r="BF4" t="s">
        <v>1303</v>
      </c>
      <c r="BG4" t="s">
        <v>1305</v>
      </c>
      <c r="BH4" t="s">
        <v>1305</v>
      </c>
      <c r="BI4" t="s">
        <v>1305</v>
      </c>
      <c r="BJ4" t="s">
        <v>1305</v>
      </c>
      <c r="BK4" t="s">
        <v>1305</v>
      </c>
      <c r="BL4" t="s">
        <v>1307</v>
      </c>
      <c r="BM4" t="s">
        <v>1307</v>
      </c>
      <c r="BN4" t="s">
        <v>1307</v>
      </c>
      <c r="BO4" t="s">
        <v>1307</v>
      </c>
      <c r="BP4" t="s">
        <v>1307</v>
      </c>
      <c r="BQ4" t="s">
        <v>1309</v>
      </c>
      <c r="BR4" t="s">
        <v>1309</v>
      </c>
      <c r="BS4" t="s">
        <v>1309</v>
      </c>
      <c r="BT4" t="s">
        <v>1309</v>
      </c>
      <c r="BU4" t="s">
        <v>1309</v>
      </c>
      <c r="BV4" t="s">
        <v>1311</v>
      </c>
      <c r="BW4" t="s">
        <v>1311</v>
      </c>
      <c r="BX4" t="s">
        <v>1311</v>
      </c>
      <c r="BY4" t="s">
        <v>1311</v>
      </c>
      <c r="BZ4" t="s">
        <v>1311</v>
      </c>
      <c r="CA4" t="s">
        <v>1313</v>
      </c>
      <c r="CB4" t="s">
        <v>1313</v>
      </c>
      <c r="CC4" t="s">
        <v>1313</v>
      </c>
      <c r="CD4" t="s">
        <v>1313</v>
      </c>
      <c r="CE4" t="s">
        <v>1313</v>
      </c>
      <c r="CF4" t="s">
        <v>1315</v>
      </c>
      <c r="CG4" t="s">
        <v>1315</v>
      </c>
      <c r="CH4" t="s">
        <v>1315</v>
      </c>
      <c r="CI4" t="s">
        <v>1315</v>
      </c>
      <c r="CJ4" t="s">
        <v>1315</v>
      </c>
      <c r="CK4" t="s">
        <v>1317</v>
      </c>
      <c r="CL4" t="s">
        <v>1317</v>
      </c>
      <c r="CM4" t="s">
        <v>1317</v>
      </c>
      <c r="CN4" t="s">
        <v>1317</v>
      </c>
      <c r="CO4" t="s">
        <v>1317</v>
      </c>
      <c r="CP4" t="s">
        <v>1319</v>
      </c>
      <c r="CQ4" t="s">
        <v>1319</v>
      </c>
      <c r="CR4" t="s">
        <v>1319</v>
      </c>
      <c r="CS4" t="s">
        <v>1319</v>
      </c>
      <c r="CT4" t="s">
        <v>1319</v>
      </c>
      <c r="CU4" t="s">
        <v>1321</v>
      </c>
      <c r="CV4" t="s">
        <v>1321</v>
      </c>
      <c r="CW4" t="s">
        <v>1321</v>
      </c>
      <c r="CX4" t="s">
        <v>1321</v>
      </c>
      <c r="CY4" t="s">
        <v>1321</v>
      </c>
      <c r="CZ4" t="s">
        <v>1323</v>
      </c>
      <c r="DA4" t="s">
        <v>1323</v>
      </c>
      <c r="DB4" t="s">
        <v>1323</v>
      </c>
      <c r="DC4" t="s">
        <v>1323</v>
      </c>
      <c r="DD4" t="s">
        <v>1323</v>
      </c>
      <c r="DE4" t="s">
        <v>1325</v>
      </c>
      <c r="DF4" t="s">
        <v>1325</v>
      </c>
      <c r="DG4" t="s">
        <v>1325</v>
      </c>
      <c r="DH4" t="s">
        <v>1325</v>
      </c>
      <c r="DI4" t="s">
        <v>1325</v>
      </c>
      <c r="DJ4" t="s">
        <v>1327</v>
      </c>
      <c r="DK4" t="s">
        <v>1327</v>
      </c>
      <c r="DL4" t="s">
        <v>1327</v>
      </c>
      <c r="DM4" t="s">
        <v>1327</v>
      </c>
      <c r="DN4" t="s">
        <v>1327</v>
      </c>
      <c r="DO4" t="s">
        <v>1329</v>
      </c>
      <c r="DP4" t="s">
        <v>1329</v>
      </c>
      <c r="DQ4" t="s">
        <v>1329</v>
      </c>
      <c r="DR4" t="s">
        <v>1329</v>
      </c>
      <c r="DS4" t="s">
        <v>1329</v>
      </c>
      <c r="DT4" t="s">
        <v>1331</v>
      </c>
      <c r="DU4" t="s">
        <v>1331</v>
      </c>
      <c r="DV4" t="s">
        <v>1331</v>
      </c>
      <c r="DW4" t="s">
        <v>1331</v>
      </c>
      <c r="DX4" t="s">
        <v>1331</v>
      </c>
      <c r="DY4" t="s">
        <v>1333</v>
      </c>
      <c r="DZ4" t="s">
        <v>1334</v>
      </c>
      <c r="EA4" t="s">
        <v>1333</v>
      </c>
      <c r="EB4" t="s">
        <v>1333</v>
      </c>
      <c r="EC4" t="s">
        <v>1333</v>
      </c>
      <c r="ED4" t="s">
        <v>1336</v>
      </c>
      <c r="EE4" t="s">
        <v>1336</v>
      </c>
      <c r="EF4" t="s">
        <v>1336</v>
      </c>
      <c r="EG4" t="s">
        <v>1336</v>
      </c>
      <c r="EH4" t="s">
        <v>1336</v>
      </c>
      <c r="EI4" t="s">
        <v>1338</v>
      </c>
      <c r="EJ4" t="s">
        <v>1338</v>
      </c>
      <c r="EK4" t="s">
        <v>1338</v>
      </c>
      <c r="EL4" t="s">
        <v>1338</v>
      </c>
      <c r="EM4" t="s">
        <v>1338</v>
      </c>
      <c r="EN4" t="s">
        <v>1340</v>
      </c>
      <c r="EO4" t="s">
        <v>1340</v>
      </c>
      <c r="EP4" t="s">
        <v>1340</v>
      </c>
      <c r="EQ4" t="s">
        <v>1340</v>
      </c>
      <c r="ER4" t="s">
        <v>1340</v>
      </c>
      <c r="ES4" t="s">
        <v>1342</v>
      </c>
      <c r="ET4" t="s">
        <v>1342</v>
      </c>
      <c r="EU4" t="s">
        <v>1342</v>
      </c>
      <c r="EV4" t="s">
        <v>1342</v>
      </c>
      <c r="EW4" t="s">
        <v>1342</v>
      </c>
      <c r="EX4" t="s">
        <v>1344</v>
      </c>
      <c r="EY4" t="s">
        <v>1344</v>
      </c>
      <c r="EZ4" t="s">
        <v>1344</v>
      </c>
      <c r="FA4" t="s">
        <v>1344</v>
      </c>
      <c r="FB4" t="s">
        <v>1344</v>
      </c>
      <c r="FC4" t="s">
        <v>1346</v>
      </c>
      <c r="FD4" t="s">
        <v>1346</v>
      </c>
      <c r="FE4" t="s">
        <v>1346</v>
      </c>
      <c r="FF4" t="s">
        <v>1346</v>
      </c>
      <c r="FG4" t="s">
        <v>1346</v>
      </c>
      <c r="FH4" t="s">
        <v>1348</v>
      </c>
      <c r="FI4" t="s">
        <v>1348</v>
      </c>
      <c r="FJ4" t="s">
        <v>1348</v>
      </c>
      <c r="FK4" t="s">
        <v>1348</v>
      </c>
      <c r="FL4" t="s">
        <v>1348</v>
      </c>
    </row>
    <row r="5" spans="1:168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74</v>
      </c>
      <c r="L5" t="s">
        <v>263</v>
      </c>
      <c r="M5" t="s">
        <v>76</v>
      </c>
      <c r="N5" t="s">
        <v>69</v>
      </c>
      <c r="O5" t="s">
        <v>257</v>
      </c>
      <c r="P5" t="s">
        <v>74</v>
      </c>
      <c r="Q5" t="s">
        <v>263</v>
      </c>
      <c r="R5" t="s">
        <v>76</v>
      </c>
      <c r="S5" t="s">
        <v>69</v>
      </c>
      <c r="T5" t="s">
        <v>257</v>
      </c>
      <c r="U5" t="s">
        <v>74</v>
      </c>
      <c r="V5" t="s">
        <v>263</v>
      </c>
      <c r="W5" t="s">
        <v>76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  <c r="BL5" t="s">
        <v>69</v>
      </c>
      <c r="BM5" t="s">
        <v>257</v>
      </c>
      <c r="BN5" t="s">
        <v>74</v>
      </c>
      <c r="BO5" t="s">
        <v>263</v>
      </c>
      <c r="BP5" t="s">
        <v>76</v>
      </c>
      <c r="BQ5" t="s">
        <v>69</v>
      </c>
      <c r="BR5" t="s">
        <v>257</v>
      </c>
      <c r="BS5" t="s">
        <v>74</v>
      </c>
      <c r="BT5" t="s">
        <v>263</v>
      </c>
      <c r="BU5" t="s">
        <v>76</v>
      </c>
      <c r="BV5" t="s">
        <v>69</v>
      </c>
      <c r="BW5" t="s">
        <v>257</v>
      </c>
      <c r="BX5" t="s">
        <v>74</v>
      </c>
      <c r="BY5" t="s">
        <v>263</v>
      </c>
      <c r="BZ5" t="s">
        <v>76</v>
      </c>
      <c r="CA5" t="s">
        <v>69</v>
      </c>
      <c r="CB5" t="s">
        <v>257</v>
      </c>
      <c r="CC5" t="s">
        <v>74</v>
      </c>
      <c r="CD5" t="s">
        <v>263</v>
      </c>
      <c r="CE5" t="s">
        <v>76</v>
      </c>
      <c r="CF5" t="s">
        <v>69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257</v>
      </c>
      <c r="CM5" t="s">
        <v>74</v>
      </c>
      <c r="CN5" t="s">
        <v>263</v>
      </c>
      <c r="CO5" t="s">
        <v>76</v>
      </c>
      <c r="CP5" t="s">
        <v>69</v>
      </c>
      <c r="CQ5" t="s">
        <v>257</v>
      </c>
      <c r="CR5" t="s">
        <v>74</v>
      </c>
      <c r="CS5" t="s">
        <v>263</v>
      </c>
      <c r="CT5" t="s">
        <v>76</v>
      </c>
      <c r="CU5" t="s">
        <v>69</v>
      </c>
      <c r="CV5" t="s">
        <v>257</v>
      </c>
      <c r="CW5" t="s">
        <v>74</v>
      </c>
      <c r="CX5" t="s">
        <v>263</v>
      </c>
      <c r="CY5" t="s">
        <v>76</v>
      </c>
      <c r="CZ5" t="s">
        <v>69</v>
      </c>
      <c r="DA5" t="s">
        <v>257</v>
      </c>
      <c r="DB5" t="s">
        <v>74</v>
      </c>
      <c r="DC5" t="s">
        <v>263</v>
      </c>
      <c r="DD5" t="s">
        <v>76</v>
      </c>
      <c r="DE5" t="s">
        <v>69</v>
      </c>
      <c r="DF5" t="s">
        <v>257</v>
      </c>
      <c r="DG5" t="s">
        <v>74</v>
      </c>
      <c r="DH5" t="s">
        <v>263</v>
      </c>
      <c r="DI5" t="s">
        <v>76</v>
      </c>
      <c r="DJ5" t="s">
        <v>69</v>
      </c>
      <c r="DK5" t="s">
        <v>257</v>
      </c>
      <c r="DL5" t="s">
        <v>74</v>
      </c>
      <c r="DM5" t="s">
        <v>263</v>
      </c>
      <c r="DN5" t="s">
        <v>76</v>
      </c>
      <c r="DO5" t="s">
        <v>69</v>
      </c>
      <c r="DP5" t="s">
        <v>257</v>
      </c>
      <c r="DQ5" t="s">
        <v>74</v>
      </c>
      <c r="DR5" t="s">
        <v>263</v>
      </c>
      <c r="DS5" t="s">
        <v>76</v>
      </c>
      <c r="DT5" t="s">
        <v>69</v>
      </c>
      <c r="DU5" t="s">
        <v>257</v>
      </c>
      <c r="DV5" t="s">
        <v>74</v>
      </c>
      <c r="DW5" t="s">
        <v>263</v>
      </c>
      <c r="DX5" t="s">
        <v>76</v>
      </c>
      <c r="DY5" t="s">
        <v>69</v>
      </c>
      <c r="DZ5" t="s">
        <v>257</v>
      </c>
      <c r="EA5" t="s">
        <v>74</v>
      </c>
      <c r="EB5" t="s">
        <v>263</v>
      </c>
      <c r="EC5" t="s">
        <v>76</v>
      </c>
      <c r="ED5" t="s">
        <v>69</v>
      </c>
      <c r="EE5" t="s">
        <v>257</v>
      </c>
      <c r="EF5" t="s">
        <v>74</v>
      </c>
      <c r="EG5" t="s">
        <v>263</v>
      </c>
      <c r="EH5" t="s">
        <v>76</v>
      </c>
      <c r="EI5" t="s">
        <v>69</v>
      </c>
      <c r="EJ5" t="s">
        <v>257</v>
      </c>
      <c r="EK5" t="s">
        <v>74</v>
      </c>
      <c r="EL5" t="s">
        <v>263</v>
      </c>
      <c r="EM5" t="s">
        <v>76</v>
      </c>
      <c r="EN5" t="s">
        <v>69</v>
      </c>
      <c r="EO5" t="s">
        <v>257</v>
      </c>
      <c r="EP5" t="s">
        <v>74</v>
      </c>
      <c r="EQ5" t="s">
        <v>263</v>
      </c>
      <c r="ER5" t="s">
        <v>76</v>
      </c>
      <c r="ES5" t="s">
        <v>69</v>
      </c>
      <c r="ET5" t="s">
        <v>257</v>
      </c>
      <c r="EU5" t="s">
        <v>74</v>
      </c>
      <c r="EV5" t="s">
        <v>263</v>
      </c>
      <c r="EW5" t="s">
        <v>76</v>
      </c>
      <c r="EX5" t="s">
        <v>69</v>
      </c>
      <c r="EY5" t="s">
        <v>257</v>
      </c>
      <c r="EZ5" t="s">
        <v>74</v>
      </c>
      <c r="FA5" t="s">
        <v>263</v>
      </c>
      <c r="FB5" t="s">
        <v>76</v>
      </c>
      <c r="FC5" t="s">
        <v>69</v>
      </c>
      <c r="FD5" t="s">
        <v>257</v>
      </c>
      <c r="FE5" t="s">
        <v>74</v>
      </c>
      <c r="FF5" t="s">
        <v>263</v>
      </c>
      <c r="FG5" t="s">
        <v>76</v>
      </c>
      <c r="FH5" t="s">
        <v>254</v>
      </c>
      <c r="FI5" t="s">
        <v>257</v>
      </c>
      <c r="FJ5" t="s">
        <v>261</v>
      </c>
      <c r="FK5" t="s">
        <v>263</v>
      </c>
      <c r="FL5" t="s">
        <v>265</v>
      </c>
    </row>
    <row r="6" spans="1:168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75</v>
      </c>
      <c r="L6" t="s">
        <v>264</v>
      </c>
      <c r="M6" t="s">
        <v>77</v>
      </c>
      <c r="N6" t="s">
        <v>72</v>
      </c>
      <c r="O6" t="s">
        <v>259</v>
      </c>
      <c r="P6" t="s">
        <v>75</v>
      </c>
      <c r="Q6" t="s">
        <v>264</v>
      </c>
      <c r="R6" t="s">
        <v>77</v>
      </c>
      <c r="S6" t="s">
        <v>72</v>
      </c>
      <c r="T6" t="s">
        <v>259</v>
      </c>
      <c r="U6" t="s">
        <v>75</v>
      </c>
      <c r="V6" t="s">
        <v>264</v>
      </c>
      <c r="W6" t="s">
        <v>77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  <c r="BL6" t="s">
        <v>72</v>
      </c>
      <c r="BM6" t="s">
        <v>259</v>
      </c>
      <c r="BN6" t="s">
        <v>75</v>
      </c>
      <c r="BO6" t="s">
        <v>264</v>
      </c>
      <c r="BP6" t="s">
        <v>77</v>
      </c>
      <c r="BQ6" t="s">
        <v>72</v>
      </c>
      <c r="BR6" t="s">
        <v>259</v>
      </c>
      <c r="BS6" t="s">
        <v>75</v>
      </c>
      <c r="BT6" t="s">
        <v>264</v>
      </c>
      <c r="BU6" t="s">
        <v>77</v>
      </c>
      <c r="BV6" t="s">
        <v>72</v>
      </c>
      <c r="BW6" t="s">
        <v>259</v>
      </c>
      <c r="BX6" t="s">
        <v>75</v>
      </c>
      <c r="BY6" t="s">
        <v>264</v>
      </c>
      <c r="BZ6" t="s">
        <v>77</v>
      </c>
      <c r="CA6" t="s">
        <v>72</v>
      </c>
      <c r="CB6" t="s">
        <v>259</v>
      </c>
      <c r="CC6" t="s">
        <v>75</v>
      </c>
      <c r="CD6" t="s">
        <v>264</v>
      </c>
      <c r="CE6" t="s">
        <v>77</v>
      </c>
      <c r="CF6" t="s">
        <v>72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259</v>
      </c>
      <c r="CM6" t="s">
        <v>75</v>
      </c>
      <c r="CN6" t="s">
        <v>264</v>
      </c>
      <c r="CO6" t="s">
        <v>77</v>
      </c>
      <c r="CP6" t="s">
        <v>72</v>
      </c>
      <c r="CQ6" t="s">
        <v>259</v>
      </c>
      <c r="CR6" t="s">
        <v>75</v>
      </c>
      <c r="CS6" t="s">
        <v>264</v>
      </c>
      <c r="CT6" t="s">
        <v>77</v>
      </c>
      <c r="CU6" t="s">
        <v>72</v>
      </c>
      <c r="CV6" t="s">
        <v>259</v>
      </c>
      <c r="CW6" t="s">
        <v>75</v>
      </c>
      <c r="CX6" t="s">
        <v>264</v>
      </c>
      <c r="CY6" t="s">
        <v>77</v>
      </c>
      <c r="CZ6" t="s">
        <v>72</v>
      </c>
      <c r="DA6" t="s">
        <v>259</v>
      </c>
      <c r="DB6" t="s">
        <v>75</v>
      </c>
      <c r="DC6" t="s">
        <v>264</v>
      </c>
      <c r="DD6" t="s">
        <v>77</v>
      </c>
      <c r="DE6" t="s">
        <v>72</v>
      </c>
      <c r="DF6" t="s">
        <v>259</v>
      </c>
      <c r="DG6" t="s">
        <v>75</v>
      </c>
      <c r="DH6" t="s">
        <v>264</v>
      </c>
      <c r="DI6" t="s">
        <v>77</v>
      </c>
      <c r="DJ6" t="s">
        <v>72</v>
      </c>
      <c r="DK6" t="s">
        <v>259</v>
      </c>
      <c r="DL6" t="s">
        <v>75</v>
      </c>
      <c r="DM6" t="s">
        <v>264</v>
      </c>
      <c r="DN6" t="s">
        <v>77</v>
      </c>
      <c r="DO6" t="s">
        <v>72</v>
      </c>
      <c r="DP6" t="s">
        <v>259</v>
      </c>
      <c r="DQ6" t="s">
        <v>75</v>
      </c>
      <c r="DR6" t="s">
        <v>264</v>
      </c>
      <c r="DS6" t="s">
        <v>77</v>
      </c>
      <c r="DT6" t="s">
        <v>72</v>
      </c>
      <c r="DU6" t="s">
        <v>259</v>
      </c>
      <c r="DV6" t="s">
        <v>75</v>
      </c>
      <c r="DW6" t="s">
        <v>264</v>
      </c>
      <c r="DX6" t="s">
        <v>77</v>
      </c>
      <c r="DY6" t="s">
        <v>72</v>
      </c>
      <c r="DZ6" t="s">
        <v>259</v>
      </c>
      <c r="EA6" t="s">
        <v>75</v>
      </c>
      <c r="EB6" t="s">
        <v>264</v>
      </c>
      <c r="EC6" t="s">
        <v>77</v>
      </c>
      <c r="ED6" t="s">
        <v>72</v>
      </c>
      <c r="EE6" t="s">
        <v>259</v>
      </c>
      <c r="EF6" t="s">
        <v>75</v>
      </c>
      <c r="EG6" t="s">
        <v>264</v>
      </c>
      <c r="EH6" t="s">
        <v>77</v>
      </c>
      <c r="EI6" t="s">
        <v>72</v>
      </c>
      <c r="EJ6" t="s">
        <v>259</v>
      </c>
      <c r="EK6" t="s">
        <v>75</v>
      </c>
      <c r="EL6" t="s">
        <v>264</v>
      </c>
      <c r="EM6" t="s">
        <v>77</v>
      </c>
      <c r="EN6" t="s">
        <v>72</v>
      </c>
      <c r="EO6" t="s">
        <v>259</v>
      </c>
      <c r="EP6" t="s">
        <v>75</v>
      </c>
      <c r="EQ6" t="s">
        <v>264</v>
      </c>
      <c r="ER6" t="s">
        <v>77</v>
      </c>
      <c r="ES6" t="s">
        <v>72</v>
      </c>
      <c r="ET6" t="s">
        <v>259</v>
      </c>
      <c r="EU6" t="s">
        <v>75</v>
      </c>
      <c r="EV6" t="s">
        <v>264</v>
      </c>
      <c r="EW6" t="s">
        <v>77</v>
      </c>
      <c r="EX6" t="s">
        <v>72</v>
      </c>
      <c r="EY6" t="s">
        <v>259</v>
      </c>
      <c r="EZ6" t="s">
        <v>75</v>
      </c>
      <c r="FA6" t="s">
        <v>264</v>
      </c>
      <c r="FB6" t="s">
        <v>77</v>
      </c>
      <c r="FC6" t="s">
        <v>72</v>
      </c>
      <c r="FD6" t="s">
        <v>259</v>
      </c>
      <c r="FE6" t="s">
        <v>75</v>
      </c>
      <c r="FF6" t="s">
        <v>264</v>
      </c>
      <c r="FG6" t="s">
        <v>77</v>
      </c>
      <c r="FH6" t="s">
        <v>256</v>
      </c>
      <c r="FI6" t="s">
        <v>259</v>
      </c>
      <c r="FJ6" t="s">
        <v>262</v>
      </c>
      <c r="FK6" t="s">
        <v>264</v>
      </c>
      <c r="FL6" t="s">
        <v>266</v>
      </c>
    </row>
    <row r="7" spans="1:168" x14ac:dyDescent="0.4">
      <c r="A7" s="1"/>
      <c r="B7" s="2" t="s">
        <v>4</v>
      </c>
      <c r="C7" t="s">
        <v>588</v>
      </c>
      <c r="D7" t="s">
        <v>258</v>
      </c>
      <c r="E7" t="s">
        <v>588</v>
      </c>
      <c r="F7" t="s">
        <v>258</v>
      </c>
      <c r="G7" t="s">
        <v>588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743</v>
      </c>
      <c r="O7" t="s">
        <v>258</v>
      </c>
      <c r="P7" t="s">
        <v>743</v>
      </c>
      <c r="Q7" t="s">
        <v>258</v>
      </c>
      <c r="R7" t="s">
        <v>743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743</v>
      </c>
      <c r="Y7" t="s">
        <v>258</v>
      </c>
      <c r="Z7" t="s">
        <v>743</v>
      </c>
      <c r="AA7" t="s">
        <v>258</v>
      </c>
      <c r="AB7" t="s">
        <v>743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743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743</v>
      </c>
      <c r="AS7" t="s">
        <v>258</v>
      </c>
      <c r="AT7" t="s">
        <v>743</v>
      </c>
      <c r="AU7" t="s">
        <v>258</v>
      </c>
      <c r="AV7" t="s">
        <v>743</v>
      </c>
      <c r="AW7" t="s">
        <v>743</v>
      </c>
      <c r="AX7" t="s">
        <v>258</v>
      </c>
      <c r="AY7" t="s">
        <v>743</v>
      </c>
      <c r="AZ7" t="s">
        <v>258</v>
      </c>
      <c r="BA7" t="s">
        <v>743</v>
      </c>
      <c r="BB7" t="s">
        <v>743</v>
      </c>
      <c r="BC7" t="s">
        <v>258</v>
      </c>
      <c r="BD7" t="s">
        <v>743</v>
      </c>
      <c r="BE7" t="s">
        <v>258</v>
      </c>
      <c r="BF7" t="s">
        <v>743</v>
      </c>
      <c r="BG7" t="s">
        <v>743</v>
      </c>
      <c r="BH7" t="s">
        <v>258</v>
      </c>
      <c r="BI7" t="s">
        <v>743</v>
      </c>
      <c r="BJ7" t="s">
        <v>258</v>
      </c>
      <c r="BK7" t="s">
        <v>743</v>
      </c>
      <c r="BL7" t="s">
        <v>743</v>
      </c>
      <c r="BM7" t="s">
        <v>258</v>
      </c>
      <c r="BN7" t="s">
        <v>743</v>
      </c>
      <c r="BO7" t="s">
        <v>258</v>
      </c>
      <c r="BP7" t="s">
        <v>743</v>
      </c>
      <c r="BQ7" t="s">
        <v>743</v>
      </c>
      <c r="BR7" t="s">
        <v>258</v>
      </c>
      <c r="BS7" t="s">
        <v>743</v>
      </c>
      <c r="BT7" t="s">
        <v>258</v>
      </c>
      <c r="BU7" t="s">
        <v>743</v>
      </c>
      <c r="BV7" t="s">
        <v>743</v>
      </c>
      <c r="BW7" t="s">
        <v>258</v>
      </c>
      <c r="BX7" t="s">
        <v>743</v>
      </c>
      <c r="BY7" t="s">
        <v>258</v>
      </c>
      <c r="BZ7" t="s">
        <v>743</v>
      </c>
      <c r="CA7" t="s">
        <v>743</v>
      </c>
      <c r="CB7" t="s">
        <v>258</v>
      </c>
      <c r="CC7" t="s">
        <v>743</v>
      </c>
      <c r="CD7" t="s">
        <v>258</v>
      </c>
      <c r="CE7" t="s">
        <v>743</v>
      </c>
      <c r="CF7" t="s">
        <v>743</v>
      </c>
      <c r="CG7" t="s">
        <v>258</v>
      </c>
      <c r="CH7" t="s">
        <v>743</v>
      </c>
      <c r="CI7" t="s">
        <v>258</v>
      </c>
      <c r="CJ7" t="s">
        <v>743</v>
      </c>
      <c r="CK7" t="s">
        <v>743</v>
      </c>
      <c r="CL7" t="s">
        <v>258</v>
      </c>
      <c r="CM7" t="s">
        <v>743</v>
      </c>
      <c r="CN7" t="s">
        <v>258</v>
      </c>
      <c r="CO7" t="s">
        <v>743</v>
      </c>
      <c r="CP7" t="s">
        <v>743</v>
      </c>
      <c r="CQ7" t="s">
        <v>258</v>
      </c>
      <c r="CR7" t="s">
        <v>743</v>
      </c>
      <c r="CS7" t="s">
        <v>258</v>
      </c>
      <c r="CT7" t="s">
        <v>743</v>
      </c>
      <c r="CU7" t="s">
        <v>743</v>
      </c>
      <c r="CV7" t="s">
        <v>258</v>
      </c>
      <c r="CW7" t="s">
        <v>743</v>
      </c>
      <c r="CX7" t="s">
        <v>258</v>
      </c>
      <c r="CY7" t="s">
        <v>743</v>
      </c>
      <c r="CZ7" t="s">
        <v>743</v>
      </c>
      <c r="DA7" t="s">
        <v>258</v>
      </c>
      <c r="DB7" t="s">
        <v>743</v>
      </c>
      <c r="DC7" t="s">
        <v>258</v>
      </c>
      <c r="DD7" t="s">
        <v>743</v>
      </c>
      <c r="DE7" t="s">
        <v>743</v>
      </c>
      <c r="DF7" t="s">
        <v>258</v>
      </c>
      <c r="DG7" t="s">
        <v>743</v>
      </c>
      <c r="DH7" t="s">
        <v>258</v>
      </c>
      <c r="DI7" t="s">
        <v>743</v>
      </c>
      <c r="DJ7" t="s">
        <v>743</v>
      </c>
      <c r="DK7" t="s">
        <v>258</v>
      </c>
      <c r="DL7" t="s">
        <v>743</v>
      </c>
      <c r="DM7" t="s">
        <v>258</v>
      </c>
      <c r="DN7" t="s">
        <v>743</v>
      </c>
      <c r="DO7" t="s">
        <v>743</v>
      </c>
      <c r="DP7" t="s">
        <v>258</v>
      </c>
      <c r="DQ7" t="s">
        <v>743</v>
      </c>
      <c r="DR7" t="s">
        <v>258</v>
      </c>
      <c r="DS7" t="s">
        <v>743</v>
      </c>
      <c r="DT7" t="s">
        <v>743</v>
      </c>
      <c r="DU7" t="s">
        <v>258</v>
      </c>
      <c r="DV7" t="s">
        <v>743</v>
      </c>
      <c r="DW7" t="s">
        <v>258</v>
      </c>
      <c r="DX7" t="s">
        <v>743</v>
      </c>
      <c r="DY7" t="s">
        <v>743</v>
      </c>
      <c r="DZ7" t="s">
        <v>258</v>
      </c>
      <c r="EA7" t="s">
        <v>743</v>
      </c>
      <c r="EB7" t="s">
        <v>258</v>
      </c>
      <c r="EC7" t="s">
        <v>743</v>
      </c>
      <c r="ED7" t="s">
        <v>743</v>
      </c>
      <c r="EE7" t="s">
        <v>258</v>
      </c>
      <c r="EF7" t="s">
        <v>743</v>
      </c>
      <c r="EG7" t="s">
        <v>258</v>
      </c>
      <c r="EH7" t="s">
        <v>743</v>
      </c>
      <c r="EI7" t="s">
        <v>743</v>
      </c>
      <c r="EJ7" t="s">
        <v>258</v>
      </c>
      <c r="EK7" t="s">
        <v>743</v>
      </c>
      <c r="EL7" t="s">
        <v>258</v>
      </c>
      <c r="EM7" t="s">
        <v>743</v>
      </c>
      <c r="EN7" t="s">
        <v>743</v>
      </c>
      <c r="EO7" t="s">
        <v>258</v>
      </c>
      <c r="EP7" t="s">
        <v>743</v>
      </c>
      <c r="EQ7" t="s">
        <v>258</v>
      </c>
      <c r="ER7" t="s">
        <v>743</v>
      </c>
      <c r="ES7" t="s">
        <v>743</v>
      </c>
      <c r="ET7" t="s">
        <v>258</v>
      </c>
      <c r="EU7" t="s">
        <v>743</v>
      </c>
      <c r="EV7" t="s">
        <v>258</v>
      </c>
      <c r="EW7" t="s">
        <v>743</v>
      </c>
      <c r="EX7" t="s">
        <v>743</v>
      </c>
      <c r="EY7" t="s">
        <v>258</v>
      </c>
      <c r="EZ7" t="s">
        <v>743</v>
      </c>
      <c r="FA7" t="s">
        <v>258</v>
      </c>
      <c r="FB7" t="s">
        <v>743</v>
      </c>
      <c r="FC7" t="s">
        <v>743</v>
      </c>
      <c r="FD7" t="s">
        <v>258</v>
      </c>
      <c r="FE7" t="s">
        <v>743</v>
      </c>
      <c r="FF7" t="s">
        <v>258</v>
      </c>
      <c r="FG7" t="s">
        <v>743</v>
      </c>
      <c r="FH7" t="s">
        <v>301</v>
      </c>
      <c r="FI7" t="s">
        <v>258</v>
      </c>
      <c r="FJ7" t="s">
        <v>301</v>
      </c>
      <c r="FK7" t="s">
        <v>258</v>
      </c>
      <c r="FL7" t="s">
        <v>301</v>
      </c>
    </row>
    <row r="8" spans="1:168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745</v>
      </c>
      <c r="O8" t="s">
        <v>260</v>
      </c>
      <c r="P8" t="s">
        <v>745</v>
      </c>
      <c r="Q8" t="s">
        <v>260</v>
      </c>
      <c r="R8" t="s">
        <v>745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745</v>
      </c>
      <c r="Y8" t="s">
        <v>260</v>
      </c>
      <c r="Z8" t="s">
        <v>745</v>
      </c>
      <c r="AA8" t="s">
        <v>260</v>
      </c>
      <c r="AB8" t="s">
        <v>745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745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745</v>
      </c>
      <c r="AS8" t="s">
        <v>260</v>
      </c>
      <c r="AT8" t="s">
        <v>745</v>
      </c>
      <c r="AU8" t="s">
        <v>260</v>
      </c>
      <c r="AV8" t="s">
        <v>745</v>
      </c>
      <c r="AW8" t="s">
        <v>745</v>
      </c>
      <c r="AX8" t="s">
        <v>260</v>
      </c>
      <c r="AY8" t="s">
        <v>745</v>
      </c>
      <c r="AZ8" t="s">
        <v>260</v>
      </c>
      <c r="BA8" t="s">
        <v>745</v>
      </c>
      <c r="BB8" t="s">
        <v>745</v>
      </c>
      <c r="BC8" t="s">
        <v>260</v>
      </c>
      <c r="BD8" t="s">
        <v>745</v>
      </c>
      <c r="BE8" t="s">
        <v>260</v>
      </c>
      <c r="BF8" t="s">
        <v>745</v>
      </c>
      <c r="BG8" t="s">
        <v>745</v>
      </c>
      <c r="BH8" t="s">
        <v>260</v>
      </c>
      <c r="BI8" t="s">
        <v>745</v>
      </c>
      <c r="BJ8" t="s">
        <v>260</v>
      </c>
      <c r="BK8" t="s">
        <v>745</v>
      </c>
      <c r="BL8" t="s">
        <v>745</v>
      </c>
      <c r="BM8" t="s">
        <v>260</v>
      </c>
      <c r="BN8" t="s">
        <v>745</v>
      </c>
      <c r="BO8" t="s">
        <v>260</v>
      </c>
      <c r="BP8" t="s">
        <v>745</v>
      </c>
      <c r="BQ8" t="s">
        <v>745</v>
      </c>
      <c r="BR8" t="s">
        <v>260</v>
      </c>
      <c r="BS8" t="s">
        <v>745</v>
      </c>
      <c r="BT8" t="s">
        <v>260</v>
      </c>
      <c r="BU8" t="s">
        <v>745</v>
      </c>
      <c r="BV8" t="s">
        <v>745</v>
      </c>
      <c r="BW8" t="s">
        <v>260</v>
      </c>
      <c r="BX8" t="s">
        <v>745</v>
      </c>
      <c r="BY8" t="s">
        <v>260</v>
      </c>
      <c r="BZ8" t="s">
        <v>745</v>
      </c>
      <c r="CA8" t="s">
        <v>745</v>
      </c>
      <c r="CB8" t="s">
        <v>260</v>
      </c>
      <c r="CC8" t="s">
        <v>745</v>
      </c>
      <c r="CD8" t="s">
        <v>260</v>
      </c>
      <c r="CE8" t="s">
        <v>745</v>
      </c>
      <c r="CF8" t="s">
        <v>745</v>
      </c>
      <c r="CG8" t="s">
        <v>260</v>
      </c>
      <c r="CH8" t="s">
        <v>745</v>
      </c>
      <c r="CI8" t="s">
        <v>260</v>
      </c>
      <c r="CJ8" t="s">
        <v>745</v>
      </c>
      <c r="CK8" t="s">
        <v>745</v>
      </c>
      <c r="CL8" t="s">
        <v>260</v>
      </c>
      <c r="CM8" t="s">
        <v>745</v>
      </c>
      <c r="CN8" t="s">
        <v>260</v>
      </c>
      <c r="CO8" t="s">
        <v>745</v>
      </c>
      <c r="CP8" t="s">
        <v>745</v>
      </c>
      <c r="CQ8" t="s">
        <v>260</v>
      </c>
      <c r="CR8" t="s">
        <v>745</v>
      </c>
      <c r="CS8" t="s">
        <v>260</v>
      </c>
      <c r="CT8" t="s">
        <v>745</v>
      </c>
      <c r="CU8" t="s">
        <v>745</v>
      </c>
      <c r="CV8" t="s">
        <v>260</v>
      </c>
      <c r="CW8" t="s">
        <v>745</v>
      </c>
      <c r="CX8" t="s">
        <v>260</v>
      </c>
      <c r="CY8" t="s">
        <v>745</v>
      </c>
      <c r="CZ8" t="s">
        <v>745</v>
      </c>
      <c r="DA8" t="s">
        <v>260</v>
      </c>
      <c r="DB8" t="s">
        <v>745</v>
      </c>
      <c r="DC8" t="s">
        <v>260</v>
      </c>
      <c r="DD8" t="s">
        <v>745</v>
      </c>
      <c r="DE8" t="s">
        <v>745</v>
      </c>
      <c r="DF8" t="s">
        <v>260</v>
      </c>
      <c r="DG8" t="s">
        <v>745</v>
      </c>
      <c r="DH8" t="s">
        <v>260</v>
      </c>
      <c r="DI8" t="s">
        <v>745</v>
      </c>
      <c r="DJ8" t="s">
        <v>745</v>
      </c>
      <c r="DK8" t="s">
        <v>260</v>
      </c>
      <c r="DL8" t="s">
        <v>745</v>
      </c>
      <c r="DM8" t="s">
        <v>260</v>
      </c>
      <c r="DN8" t="s">
        <v>745</v>
      </c>
      <c r="DO8" t="s">
        <v>745</v>
      </c>
      <c r="DP8" t="s">
        <v>260</v>
      </c>
      <c r="DQ8" t="s">
        <v>745</v>
      </c>
      <c r="DR8" t="s">
        <v>260</v>
      </c>
      <c r="DS8" t="s">
        <v>745</v>
      </c>
      <c r="DT8" t="s">
        <v>745</v>
      </c>
      <c r="DU8" t="s">
        <v>260</v>
      </c>
      <c r="DV8" t="s">
        <v>745</v>
      </c>
      <c r="DW8" t="s">
        <v>260</v>
      </c>
      <c r="DX8" t="s">
        <v>745</v>
      </c>
      <c r="DY8" t="s">
        <v>745</v>
      </c>
      <c r="DZ8" t="s">
        <v>260</v>
      </c>
      <c r="EA8" t="s">
        <v>745</v>
      </c>
      <c r="EB8" t="s">
        <v>260</v>
      </c>
      <c r="EC8" t="s">
        <v>745</v>
      </c>
      <c r="ED8" t="s">
        <v>745</v>
      </c>
      <c r="EE8" t="s">
        <v>260</v>
      </c>
      <c r="EF8" t="s">
        <v>745</v>
      </c>
      <c r="EG8" t="s">
        <v>260</v>
      </c>
      <c r="EH8" t="s">
        <v>745</v>
      </c>
      <c r="EI8" t="s">
        <v>745</v>
      </c>
      <c r="EJ8" t="s">
        <v>260</v>
      </c>
      <c r="EK8" t="s">
        <v>745</v>
      </c>
      <c r="EL8" t="s">
        <v>260</v>
      </c>
      <c r="EM8" t="s">
        <v>745</v>
      </c>
      <c r="EN8" t="s">
        <v>745</v>
      </c>
      <c r="EO8" t="s">
        <v>260</v>
      </c>
      <c r="EP8" t="s">
        <v>745</v>
      </c>
      <c r="EQ8" t="s">
        <v>260</v>
      </c>
      <c r="ER8" t="s">
        <v>745</v>
      </c>
      <c r="ES8" t="s">
        <v>745</v>
      </c>
      <c r="ET8" t="s">
        <v>260</v>
      </c>
      <c r="EU8" t="s">
        <v>745</v>
      </c>
      <c r="EV8" t="s">
        <v>260</v>
      </c>
      <c r="EW8" t="s">
        <v>745</v>
      </c>
      <c r="EX8" t="s">
        <v>745</v>
      </c>
      <c r="EY8" t="s">
        <v>260</v>
      </c>
      <c r="EZ8" t="s">
        <v>745</v>
      </c>
      <c r="FA8" t="s">
        <v>260</v>
      </c>
      <c r="FB8" t="s">
        <v>745</v>
      </c>
      <c r="FC8" t="s">
        <v>745</v>
      </c>
      <c r="FD8" t="s">
        <v>260</v>
      </c>
      <c r="FE8" t="s">
        <v>745</v>
      </c>
      <c r="FF8" t="s">
        <v>260</v>
      </c>
      <c r="FG8" t="s">
        <v>745</v>
      </c>
      <c r="FH8" t="s">
        <v>301</v>
      </c>
      <c r="FI8" t="s">
        <v>260</v>
      </c>
      <c r="FJ8" t="s">
        <v>301</v>
      </c>
      <c r="FK8" t="s">
        <v>260</v>
      </c>
      <c r="FL8" t="s">
        <v>301</v>
      </c>
    </row>
    <row r="9" spans="1:168" x14ac:dyDescent="0.4">
      <c r="A9" s="1" t="s">
        <v>6</v>
      </c>
      <c r="B9" s="3" t="s">
        <v>7</v>
      </c>
      <c r="C9">
        <v>87356</v>
      </c>
      <c r="D9">
        <v>6225</v>
      </c>
      <c r="E9">
        <v>177879</v>
      </c>
      <c r="F9">
        <v>17519</v>
      </c>
      <c r="G9" t="s">
        <v>73</v>
      </c>
      <c r="H9">
        <v>38566</v>
      </c>
      <c r="I9">
        <v>5380250</v>
      </c>
      <c r="J9">
        <v>16416</v>
      </c>
      <c r="K9">
        <v>6575654</v>
      </c>
      <c r="L9">
        <v>14404</v>
      </c>
      <c r="M9">
        <v>632709</v>
      </c>
      <c r="N9">
        <v>4391070</v>
      </c>
      <c r="O9">
        <v>49041</v>
      </c>
      <c r="P9">
        <v>2765051</v>
      </c>
      <c r="Q9">
        <v>51360</v>
      </c>
      <c r="R9">
        <v>403933</v>
      </c>
      <c r="S9">
        <v>2225390</v>
      </c>
      <c r="T9">
        <v>6231</v>
      </c>
      <c r="U9">
        <v>3383305</v>
      </c>
      <c r="V9">
        <v>15100</v>
      </c>
      <c r="W9">
        <v>392705</v>
      </c>
      <c r="X9">
        <v>983427</v>
      </c>
      <c r="Y9">
        <v>14394</v>
      </c>
      <c r="Z9">
        <v>1151896</v>
      </c>
      <c r="AA9">
        <v>17493</v>
      </c>
      <c r="AB9">
        <v>101569</v>
      </c>
      <c r="AC9">
        <v>2658468</v>
      </c>
      <c r="AD9">
        <v>74687</v>
      </c>
      <c r="AE9">
        <v>3956006</v>
      </c>
      <c r="AF9">
        <v>138448</v>
      </c>
      <c r="AG9">
        <v>298877</v>
      </c>
      <c r="AH9">
        <v>172530</v>
      </c>
      <c r="AI9">
        <v>194914</v>
      </c>
      <c r="AJ9">
        <v>197906</v>
      </c>
      <c r="AK9">
        <v>195478</v>
      </c>
      <c r="AL9">
        <v>11044</v>
      </c>
      <c r="AM9">
        <v>9201289</v>
      </c>
      <c r="AN9">
        <v>55437</v>
      </c>
      <c r="AO9">
        <v>9167797</v>
      </c>
      <c r="AP9">
        <v>69397</v>
      </c>
      <c r="AQ9">
        <v>658794</v>
      </c>
      <c r="AR9">
        <v>4257102</v>
      </c>
      <c r="AS9">
        <v>7534</v>
      </c>
      <c r="AT9">
        <v>5138762</v>
      </c>
      <c r="AU9">
        <v>10216</v>
      </c>
      <c r="AV9">
        <v>591297</v>
      </c>
      <c r="AW9">
        <v>65595</v>
      </c>
      <c r="AX9">
        <v>7941</v>
      </c>
      <c r="AY9">
        <v>380869</v>
      </c>
      <c r="AZ9">
        <v>11810</v>
      </c>
      <c r="BA9">
        <v>17534</v>
      </c>
      <c r="BB9">
        <v>20083380</v>
      </c>
      <c r="BC9">
        <v>222763</v>
      </c>
      <c r="BD9">
        <v>24816911</v>
      </c>
      <c r="BE9">
        <v>207299</v>
      </c>
      <c r="BF9">
        <v>144312</v>
      </c>
      <c r="BG9">
        <v>154657</v>
      </c>
      <c r="BH9">
        <v>72729</v>
      </c>
      <c r="BI9">
        <v>110549</v>
      </c>
      <c r="BJ9">
        <v>88475</v>
      </c>
      <c r="BK9">
        <v>6370</v>
      </c>
      <c r="BL9">
        <v>1645124</v>
      </c>
      <c r="BM9">
        <v>43933</v>
      </c>
      <c r="BN9">
        <v>2282362</v>
      </c>
      <c r="BO9">
        <v>54515</v>
      </c>
      <c r="BP9">
        <v>63223</v>
      </c>
      <c r="BQ9">
        <v>46800</v>
      </c>
      <c r="BR9">
        <v>6637</v>
      </c>
      <c r="BS9">
        <v>6</v>
      </c>
      <c r="BT9">
        <v>326</v>
      </c>
      <c r="BU9">
        <v>9175</v>
      </c>
      <c r="BV9">
        <v>317008</v>
      </c>
      <c r="BW9">
        <v>94001</v>
      </c>
      <c r="BX9">
        <v>338174</v>
      </c>
      <c r="BY9">
        <v>95836</v>
      </c>
      <c r="BZ9">
        <v>29033</v>
      </c>
      <c r="CA9">
        <v>4469309</v>
      </c>
      <c r="CB9">
        <v>44928</v>
      </c>
      <c r="CC9">
        <v>4460158</v>
      </c>
      <c r="CD9">
        <v>43621</v>
      </c>
      <c r="CE9">
        <v>294098</v>
      </c>
      <c r="CF9">
        <v>9152212</v>
      </c>
      <c r="CG9">
        <v>51861</v>
      </c>
      <c r="CH9">
        <v>8512662</v>
      </c>
      <c r="CI9">
        <v>134949</v>
      </c>
      <c r="CJ9">
        <v>624144</v>
      </c>
      <c r="CK9">
        <v>1205660</v>
      </c>
      <c r="CL9">
        <v>50307</v>
      </c>
      <c r="CM9">
        <v>3160455</v>
      </c>
      <c r="CN9">
        <v>149129</v>
      </c>
      <c r="CO9">
        <v>182148</v>
      </c>
      <c r="CP9">
        <v>5980494</v>
      </c>
      <c r="CQ9">
        <v>62147</v>
      </c>
      <c r="CR9">
        <v>4724778</v>
      </c>
      <c r="CS9">
        <v>40739</v>
      </c>
      <c r="CT9">
        <v>448830</v>
      </c>
      <c r="CU9">
        <v>631896</v>
      </c>
      <c r="CV9">
        <v>65861</v>
      </c>
      <c r="CW9">
        <v>472698</v>
      </c>
      <c r="CX9">
        <v>39997</v>
      </c>
      <c r="CY9">
        <v>42016</v>
      </c>
      <c r="CZ9" t="s">
        <v>73</v>
      </c>
      <c r="DA9" t="s">
        <v>73</v>
      </c>
      <c r="DB9" t="s">
        <v>73</v>
      </c>
      <c r="DC9" t="s">
        <v>73</v>
      </c>
      <c r="DD9" t="s">
        <v>73</v>
      </c>
      <c r="DE9">
        <v>1039536</v>
      </c>
      <c r="DF9">
        <v>80953</v>
      </c>
      <c r="DG9">
        <v>3404742</v>
      </c>
      <c r="DH9">
        <v>422352</v>
      </c>
      <c r="DI9">
        <v>213312</v>
      </c>
      <c r="DJ9">
        <v>1196103</v>
      </c>
      <c r="DK9">
        <v>8109</v>
      </c>
      <c r="DL9">
        <v>2140800</v>
      </c>
      <c r="DM9">
        <v>23246</v>
      </c>
      <c r="DN9">
        <v>343006</v>
      </c>
      <c r="DO9">
        <v>346135</v>
      </c>
      <c r="DP9">
        <v>58136</v>
      </c>
      <c r="DQ9">
        <v>154842</v>
      </c>
      <c r="DR9">
        <v>54702</v>
      </c>
      <c r="DS9">
        <v>15642</v>
      </c>
      <c r="DT9">
        <v>47450</v>
      </c>
      <c r="DU9">
        <v>706</v>
      </c>
      <c r="DV9">
        <v>3865</v>
      </c>
      <c r="DW9">
        <v>827</v>
      </c>
      <c r="DX9">
        <v>4892</v>
      </c>
      <c r="DY9">
        <v>1439148</v>
      </c>
      <c r="DZ9">
        <v>63628</v>
      </c>
      <c r="EA9">
        <v>1600699</v>
      </c>
      <c r="EB9">
        <v>150020</v>
      </c>
      <c r="EC9">
        <v>52701</v>
      </c>
      <c r="ED9">
        <v>1309713</v>
      </c>
      <c r="EE9">
        <v>441909</v>
      </c>
      <c r="EF9">
        <v>1370964</v>
      </c>
      <c r="EG9">
        <v>457645</v>
      </c>
      <c r="EH9">
        <v>51201</v>
      </c>
      <c r="EI9" t="s">
        <v>73</v>
      </c>
      <c r="EJ9" t="s">
        <v>73</v>
      </c>
      <c r="EK9" t="s">
        <v>73</v>
      </c>
      <c r="EL9" t="s">
        <v>73</v>
      </c>
      <c r="EM9" t="s">
        <v>73</v>
      </c>
      <c r="EN9">
        <v>1979436</v>
      </c>
      <c r="EO9">
        <v>465480</v>
      </c>
      <c r="EP9">
        <v>1779681</v>
      </c>
      <c r="EQ9">
        <v>388463</v>
      </c>
      <c r="ER9">
        <v>109607</v>
      </c>
      <c r="ES9">
        <v>51732</v>
      </c>
      <c r="ET9">
        <v>95378</v>
      </c>
      <c r="EU9">
        <v>55757</v>
      </c>
      <c r="EV9">
        <v>98064</v>
      </c>
      <c r="EW9">
        <v>1695</v>
      </c>
      <c r="EX9">
        <v>154628</v>
      </c>
      <c r="EY9">
        <v>364215</v>
      </c>
      <c r="EZ9">
        <v>151896</v>
      </c>
      <c r="FA9">
        <v>351332</v>
      </c>
      <c r="FB9">
        <v>2540</v>
      </c>
      <c r="FC9">
        <v>65537</v>
      </c>
      <c r="FD9">
        <v>613141</v>
      </c>
      <c r="FE9">
        <v>52346</v>
      </c>
      <c r="FF9">
        <v>411359</v>
      </c>
      <c r="FG9">
        <v>2938</v>
      </c>
      <c r="FH9">
        <v>383192</v>
      </c>
      <c r="FI9">
        <v>18886</v>
      </c>
      <c r="FJ9">
        <v>1215075</v>
      </c>
      <c r="FK9">
        <v>64625</v>
      </c>
      <c r="FL9">
        <v>258866</v>
      </c>
    </row>
    <row r="10" spans="1:168" x14ac:dyDescent="0.4">
      <c r="A10" s="1" t="s">
        <v>8</v>
      </c>
      <c r="B10" s="3" t="s">
        <v>9</v>
      </c>
      <c r="C10">
        <v>84581</v>
      </c>
      <c r="D10">
        <v>6650</v>
      </c>
      <c r="E10">
        <v>176377</v>
      </c>
      <c r="F10">
        <v>19456</v>
      </c>
      <c r="G10">
        <v>3235111</v>
      </c>
      <c r="H10">
        <v>40477</v>
      </c>
      <c r="I10">
        <v>4658200</v>
      </c>
      <c r="J10">
        <v>15200</v>
      </c>
      <c r="K10">
        <v>5556205</v>
      </c>
      <c r="L10">
        <v>13009</v>
      </c>
      <c r="M10">
        <v>577083</v>
      </c>
      <c r="N10">
        <v>4134918</v>
      </c>
      <c r="O10">
        <v>48773</v>
      </c>
      <c r="P10">
        <v>2644121</v>
      </c>
      <c r="Q10">
        <v>50136</v>
      </c>
      <c r="R10">
        <v>504250</v>
      </c>
      <c r="S10">
        <v>1967242</v>
      </c>
      <c r="T10">
        <v>5767</v>
      </c>
      <c r="U10">
        <v>3141919</v>
      </c>
      <c r="V10">
        <v>14813</v>
      </c>
      <c r="W10">
        <v>465884</v>
      </c>
      <c r="X10">
        <v>916119</v>
      </c>
      <c r="Y10">
        <v>15139</v>
      </c>
      <c r="Z10">
        <v>1076329</v>
      </c>
      <c r="AA10">
        <v>18287</v>
      </c>
      <c r="AB10">
        <v>153157</v>
      </c>
      <c r="AC10">
        <v>2257410</v>
      </c>
      <c r="AD10">
        <v>72204</v>
      </c>
      <c r="AE10">
        <v>3597342</v>
      </c>
      <c r="AF10">
        <v>133111</v>
      </c>
      <c r="AG10">
        <v>326732</v>
      </c>
      <c r="AH10">
        <v>207988</v>
      </c>
      <c r="AI10">
        <v>239260</v>
      </c>
      <c r="AJ10">
        <v>234903</v>
      </c>
      <c r="AK10">
        <v>239547</v>
      </c>
      <c r="AL10">
        <v>11200</v>
      </c>
      <c r="AM10">
        <v>6661454</v>
      </c>
      <c r="AN10">
        <v>49011</v>
      </c>
      <c r="AO10">
        <v>6253560</v>
      </c>
      <c r="AP10">
        <v>65580</v>
      </c>
      <c r="AQ10">
        <v>1304575</v>
      </c>
      <c r="AR10">
        <v>3966673</v>
      </c>
      <c r="AS10">
        <v>7960</v>
      </c>
      <c r="AT10">
        <v>4523026</v>
      </c>
      <c r="AU10">
        <v>10853</v>
      </c>
      <c r="AV10">
        <v>683232</v>
      </c>
      <c r="AW10">
        <v>59044</v>
      </c>
      <c r="AX10">
        <v>7043</v>
      </c>
      <c r="AY10">
        <v>325419</v>
      </c>
      <c r="AZ10">
        <v>10667</v>
      </c>
      <c r="BA10">
        <v>22870</v>
      </c>
      <c r="BB10">
        <v>17915661</v>
      </c>
      <c r="BC10">
        <v>204331</v>
      </c>
      <c r="BD10">
        <v>21167181</v>
      </c>
      <c r="BE10">
        <v>185606</v>
      </c>
      <c r="BF10">
        <v>143299</v>
      </c>
      <c r="BG10">
        <v>164905</v>
      </c>
      <c r="BH10">
        <v>74401</v>
      </c>
      <c r="BI10">
        <v>106215</v>
      </c>
      <c r="BJ10">
        <v>88573</v>
      </c>
      <c r="BK10">
        <v>14750</v>
      </c>
      <c r="BL10">
        <v>1302622</v>
      </c>
      <c r="BM10">
        <v>48551</v>
      </c>
      <c r="BN10">
        <v>1946047</v>
      </c>
      <c r="BO10">
        <v>60191</v>
      </c>
      <c r="BP10">
        <v>98407</v>
      </c>
      <c r="BQ10">
        <v>12899</v>
      </c>
      <c r="BR10">
        <v>1778</v>
      </c>
      <c r="BS10">
        <v>8</v>
      </c>
      <c r="BT10">
        <v>188</v>
      </c>
      <c r="BU10">
        <v>9778</v>
      </c>
      <c r="BV10">
        <v>279363</v>
      </c>
      <c r="BW10">
        <v>111362</v>
      </c>
      <c r="BX10">
        <v>318132</v>
      </c>
      <c r="BY10">
        <v>111789</v>
      </c>
      <c r="BZ10">
        <v>25840</v>
      </c>
      <c r="CA10">
        <v>4479993</v>
      </c>
      <c r="CB10">
        <v>46427</v>
      </c>
      <c r="CC10">
        <v>4291527</v>
      </c>
      <c r="CD10">
        <v>42557</v>
      </c>
      <c r="CE10">
        <v>595882</v>
      </c>
      <c r="CF10">
        <v>6193347</v>
      </c>
      <c r="CG10">
        <v>38898</v>
      </c>
      <c r="CH10">
        <v>7818340</v>
      </c>
      <c r="CI10">
        <v>153036</v>
      </c>
      <c r="CJ10">
        <v>861510</v>
      </c>
      <c r="CK10">
        <v>994619</v>
      </c>
      <c r="CL10">
        <v>47462</v>
      </c>
      <c r="CM10">
        <v>2987760</v>
      </c>
      <c r="CN10">
        <v>157926</v>
      </c>
      <c r="CO10">
        <v>169521</v>
      </c>
      <c r="CP10">
        <v>4856419</v>
      </c>
      <c r="CQ10">
        <v>49322</v>
      </c>
      <c r="CR10">
        <v>3865953</v>
      </c>
      <c r="CS10">
        <v>42368</v>
      </c>
      <c r="CT10">
        <v>580542</v>
      </c>
      <c r="CU10">
        <v>541656</v>
      </c>
      <c r="CV10">
        <v>54475</v>
      </c>
      <c r="CW10">
        <v>397909</v>
      </c>
      <c r="CX10">
        <v>35431</v>
      </c>
      <c r="CY10">
        <v>46246</v>
      </c>
      <c r="CZ10" t="s">
        <v>73</v>
      </c>
      <c r="DA10" t="s">
        <v>73</v>
      </c>
      <c r="DB10" t="s">
        <v>73</v>
      </c>
      <c r="DC10" t="s">
        <v>73</v>
      </c>
      <c r="DD10" t="s">
        <v>73</v>
      </c>
      <c r="DE10">
        <v>1041339</v>
      </c>
      <c r="DF10">
        <v>95488</v>
      </c>
      <c r="DG10">
        <v>3861038</v>
      </c>
      <c r="DH10">
        <v>566118</v>
      </c>
      <c r="DI10">
        <v>250446</v>
      </c>
      <c r="DJ10">
        <v>1082689</v>
      </c>
      <c r="DK10">
        <v>7919</v>
      </c>
      <c r="DL10">
        <v>2098703</v>
      </c>
      <c r="DM10">
        <v>24565</v>
      </c>
      <c r="DN10">
        <v>172175</v>
      </c>
      <c r="DO10">
        <v>324395</v>
      </c>
      <c r="DP10">
        <v>78368</v>
      </c>
      <c r="DQ10">
        <v>162414</v>
      </c>
      <c r="DR10">
        <v>79234</v>
      </c>
      <c r="DS10">
        <v>9935</v>
      </c>
      <c r="DT10">
        <v>45222</v>
      </c>
      <c r="DU10">
        <v>861</v>
      </c>
      <c r="DV10">
        <v>2943</v>
      </c>
      <c r="DW10">
        <v>951</v>
      </c>
      <c r="DX10">
        <v>4692</v>
      </c>
      <c r="DY10">
        <v>1393135</v>
      </c>
      <c r="DZ10">
        <v>77190</v>
      </c>
      <c r="EA10">
        <v>1532223</v>
      </c>
      <c r="EB10">
        <v>178069</v>
      </c>
      <c r="EC10">
        <v>86800</v>
      </c>
      <c r="ED10">
        <v>1066512</v>
      </c>
      <c r="EE10">
        <v>524087</v>
      </c>
      <c r="EF10">
        <v>1086400</v>
      </c>
      <c r="EG10">
        <v>530389</v>
      </c>
      <c r="EH10">
        <v>70613</v>
      </c>
      <c r="EI10" t="s">
        <v>73</v>
      </c>
      <c r="EJ10" t="s">
        <v>73</v>
      </c>
      <c r="EK10" t="s">
        <v>73</v>
      </c>
      <c r="EL10" t="s">
        <v>73</v>
      </c>
      <c r="EM10" t="s">
        <v>73</v>
      </c>
      <c r="EN10">
        <v>1920390</v>
      </c>
      <c r="EO10">
        <v>465015</v>
      </c>
      <c r="EP10">
        <v>1744193</v>
      </c>
      <c r="EQ10">
        <v>391269</v>
      </c>
      <c r="ER10">
        <v>127972</v>
      </c>
      <c r="ES10">
        <v>46611</v>
      </c>
      <c r="ET10">
        <v>101499</v>
      </c>
      <c r="EU10">
        <v>51025</v>
      </c>
      <c r="EV10">
        <v>106105</v>
      </c>
      <c r="EW10">
        <v>2210</v>
      </c>
      <c r="EX10">
        <v>107032</v>
      </c>
      <c r="EY10">
        <v>292759</v>
      </c>
      <c r="EZ10">
        <v>105529</v>
      </c>
      <c r="FA10">
        <v>284321</v>
      </c>
      <c r="FB10">
        <v>1600</v>
      </c>
      <c r="FC10">
        <v>74453</v>
      </c>
      <c r="FD10">
        <v>531029</v>
      </c>
      <c r="FE10">
        <v>67192</v>
      </c>
      <c r="FF10">
        <v>469107</v>
      </c>
      <c r="FG10">
        <v>2105</v>
      </c>
      <c r="FH10">
        <v>260120</v>
      </c>
      <c r="FI10">
        <v>20702</v>
      </c>
      <c r="FJ10">
        <v>933203</v>
      </c>
      <c r="FK10">
        <v>48160</v>
      </c>
      <c r="FL10">
        <v>253163</v>
      </c>
    </row>
    <row r="11" spans="1:168" x14ac:dyDescent="0.4">
      <c r="A11" s="1" t="s">
        <v>10</v>
      </c>
      <c r="B11" s="3" t="s">
        <v>11</v>
      </c>
      <c r="C11">
        <v>57383</v>
      </c>
      <c r="D11">
        <v>6097</v>
      </c>
      <c r="E11">
        <v>164921</v>
      </c>
      <c r="F11">
        <v>19743</v>
      </c>
      <c r="G11">
        <v>2607937</v>
      </c>
      <c r="H11">
        <v>36447</v>
      </c>
      <c r="I11">
        <v>3843703</v>
      </c>
      <c r="J11">
        <v>12459</v>
      </c>
      <c r="K11">
        <v>4847887</v>
      </c>
      <c r="L11">
        <v>11900</v>
      </c>
      <c r="M11">
        <v>439095</v>
      </c>
      <c r="N11">
        <v>3257014</v>
      </c>
      <c r="O11">
        <v>41994</v>
      </c>
      <c r="P11">
        <v>2004554</v>
      </c>
      <c r="Q11">
        <v>45933</v>
      </c>
      <c r="R11">
        <v>446371</v>
      </c>
      <c r="S11">
        <v>1320395</v>
      </c>
      <c r="T11">
        <v>4732</v>
      </c>
      <c r="U11">
        <v>2680337</v>
      </c>
      <c r="V11">
        <v>14108</v>
      </c>
      <c r="W11">
        <v>372902</v>
      </c>
      <c r="X11">
        <v>581756</v>
      </c>
      <c r="Y11">
        <v>11887</v>
      </c>
      <c r="Z11">
        <v>817495</v>
      </c>
      <c r="AA11">
        <v>16899</v>
      </c>
      <c r="AB11">
        <v>143793</v>
      </c>
      <c r="AC11">
        <v>1694006</v>
      </c>
      <c r="AD11">
        <v>68612</v>
      </c>
      <c r="AE11">
        <v>2893684</v>
      </c>
      <c r="AF11">
        <v>131296</v>
      </c>
      <c r="AG11">
        <v>322223</v>
      </c>
      <c r="AH11">
        <v>237651</v>
      </c>
      <c r="AI11">
        <v>296599</v>
      </c>
      <c r="AJ11">
        <v>255441</v>
      </c>
      <c r="AK11">
        <v>302061</v>
      </c>
      <c r="AL11">
        <v>16734</v>
      </c>
      <c r="AM11">
        <v>6056017</v>
      </c>
      <c r="AN11">
        <v>46763</v>
      </c>
      <c r="AO11">
        <v>6744634</v>
      </c>
      <c r="AP11">
        <v>64928</v>
      </c>
      <c r="AQ11">
        <v>674275</v>
      </c>
      <c r="AR11">
        <v>2874802</v>
      </c>
      <c r="AS11">
        <v>6670</v>
      </c>
      <c r="AT11">
        <v>3797925</v>
      </c>
      <c r="AU11">
        <v>9912</v>
      </c>
      <c r="AV11">
        <v>394484</v>
      </c>
      <c r="AW11">
        <v>16078</v>
      </c>
      <c r="AX11">
        <v>3916</v>
      </c>
      <c r="AY11">
        <v>227120</v>
      </c>
      <c r="AZ11">
        <v>7495</v>
      </c>
      <c r="BA11">
        <v>20075</v>
      </c>
      <c r="BB11">
        <v>18017257</v>
      </c>
      <c r="BC11">
        <v>227054</v>
      </c>
      <c r="BD11">
        <v>19203355</v>
      </c>
      <c r="BE11">
        <v>193704</v>
      </c>
      <c r="BF11">
        <v>121707</v>
      </c>
      <c r="BG11">
        <v>138584</v>
      </c>
      <c r="BH11">
        <v>52641</v>
      </c>
      <c r="BI11">
        <v>90471</v>
      </c>
      <c r="BJ11">
        <v>63536</v>
      </c>
      <c r="BK11">
        <v>29095</v>
      </c>
      <c r="BL11">
        <v>630754</v>
      </c>
      <c r="BM11">
        <v>34724</v>
      </c>
      <c r="BN11">
        <v>1673916</v>
      </c>
      <c r="BO11">
        <v>53350</v>
      </c>
      <c r="BP11">
        <v>93805</v>
      </c>
      <c r="BQ11">
        <v>462</v>
      </c>
      <c r="BR11">
        <v>90</v>
      </c>
      <c r="BS11">
        <v>30</v>
      </c>
      <c r="BT11">
        <v>33</v>
      </c>
      <c r="BU11">
        <v>10424</v>
      </c>
      <c r="BV11">
        <v>203536</v>
      </c>
      <c r="BW11">
        <v>101871</v>
      </c>
      <c r="BX11">
        <v>294645</v>
      </c>
      <c r="BY11">
        <v>102644</v>
      </c>
      <c r="BZ11">
        <v>28469</v>
      </c>
      <c r="CA11">
        <v>3299505</v>
      </c>
      <c r="CB11">
        <v>42761</v>
      </c>
      <c r="CC11">
        <v>3521435</v>
      </c>
      <c r="CD11">
        <v>42818</v>
      </c>
      <c r="CE11">
        <v>411666</v>
      </c>
      <c r="CF11">
        <v>4438936</v>
      </c>
      <c r="CG11">
        <v>33175</v>
      </c>
      <c r="CH11">
        <v>6060778</v>
      </c>
      <c r="CI11">
        <v>145300</v>
      </c>
      <c r="CJ11">
        <v>734933</v>
      </c>
      <c r="CK11">
        <v>731828</v>
      </c>
      <c r="CL11">
        <v>48866</v>
      </c>
      <c r="CM11">
        <v>2766286</v>
      </c>
      <c r="CN11">
        <v>180086</v>
      </c>
      <c r="CO11">
        <v>96750</v>
      </c>
      <c r="CP11">
        <v>2586161</v>
      </c>
      <c r="CQ11">
        <v>27848</v>
      </c>
      <c r="CR11">
        <v>2784858</v>
      </c>
      <c r="CS11">
        <v>34820</v>
      </c>
      <c r="CT11">
        <v>375099</v>
      </c>
      <c r="CU11">
        <v>468974</v>
      </c>
      <c r="CV11">
        <v>60643</v>
      </c>
      <c r="CW11">
        <v>345499</v>
      </c>
      <c r="CX11">
        <v>35931</v>
      </c>
      <c r="CY11">
        <v>42009</v>
      </c>
      <c r="CZ11" t="s">
        <v>73</v>
      </c>
      <c r="DA11" t="s">
        <v>73</v>
      </c>
      <c r="DB11" t="s">
        <v>73</v>
      </c>
      <c r="DC11" t="s">
        <v>73</v>
      </c>
      <c r="DD11" t="s">
        <v>73</v>
      </c>
      <c r="DE11">
        <v>881587</v>
      </c>
      <c r="DF11">
        <v>98222</v>
      </c>
      <c r="DG11">
        <v>3431210</v>
      </c>
      <c r="DH11">
        <v>606827</v>
      </c>
      <c r="DI11">
        <v>152098</v>
      </c>
      <c r="DJ11">
        <v>885049</v>
      </c>
      <c r="DK11">
        <v>7501</v>
      </c>
      <c r="DL11">
        <v>1564873</v>
      </c>
      <c r="DM11">
        <v>18063</v>
      </c>
      <c r="DN11">
        <v>139823</v>
      </c>
      <c r="DO11">
        <v>265071</v>
      </c>
      <c r="DP11">
        <v>87121</v>
      </c>
      <c r="DQ11">
        <v>147861</v>
      </c>
      <c r="DR11">
        <v>88444</v>
      </c>
      <c r="DS11">
        <v>6644</v>
      </c>
      <c r="DT11">
        <v>28696</v>
      </c>
      <c r="DU11">
        <v>558</v>
      </c>
      <c r="DV11">
        <v>2268</v>
      </c>
      <c r="DW11">
        <v>788</v>
      </c>
      <c r="DX11">
        <v>5289</v>
      </c>
      <c r="DY11">
        <v>788250</v>
      </c>
      <c r="DZ11">
        <v>115881</v>
      </c>
      <c r="EA11">
        <v>978399</v>
      </c>
      <c r="EB11">
        <v>207290</v>
      </c>
      <c r="EC11">
        <v>77897</v>
      </c>
      <c r="ED11">
        <v>818141</v>
      </c>
      <c r="EE11">
        <v>325841</v>
      </c>
      <c r="EF11">
        <v>841681</v>
      </c>
      <c r="EG11">
        <v>337620</v>
      </c>
      <c r="EH11">
        <v>74057</v>
      </c>
      <c r="EI11" t="s">
        <v>73</v>
      </c>
      <c r="EJ11" t="s">
        <v>73</v>
      </c>
      <c r="EK11" t="s">
        <v>73</v>
      </c>
      <c r="EL11" t="s">
        <v>73</v>
      </c>
      <c r="EM11" t="s">
        <v>73</v>
      </c>
      <c r="EN11">
        <v>1451612</v>
      </c>
      <c r="EO11">
        <v>489635</v>
      </c>
      <c r="EP11">
        <v>1334241</v>
      </c>
      <c r="EQ11">
        <v>399470</v>
      </c>
      <c r="ER11">
        <v>88441</v>
      </c>
      <c r="ES11">
        <v>41313</v>
      </c>
      <c r="ET11">
        <v>106398</v>
      </c>
      <c r="EU11">
        <v>45301</v>
      </c>
      <c r="EV11">
        <v>108079</v>
      </c>
      <c r="EW11">
        <v>2884</v>
      </c>
      <c r="EX11">
        <v>47950</v>
      </c>
      <c r="EY11">
        <v>169403</v>
      </c>
      <c r="EZ11">
        <v>47655</v>
      </c>
      <c r="FA11">
        <v>167004</v>
      </c>
      <c r="FB11">
        <v>743</v>
      </c>
      <c r="FC11">
        <v>43824</v>
      </c>
      <c r="FD11">
        <v>404443</v>
      </c>
      <c r="FE11">
        <v>39393</v>
      </c>
      <c r="FF11">
        <v>373155</v>
      </c>
      <c r="FG11">
        <v>1411</v>
      </c>
      <c r="FH11">
        <v>296025</v>
      </c>
      <c r="FI11">
        <v>23466</v>
      </c>
      <c r="FJ11">
        <v>989522</v>
      </c>
      <c r="FK11">
        <v>54109</v>
      </c>
      <c r="FL11">
        <v>176356</v>
      </c>
    </row>
    <row r="12" spans="1:168" x14ac:dyDescent="0.4">
      <c r="A12" s="1" t="s">
        <v>12</v>
      </c>
      <c r="B12" s="3" t="s">
        <v>13</v>
      </c>
      <c r="C12">
        <v>68587</v>
      </c>
      <c r="D12">
        <v>6558</v>
      </c>
      <c r="E12">
        <v>129008</v>
      </c>
      <c r="F12">
        <v>18522</v>
      </c>
      <c r="G12">
        <v>2057070</v>
      </c>
      <c r="H12">
        <v>29384</v>
      </c>
      <c r="I12">
        <v>2997226</v>
      </c>
      <c r="J12">
        <v>11176</v>
      </c>
      <c r="K12">
        <v>4011808</v>
      </c>
      <c r="L12">
        <v>11190</v>
      </c>
      <c r="M12">
        <v>276262</v>
      </c>
      <c r="N12">
        <v>3211670</v>
      </c>
      <c r="O12">
        <v>43405</v>
      </c>
      <c r="P12">
        <v>1673962</v>
      </c>
      <c r="Q12">
        <v>44933</v>
      </c>
      <c r="R12">
        <v>408101</v>
      </c>
      <c r="S12">
        <v>774088</v>
      </c>
      <c r="T12">
        <v>4101</v>
      </c>
      <c r="U12">
        <v>2168995</v>
      </c>
      <c r="V12">
        <v>13522</v>
      </c>
      <c r="W12">
        <v>272052</v>
      </c>
      <c r="X12">
        <v>503273</v>
      </c>
      <c r="Y12">
        <v>16275</v>
      </c>
      <c r="Z12">
        <v>712557</v>
      </c>
      <c r="AA12">
        <v>19740</v>
      </c>
      <c r="AB12">
        <v>148902</v>
      </c>
      <c r="AC12">
        <v>1501039</v>
      </c>
      <c r="AD12">
        <v>58265</v>
      </c>
      <c r="AE12">
        <v>2486203</v>
      </c>
      <c r="AF12">
        <v>114871</v>
      </c>
      <c r="AG12">
        <v>275009</v>
      </c>
      <c r="AH12">
        <v>238272</v>
      </c>
      <c r="AI12">
        <v>312298</v>
      </c>
      <c r="AJ12">
        <v>237923</v>
      </c>
      <c r="AK12">
        <v>316884</v>
      </c>
      <c r="AL12">
        <v>15304</v>
      </c>
      <c r="AM12">
        <v>7591790</v>
      </c>
      <c r="AN12">
        <v>49119</v>
      </c>
      <c r="AO12">
        <v>7962749</v>
      </c>
      <c r="AP12">
        <v>65929</v>
      </c>
      <c r="AQ12">
        <v>384088</v>
      </c>
      <c r="AR12">
        <v>3218436</v>
      </c>
      <c r="AS12">
        <v>6077</v>
      </c>
      <c r="AT12">
        <v>3901260</v>
      </c>
      <c r="AU12">
        <v>9727</v>
      </c>
      <c r="AV12">
        <v>401733</v>
      </c>
      <c r="AW12">
        <v>8684</v>
      </c>
      <c r="AX12">
        <v>3181</v>
      </c>
      <c r="AY12">
        <v>218123</v>
      </c>
      <c r="AZ12">
        <v>7499</v>
      </c>
      <c r="BA12">
        <v>28490</v>
      </c>
      <c r="BB12">
        <v>18281099</v>
      </c>
      <c r="BC12">
        <v>234533</v>
      </c>
      <c r="BD12">
        <v>18893035</v>
      </c>
      <c r="BE12">
        <v>188886</v>
      </c>
      <c r="BF12">
        <v>142354</v>
      </c>
      <c r="BG12">
        <v>183739</v>
      </c>
      <c r="BH12">
        <v>87235</v>
      </c>
      <c r="BI12">
        <v>156639</v>
      </c>
      <c r="BJ12">
        <v>110127</v>
      </c>
      <c r="BK12">
        <v>32296</v>
      </c>
      <c r="BL12" t="s">
        <v>73</v>
      </c>
      <c r="BM12" t="s">
        <v>73</v>
      </c>
      <c r="BN12" t="s">
        <v>73</v>
      </c>
      <c r="BO12" t="s">
        <v>73</v>
      </c>
      <c r="BP12" t="s">
        <v>73</v>
      </c>
      <c r="BQ12" t="s">
        <v>73</v>
      </c>
      <c r="BR12" t="s">
        <v>73</v>
      </c>
      <c r="BS12" t="s">
        <v>73</v>
      </c>
      <c r="BT12" t="s">
        <v>73</v>
      </c>
      <c r="BU12" t="s">
        <v>73</v>
      </c>
      <c r="BV12">
        <v>166277</v>
      </c>
      <c r="BW12">
        <v>78750</v>
      </c>
      <c r="BX12">
        <v>226100</v>
      </c>
      <c r="BY12">
        <v>80127</v>
      </c>
      <c r="BZ12">
        <v>23243</v>
      </c>
      <c r="CA12">
        <v>3724633</v>
      </c>
      <c r="CB12">
        <v>48440</v>
      </c>
      <c r="CC12">
        <v>3790862</v>
      </c>
      <c r="CD12">
        <v>47366</v>
      </c>
      <c r="CE12">
        <v>389709</v>
      </c>
      <c r="CF12">
        <v>4977426</v>
      </c>
      <c r="CG12">
        <v>33066</v>
      </c>
      <c r="CH12">
        <v>5553717</v>
      </c>
      <c r="CI12">
        <v>109916</v>
      </c>
      <c r="CJ12">
        <v>705046</v>
      </c>
      <c r="CK12">
        <v>668952</v>
      </c>
      <c r="CL12">
        <v>46838</v>
      </c>
      <c r="CM12">
        <v>2478990</v>
      </c>
      <c r="CN12">
        <v>174216</v>
      </c>
      <c r="CO12">
        <v>97566</v>
      </c>
      <c r="CP12">
        <v>3041747</v>
      </c>
      <c r="CQ12">
        <v>36271</v>
      </c>
      <c r="CR12">
        <v>2666338</v>
      </c>
      <c r="CS12">
        <v>36145</v>
      </c>
      <c r="CT12">
        <v>334078</v>
      </c>
      <c r="CU12">
        <v>469370</v>
      </c>
      <c r="CV12">
        <v>74706</v>
      </c>
      <c r="CW12">
        <v>332692</v>
      </c>
      <c r="CX12">
        <v>42722</v>
      </c>
      <c r="CY12">
        <v>38961</v>
      </c>
      <c r="CZ12" t="s">
        <v>73</v>
      </c>
      <c r="DA12" t="s">
        <v>73</v>
      </c>
      <c r="DB12" t="s">
        <v>73</v>
      </c>
      <c r="DC12" t="s">
        <v>73</v>
      </c>
      <c r="DD12" t="s">
        <v>73</v>
      </c>
      <c r="DE12">
        <v>805536</v>
      </c>
      <c r="DF12">
        <v>98977</v>
      </c>
      <c r="DG12">
        <v>2865784</v>
      </c>
      <c r="DH12">
        <v>505028</v>
      </c>
      <c r="DI12">
        <v>195675</v>
      </c>
      <c r="DJ12">
        <v>530263</v>
      </c>
      <c r="DK12">
        <v>4671</v>
      </c>
      <c r="DL12">
        <v>924878</v>
      </c>
      <c r="DM12">
        <v>11522</v>
      </c>
      <c r="DN12">
        <v>119707</v>
      </c>
      <c r="DO12">
        <v>243761</v>
      </c>
      <c r="DP12">
        <v>51938</v>
      </c>
      <c r="DQ12">
        <v>69655</v>
      </c>
      <c r="DR12">
        <v>42963</v>
      </c>
      <c r="DS12">
        <v>6405</v>
      </c>
      <c r="DT12">
        <v>20654</v>
      </c>
      <c r="DU12">
        <v>418</v>
      </c>
      <c r="DV12">
        <v>4105</v>
      </c>
      <c r="DW12">
        <v>759</v>
      </c>
      <c r="DX12">
        <v>4955</v>
      </c>
      <c r="DY12">
        <v>666370</v>
      </c>
      <c r="DZ12">
        <v>118150</v>
      </c>
      <c r="EA12">
        <v>875180</v>
      </c>
      <c r="EB12">
        <v>227155</v>
      </c>
      <c r="EC12">
        <v>61638</v>
      </c>
      <c r="ED12">
        <v>587492</v>
      </c>
      <c r="EE12">
        <v>684142</v>
      </c>
      <c r="EF12">
        <v>617527</v>
      </c>
      <c r="EG12">
        <v>694985</v>
      </c>
      <c r="EH12">
        <v>56908</v>
      </c>
      <c r="EI12" t="s">
        <v>73</v>
      </c>
      <c r="EJ12" t="s">
        <v>73</v>
      </c>
      <c r="EK12" t="s">
        <v>73</v>
      </c>
      <c r="EL12" t="s">
        <v>73</v>
      </c>
      <c r="EM12" t="s">
        <v>73</v>
      </c>
      <c r="EN12">
        <v>1289384</v>
      </c>
      <c r="EO12">
        <v>504932</v>
      </c>
      <c r="EP12">
        <v>1283162</v>
      </c>
      <c r="EQ12">
        <v>377351</v>
      </c>
      <c r="ER12">
        <v>97926</v>
      </c>
      <c r="ES12">
        <v>39473</v>
      </c>
      <c r="ET12">
        <v>99315</v>
      </c>
      <c r="EU12">
        <v>45112</v>
      </c>
      <c r="EV12">
        <v>109582</v>
      </c>
      <c r="EW12">
        <v>2165</v>
      </c>
      <c r="EX12">
        <v>25104</v>
      </c>
      <c r="EY12">
        <v>98054</v>
      </c>
      <c r="EZ12">
        <v>24746</v>
      </c>
      <c r="FA12">
        <v>96768</v>
      </c>
      <c r="FB12">
        <v>457</v>
      </c>
      <c r="FC12">
        <v>46298</v>
      </c>
      <c r="FD12">
        <v>411355</v>
      </c>
      <c r="FE12">
        <v>39420</v>
      </c>
      <c r="FF12">
        <v>383198</v>
      </c>
      <c r="FG12">
        <v>868</v>
      </c>
      <c r="FH12">
        <v>380168</v>
      </c>
      <c r="FI12">
        <v>23588</v>
      </c>
      <c r="FJ12">
        <v>742671</v>
      </c>
      <c r="FK12">
        <v>39990</v>
      </c>
      <c r="FL12">
        <v>283375</v>
      </c>
    </row>
    <row r="13" spans="1:168" x14ac:dyDescent="0.4">
      <c r="A13" s="1" t="s">
        <v>14</v>
      </c>
      <c r="B13" s="3" t="s">
        <v>15</v>
      </c>
      <c r="C13">
        <v>72045</v>
      </c>
      <c r="D13">
        <v>8044</v>
      </c>
      <c r="E13">
        <v>138097</v>
      </c>
      <c r="F13">
        <v>21510</v>
      </c>
      <c r="G13">
        <v>2014061</v>
      </c>
      <c r="H13">
        <v>30738</v>
      </c>
      <c r="I13">
        <v>2872421</v>
      </c>
      <c r="J13">
        <v>9571</v>
      </c>
      <c r="K13">
        <v>3782754</v>
      </c>
      <c r="L13">
        <v>10208</v>
      </c>
      <c r="M13">
        <v>239068</v>
      </c>
      <c r="N13">
        <v>3572543</v>
      </c>
      <c r="O13">
        <v>45334</v>
      </c>
      <c r="P13">
        <v>1677284</v>
      </c>
      <c r="Q13">
        <v>42601</v>
      </c>
      <c r="R13">
        <v>433183</v>
      </c>
      <c r="S13">
        <v>723470</v>
      </c>
      <c r="T13">
        <v>3565</v>
      </c>
      <c r="U13">
        <v>1988444</v>
      </c>
      <c r="V13">
        <v>12761</v>
      </c>
      <c r="W13">
        <v>247128</v>
      </c>
      <c r="X13">
        <v>567643</v>
      </c>
      <c r="Y13">
        <v>19382</v>
      </c>
      <c r="Z13">
        <v>713795</v>
      </c>
      <c r="AA13">
        <v>23485</v>
      </c>
      <c r="AB13">
        <v>141902</v>
      </c>
      <c r="AC13">
        <v>1639110</v>
      </c>
      <c r="AD13">
        <v>65657</v>
      </c>
      <c r="AE13">
        <v>2353377</v>
      </c>
      <c r="AF13">
        <v>109562</v>
      </c>
      <c r="AG13">
        <v>405178</v>
      </c>
      <c r="AH13">
        <v>219585</v>
      </c>
      <c r="AI13">
        <v>303220</v>
      </c>
      <c r="AJ13">
        <v>226239</v>
      </c>
      <c r="AK13">
        <v>304977</v>
      </c>
      <c r="AL13">
        <v>12085</v>
      </c>
      <c r="AM13">
        <v>8947942</v>
      </c>
      <c r="AN13">
        <v>53221</v>
      </c>
      <c r="AO13">
        <v>8872035</v>
      </c>
      <c r="AP13">
        <v>69668</v>
      </c>
      <c r="AQ13">
        <v>618073</v>
      </c>
      <c r="AR13">
        <v>3182192</v>
      </c>
      <c r="AS13">
        <v>6406</v>
      </c>
      <c r="AT13">
        <v>3994780</v>
      </c>
      <c r="AU13">
        <v>10268</v>
      </c>
      <c r="AV13">
        <v>296741</v>
      </c>
      <c r="AW13">
        <v>6202</v>
      </c>
      <c r="AX13">
        <v>2649</v>
      </c>
      <c r="AY13">
        <v>244125</v>
      </c>
      <c r="AZ13">
        <v>8219</v>
      </c>
      <c r="BA13">
        <v>28074</v>
      </c>
      <c r="BB13">
        <v>18783795</v>
      </c>
      <c r="BC13">
        <v>253600</v>
      </c>
      <c r="BD13">
        <v>18710662</v>
      </c>
      <c r="BE13">
        <v>196979</v>
      </c>
      <c r="BF13">
        <v>116256</v>
      </c>
      <c r="BG13">
        <v>371174</v>
      </c>
      <c r="BH13">
        <v>157551</v>
      </c>
      <c r="BI13">
        <v>433798</v>
      </c>
      <c r="BJ13">
        <v>210953</v>
      </c>
      <c r="BK13">
        <v>54144</v>
      </c>
      <c r="BL13" t="s">
        <v>73</v>
      </c>
      <c r="BM13" t="s">
        <v>73</v>
      </c>
      <c r="BN13" t="s">
        <v>73</v>
      </c>
      <c r="BO13" t="s">
        <v>73</v>
      </c>
      <c r="BP13" t="s">
        <v>73</v>
      </c>
      <c r="BQ13" t="s">
        <v>73</v>
      </c>
      <c r="BR13" t="s">
        <v>73</v>
      </c>
      <c r="BS13" t="s">
        <v>73</v>
      </c>
      <c r="BT13" t="s">
        <v>73</v>
      </c>
      <c r="BU13" t="s">
        <v>73</v>
      </c>
      <c r="BV13">
        <v>181829</v>
      </c>
      <c r="BW13">
        <v>84367</v>
      </c>
      <c r="BX13">
        <v>207199</v>
      </c>
      <c r="BY13">
        <v>84083</v>
      </c>
      <c r="BZ13">
        <v>32816</v>
      </c>
      <c r="CA13">
        <v>4007962</v>
      </c>
      <c r="CB13">
        <v>53894</v>
      </c>
      <c r="CC13">
        <v>4085346</v>
      </c>
      <c r="CD13">
        <v>57987</v>
      </c>
      <c r="CE13">
        <v>372861</v>
      </c>
      <c r="CF13">
        <v>4973713</v>
      </c>
      <c r="CG13">
        <v>36970</v>
      </c>
      <c r="CH13">
        <v>5503356</v>
      </c>
      <c r="CI13">
        <v>111723</v>
      </c>
      <c r="CJ13">
        <v>735995</v>
      </c>
      <c r="CK13">
        <v>907592</v>
      </c>
      <c r="CL13">
        <v>57352</v>
      </c>
      <c r="CM13">
        <v>1658854</v>
      </c>
      <c r="CN13">
        <v>138389</v>
      </c>
      <c r="CO13">
        <v>107479</v>
      </c>
      <c r="CP13">
        <v>5266403</v>
      </c>
      <c r="CQ13">
        <v>53470</v>
      </c>
      <c r="CR13">
        <v>4792883</v>
      </c>
      <c r="CS13">
        <v>48646</v>
      </c>
      <c r="CT13">
        <v>649625</v>
      </c>
      <c r="CU13">
        <v>511466</v>
      </c>
      <c r="CV13">
        <v>84379</v>
      </c>
      <c r="CW13">
        <v>352763</v>
      </c>
      <c r="CX13">
        <v>47288</v>
      </c>
      <c r="CY13">
        <v>38251</v>
      </c>
      <c r="CZ13" t="s">
        <v>73</v>
      </c>
      <c r="DA13" t="s">
        <v>73</v>
      </c>
      <c r="DB13" t="s">
        <v>73</v>
      </c>
      <c r="DC13" t="s">
        <v>73</v>
      </c>
      <c r="DD13" t="s">
        <v>73</v>
      </c>
      <c r="DE13">
        <v>487608</v>
      </c>
      <c r="DF13">
        <v>72147</v>
      </c>
      <c r="DG13">
        <v>2887548</v>
      </c>
      <c r="DH13">
        <v>466771</v>
      </c>
      <c r="DI13">
        <v>211790</v>
      </c>
      <c r="DJ13">
        <v>1053030</v>
      </c>
      <c r="DK13">
        <v>29018</v>
      </c>
      <c r="DL13">
        <v>1065372</v>
      </c>
      <c r="DM13">
        <v>13036</v>
      </c>
      <c r="DN13">
        <v>144661</v>
      </c>
      <c r="DO13">
        <v>73222</v>
      </c>
      <c r="DP13">
        <v>29899</v>
      </c>
      <c r="DQ13">
        <v>68543</v>
      </c>
      <c r="DR13">
        <v>38922</v>
      </c>
      <c r="DS13">
        <v>6337</v>
      </c>
      <c r="DT13">
        <v>78050</v>
      </c>
      <c r="DU13">
        <v>4644</v>
      </c>
      <c r="DV13">
        <v>3434</v>
      </c>
      <c r="DW13">
        <v>250</v>
      </c>
      <c r="DX13">
        <v>4927</v>
      </c>
      <c r="DY13">
        <v>810133</v>
      </c>
      <c r="DZ13">
        <v>116025</v>
      </c>
      <c r="EA13">
        <v>872193</v>
      </c>
      <c r="EB13">
        <v>190980</v>
      </c>
      <c r="EC13">
        <v>72626</v>
      </c>
      <c r="ED13">
        <v>708844</v>
      </c>
      <c r="EE13">
        <v>763659</v>
      </c>
      <c r="EF13">
        <v>728527</v>
      </c>
      <c r="EG13">
        <v>769331</v>
      </c>
      <c r="EH13">
        <v>42227</v>
      </c>
      <c r="EI13" t="s">
        <v>73</v>
      </c>
      <c r="EJ13" t="s">
        <v>73</v>
      </c>
      <c r="EK13" t="s">
        <v>73</v>
      </c>
      <c r="EL13" t="s">
        <v>73</v>
      </c>
      <c r="EM13" t="s">
        <v>73</v>
      </c>
      <c r="EN13">
        <v>1287686</v>
      </c>
      <c r="EO13">
        <v>567276</v>
      </c>
      <c r="EP13">
        <v>1306446</v>
      </c>
      <c r="EQ13">
        <v>443129</v>
      </c>
      <c r="ER13">
        <v>149322</v>
      </c>
      <c r="ES13">
        <v>23725</v>
      </c>
      <c r="ET13">
        <v>58122</v>
      </c>
      <c r="EU13">
        <v>24480</v>
      </c>
      <c r="EV13">
        <v>60600</v>
      </c>
      <c r="EW13">
        <v>1985</v>
      </c>
      <c r="EX13">
        <v>8317</v>
      </c>
      <c r="EY13">
        <v>51900</v>
      </c>
      <c r="EZ13">
        <v>8425</v>
      </c>
      <c r="FA13">
        <v>52473</v>
      </c>
      <c r="FB13">
        <v>226</v>
      </c>
      <c r="FC13">
        <v>38100</v>
      </c>
      <c r="FD13">
        <v>301461</v>
      </c>
      <c r="FE13">
        <v>34738</v>
      </c>
      <c r="FF13">
        <v>285430</v>
      </c>
      <c r="FG13">
        <v>443</v>
      </c>
      <c r="FH13">
        <v>232451</v>
      </c>
      <c r="FI13">
        <v>16542</v>
      </c>
      <c r="FJ13">
        <v>567912</v>
      </c>
      <c r="FK13">
        <v>26956</v>
      </c>
      <c r="FL13">
        <v>206242</v>
      </c>
    </row>
    <row r="14" spans="1:168" x14ac:dyDescent="0.4">
      <c r="A14" s="1" t="s">
        <v>16</v>
      </c>
      <c r="B14" s="1" t="s">
        <v>17</v>
      </c>
      <c r="C14">
        <v>6042</v>
      </c>
      <c r="D14">
        <v>787</v>
      </c>
      <c r="E14">
        <v>11643</v>
      </c>
      <c r="F14">
        <v>1495</v>
      </c>
      <c r="G14">
        <v>178389</v>
      </c>
      <c r="H14">
        <v>2187</v>
      </c>
      <c r="I14">
        <v>231022</v>
      </c>
      <c r="J14">
        <v>959</v>
      </c>
      <c r="K14">
        <v>311468</v>
      </c>
      <c r="L14">
        <v>790</v>
      </c>
      <c r="M14">
        <v>420860</v>
      </c>
      <c r="N14">
        <v>276216</v>
      </c>
      <c r="O14">
        <v>4154</v>
      </c>
      <c r="P14">
        <v>135927</v>
      </c>
      <c r="Q14">
        <v>4211</v>
      </c>
      <c r="R14">
        <v>390749</v>
      </c>
      <c r="S14">
        <v>65767</v>
      </c>
      <c r="T14">
        <v>338</v>
      </c>
      <c r="U14">
        <v>191411</v>
      </c>
      <c r="V14">
        <v>1154</v>
      </c>
      <c r="W14">
        <v>336473</v>
      </c>
      <c r="X14">
        <v>40419</v>
      </c>
      <c r="Y14">
        <v>823</v>
      </c>
      <c r="Z14">
        <v>60675</v>
      </c>
      <c r="AA14">
        <v>1158</v>
      </c>
      <c r="AB14">
        <v>140642</v>
      </c>
      <c r="AC14">
        <v>116228</v>
      </c>
      <c r="AD14">
        <v>4520</v>
      </c>
      <c r="AE14">
        <v>235612</v>
      </c>
      <c r="AF14">
        <v>10628</v>
      </c>
      <c r="AG14">
        <v>276215</v>
      </c>
      <c r="AH14">
        <v>20187</v>
      </c>
      <c r="AI14">
        <v>26362</v>
      </c>
      <c r="AJ14">
        <v>19589</v>
      </c>
      <c r="AK14">
        <v>27418</v>
      </c>
      <c r="AL14">
        <v>14054</v>
      </c>
      <c r="AM14">
        <v>648707</v>
      </c>
      <c r="AN14">
        <v>3826</v>
      </c>
      <c r="AO14">
        <v>669293</v>
      </c>
      <c r="AP14">
        <v>5305</v>
      </c>
      <c r="AQ14">
        <v>541976</v>
      </c>
      <c r="AR14">
        <v>260042</v>
      </c>
      <c r="AS14">
        <v>529</v>
      </c>
      <c r="AT14">
        <v>316135</v>
      </c>
      <c r="AU14">
        <v>832</v>
      </c>
      <c r="AV14">
        <v>355517</v>
      </c>
      <c r="AW14">
        <v>719</v>
      </c>
      <c r="AX14">
        <v>265</v>
      </c>
      <c r="AY14">
        <v>15153</v>
      </c>
      <c r="AZ14">
        <v>487</v>
      </c>
      <c r="BA14">
        <v>19011</v>
      </c>
      <c r="BB14">
        <v>1484152</v>
      </c>
      <c r="BC14">
        <v>18812</v>
      </c>
      <c r="BD14">
        <v>1492550</v>
      </c>
      <c r="BE14">
        <v>14902</v>
      </c>
      <c r="BF14">
        <v>126217</v>
      </c>
      <c r="BG14">
        <v>15893</v>
      </c>
      <c r="BH14">
        <v>8303</v>
      </c>
      <c r="BI14">
        <v>13567</v>
      </c>
      <c r="BJ14">
        <v>10508</v>
      </c>
      <c r="BK14">
        <v>30143</v>
      </c>
      <c r="BL14">
        <v>43279</v>
      </c>
      <c r="BM14">
        <v>2031</v>
      </c>
      <c r="BN14">
        <v>112930</v>
      </c>
      <c r="BO14">
        <v>3232</v>
      </c>
      <c r="BP14">
        <v>82500</v>
      </c>
      <c r="BQ14">
        <v>159</v>
      </c>
      <c r="BR14">
        <v>185</v>
      </c>
      <c r="BS14">
        <v>159</v>
      </c>
      <c r="BT14">
        <v>185</v>
      </c>
      <c r="BU14">
        <v>11418</v>
      </c>
      <c r="BV14">
        <v>14056</v>
      </c>
      <c r="BW14">
        <v>7506</v>
      </c>
      <c r="BX14">
        <v>18734</v>
      </c>
      <c r="BY14">
        <v>7392</v>
      </c>
      <c r="BZ14">
        <v>29415</v>
      </c>
      <c r="CA14">
        <v>271410</v>
      </c>
      <c r="CB14">
        <v>3819</v>
      </c>
      <c r="CC14">
        <v>285200</v>
      </c>
      <c r="CD14">
        <v>3780</v>
      </c>
      <c r="CE14">
        <v>343182</v>
      </c>
      <c r="CF14">
        <v>478040</v>
      </c>
      <c r="CG14">
        <v>2825</v>
      </c>
      <c r="CH14">
        <v>473845</v>
      </c>
      <c r="CI14">
        <v>10438</v>
      </c>
      <c r="CJ14">
        <v>820788</v>
      </c>
      <c r="CK14">
        <v>48158</v>
      </c>
      <c r="CL14">
        <v>3921</v>
      </c>
      <c r="CM14">
        <v>222781</v>
      </c>
      <c r="CN14">
        <v>17751</v>
      </c>
      <c r="CO14">
        <v>90502</v>
      </c>
      <c r="CP14">
        <v>198986</v>
      </c>
      <c r="CQ14">
        <v>2320</v>
      </c>
      <c r="CR14">
        <v>239069</v>
      </c>
      <c r="CS14">
        <v>3199</v>
      </c>
      <c r="CT14">
        <v>336013</v>
      </c>
      <c r="CU14">
        <v>37464</v>
      </c>
      <c r="CV14">
        <v>6224</v>
      </c>
      <c r="CW14">
        <v>26670</v>
      </c>
      <c r="CX14">
        <v>3567</v>
      </c>
      <c r="CY14">
        <v>41485</v>
      </c>
      <c r="CZ14" t="s">
        <v>73</v>
      </c>
      <c r="DA14" t="s">
        <v>73</v>
      </c>
      <c r="DB14" t="s">
        <v>73</v>
      </c>
      <c r="DC14" t="s">
        <v>73</v>
      </c>
      <c r="DD14" t="s">
        <v>73</v>
      </c>
      <c r="DE14">
        <v>67585</v>
      </c>
      <c r="DF14">
        <v>8443</v>
      </c>
      <c r="DG14">
        <v>301391</v>
      </c>
      <c r="DH14">
        <v>53053</v>
      </c>
      <c r="DI14">
        <v>163388</v>
      </c>
      <c r="DJ14">
        <v>41447</v>
      </c>
      <c r="DK14">
        <v>346</v>
      </c>
      <c r="DL14">
        <v>93511</v>
      </c>
      <c r="DM14">
        <v>1202</v>
      </c>
      <c r="DN14">
        <v>123138</v>
      </c>
      <c r="DO14">
        <v>20777</v>
      </c>
      <c r="DP14">
        <v>4975</v>
      </c>
      <c r="DQ14">
        <v>8054</v>
      </c>
      <c r="DR14">
        <v>5783</v>
      </c>
      <c r="DS14">
        <v>6422</v>
      </c>
      <c r="DT14">
        <v>2176</v>
      </c>
      <c r="DU14">
        <v>36</v>
      </c>
      <c r="DV14">
        <v>451</v>
      </c>
      <c r="DW14">
        <v>62</v>
      </c>
      <c r="DX14">
        <v>5149</v>
      </c>
      <c r="DY14">
        <v>45255</v>
      </c>
      <c r="DZ14">
        <v>11476</v>
      </c>
      <c r="EA14">
        <v>70582</v>
      </c>
      <c r="EB14">
        <v>20996</v>
      </c>
      <c r="EC14">
        <v>73682</v>
      </c>
      <c r="ED14">
        <v>66755</v>
      </c>
      <c r="EE14">
        <v>54858</v>
      </c>
      <c r="EF14">
        <v>74456</v>
      </c>
      <c r="EG14">
        <v>59624</v>
      </c>
      <c r="EH14">
        <v>63753</v>
      </c>
      <c r="EI14" t="s">
        <v>73</v>
      </c>
      <c r="EJ14" t="s">
        <v>73</v>
      </c>
      <c r="EK14" t="s">
        <v>73</v>
      </c>
      <c r="EL14" t="s">
        <v>73</v>
      </c>
      <c r="EM14" t="s">
        <v>73</v>
      </c>
      <c r="EN14">
        <v>112945</v>
      </c>
      <c r="EO14">
        <v>41041</v>
      </c>
      <c r="EP14">
        <v>100893</v>
      </c>
      <c r="EQ14">
        <v>32119</v>
      </c>
      <c r="ER14">
        <v>71740</v>
      </c>
      <c r="ES14">
        <v>3881</v>
      </c>
      <c r="ET14">
        <v>10246</v>
      </c>
      <c r="EU14">
        <v>4637</v>
      </c>
      <c r="EV14">
        <v>12221</v>
      </c>
      <c r="EW14">
        <v>2372</v>
      </c>
      <c r="EX14">
        <v>2216</v>
      </c>
      <c r="EY14">
        <v>8821</v>
      </c>
      <c r="EZ14">
        <v>2518</v>
      </c>
      <c r="FA14">
        <v>10223</v>
      </c>
      <c r="FB14">
        <v>465</v>
      </c>
      <c r="FC14">
        <v>5145</v>
      </c>
      <c r="FD14">
        <v>42882</v>
      </c>
      <c r="FE14">
        <v>4620</v>
      </c>
      <c r="FF14">
        <v>37990</v>
      </c>
      <c r="FG14">
        <v>821</v>
      </c>
      <c r="FH14">
        <v>38781</v>
      </c>
      <c r="FI14">
        <v>2375</v>
      </c>
      <c r="FJ14">
        <v>86414</v>
      </c>
      <c r="FK14">
        <v>4682</v>
      </c>
      <c r="FL14">
        <v>188361</v>
      </c>
    </row>
    <row r="15" spans="1:168" x14ac:dyDescent="0.4">
      <c r="A15" s="1" t="s">
        <v>18</v>
      </c>
      <c r="B15" s="1" t="s">
        <v>19</v>
      </c>
      <c r="C15">
        <v>6165</v>
      </c>
      <c r="D15">
        <v>487</v>
      </c>
      <c r="E15">
        <v>11875</v>
      </c>
      <c r="F15">
        <v>1396</v>
      </c>
      <c r="G15">
        <v>163365</v>
      </c>
      <c r="H15">
        <v>2512</v>
      </c>
      <c r="I15">
        <v>271392</v>
      </c>
      <c r="J15">
        <v>867</v>
      </c>
      <c r="K15">
        <v>440923</v>
      </c>
      <c r="L15">
        <v>1014</v>
      </c>
      <c r="M15">
        <v>306969</v>
      </c>
      <c r="N15">
        <v>266259</v>
      </c>
      <c r="O15">
        <v>3485</v>
      </c>
      <c r="P15">
        <v>139602</v>
      </c>
      <c r="Q15">
        <v>3058</v>
      </c>
      <c r="R15">
        <v>390449</v>
      </c>
      <c r="S15">
        <v>59452</v>
      </c>
      <c r="T15">
        <v>322</v>
      </c>
      <c r="U15">
        <v>171928</v>
      </c>
      <c r="V15">
        <v>1100</v>
      </c>
      <c r="W15">
        <v>332025</v>
      </c>
      <c r="X15">
        <v>37546</v>
      </c>
      <c r="Y15">
        <v>857</v>
      </c>
      <c r="Z15">
        <v>54517</v>
      </c>
      <c r="AA15">
        <v>1292</v>
      </c>
      <c r="AB15">
        <v>143786</v>
      </c>
      <c r="AC15">
        <v>140622</v>
      </c>
      <c r="AD15">
        <v>5082</v>
      </c>
      <c r="AE15">
        <v>214175</v>
      </c>
      <c r="AF15">
        <v>9961</v>
      </c>
      <c r="AG15">
        <v>304620</v>
      </c>
      <c r="AH15">
        <v>20265</v>
      </c>
      <c r="AI15">
        <v>23914</v>
      </c>
      <c r="AJ15">
        <v>16080</v>
      </c>
      <c r="AK15">
        <v>21600</v>
      </c>
      <c r="AL15">
        <v>16594</v>
      </c>
      <c r="AM15">
        <v>742099</v>
      </c>
      <c r="AN15">
        <v>3860</v>
      </c>
      <c r="AO15">
        <v>649740</v>
      </c>
      <c r="AP15">
        <v>5468</v>
      </c>
      <c r="AQ15">
        <v>641077</v>
      </c>
      <c r="AR15">
        <v>260502</v>
      </c>
      <c r="AS15">
        <v>489</v>
      </c>
      <c r="AT15">
        <v>328357</v>
      </c>
      <c r="AU15">
        <v>861</v>
      </c>
      <c r="AV15">
        <v>352822</v>
      </c>
      <c r="AW15">
        <v>692</v>
      </c>
      <c r="AX15">
        <v>240</v>
      </c>
      <c r="AY15">
        <v>14272</v>
      </c>
      <c r="AZ15">
        <v>422</v>
      </c>
      <c r="BA15">
        <v>19664</v>
      </c>
      <c r="BB15">
        <v>1633259</v>
      </c>
      <c r="BC15">
        <v>19964</v>
      </c>
      <c r="BD15">
        <v>1675574</v>
      </c>
      <c r="BE15">
        <v>16029</v>
      </c>
      <c r="BF15">
        <v>126565</v>
      </c>
      <c r="BG15">
        <v>12831</v>
      </c>
      <c r="BH15">
        <v>7251</v>
      </c>
      <c r="BI15">
        <v>11237</v>
      </c>
      <c r="BJ15">
        <v>8505</v>
      </c>
      <c r="BK15">
        <v>31519</v>
      </c>
      <c r="BL15">
        <v>35986</v>
      </c>
      <c r="BM15">
        <v>1979</v>
      </c>
      <c r="BN15">
        <v>87348</v>
      </c>
      <c r="BO15">
        <v>2930</v>
      </c>
      <c r="BP15">
        <v>89554</v>
      </c>
      <c r="BQ15">
        <v>0</v>
      </c>
      <c r="BR15">
        <v>0</v>
      </c>
      <c r="BS15">
        <v>0</v>
      </c>
      <c r="BT15">
        <v>0</v>
      </c>
      <c r="BU15">
        <v>12855</v>
      </c>
      <c r="BV15">
        <v>11695</v>
      </c>
      <c r="BW15">
        <v>6303</v>
      </c>
      <c r="BX15">
        <v>20320</v>
      </c>
      <c r="BY15">
        <v>6583</v>
      </c>
      <c r="BZ15">
        <v>24971</v>
      </c>
      <c r="CA15">
        <v>294603</v>
      </c>
      <c r="CB15">
        <v>3892</v>
      </c>
      <c r="CC15">
        <v>296366</v>
      </c>
      <c r="CD15">
        <v>3908</v>
      </c>
      <c r="CE15">
        <v>344476</v>
      </c>
      <c r="CF15">
        <v>394887</v>
      </c>
      <c r="CG15">
        <v>2534</v>
      </c>
      <c r="CH15">
        <v>404280</v>
      </c>
      <c r="CI15">
        <v>7929</v>
      </c>
      <c r="CJ15">
        <v>819141</v>
      </c>
      <c r="CK15">
        <v>54516</v>
      </c>
      <c r="CL15">
        <v>3635</v>
      </c>
      <c r="CM15">
        <v>188246</v>
      </c>
      <c r="CN15">
        <v>12419</v>
      </c>
      <c r="CO15">
        <v>96672</v>
      </c>
      <c r="CP15">
        <v>220959</v>
      </c>
      <c r="CQ15">
        <v>2727</v>
      </c>
      <c r="CR15">
        <v>203725</v>
      </c>
      <c r="CS15">
        <v>2817</v>
      </c>
      <c r="CT15">
        <v>340730</v>
      </c>
      <c r="CU15">
        <v>29235</v>
      </c>
      <c r="CV15">
        <v>3814</v>
      </c>
      <c r="CW15">
        <v>25050</v>
      </c>
      <c r="CX15">
        <v>3062</v>
      </c>
      <c r="CY15">
        <v>40462</v>
      </c>
      <c r="CZ15" t="s">
        <v>73</v>
      </c>
      <c r="DA15" t="s">
        <v>73</v>
      </c>
      <c r="DB15" t="s">
        <v>73</v>
      </c>
      <c r="DC15" t="s">
        <v>73</v>
      </c>
      <c r="DD15" t="s">
        <v>73</v>
      </c>
      <c r="DE15">
        <v>69226</v>
      </c>
      <c r="DF15">
        <v>8638</v>
      </c>
      <c r="DG15">
        <v>264004</v>
      </c>
      <c r="DH15">
        <v>45181</v>
      </c>
      <c r="DI15">
        <v>163376</v>
      </c>
      <c r="DJ15">
        <v>44744</v>
      </c>
      <c r="DK15">
        <v>428</v>
      </c>
      <c r="DL15">
        <v>72045</v>
      </c>
      <c r="DM15">
        <v>911</v>
      </c>
      <c r="DN15">
        <v>124326</v>
      </c>
      <c r="DO15">
        <v>21196</v>
      </c>
      <c r="DP15">
        <v>3982</v>
      </c>
      <c r="DQ15">
        <v>5356</v>
      </c>
      <c r="DR15">
        <v>3597</v>
      </c>
      <c r="DS15">
        <v>6933</v>
      </c>
      <c r="DT15">
        <v>1605</v>
      </c>
      <c r="DU15">
        <v>33</v>
      </c>
      <c r="DV15">
        <v>289</v>
      </c>
      <c r="DW15">
        <v>63</v>
      </c>
      <c r="DX15">
        <v>5103</v>
      </c>
      <c r="DY15">
        <v>45239</v>
      </c>
      <c r="DZ15">
        <v>9803</v>
      </c>
      <c r="EA15">
        <v>60501</v>
      </c>
      <c r="EB15">
        <v>16335</v>
      </c>
      <c r="EC15">
        <v>76123</v>
      </c>
      <c r="ED15">
        <v>44545</v>
      </c>
      <c r="EE15">
        <v>53840</v>
      </c>
      <c r="EF15">
        <v>48223</v>
      </c>
      <c r="EG15">
        <v>54732</v>
      </c>
      <c r="EH15">
        <v>62008</v>
      </c>
      <c r="EI15" t="s">
        <v>73</v>
      </c>
      <c r="EJ15" t="s">
        <v>73</v>
      </c>
      <c r="EK15" t="s">
        <v>73</v>
      </c>
      <c r="EL15" t="s">
        <v>73</v>
      </c>
      <c r="EM15" t="s">
        <v>73</v>
      </c>
      <c r="EN15">
        <v>120616</v>
      </c>
      <c r="EO15">
        <v>39566</v>
      </c>
      <c r="EP15">
        <v>104986</v>
      </c>
      <c r="EQ15">
        <v>29092</v>
      </c>
      <c r="ER15">
        <v>70648</v>
      </c>
      <c r="ES15">
        <v>3082</v>
      </c>
      <c r="ET15">
        <v>7526</v>
      </c>
      <c r="EU15">
        <v>3658</v>
      </c>
      <c r="EV15">
        <v>8625</v>
      </c>
      <c r="EW15">
        <v>2232</v>
      </c>
      <c r="EX15">
        <v>2020</v>
      </c>
      <c r="EY15">
        <v>9196</v>
      </c>
      <c r="EZ15">
        <v>1936</v>
      </c>
      <c r="FA15">
        <v>9154</v>
      </c>
      <c r="FB15">
        <v>518</v>
      </c>
      <c r="FC15">
        <v>4797</v>
      </c>
      <c r="FD15">
        <v>33727</v>
      </c>
      <c r="FE15">
        <v>2736</v>
      </c>
      <c r="FF15">
        <v>28440</v>
      </c>
      <c r="FG15">
        <v>1344</v>
      </c>
      <c r="FH15">
        <v>34031</v>
      </c>
      <c r="FI15">
        <v>1954</v>
      </c>
      <c r="FJ15">
        <v>43690</v>
      </c>
      <c r="FK15">
        <v>2504</v>
      </c>
      <c r="FL15">
        <v>217352</v>
      </c>
    </row>
    <row r="16" spans="1:168" x14ac:dyDescent="0.4">
      <c r="A16" s="1" t="s">
        <v>20</v>
      </c>
      <c r="B16" s="1" t="s">
        <v>21</v>
      </c>
      <c r="C16">
        <v>5615</v>
      </c>
      <c r="D16">
        <v>424</v>
      </c>
      <c r="E16">
        <v>11440</v>
      </c>
      <c r="F16">
        <v>1485</v>
      </c>
      <c r="G16">
        <v>171824</v>
      </c>
      <c r="H16">
        <v>2303</v>
      </c>
      <c r="I16">
        <v>296504</v>
      </c>
      <c r="J16">
        <v>982</v>
      </c>
      <c r="K16">
        <v>371143</v>
      </c>
      <c r="L16">
        <v>1026</v>
      </c>
      <c r="M16">
        <v>305220</v>
      </c>
      <c r="N16">
        <v>275705</v>
      </c>
      <c r="O16">
        <v>3600</v>
      </c>
      <c r="P16">
        <v>144371</v>
      </c>
      <c r="Q16">
        <v>4184</v>
      </c>
      <c r="R16">
        <v>392338</v>
      </c>
      <c r="S16">
        <v>62228</v>
      </c>
      <c r="T16">
        <v>331</v>
      </c>
      <c r="U16">
        <v>169834</v>
      </c>
      <c r="V16">
        <v>1092</v>
      </c>
      <c r="W16">
        <v>334787</v>
      </c>
      <c r="X16">
        <v>38304</v>
      </c>
      <c r="Y16">
        <v>1145</v>
      </c>
      <c r="Z16">
        <v>51832</v>
      </c>
      <c r="AA16">
        <v>1462</v>
      </c>
      <c r="AB16">
        <v>149676</v>
      </c>
      <c r="AC16">
        <v>131093</v>
      </c>
      <c r="AD16">
        <v>5088</v>
      </c>
      <c r="AE16">
        <v>180352</v>
      </c>
      <c r="AF16">
        <v>9353</v>
      </c>
      <c r="AG16">
        <v>329048</v>
      </c>
      <c r="AH16">
        <v>18718</v>
      </c>
      <c r="AI16">
        <v>25365</v>
      </c>
      <c r="AJ16">
        <v>18946</v>
      </c>
      <c r="AK16">
        <v>24707</v>
      </c>
      <c r="AL16">
        <v>17545</v>
      </c>
      <c r="AM16">
        <v>691609</v>
      </c>
      <c r="AN16">
        <v>4079</v>
      </c>
      <c r="AO16">
        <v>609471</v>
      </c>
      <c r="AP16">
        <v>5407</v>
      </c>
      <c r="AQ16">
        <v>731156</v>
      </c>
      <c r="AR16">
        <v>248906</v>
      </c>
      <c r="AS16">
        <v>474</v>
      </c>
      <c r="AT16">
        <v>334019</v>
      </c>
      <c r="AU16">
        <v>801</v>
      </c>
      <c r="AV16">
        <v>333130</v>
      </c>
      <c r="AW16">
        <v>774</v>
      </c>
      <c r="AX16">
        <v>246</v>
      </c>
      <c r="AY16">
        <v>21437</v>
      </c>
      <c r="AZ16">
        <v>648</v>
      </c>
      <c r="BA16">
        <v>18229</v>
      </c>
      <c r="BB16">
        <v>1450927</v>
      </c>
      <c r="BC16">
        <v>18596</v>
      </c>
      <c r="BD16">
        <v>1474730</v>
      </c>
      <c r="BE16">
        <v>14733</v>
      </c>
      <c r="BF16">
        <v>137340</v>
      </c>
      <c r="BG16">
        <v>19336</v>
      </c>
      <c r="BH16">
        <v>7647</v>
      </c>
      <c r="BI16">
        <v>12607</v>
      </c>
      <c r="BJ16">
        <v>8900</v>
      </c>
      <c r="BK16">
        <v>30608</v>
      </c>
      <c r="BL16">
        <v>32763</v>
      </c>
      <c r="BM16">
        <v>1874</v>
      </c>
      <c r="BN16">
        <v>91446</v>
      </c>
      <c r="BO16">
        <v>2396</v>
      </c>
      <c r="BP16">
        <v>99420</v>
      </c>
      <c r="BQ16">
        <v>0</v>
      </c>
      <c r="BR16">
        <v>0</v>
      </c>
      <c r="BS16">
        <v>0</v>
      </c>
      <c r="BT16">
        <v>0</v>
      </c>
      <c r="BU16">
        <v>11276</v>
      </c>
      <c r="BV16">
        <v>13064</v>
      </c>
      <c r="BW16">
        <v>6022</v>
      </c>
      <c r="BX16">
        <v>17505</v>
      </c>
      <c r="BY16">
        <v>5669</v>
      </c>
      <c r="BZ16">
        <v>25884</v>
      </c>
      <c r="CA16">
        <v>256938</v>
      </c>
      <c r="CB16">
        <v>3924</v>
      </c>
      <c r="CC16">
        <v>288427</v>
      </c>
      <c r="CD16">
        <v>3955</v>
      </c>
      <c r="CE16">
        <v>318405</v>
      </c>
      <c r="CF16">
        <v>385824</v>
      </c>
      <c r="CG16">
        <v>2467</v>
      </c>
      <c r="CH16">
        <v>449417</v>
      </c>
      <c r="CI16">
        <v>8435</v>
      </c>
      <c r="CJ16">
        <v>807550</v>
      </c>
      <c r="CK16">
        <v>52385</v>
      </c>
      <c r="CL16">
        <v>3612</v>
      </c>
      <c r="CM16">
        <v>197786</v>
      </c>
      <c r="CN16">
        <v>14159</v>
      </c>
      <c r="CO16">
        <v>98757</v>
      </c>
      <c r="CP16">
        <v>236126</v>
      </c>
      <c r="CQ16">
        <v>2970</v>
      </c>
      <c r="CR16">
        <v>200834</v>
      </c>
      <c r="CS16">
        <v>2834</v>
      </c>
      <c r="CT16">
        <v>347314</v>
      </c>
      <c r="CU16">
        <v>41531</v>
      </c>
      <c r="CV16">
        <v>6280</v>
      </c>
      <c r="CW16">
        <v>30071</v>
      </c>
      <c r="CX16">
        <v>3544</v>
      </c>
      <c r="CY16">
        <v>40728</v>
      </c>
      <c r="CZ16" t="s">
        <v>73</v>
      </c>
      <c r="DA16" t="s">
        <v>73</v>
      </c>
      <c r="DB16" t="s">
        <v>73</v>
      </c>
      <c r="DC16" t="s">
        <v>73</v>
      </c>
      <c r="DD16" t="s">
        <v>73</v>
      </c>
      <c r="DE16">
        <v>67855</v>
      </c>
      <c r="DF16">
        <v>8428</v>
      </c>
      <c r="DG16">
        <v>255202</v>
      </c>
      <c r="DH16">
        <v>44942</v>
      </c>
      <c r="DI16">
        <v>176349</v>
      </c>
      <c r="DJ16">
        <v>38394</v>
      </c>
      <c r="DK16">
        <v>364</v>
      </c>
      <c r="DL16">
        <v>63373</v>
      </c>
      <c r="DM16">
        <v>840</v>
      </c>
      <c r="DN16">
        <v>124073</v>
      </c>
      <c r="DO16">
        <v>20045</v>
      </c>
      <c r="DP16">
        <v>3550</v>
      </c>
      <c r="DQ16">
        <v>5317</v>
      </c>
      <c r="DR16">
        <v>3413</v>
      </c>
      <c r="DS16">
        <v>7133</v>
      </c>
      <c r="DT16">
        <v>1319</v>
      </c>
      <c r="DU16">
        <v>33</v>
      </c>
      <c r="DV16">
        <v>314</v>
      </c>
      <c r="DW16">
        <v>62</v>
      </c>
      <c r="DX16">
        <v>5086</v>
      </c>
      <c r="DY16">
        <v>55266</v>
      </c>
      <c r="DZ16">
        <v>9061</v>
      </c>
      <c r="EA16">
        <v>72376</v>
      </c>
      <c r="EB16">
        <v>17760</v>
      </c>
      <c r="EC16">
        <v>77430</v>
      </c>
      <c r="ED16">
        <v>52337</v>
      </c>
      <c r="EE16">
        <v>59101</v>
      </c>
      <c r="EF16">
        <v>51409</v>
      </c>
      <c r="EG16">
        <v>55835</v>
      </c>
      <c r="EH16">
        <v>63993</v>
      </c>
      <c r="EI16" t="s">
        <v>73</v>
      </c>
      <c r="EJ16" t="s">
        <v>73</v>
      </c>
      <c r="EK16" t="s">
        <v>73</v>
      </c>
      <c r="EL16" t="s">
        <v>73</v>
      </c>
      <c r="EM16" t="s">
        <v>73</v>
      </c>
      <c r="EN16">
        <v>117086</v>
      </c>
      <c r="EO16">
        <v>43310</v>
      </c>
      <c r="EP16">
        <v>108055</v>
      </c>
      <c r="EQ16">
        <v>29270</v>
      </c>
      <c r="ER16">
        <v>80450</v>
      </c>
      <c r="ES16">
        <v>3163</v>
      </c>
      <c r="ET16">
        <v>8297</v>
      </c>
      <c r="EU16">
        <v>3764</v>
      </c>
      <c r="EV16">
        <v>9466</v>
      </c>
      <c r="EW16">
        <v>2072</v>
      </c>
      <c r="EX16">
        <v>1821</v>
      </c>
      <c r="EY16">
        <v>9252</v>
      </c>
      <c r="EZ16">
        <v>1607</v>
      </c>
      <c r="FA16">
        <v>8261</v>
      </c>
      <c r="FB16">
        <v>647</v>
      </c>
      <c r="FC16">
        <v>3420</v>
      </c>
      <c r="FD16">
        <v>36227</v>
      </c>
      <c r="FE16">
        <v>3059</v>
      </c>
      <c r="FF16">
        <v>30586</v>
      </c>
      <c r="FG16">
        <v>966</v>
      </c>
      <c r="FH16">
        <v>35053</v>
      </c>
      <c r="FI16">
        <v>2036</v>
      </c>
      <c r="FJ16">
        <v>50409</v>
      </c>
      <c r="FK16">
        <v>2779</v>
      </c>
      <c r="FL16">
        <v>225405</v>
      </c>
    </row>
    <row r="17" spans="1:168" x14ac:dyDescent="0.4">
      <c r="A17" s="1" t="s">
        <v>22</v>
      </c>
      <c r="B17" s="1" t="s">
        <v>23</v>
      </c>
      <c r="C17">
        <v>5995</v>
      </c>
      <c r="D17">
        <v>478</v>
      </c>
      <c r="E17">
        <v>11140</v>
      </c>
      <c r="F17">
        <v>1483</v>
      </c>
      <c r="G17">
        <v>178737</v>
      </c>
      <c r="H17">
        <v>2384</v>
      </c>
      <c r="I17">
        <v>284387</v>
      </c>
      <c r="J17">
        <v>1012</v>
      </c>
      <c r="K17">
        <v>360542</v>
      </c>
      <c r="L17">
        <v>1014</v>
      </c>
      <c r="M17">
        <v>299338</v>
      </c>
      <c r="N17">
        <v>265691</v>
      </c>
      <c r="O17">
        <v>3844</v>
      </c>
      <c r="P17">
        <v>141065</v>
      </c>
      <c r="Q17">
        <v>3628</v>
      </c>
      <c r="R17">
        <v>389898</v>
      </c>
      <c r="S17">
        <v>69723</v>
      </c>
      <c r="T17">
        <v>355</v>
      </c>
      <c r="U17">
        <v>178817</v>
      </c>
      <c r="V17">
        <v>1118</v>
      </c>
      <c r="W17">
        <v>331932</v>
      </c>
      <c r="X17">
        <v>42617</v>
      </c>
      <c r="Y17">
        <v>1887</v>
      </c>
      <c r="Z17">
        <v>61116</v>
      </c>
      <c r="AA17">
        <v>2189</v>
      </c>
      <c r="AB17">
        <v>148707</v>
      </c>
      <c r="AC17">
        <v>137343</v>
      </c>
      <c r="AD17">
        <v>5184</v>
      </c>
      <c r="AE17">
        <v>204176</v>
      </c>
      <c r="AF17">
        <v>9627</v>
      </c>
      <c r="AG17">
        <v>331415</v>
      </c>
      <c r="AH17">
        <v>18631</v>
      </c>
      <c r="AI17">
        <v>25105</v>
      </c>
      <c r="AJ17">
        <v>21199</v>
      </c>
      <c r="AK17">
        <v>28133</v>
      </c>
      <c r="AL17">
        <v>15536</v>
      </c>
      <c r="AM17">
        <v>597699</v>
      </c>
      <c r="AN17">
        <v>4025</v>
      </c>
      <c r="AO17">
        <v>659695</v>
      </c>
      <c r="AP17">
        <v>5530</v>
      </c>
      <c r="AQ17">
        <v>683650</v>
      </c>
      <c r="AR17">
        <v>260884</v>
      </c>
      <c r="AS17">
        <v>501</v>
      </c>
      <c r="AT17">
        <v>337126</v>
      </c>
      <c r="AU17">
        <v>836</v>
      </c>
      <c r="AV17">
        <v>319184</v>
      </c>
      <c r="AW17">
        <v>847</v>
      </c>
      <c r="AX17">
        <v>261</v>
      </c>
      <c r="AY17">
        <v>22004</v>
      </c>
      <c r="AZ17">
        <v>671</v>
      </c>
      <c r="BA17">
        <v>18991</v>
      </c>
      <c r="BB17">
        <v>1456455</v>
      </c>
      <c r="BC17">
        <v>17397</v>
      </c>
      <c r="BD17">
        <v>1490476</v>
      </c>
      <c r="BE17">
        <v>13878</v>
      </c>
      <c r="BF17">
        <v>138620</v>
      </c>
      <c r="BG17">
        <v>15660</v>
      </c>
      <c r="BH17">
        <v>7339</v>
      </c>
      <c r="BI17">
        <v>12795</v>
      </c>
      <c r="BJ17">
        <v>9561</v>
      </c>
      <c r="BK17">
        <v>31518</v>
      </c>
      <c r="BL17">
        <v>37603</v>
      </c>
      <c r="BM17">
        <v>2286</v>
      </c>
      <c r="BN17">
        <v>117522</v>
      </c>
      <c r="BO17">
        <v>3587</v>
      </c>
      <c r="BP17">
        <v>95398</v>
      </c>
      <c r="BQ17">
        <v>0</v>
      </c>
      <c r="BR17">
        <v>0</v>
      </c>
      <c r="BS17">
        <v>0</v>
      </c>
      <c r="BT17">
        <v>0</v>
      </c>
      <c r="BU17">
        <v>11070</v>
      </c>
      <c r="BV17">
        <v>13654</v>
      </c>
      <c r="BW17">
        <v>5966</v>
      </c>
      <c r="BX17">
        <v>20907</v>
      </c>
      <c r="BY17">
        <v>6540</v>
      </c>
      <c r="BZ17">
        <v>23843</v>
      </c>
      <c r="CA17">
        <v>293577</v>
      </c>
      <c r="CB17">
        <v>3910</v>
      </c>
      <c r="CC17">
        <v>313564</v>
      </c>
      <c r="CD17">
        <v>3911</v>
      </c>
      <c r="CE17">
        <v>302162</v>
      </c>
      <c r="CF17">
        <v>415919</v>
      </c>
      <c r="CG17">
        <v>2523</v>
      </c>
      <c r="CH17">
        <v>500066</v>
      </c>
      <c r="CI17">
        <v>10278</v>
      </c>
      <c r="CJ17">
        <v>788315</v>
      </c>
      <c r="CK17">
        <v>60537</v>
      </c>
      <c r="CL17">
        <v>3995</v>
      </c>
      <c r="CM17">
        <v>212105</v>
      </c>
      <c r="CN17">
        <v>15980</v>
      </c>
      <c r="CO17">
        <v>101856</v>
      </c>
      <c r="CP17">
        <v>245951</v>
      </c>
      <c r="CQ17">
        <v>3104</v>
      </c>
      <c r="CR17">
        <v>207476</v>
      </c>
      <c r="CS17">
        <v>3135</v>
      </c>
      <c r="CT17">
        <v>331903</v>
      </c>
      <c r="CU17">
        <v>39903</v>
      </c>
      <c r="CV17">
        <v>6424</v>
      </c>
      <c r="CW17">
        <v>28012</v>
      </c>
      <c r="CX17">
        <v>3450</v>
      </c>
      <c r="CY17">
        <v>40726</v>
      </c>
      <c r="CZ17" t="s">
        <v>73</v>
      </c>
      <c r="DA17" t="s">
        <v>73</v>
      </c>
      <c r="DB17" t="s">
        <v>73</v>
      </c>
      <c r="DC17" t="s">
        <v>73</v>
      </c>
      <c r="DD17" t="s">
        <v>73</v>
      </c>
      <c r="DE17">
        <v>67609</v>
      </c>
      <c r="DF17">
        <v>8302</v>
      </c>
      <c r="DG17">
        <v>274707</v>
      </c>
      <c r="DH17">
        <v>48423</v>
      </c>
      <c r="DI17">
        <v>169617</v>
      </c>
      <c r="DJ17">
        <v>44343</v>
      </c>
      <c r="DK17">
        <v>415</v>
      </c>
      <c r="DL17">
        <v>83862</v>
      </c>
      <c r="DM17">
        <v>1091</v>
      </c>
      <c r="DN17">
        <v>121832</v>
      </c>
      <c r="DO17">
        <v>18722</v>
      </c>
      <c r="DP17">
        <v>3243</v>
      </c>
      <c r="DQ17">
        <v>6218</v>
      </c>
      <c r="DR17">
        <v>3919</v>
      </c>
      <c r="DS17">
        <v>5365</v>
      </c>
      <c r="DT17">
        <v>1549</v>
      </c>
      <c r="DU17">
        <v>34</v>
      </c>
      <c r="DV17">
        <v>280</v>
      </c>
      <c r="DW17">
        <v>60</v>
      </c>
      <c r="DX17">
        <v>5067</v>
      </c>
      <c r="DY17">
        <v>60671</v>
      </c>
      <c r="DZ17">
        <v>10963</v>
      </c>
      <c r="EA17">
        <v>78496</v>
      </c>
      <c r="EB17">
        <v>22740</v>
      </c>
      <c r="EC17">
        <v>76360</v>
      </c>
      <c r="ED17">
        <v>51032</v>
      </c>
      <c r="EE17">
        <v>55125</v>
      </c>
      <c r="EF17">
        <v>55364</v>
      </c>
      <c r="EG17">
        <v>59394</v>
      </c>
      <c r="EH17">
        <v>59852</v>
      </c>
      <c r="EI17" t="s">
        <v>73</v>
      </c>
      <c r="EJ17" t="s">
        <v>73</v>
      </c>
      <c r="EK17" t="s">
        <v>73</v>
      </c>
      <c r="EL17" t="s">
        <v>73</v>
      </c>
      <c r="EM17" t="s">
        <v>73</v>
      </c>
      <c r="EN17">
        <v>116781</v>
      </c>
      <c r="EO17">
        <v>42827</v>
      </c>
      <c r="EP17">
        <v>117287</v>
      </c>
      <c r="EQ17">
        <v>31488</v>
      </c>
      <c r="ER17">
        <v>87642</v>
      </c>
      <c r="ES17">
        <v>3348</v>
      </c>
      <c r="ET17">
        <v>9186</v>
      </c>
      <c r="EU17">
        <v>3886</v>
      </c>
      <c r="EV17">
        <v>10257</v>
      </c>
      <c r="EW17">
        <v>1960</v>
      </c>
      <c r="EX17">
        <v>1378</v>
      </c>
      <c r="EY17">
        <v>6241</v>
      </c>
      <c r="EZ17">
        <v>1398</v>
      </c>
      <c r="FA17">
        <v>6513</v>
      </c>
      <c r="FB17">
        <v>527</v>
      </c>
      <c r="FC17">
        <v>3415</v>
      </c>
      <c r="FD17">
        <v>34899</v>
      </c>
      <c r="FE17">
        <v>3034</v>
      </c>
      <c r="FF17">
        <v>31793</v>
      </c>
      <c r="FG17">
        <v>959</v>
      </c>
      <c r="FH17">
        <v>34483</v>
      </c>
      <c r="FI17">
        <v>2072</v>
      </c>
      <c r="FJ17">
        <v>53724</v>
      </c>
      <c r="FK17">
        <v>2872</v>
      </c>
      <c r="FL17">
        <v>242325</v>
      </c>
    </row>
    <row r="18" spans="1:168" x14ac:dyDescent="0.4">
      <c r="A18" s="1" t="s">
        <v>24</v>
      </c>
      <c r="B18" s="1" t="s">
        <v>25</v>
      </c>
      <c r="C18">
        <v>6158</v>
      </c>
      <c r="D18">
        <v>555</v>
      </c>
      <c r="E18">
        <v>11670</v>
      </c>
      <c r="F18">
        <v>1539</v>
      </c>
      <c r="G18">
        <v>190158</v>
      </c>
      <c r="H18">
        <v>2845</v>
      </c>
      <c r="I18">
        <v>311319</v>
      </c>
      <c r="J18">
        <v>899</v>
      </c>
      <c r="K18">
        <v>377842</v>
      </c>
      <c r="L18">
        <v>1002</v>
      </c>
      <c r="M18">
        <v>306243</v>
      </c>
      <c r="N18">
        <v>279206</v>
      </c>
      <c r="O18">
        <v>4061</v>
      </c>
      <c r="P18">
        <v>143903</v>
      </c>
      <c r="Q18">
        <v>4004</v>
      </c>
      <c r="R18">
        <v>394443</v>
      </c>
      <c r="S18">
        <v>78642</v>
      </c>
      <c r="T18">
        <v>420</v>
      </c>
      <c r="U18">
        <v>179111</v>
      </c>
      <c r="V18">
        <v>1125</v>
      </c>
      <c r="W18">
        <v>344300</v>
      </c>
      <c r="X18">
        <v>47714</v>
      </c>
      <c r="Y18">
        <v>1970</v>
      </c>
      <c r="Z18">
        <v>58523</v>
      </c>
      <c r="AA18">
        <v>2237</v>
      </c>
      <c r="AB18">
        <v>160379</v>
      </c>
      <c r="AC18">
        <v>139354</v>
      </c>
      <c r="AD18">
        <v>5723</v>
      </c>
      <c r="AE18">
        <v>199609</v>
      </c>
      <c r="AF18">
        <v>10084</v>
      </c>
      <c r="AG18">
        <v>345565</v>
      </c>
      <c r="AH18">
        <v>25040</v>
      </c>
      <c r="AI18">
        <v>29668</v>
      </c>
      <c r="AJ18">
        <v>23413</v>
      </c>
      <c r="AK18">
        <v>28493</v>
      </c>
      <c r="AL18">
        <v>16648</v>
      </c>
      <c r="AM18">
        <v>703402</v>
      </c>
      <c r="AN18">
        <v>4631</v>
      </c>
      <c r="AO18">
        <v>769273</v>
      </c>
      <c r="AP18">
        <v>5932</v>
      </c>
      <c r="AQ18">
        <v>627159</v>
      </c>
      <c r="AR18">
        <v>276929</v>
      </c>
      <c r="AS18">
        <v>530</v>
      </c>
      <c r="AT18">
        <v>336939</v>
      </c>
      <c r="AU18">
        <v>875</v>
      </c>
      <c r="AV18">
        <v>314014</v>
      </c>
      <c r="AW18">
        <v>988</v>
      </c>
      <c r="AX18">
        <v>297</v>
      </c>
      <c r="AY18">
        <v>22088</v>
      </c>
      <c r="AZ18">
        <v>734</v>
      </c>
      <c r="BA18">
        <v>22475</v>
      </c>
      <c r="BB18">
        <v>1681902</v>
      </c>
      <c r="BC18">
        <v>20942</v>
      </c>
      <c r="BD18">
        <v>1793484</v>
      </c>
      <c r="BE18">
        <v>17129</v>
      </c>
      <c r="BF18">
        <v>140063</v>
      </c>
      <c r="BG18">
        <v>13420</v>
      </c>
      <c r="BH18">
        <v>6398</v>
      </c>
      <c r="BI18">
        <v>12614</v>
      </c>
      <c r="BJ18">
        <v>8213</v>
      </c>
      <c r="BK18">
        <v>31371</v>
      </c>
      <c r="BL18" t="s">
        <v>73</v>
      </c>
      <c r="BM18" t="s">
        <v>73</v>
      </c>
      <c r="BN18" t="s">
        <v>73</v>
      </c>
      <c r="BO18" t="s">
        <v>73</v>
      </c>
      <c r="BP18" t="s">
        <v>73</v>
      </c>
      <c r="BQ18" t="s">
        <v>73</v>
      </c>
      <c r="BR18" t="s">
        <v>73</v>
      </c>
      <c r="BS18" t="s">
        <v>73</v>
      </c>
      <c r="BT18" t="s">
        <v>73</v>
      </c>
      <c r="BU18" t="s">
        <v>73</v>
      </c>
      <c r="BV18">
        <v>17173</v>
      </c>
      <c r="BW18">
        <v>7196</v>
      </c>
      <c r="BX18">
        <v>19324</v>
      </c>
      <c r="BY18">
        <v>6607</v>
      </c>
      <c r="BZ18">
        <v>24236</v>
      </c>
      <c r="CA18">
        <v>371166</v>
      </c>
      <c r="CB18">
        <v>4801</v>
      </c>
      <c r="CC18">
        <v>363850</v>
      </c>
      <c r="CD18">
        <v>4392</v>
      </c>
      <c r="CE18">
        <v>312590</v>
      </c>
      <c r="CF18">
        <v>414802</v>
      </c>
      <c r="CG18">
        <v>2731</v>
      </c>
      <c r="CH18">
        <v>458471</v>
      </c>
      <c r="CI18">
        <v>8800</v>
      </c>
      <c r="CJ18">
        <v>790557</v>
      </c>
      <c r="CK18">
        <v>56692</v>
      </c>
      <c r="CL18">
        <v>3750</v>
      </c>
      <c r="CM18">
        <v>194929</v>
      </c>
      <c r="CN18">
        <v>12962</v>
      </c>
      <c r="CO18">
        <v>103300</v>
      </c>
      <c r="CP18">
        <v>277409</v>
      </c>
      <c r="CQ18">
        <v>3511</v>
      </c>
      <c r="CR18">
        <v>240015</v>
      </c>
      <c r="CS18">
        <v>3191</v>
      </c>
      <c r="CT18">
        <v>333823</v>
      </c>
      <c r="CU18">
        <v>42892</v>
      </c>
      <c r="CV18">
        <v>7215</v>
      </c>
      <c r="CW18">
        <v>31645</v>
      </c>
      <c r="CX18">
        <v>3911</v>
      </c>
      <c r="CY18">
        <v>40570</v>
      </c>
      <c r="CZ18" t="s">
        <v>73</v>
      </c>
      <c r="DA18" t="s">
        <v>73</v>
      </c>
      <c r="DB18" t="s">
        <v>73</v>
      </c>
      <c r="DC18" t="s">
        <v>73</v>
      </c>
      <c r="DD18" t="s">
        <v>73</v>
      </c>
      <c r="DE18">
        <v>72204</v>
      </c>
      <c r="DF18">
        <v>9084</v>
      </c>
      <c r="DG18">
        <v>239031</v>
      </c>
      <c r="DH18">
        <v>42519</v>
      </c>
      <c r="DI18">
        <v>202283</v>
      </c>
      <c r="DJ18">
        <v>48797</v>
      </c>
      <c r="DK18">
        <v>314</v>
      </c>
      <c r="DL18">
        <v>76932</v>
      </c>
      <c r="DM18">
        <v>949</v>
      </c>
      <c r="DN18">
        <v>123032</v>
      </c>
      <c r="DO18">
        <v>25388</v>
      </c>
      <c r="DP18">
        <v>4318</v>
      </c>
      <c r="DQ18">
        <v>4727</v>
      </c>
      <c r="DR18">
        <v>2938</v>
      </c>
      <c r="DS18">
        <v>6448</v>
      </c>
      <c r="DT18">
        <v>1453</v>
      </c>
      <c r="DU18">
        <v>33</v>
      </c>
      <c r="DV18">
        <v>214</v>
      </c>
      <c r="DW18">
        <v>63</v>
      </c>
      <c r="DX18">
        <v>5009</v>
      </c>
      <c r="DY18">
        <v>68656</v>
      </c>
      <c r="DZ18">
        <v>9129</v>
      </c>
      <c r="EA18">
        <v>83755</v>
      </c>
      <c r="EB18">
        <v>18671</v>
      </c>
      <c r="EC18">
        <v>78477</v>
      </c>
      <c r="ED18">
        <v>46795</v>
      </c>
      <c r="EE18">
        <v>66786</v>
      </c>
      <c r="EF18">
        <v>44086</v>
      </c>
      <c r="EG18">
        <v>64545</v>
      </c>
      <c r="EH18">
        <v>62999</v>
      </c>
      <c r="EI18" t="s">
        <v>73</v>
      </c>
      <c r="EJ18" t="s">
        <v>73</v>
      </c>
      <c r="EK18" t="s">
        <v>73</v>
      </c>
      <c r="EL18" t="s">
        <v>73</v>
      </c>
      <c r="EM18" t="s">
        <v>73</v>
      </c>
      <c r="EN18">
        <v>110271</v>
      </c>
      <c r="EO18">
        <v>46237</v>
      </c>
      <c r="EP18">
        <v>120227</v>
      </c>
      <c r="EQ18">
        <v>33546</v>
      </c>
      <c r="ER18">
        <v>89677</v>
      </c>
      <c r="ES18">
        <v>3836</v>
      </c>
      <c r="ET18">
        <v>10225</v>
      </c>
      <c r="EU18">
        <v>4353</v>
      </c>
      <c r="EV18">
        <v>11064</v>
      </c>
      <c r="EW18">
        <v>1850</v>
      </c>
      <c r="EX18">
        <v>3366</v>
      </c>
      <c r="EY18">
        <v>10112</v>
      </c>
      <c r="EZ18">
        <v>3165</v>
      </c>
      <c r="FA18">
        <v>9830</v>
      </c>
      <c r="FB18">
        <v>673</v>
      </c>
      <c r="FC18">
        <v>3749</v>
      </c>
      <c r="FD18">
        <v>38788</v>
      </c>
      <c r="FE18">
        <v>3382</v>
      </c>
      <c r="FF18">
        <v>36855</v>
      </c>
      <c r="FG18">
        <v>942</v>
      </c>
      <c r="FH18">
        <v>38682</v>
      </c>
      <c r="FI18">
        <v>2267</v>
      </c>
      <c r="FJ18">
        <v>63242</v>
      </c>
      <c r="FK18">
        <v>3584</v>
      </c>
      <c r="FL18">
        <v>247586</v>
      </c>
    </row>
    <row r="19" spans="1:168" x14ac:dyDescent="0.4">
      <c r="A19" s="1" t="s">
        <v>26</v>
      </c>
      <c r="B19" s="1" t="s">
        <v>27</v>
      </c>
      <c r="C19">
        <v>5448</v>
      </c>
      <c r="D19">
        <v>417</v>
      </c>
      <c r="E19">
        <v>9370</v>
      </c>
      <c r="F19">
        <v>1328</v>
      </c>
      <c r="G19">
        <v>149004</v>
      </c>
      <c r="H19">
        <v>2227</v>
      </c>
      <c r="I19">
        <v>223688</v>
      </c>
      <c r="J19">
        <v>871</v>
      </c>
      <c r="K19">
        <v>336817</v>
      </c>
      <c r="L19">
        <v>978</v>
      </c>
      <c r="M19">
        <v>266286</v>
      </c>
      <c r="N19">
        <v>251362</v>
      </c>
      <c r="O19">
        <v>3398</v>
      </c>
      <c r="P19">
        <v>128715</v>
      </c>
      <c r="Q19">
        <v>3639</v>
      </c>
      <c r="R19">
        <v>400835</v>
      </c>
      <c r="S19">
        <v>63409</v>
      </c>
      <c r="T19">
        <v>331</v>
      </c>
      <c r="U19">
        <v>167685</v>
      </c>
      <c r="V19">
        <v>1059</v>
      </c>
      <c r="W19">
        <v>343477</v>
      </c>
      <c r="X19">
        <v>37615</v>
      </c>
      <c r="Y19">
        <v>1528</v>
      </c>
      <c r="Z19">
        <v>47726</v>
      </c>
      <c r="AA19">
        <v>1819</v>
      </c>
      <c r="AB19">
        <v>161312</v>
      </c>
      <c r="AC19">
        <v>110566</v>
      </c>
      <c r="AD19">
        <v>4206</v>
      </c>
      <c r="AE19">
        <v>181679</v>
      </c>
      <c r="AF19">
        <v>8137</v>
      </c>
      <c r="AG19">
        <v>327514</v>
      </c>
      <c r="AH19">
        <v>18622</v>
      </c>
      <c r="AI19">
        <v>24010</v>
      </c>
      <c r="AJ19">
        <v>18859</v>
      </c>
      <c r="AK19">
        <v>24359</v>
      </c>
      <c r="AL19">
        <v>15907</v>
      </c>
      <c r="AM19">
        <v>596164</v>
      </c>
      <c r="AN19">
        <v>3996</v>
      </c>
      <c r="AO19">
        <v>680125</v>
      </c>
      <c r="AP19">
        <v>5579</v>
      </c>
      <c r="AQ19">
        <v>561364</v>
      </c>
      <c r="AR19">
        <v>287161</v>
      </c>
      <c r="AS19">
        <v>427</v>
      </c>
      <c r="AT19">
        <v>342516</v>
      </c>
      <c r="AU19">
        <v>596</v>
      </c>
      <c r="AV19">
        <v>312993</v>
      </c>
      <c r="AW19">
        <v>822</v>
      </c>
      <c r="AX19">
        <v>276</v>
      </c>
      <c r="AY19">
        <v>17009</v>
      </c>
      <c r="AZ19">
        <v>769</v>
      </c>
      <c r="BA19">
        <v>22414</v>
      </c>
      <c r="BB19">
        <v>1498571</v>
      </c>
      <c r="BC19">
        <v>19341</v>
      </c>
      <c r="BD19">
        <v>1489399</v>
      </c>
      <c r="BE19">
        <v>15232</v>
      </c>
      <c r="BF19">
        <v>137259</v>
      </c>
      <c r="BG19">
        <v>12627</v>
      </c>
      <c r="BH19">
        <v>6341</v>
      </c>
      <c r="BI19">
        <v>12026</v>
      </c>
      <c r="BJ19">
        <v>8223</v>
      </c>
      <c r="BK19">
        <v>31579</v>
      </c>
      <c r="BL19" t="s">
        <v>73</v>
      </c>
      <c r="BM19" t="s">
        <v>73</v>
      </c>
      <c r="BN19" t="s">
        <v>73</v>
      </c>
      <c r="BO19" t="s">
        <v>73</v>
      </c>
      <c r="BP19" t="s">
        <v>73</v>
      </c>
      <c r="BQ19" t="s">
        <v>73</v>
      </c>
      <c r="BR19" t="s">
        <v>73</v>
      </c>
      <c r="BS19" t="s">
        <v>73</v>
      </c>
      <c r="BT19" t="s">
        <v>73</v>
      </c>
      <c r="BU19" t="s">
        <v>73</v>
      </c>
      <c r="BV19">
        <v>13060</v>
      </c>
      <c r="BW19">
        <v>6339</v>
      </c>
      <c r="BX19">
        <v>17354</v>
      </c>
      <c r="BY19">
        <v>6469</v>
      </c>
      <c r="BZ19">
        <v>23312</v>
      </c>
      <c r="CA19">
        <v>338852</v>
      </c>
      <c r="CB19">
        <v>4289</v>
      </c>
      <c r="CC19">
        <v>328582</v>
      </c>
      <c r="CD19">
        <v>4172</v>
      </c>
      <c r="CE19">
        <v>327249</v>
      </c>
      <c r="CF19">
        <v>334963</v>
      </c>
      <c r="CG19">
        <v>2230</v>
      </c>
      <c r="CH19">
        <v>438008</v>
      </c>
      <c r="CI19">
        <v>8180</v>
      </c>
      <c r="CJ19">
        <v>732183</v>
      </c>
      <c r="CK19">
        <v>56562</v>
      </c>
      <c r="CL19">
        <v>3798</v>
      </c>
      <c r="CM19">
        <v>205525</v>
      </c>
      <c r="CN19">
        <v>14895</v>
      </c>
      <c r="CO19">
        <v>102331</v>
      </c>
      <c r="CP19">
        <v>299038</v>
      </c>
      <c r="CQ19">
        <v>3466</v>
      </c>
      <c r="CR19">
        <v>210615</v>
      </c>
      <c r="CS19">
        <v>3061</v>
      </c>
      <c r="CT19">
        <v>356460</v>
      </c>
      <c r="CU19">
        <v>38145</v>
      </c>
      <c r="CV19">
        <v>5722</v>
      </c>
      <c r="CW19">
        <v>28106</v>
      </c>
      <c r="CX19">
        <v>3798</v>
      </c>
      <c r="CY19">
        <v>39753</v>
      </c>
      <c r="CZ19" t="s">
        <v>73</v>
      </c>
      <c r="DA19" t="s">
        <v>73</v>
      </c>
      <c r="DB19" t="s">
        <v>73</v>
      </c>
      <c r="DC19" t="s">
        <v>73</v>
      </c>
      <c r="DD19" t="s">
        <v>73</v>
      </c>
      <c r="DE19">
        <v>63093</v>
      </c>
      <c r="DF19">
        <v>7561</v>
      </c>
      <c r="DG19">
        <v>175867</v>
      </c>
      <c r="DH19">
        <v>32024</v>
      </c>
      <c r="DI19">
        <v>188513</v>
      </c>
      <c r="DJ19">
        <v>36475</v>
      </c>
      <c r="DK19">
        <v>316</v>
      </c>
      <c r="DL19">
        <v>72072</v>
      </c>
      <c r="DM19">
        <v>891</v>
      </c>
      <c r="DN19">
        <v>116768</v>
      </c>
      <c r="DO19">
        <v>17923</v>
      </c>
      <c r="DP19">
        <v>4058</v>
      </c>
      <c r="DQ19">
        <v>3302</v>
      </c>
      <c r="DR19">
        <v>1706</v>
      </c>
      <c r="DS19">
        <v>7474</v>
      </c>
      <c r="DT19">
        <v>1499</v>
      </c>
      <c r="DU19">
        <v>36</v>
      </c>
      <c r="DV19">
        <v>232</v>
      </c>
      <c r="DW19">
        <v>62</v>
      </c>
      <c r="DX19">
        <v>5003</v>
      </c>
      <c r="DY19">
        <v>60167</v>
      </c>
      <c r="DZ19">
        <v>10213</v>
      </c>
      <c r="EA19">
        <v>80441</v>
      </c>
      <c r="EB19">
        <v>25387</v>
      </c>
      <c r="EC19">
        <v>73505</v>
      </c>
      <c r="ED19">
        <v>49985</v>
      </c>
      <c r="EE19">
        <v>68988</v>
      </c>
      <c r="EF19">
        <v>47056</v>
      </c>
      <c r="EG19">
        <v>62010</v>
      </c>
      <c r="EH19">
        <v>67340</v>
      </c>
      <c r="EI19" t="s">
        <v>73</v>
      </c>
      <c r="EJ19" t="s">
        <v>73</v>
      </c>
      <c r="EK19" t="s">
        <v>73</v>
      </c>
      <c r="EL19" t="s">
        <v>73</v>
      </c>
      <c r="EM19" t="s">
        <v>73</v>
      </c>
      <c r="EN19">
        <v>97138</v>
      </c>
      <c r="EO19">
        <v>37148</v>
      </c>
      <c r="EP19">
        <v>108235</v>
      </c>
      <c r="EQ19">
        <v>30708</v>
      </c>
      <c r="ER19">
        <v>89814</v>
      </c>
      <c r="ES19">
        <v>3364</v>
      </c>
      <c r="ET19">
        <v>7999</v>
      </c>
      <c r="EU19">
        <v>3926</v>
      </c>
      <c r="EV19">
        <v>8960</v>
      </c>
      <c r="EW19">
        <v>1666</v>
      </c>
      <c r="EX19">
        <v>2493</v>
      </c>
      <c r="EY19">
        <v>8433</v>
      </c>
      <c r="EZ19">
        <v>2580</v>
      </c>
      <c r="FA19">
        <v>8296</v>
      </c>
      <c r="FB19">
        <v>453</v>
      </c>
      <c r="FC19">
        <v>3770</v>
      </c>
      <c r="FD19">
        <v>35097</v>
      </c>
      <c r="FE19">
        <v>3339</v>
      </c>
      <c r="FF19">
        <v>40147</v>
      </c>
      <c r="FG19">
        <v>1034</v>
      </c>
      <c r="FH19">
        <v>15316</v>
      </c>
      <c r="FI19">
        <v>1355</v>
      </c>
      <c r="FJ19">
        <v>46693</v>
      </c>
      <c r="FK19">
        <v>2637</v>
      </c>
      <c r="FL19">
        <v>257637</v>
      </c>
    </row>
    <row r="20" spans="1:168" x14ac:dyDescent="0.4">
      <c r="A20" s="1" t="s">
        <v>28</v>
      </c>
      <c r="B20" s="1" t="s">
        <v>29</v>
      </c>
      <c r="C20">
        <v>6010</v>
      </c>
      <c r="D20">
        <v>459</v>
      </c>
      <c r="E20">
        <v>10267</v>
      </c>
      <c r="F20">
        <v>1739</v>
      </c>
      <c r="G20">
        <v>161063</v>
      </c>
      <c r="H20">
        <v>2355</v>
      </c>
      <c r="I20">
        <v>227542</v>
      </c>
      <c r="J20">
        <v>1030</v>
      </c>
      <c r="K20">
        <v>292570</v>
      </c>
      <c r="L20">
        <v>1018</v>
      </c>
      <c r="M20">
        <v>273881</v>
      </c>
      <c r="N20">
        <v>272836</v>
      </c>
      <c r="O20">
        <v>3818</v>
      </c>
      <c r="P20">
        <v>141849</v>
      </c>
      <c r="Q20">
        <v>3784</v>
      </c>
      <c r="R20">
        <v>391704</v>
      </c>
      <c r="S20">
        <v>67357</v>
      </c>
      <c r="T20">
        <v>352</v>
      </c>
      <c r="U20">
        <v>214988</v>
      </c>
      <c r="V20">
        <v>1260</v>
      </c>
      <c r="W20">
        <v>303900</v>
      </c>
      <c r="X20">
        <v>50380</v>
      </c>
      <c r="Y20">
        <v>1713</v>
      </c>
      <c r="Z20">
        <v>77132</v>
      </c>
      <c r="AA20">
        <v>2063</v>
      </c>
      <c r="AB20">
        <v>155331</v>
      </c>
      <c r="AC20">
        <v>134813</v>
      </c>
      <c r="AD20">
        <v>5563</v>
      </c>
      <c r="AE20">
        <v>250445</v>
      </c>
      <c r="AF20">
        <v>11064</v>
      </c>
      <c r="AG20">
        <v>280508</v>
      </c>
      <c r="AH20">
        <v>22045</v>
      </c>
      <c r="AI20">
        <v>26504</v>
      </c>
      <c r="AJ20">
        <v>22248</v>
      </c>
      <c r="AK20">
        <v>28141</v>
      </c>
      <c r="AL20">
        <v>15314</v>
      </c>
      <c r="AM20">
        <v>585326</v>
      </c>
      <c r="AN20">
        <v>4180</v>
      </c>
      <c r="AO20">
        <v>584913</v>
      </c>
      <c r="AP20">
        <v>5291</v>
      </c>
      <c r="AQ20">
        <v>573857</v>
      </c>
      <c r="AR20">
        <v>293424</v>
      </c>
      <c r="AS20">
        <v>531</v>
      </c>
      <c r="AT20">
        <v>320478</v>
      </c>
      <c r="AU20">
        <v>821</v>
      </c>
      <c r="AV20">
        <v>339354</v>
      </c>
      <c r="AW20">
        <v>757</v>
      </c>
      <c r="AX20">
        <v>274</v>
      </c>
      <c r="AY20">
        <v>18161</v>
      </c>
      <c r="AZ20">
        <v>682</v>
      </c>
      <c r="BA20">
        <v>21494</v>
      </c>
      <c r="BB20">
        <v>1592560</v>
      </c>
      <c r="BC20">
        <v>21454</v>
      </c>
      <c r="BD20">
        <v>1596883</v>
      </c>
      <c r="BE20">
        <v>17012</v>
      </c>
      <c r="BF20">
        <v>137142</v>
      </c>
      <c r="BG20">
        <v>14475</v>
      </c>
      <c r="BH20">
        <v>8365</v>
      </c>
      <c r="BI20">
        <v>15787</v>
      </c>
      <c r="BJ20">
        <v>10671</v>
      </c>
      <c r="BK20">
        <v>29814</v>
      </c>
      <c r="BL20" t="s">
        <v>73</v>
      </c>
      <c r="BM20" t="s">
        <v>73</v>
      </c>
      <c r="BN20" t="s">
        <v>73</v>
      </c>
      <c r="BO20" t="s">
        <v>73</v>
      </c>
      <c r="BP20" t="s">
        <v>73</v>
      </c>
      <c r="BQ20" t="s">
        <v>73</v>
      </c>
      <c r="BR20" t="s">
        <v>73</v>
      </c>
      <c r="BS20" t="s">
        <v>73</v>
      </c>
      <c r="BT20" t="s">
        <v>73</v>
      </c>
      <c r="BU20" t="s">
        <v>73</v>
      </c>
      <c r="BV20">
        <v>15498</v>
      </c>
      <c r="BW20">
        <v>7199</v>
      </c>
      <c r="BX20">
        <v>19112</v>
      </c>
      <c r="BY20">
        <v>7462</v>
      </c>
      <c r="BZ20">
        <v>26061</v>
      </c>
      <c r="CA20">
        <v>350711</v>
      </c>
      <c r="CB20">
        <v>4111</v>
      </c>
      <c r="CC20">
        <v>315976</v>
      </c>
      <c r="CD20">
        <v>3850</v>
      </c>
      <c r="CE20">
        <v>366380</v>
      </c>
      <c r="CF20">
        <v>386834</v>
      </c>
      <c r="CG20">
        <v>2588</v>
      </c>
      <c r="CH20">
        <v>507511</v>
      </c>
      <c r="CI20">
        <v>9800</v>
      </c>
      <c r="CJ20">
        <v>701945</v>
      </c>
      <c r="CK20">
        <v>56831</v>
      </c>
      <c r="CL20">
        <v>3969</v>
      </c>
      <c r="CM20">
        <v>235717</v>
      </c>
      <c r="CN20">
        <v>17790</v>
      </c>
      <c r="CO20">
        <v>89687</v>
      </c>
      <c r="CP20">
        <v>316664</v>
      </c>
      <c r="CQ20">
        <v>3680</v>
      </c>
      <c r="CR20">
        <v>242823</v>
      </c>
      <c r="CS20">
        <v>3339</v>
      </c>
      <c r="CT20">
        <v>350072</v>
      </c>
      <c r="CU20">
        <v>41092</v>
      </c>
      <c r="CV20">
        <v>6630</v>
      </c>
      <c r="CW20">
        <v>24965</v>
      </c>
      <c r="CX20">
        <v>3605</v>
      </c>
      <c r="CY20">
        <v>39964</v>
      </c>
      <c r="CZ20" t="s">
        <v>73</v>
      </c>
      <c r="DA20" t="s">
        <v>73</v>
      </c>
      <c r="DB20" t="s">
        <v>73</v>
      </c>
      <c r="DC20" t="s">
        <v>73</v>
      </c>
      <c r="DD20" t="s">
        <v>73</v>
      </c>
      <c r="DE20">
        <v>74092</v>
      </c>
      <c r="DF20">
        <v>9535</v>
      </c>
      <c r="DG20">
        <v>269558</v>
      </c>
      <c r="DH20">
        <v>48476</v>
      </c>
      <c r="DI20">
        <v>168987</v>
      </c>
      <c r="DJ20">
        <v>52621</v>
      </c>
      <c r="DK20">
        <v>446</v>
      </c>
      <c r="DL20">
        <v>86920</v>
      </c>
      <c r="DM20">
        <v>1063</v>
      </c>
      <c r="DN20">
        <v>118094</v>
      </c>
      <c r="DO20">
        <v>20382</v>
      </c>
      <c r="DP20">
        <v>4334</v>
      </c>
      <c r="DQ20">
        <v>7598</v>
      </c>
      <c r="DR20">
        <v>4486</v>
      </c>
      <c r="DS20">
        <v>6198</v>
      </c>
      <c r="DT20">
        <v>1424</v>
      </c>
      <c r="DU20">
        <v>33</v>
      </c>
      <c r="DV20">
        <v>180</v>
      </c>
      <c r="DW20">
        <v>63</v>
      </c>
      <c r="DX20">
        <v>4956</v>
      </c>
      <c r="DY20">
        <v>60349</v>
      </c>
      <c r="DZ20">
        <v>9949</v>
      </c>
      <c r="EA20">
        <v>84101</v>
      </c>
      <c r="EB20">
        <v>22235</v>
      </c>
      <c r="EC20">
        <v>63275</v>
      </c>
      <c r="ED20">
        <v>53467</v>
      </c>
      <c r="EE20">
        <v>69517</v>
      </c>
      <c r="EF20">
        <v>59949</v>
      </c>
      <c r="EG20">
        <v>77963</v>
      </c>
      <c r="EH20">
        <v>60840</v>
      </c>
      <c r="EI20" t="s">
        <v>73</v>
      </c>
      <c r="EJ20" t="s">
        <v>73</v>
      </c>
      <c r="EK20" t="s">
        <v>73</v>
      </c>
      <c r="EL20" t="s">
        <v>73</v>
      </c>
      <c r="EM20" t="s">
        <v>73</v>
      </c>
      <c r="EN20">
        <v>108546</v>
      </c>
      <c r="EO20">
        <v>44636</v>
      </c>
      <c r="EP20">
        <v>107926</v>
      </c>
      <c r="EQ20">
        <v>32721</v>
      </c>
      <c r="ER20">
        <v>91413</v>
      </c>
      <c r="ES20">
        <v>3725</v>
      </c>
      <c r="ET20">
        <v>9108</v>
      </c>
      <c r="EU20">
        <v>4018</v>
      </c>
      <c r="EV20">
        <v>9997</v>
      </c>
      <c r="EW20">
        <v>1776</v>
      </c>
      <c r="EX20">
        <v>2169</v>
      </c>
      <c r="EY20">
        <v>8631</v>
      </c>
      <c r="EZ20">
        <v>2164</v>
      </c>
      <c r="FA20">
        <v>8378</v>
      </c>
      <c r="FB20">
        <v>420</v>
      </c>
      <c r="FC20">
        <v>3961</v>
      </c>
      <c r="FD20">
        <v>35292</v>
      </c>
      <c r="FE20">
        <v>3371</v>
      </c>
      <c r="FF20">
        <v>34159</v>
      </c>
      <c r="FG20">
        <v>1137</v>
      </c>
      <c r="FH20">
        <v>35655</v>
      </c>
      <c r="FI20">
        <v>2123</v>
      </c>
      <c r="FJ20">
        <v>83050</v>
      </c>
      <c r="FK20">
        <v>4105</v>
      </c>
      <c r="FL20">
        <v>262679</v>
      </c>
    </row>
    <row r="21" spans="1:168" x14ac:dyDescent="0.4">
      <c r="A21" s="1" t="s">
        <v>30</v>
      </c>
      <c r="B21" s="1" t="s">
        <v>31</v>
      </c>
      <c r="C21">
        <v>5823</v>
      </c>
      <c r="D21">
        <v>508</v>
      </c>
      <c r="E21">
        <v>10758</v>
      </c>
      <c r="F21">
        <v>1821</v>
      </c>
      <c r="G21">
        <v>202395</v>
      </c>
      <c r="H21">
        <v>2882</v>
      </c>
      <c r="I21">
        <v>253585</v>
      </c>
      <c r="J21">
        <v>858</v>
      </c>
      <c r="K21">
        <v>341176</v>
      </c>
      <c r="L21">
        <v>959</v>
      </c>
      <c r="M21">
        <v>259464</v>
      </c>
      <c r="N21">
        <v>299011</v>
      </c>
      <c r="O21">
        <v>4106</v>
      </c>
      <c r="P21">
        <v>148227</v>
      </c>
      <c r="Q21">
        <v>4136</v>
      </c>
      <c r="R21">
        <v>415249</v>
      </c>
      <c r="S21">
        <v>55916</v>
      </c>
      <c r="T21">
        <v>304</v>
      </c>
      <c r="U21">
        <v>171624</v>
      </c>
      <c r="V21">
        <v>1079</v>
      </c>
      <c r="W21">
        <v>302322</v>
      </c>
      <c r="X21">
        <v>48469</v>
      </c>
      <c r="Y21">
        <v>1878</v>
      </c>
      <c r="Z21">
        <v>57115</v>
      </c>
      <c r="AA21">
        <v>1778</v>
      </c>
      <c r="AB21">
        <v>162378</v>
      </c>
      <c r="AC21">
        <v>130517</v>
      </c>
      <c r="AD21">
        <v>5151</v>
      </c>
      <c r="AE21">
        <v>206406</v>
      </c>
      <c r="AF21">
        <v>9657</v>
      </c>
      <c r="AG21">
        <v>296012</v>
      </c>
      <c r="AH21">
        <v>21277</v>
      </c>
      <c r="AI21">
        <v>29500</v>
      </c>
      <c r="AJ21">
        <v>21853</v>
      </c>
      <c r="AK21">
        <v>28836</v>
      </c>
      <c r="AL21">
        <v>15817</v>
      </c>
      <c r="AM21">
        <v>711554</v>
      </c>
      <c r="AN21">
        <v>4348</v>
      </c>
      <c r="AO21">
        <v>795646</v>
      </c>
      <c r="AP21">
        <v>5791</v>
      </c>
      <c r="AQ21">
        <v>504187</v>
      </c>
      <c r="AR21">
        <v>300190</v>
      </c>
      <c r="AS21">
        <v>550</v>
      </c>
      <c r="AT21">
        <v>364734</v>
      </c>
      <c r="AU21">
        <v>903</v>
      </c>
      <c r="AV21">
        <v>330405</v>
      </c>
      <c r="AW21">
        <v>746</v>
      </c>
      <c r="AX21">
        <v>278</v>
      </c>
      <c r="AY21">
        <v>21104</v>
      </c>
      <c r="AZ21">
        <v>706</v>
      </c>
      <c r="BA21">
        <v>23926</v>
      </c>
      <c r="BB21">
        <v>1592112</v>
      </c>
      <c r="BC21">
        <v>21506</v>
      </c>
      <c r="BD21">
        <v>1671913</v>
      </c>
      <c r="BE21">
        <v>17883</v>
      </c>
      <c r="BF21">
        <v>138783</v>
      </c>
      <c r="BG21">
        <v>14907</v>
      </c>
      <c r="BH21">
        <v>7549</v>
      </c>
      <c r="BI21">
        <v>14642</v>
      </c>
      <c r="BJ21">
        <v>9591</v>
      </c>
      <c r="BK21">
        <v>29241</v>
      </c>
      <c r="BL21" t="s">
        <v>73</v>
      </c>
      <c r="BM21" t="s">
        <v>73</v>
      </c>
      <c r="BN21" t="s">
        <v>73</v>
      </c>
      <c r="BO21" t="s">
        <v>73</v>
      </c>
      <c r="BP21" t="s">
        <v>73</v>
      </c>
      <c r="BQ21" t="s">
        <v>73</v>
      </c>
      <c r="BR21" t="s">
        <v>73</v>
      </c>
      <c r="BS21" t="s">
        <v>73</v>
      </c>
      <c r="BT21" t="s">
        <v>73</v>
      </c>
      <c r="BU21" t="s">
        <v>73</v>
      </c>
      <c r="BV21">
        <v>12922</v>
      </c>
      <c r="BW21">
        <v>6492</v>
      </c>
      <c r="BX21">
        <v>16892</v>
      </c>
      <c r="BY21">
        <v>6346</v>
      </c>
      <c r="BZ21">
        <v>25101</v>
      </c>
      <c r="CA21">
        <v>353428</v>
      </c>
      <c r="CB21">
        <v>4474</v>
      </c>
      <c r="CC21">
        <v>344611</v>
      </c>
      <c r="CD21">
        <v>4173</v>
      </c>
      <c r="CE21">
        <v>379444</v>
      </c>
      <c r="CF21">
        <v>461628</v>
      </c>
      <c r="CG21">
        <v>3359</v>
      </c>
      <c r="CH21">
        <v>454723</v>
      </c>
      <c r="CI21">
        <v>7815</v>
      </c>
      <c r="CJ21">
        <v>742342</v>
      </c>
      <c r="CK21">
        <v>60241</v>
      </c>
      <c r="CL21">
        <v>4001</v>
      </c>
      <c r="CM21">
        <v>190775</v>
      </c>
      <c r="CN21">
        <v>11088</v>
      </c>
      <c r="CO21">
        <v>104769</v>
      </c>
      <c r="CP21">
        <v>301829</v>
      </c>
      <c r="CQ21">
        <v>3568</v>
      </c>
      <c r="CR21">
        <v>262008</v>
      </c>
      <c r="CS21">
        <v>3075</v>
      </c>
      <c r="CT21">
        <v>355580</v>
      </c>
      <c r="CU21">
        <v>45019</v>
      </c>
      <c r="CV21">
        <v>7307</v>
      </c>
      <c r="CW21">
        <v>30936</v>
      </c>
      <c r="CX21">
        <v>4035</v>
      </c>
      <c r="CY21">
        <v>39442</v>
      </c>
      <c r="CZ21" t="s">
        <v>73</v>
      </c>
      <c r="DA21" t="s">
        <v>73</v>
      </c>
      <c r="DB21" t="s">
        <v>73</v>
      </c>
      <c r="DC21" t="s">
        <v>73</v>
      </c>
      <c r="DD21" t="s">
        <v>73</v>
      </c>
      <c r="DE21">
        <v>70393</v>
      </c>
      <c r="DF21">
        <v>8480</v>
      </c>
      <c r="DG21">
        <v>198717</v>
      </c>
      <c r="DH21">
        <v>34298</v>
      </c>
      <c r="DI21">
        <v>179026</v>
      </c>
      <c r="DJ21">
        <v>49150</v>
      </c>
      <c r="DK21">
        <v>442</v>
      </c>
      <c r="DL21">
        <v>63604</v>
      </c>
      <c r="DM21">
        <v>709</v>
      </c>
      <c r="DN21">
        <v>121467</v>
      </c>
      <c r="DO21">
        <v>18984</v>
      </c>
      <c r="DP21">
        <v>4855</v>
      </c>
      <c r="DQ21">
        <v>4452</v>
      </c>
      <c r="DR21">
        <v>2332</v>
      </c>
      <c r="DS21">
        <v>8122</v>
      </c>
      <c r="DT21">
        <v>1550</v>
      </c>
      <c r="DU21">
        <v>34</v>
      </c>
      <c r="DV21">
        <v>291</v>
      </c>
      <c r="DW21">
        <v>64</v>
      </c>
      <c r="DX21">
        <v>4913</v>
      </c>
      <c r="DY21">
        <v>62948</v>
      </c>
      <c r="DZ21">
        <v>8845</v>
      </c>
      <c r="EA21">
        <v>76527</v>
      </c>
      <c r="EB21">
        <v>15566</v>
      </c>
      <c r="EC21">
        <v>64519</v>
      </c>
      <c r="ED21">
        <v>36549</v>
      </c>
      <c r="EE21">
        <v>54385</v>
      </c>
      <c r="EF21">
        <v>38220</v>
      </c>
      <c r="EG21">
        <v>48332</v>
      </c>
      <c r="EH21">
        <v>60693</v>
      </c>
      <c r="EI21" t="s">
        <v>73</v>
      </c>
      <c r="EJ21" t="s">
        <v>73</v>
      </c>
      <c r="EK21" t="s">
        <v>73</v>
      </c>
      <c r="EL21" t="s">
        <v>73</v>
      </c>
      <c r="EM21" t="s">
        <v>73</v>
      </c>
      <c r="EN21">
        <v>112332</v>
      </c>
      <c r="EO21">
        <v>45562</v>
      </c>
      <c r="EP21">
        <v>113998</v>
      </c>
      <c r="EQ21">
        <v>34005</v>
      </c>
      <c r="ER21">
        <v>97297</v>
      </c>
      <c r="ES21">
        <v>3183</v>
      </c>
      <c r="ET21">
        <v>8181</v>
      </c>
      <c r="EU21">
        <v>3801</v>
      </c>
      <c r="EV21">
        <v>9218</v>
      </c>
      <c r="EW21">
        <v>1593</v>
      </c>
      <c r="EX21">
        <v>1641</v>
      </c>
      <c r="EY21">
        <v>7207</v>
      </c>
      <c r="EZ21">
        <v>1699</v>
      </c>
      <c r="FA21">
        <v>7125</v>
      </c>
      <c r="FB21">
        <v>340</v>
      </c>
      <c r="FC21">
        <v>4074</v>
      </c>
      <c r="FD21">
        <v>32441</v>
      </c>
      <c r="FE21">
        <v>3820</v>
      </c>
      <c r="FF21">
        <v>29813</v>
      </c>
      <c r="FG21">
        <v>1577</v>
      </c>
      <c r="FH21">
        <v>36140</v>
      </c>
      <c r="FI21">
        <v>2095</v>
      </c>
      <c r="FJ21">
        <v>71619</v>
      </c>
      <c r="FK21">
        <v>3790</v>
      </c>
      <c r="FL21">
        <v>278150</v>
      </c>
    </row>
    <row r="22" spans="1:168" x14ac:dyDescent="0.4">
      <c r="A22" s="1" t="s">
        <v>32</v>
      </c>
      <c r="B22" s="1" t="s">
        <v>33</v>
      </c>
      <c r="C22">
        <v>5744</v>
      </c>
      <c r="D22">
        <v>593</v>
      </c>
      <c r="E22">
        <v>9239</v>
      </c>
      <c r="F22">
        <v>1480</v>
      </c>
      <c r="G22">
        <v>167111</v>
      </c>
      <c r="H22">
        <v>2480</v>
      </c>
      <c r="I22">
        <v>242906</v>
      </c>
      <c r="J22">
        <v>838</v>
      </c>
      <c r="K22">
        <v>310210</v>
      </c>
      <c r="L22">
        <v>860</v>
      </c>
      <c r="M22">
        <v>265265</v>
      </c>
      <c r="N22">
        <v>260884</v>
      </c>
      <c r="O22">
        <v>3885</v>
      </c>
      <c r="P22">
        <v>132144</v>
      </c>
      <c r="Q22">
        <v>3840</v>
      </c>
      <c r="R22">
        <v>403911</v>
      </c>
      <c r="S22">
        <v>60325</v>
      </c>
      <c r="T22">
        <v>336</v>
      </c>
      <c r="U22">
        <v>175279</v>
      </c>
      <c r="V22">
        <v>1106</v>
      </c>
      <c r="W22">
        <v>299647</v>
      </c>
      <c r="X22">
        <v>45428</v>
      </c>
      <c r="Y22">
        <v>1546</v>
      </c>
      <c r="Z22">
        <v>53440</v>
      </c>
      <c r="AA22">
        <v>1490</v>
      </c>
      <c r="AB22">
        <v>172733</v>
      </c>
      <c r="AC22">
        <v>127919</v>
      </c>
      <c r="AD22">
        <v>5081</v>
      </c>
      <c r="AE22">
        <v>177121</v>
      </c>
      <c r="AF22">
        <v>8785</v>
      </c>
      <c r="AG22">
        <v>328400</v>
      </c>
      <c r="AH22">
        <v>20570</v>
      </c>
      <c r="AI22">
        <v>28539</v>
      </c>
      <c r="AJ22">
        <v>22109</v>
      </c>
      <c r="AK22">
        <v>29738</v>
      </c>
      <c r="AL22">
        <v>15019</v>
      </c>
      <c r="AM22">
        <v>672000</v>
      </c>
      <c r="AN22">
        <v>4279</v>
      </c>
      <c r="AO22">
        <v>699909</v>
      </c>
      <c r="AP22">
        <v>5626</v>
      </c>
      <c r="AQ22">
        <v>485434</v>
      </c>
      <c r="AR22">
        <v>315365</v>
      </c>
      <c r="AS22">
        <v>517</v>
      </c>
      <c r="AT22">
        <v>319063</v>
      </c>
      <c r="AU22">
        <v>826</v>
      </c>
      <c r="AV22">
        <v>380882</v>
      </c>
      <c r="AW22">
        <v>511</v>
      </c>
      <c r="AX22">
        <v>263</v>
      </c>
      <c r="AY22">
        <v>19194</v>
      </c>
      <c r="AZ22">
        <v>710</v>
      </c>
      <c r="BA22">
        <v>26888</v>
      </c>
      <c r="BB22">
        <v>1470419</v>
      </c>
      <c r="BC22">
        <v>18809</v>
      </c>
      <c r="BD22">
        <v>1549813</v>
      </c>
      <c r="BE22">
        <v>15643</v>
      </c>
      <c r="BF22">
        <v>139226</v>
      </c>
      <c r="BG22">
        <v>18552</v>
      </c>
      <c r="BH22">
        <v>8041</v>
      </c>
      <c r="BI22">
        <v>14558</v>
      </c>
      <c r="BJ22">
        <v>9987</v>
      </c>
      <c r="BK22">
        <v>31713</v>
      </c>
      <c r="BL22" t="s">
        <v>73</v>
      </c>
      <c r="BM22" t="s">
        <v>73</v>
      </c>
      <c r="BN22" t="s">
        <v>73</v>
      </c>
      <c r="BO22" t="s">
        <v>73</v>
      </c>
      <c r="BP22" t="s">
        <v>73</v>
      </c>
      <c r="BQ22" t="s">
        <v>73</v>
      </c>
      <c r="BR22" t="s">
        <v>73</v>
      </c>
      <c r="BS22" t="s">
        <v>73</v>
      </c>
      <c r="BT22" t="s">
        <v>73</v>
      </c>
      <c r="BU22" t="s">
        <v>73</v>
      </c>
      <c r="BV22">
        <v>13107</v>
      </c>
      <c r="BW22">
        <v>6327</v>
      </c>
      <c r="BX22">
        <v>17574</v>
      </c>
      <c r="BY22">
        <v>6836</v>
      </c>
      <c r="BZ22">
        <v>25518</v>
      </c>
      <c r="CA22">
        <v>331293</v>
      </c>
      <c r="CB22">
        <v>4137</v>
      </c>
      <c r="CC22">
        <v>313572</v>
      </c>
      <c r="CD22">
        <v>3808</v>
      </c>
      <c r="CE22">
        <v>402114</v>
      </c>
      <c r="CF22">
        <v>433877</v>
      </c>
      <c r="CG22">
        <v>3278</v>
      </c>
      <c r="CH22">
        <v>462947</v>
      </c>
      <c r="CI22">
        <v>9997</v>
      </c>
      <c r="CJ22">
        <v>775622</v>
      </c>
      <c r="CK22">
        <v>59490</v>
      </c>
      <c r="CL22">
        <v>3991</v>
      </c>
      <c r="CM22">
        <v>215729</v>
      </c>
      <c r="CN22">
        <v>13785</v>
      </c>
      <c r="CO22">
        <v>109303</v>
      </c>
      <c r="CP22">
        <v>306499</v>
      </c>
      <c r="CQ22">
        <v>3383</v>
      </c>
      <c r="CR22">
        <v>257790</v>
      </c>
      <c r="CS22">
        <v>3052</v>
      </c>
      <c r="CT22">
        <v>360899</v>
      </c>
      <c r="CU22">
        <v>40154</v>
      </c>
      <c r="CV22">
        <v>6652</v>
      </c>
      <c r="CW22">
        <v>27754</v>
      </c>
      <c r="CX22">
        <v>3384</v>
      </c>
      <c r="CY22">
        <v>39157</v>
      </c>
      <c r="CZ22" t="s">
        <v>73</v>
      </c>
      <c r="DA22" t="s">
        <v>73</v>
      </c>
      <c r="DB22" t="s">
        <v>73</v>
      </c>
      <c r="DC22" t="s">
        <v>73</v>
      </c>
      <c r="DD22" t="s">
        <v>73</v>
      </c>
      <c r="DE22">
        <v>64944</v>
      </c>
      <c r="DF22">
        <v>7891</v>
      </c>
      <c r="DG22">
        <v>216067</v>
      </c>
      <c r="DH22">
        <v>36425</v>
      </c>
      <c r="DI22">
        <v>175716</v>
      </c>
      <c r="DJ22">
        <v>48557</v>
      </c>
      <c r="DK22">
        <v>440</v>
      </c>
      <c r="DL22">
        <v>80637</v>
      </c>
      <c r="DM22">
        <v>996</v>
      </c>
      <c r="DN22">
        <v>124027</v>
      </c>
      <c r="DO22">
        <v>19876</v>
      </c>
      <c r="DP22">
        <v>4051</v>
      </c>
      <c r="DQ22">
        <v>3855</v>
      </c>
      <c r="DR22">
        <v>1999</v>
      </c>
      <c r="DS22">
        <v>9414</v>
      </c>
      <c r="DT22">
        <v>1451</v>
      </c>
      <c r="DU22">
        <v>33</v>
      </c>
      <c r="DV22">
        <v>170</v>
      </c>
      <c r="DW22">
        <v>59</v>
      </c>
      <c r="DX22">
        <v>4918</v>
      </c>
      <c r="DY22">
        <v>58965</v>
      </c>
      <c r="DZ22">
        <v>9357</v>
      </c>
      <c r="EA22">
        <v>75302</v>
      </c>
      <c r="EB22">
        <v>18680</v>
      </c>
      <c r="EC22">
        <v>63739</v>
      </c>
      <c r="ED22">
        <v>33697</v>
      </c>
      <c r="EE22">
        <v>54896</v>
      </c>
      <c r="EF22">
        <v>38490</v>
      </c>
      <c r="EG22">
        <v>66028</v>
      </c>
      <c r="EH22">
        <v>56110</v>
      </c>
      <c r="EI22" t="s">
        <v>73</v>
      </c>
      <c r="EJ22" t="s">
        <v>73</v>
      </c>
      <c r="EK22" t="s">
        <v>73</v>
      </c>
      <c r="EL22" t="s">
        <v>73</v>
      </c>
      <c r="EM22" t="s">
        <v>73</v>
      </c>
      <c r="EN22">
        <v>106519</v>
      </c>
      <c r="EO22">
        <v>44773</v>
      </c>
      <c r="EP22">
        <v>112571</v>
      </c>
      <c r="EQ22">
        <v>33024</v>
      </c>
      <c r="ER22">
        <v>98329</v>
      </c>
      <c r="ES22">
        <v>3003</v>
      </c>
      <c r="ET22">
        <v>7819</v>
      </c>
      <c r="EU22">
        <v>3331</v>
      </c>
      <c r="EV22">
        <v>8066</v>
      </c>
      <c r="EW22">
        <v>1678</v>
      </c>
      <c r="EX22">
        <v>1811</v>
      </c>
      <c r="EY22">
        <v>7026</v>
      </c>
      <c r="EZ22">
        <v>1614</v>
      </c>
      <c r="FA22">
        <v>6411</v>
      </c>
      <c r="FB22">
        <v>513</v>
      </c>
      <c r="FC22">
        <v>3304</v>
      </c>
      <c r="FD22">
        <v>27879</v>
      </c>
      <c r="FE22">
        <v>3134</v>
      </c>
      <c r="FF22">
        <v>27779</v>
      </c>
      <c r="FG22">
        <v>819</v>
      </c>
      <c r="FH22">
        <v>28422</v>
      </c>
      <c r="FI22">
        <v>1827</v>
      </c>
      <c r="FJ22">
        <v>64774</v>
      </c>
      <c r="FK22">
        <v>3359</v>
      </c>
      <c r="FL22">
        <v>275686</v>
      </c>
    </row>
    <row r="23" spans="1:168" x14ac:dyDescent="0.4">
      <c r="A23" s="1" t="s">
        <v>34</v>
      </c>
      <c r="B23" s="1" t="s">
        <v>35</v>
      </c>
      <c r="C23">
        <v>6221</v>
      </c>
      <c r="D23">
        <v>735</v>
      </c>
      <c r="E23">
        <v>8765</v>
      </c>
      <c r="F23">
        <v>1666</v>
      </c>
      <c r="G23">
        <v>159355</v>
      </c>
      <c r="H23">
        <v>2353</v>
      </c>
      <c r="I23">
        <v>245513</v>
      </c>
      <c r="J23">
        <v>917</v>
      </c>
      <c r="K23">
        <v>307773</v>
      </c>
      <c r="L23">
        <v>872</v>
      </c>
      <c r="M23">
        <v>276262</v>
      </c>
      <c r="N23">
        <v>281910</v>
      </c>
      <c r="O23">
        <v>3627</v>
      </c>
      <c r="P23">
        <v>137852</v>
      </c>
      <c r="Q23">
        <v>3614</v>
      </c>
      <c r="R23">
        <v>408101</v>
      </c>
      <c r="S23">
        <v>59454</v>
      </c>
      <c r="T23">
        <v>306</v>
      </c>
      <c r="U23">
        <v>184127</v>
      </c>
      <c r="V23">
        <v>1119</v>
      </c>
      <c r="W23">
        <v>272052</v>
      </c>
      <c r="X23">
        <v>45026</v>
      </c>
      <c r="Y23">
        <v>1968</v>
      </c>
      <c r="Z23">
        <v>82016</v>
      </c>
      <c r="AA23">
        <v>2167</v>
      </c>
      <c r="AB23">
        <v>148902</v>
      </c>
      <c r="AC23">
        <v>129466</v>
      </c>
      <c r="AD23">
        <v>4851</v>
      </c>
      <c r="AE23">
        <v>237705</v>
      </c>
      <c r="AF23">
        <v>9461</v>
      </c>
      <c r="AG23">
        <v>275009</v>
      </c>
      <c r="AH23">
        <v>17129</v>
      </c>
      <c r="AI23">
        <v>24488</v>
      </c>
      <c r="AJ23">
        <v>17762</v>
      </c>
      <c r="AK23">
        <v>23978</v>
      </c>
      <c r="AL23">
        <v>15304</v>
      </c>
      <c r="AM23">
        <v>603569</v>
      </c>
      <c r="AN23">
        <v>4414</v>
      </c>
      <c r="AO23">
        <v>712542</v>
      </c>
      <c r="AP23">
        <v>5824</v>
      </c>
      <c r="AQ23">
        <v>384088</v>
      </c>
      <c r="AR23">
        <v>289686</v>
      </c>
      <c r="AS23">
        <v>491</v>
      </c>
      <c r="AT23">
        <v>330232</v>
      </c>
      <c r="AU23">
        <v>850</v>
      </c>
      <c r="AV23">
        <v>401733</v>
      </c>
      <c r="AW23">
        <v>818</v>
      </c>
      <c r="AX23">
        <v>288</v>
      </c>
      <c r="AY23">
        <v>21753</v>
      </c>
      <c r="AZ23">
        <v>713</v>
      </c>
      <c r="BA23">
        <v>28490</v>
      </c>
      <c r="BB23">
        <v>1402606</v>
      </c>
      <c r="BC23">
        <v>17928</v>
      </c>
      <c r="BD23">
        <v>1621759</v>
      </c>
      <c r="BE23">
        <v>16302</v>
      </c>
      <c r="BF23">
        <v>142354</v>
      </c>
      <c r="BG23">
        <v>19484</v>
      </c>
      <c r="BH23">
        <v>9492</v>
      </c>
      <c r="BI23">
        <v>17807</v>
      </c>
      <c r="BJ23">
        <v>12861</v>
      </c>
      <c r="BK23">
        <v>32296</v>
      </c>
      <c r="BL23" t="s">
        <v>73</v>
      </c>
      <c r="BM23" t="s">
        <v>73</v>
      </c>
      <c r="BN23" t="s">
        <v>73</v>
      </c>
      <c r="BO23" t="s">
        <v>73</v>
      </c>
      <c r="BP23" t="s">
        <v>73</v>
      </c>
      <c r="BQ23" t="s">
        <v>73</v>
      </c>
      <c r="BR23" t="s">
        <v>73</v>
      </c>
      <c r="BS23" t="s">
        <v>73</v>
      </c>
      <c r="BT23" t="s">
        <v>73</v>
      </c>
      <c r="BU23" t="s">
        <v>73</v>
      </c>
      <c r="BV23">
        <v>13818</v>
      </c>
      <c r="BW23">
        <v>5973</v>
      </c>
      <c r="BX23">
        <v>22086</v>
      </c>
      <c r="BY23">
        <v>6368</v>
      </c>
      <c r="BZ23">
        <v>23243</v>
      </c>
      <c r="CA23">
        <v>339384</v>
      </c>
      <c r="CB23">
        <v>4061</v>
      </c>
      <c r="CC23">
        <v>354445</v>
      </c>
      <c r="CD23">
        <v>4080</v>
      </c>
      <c r="CE23">
        <v>389709</v>
      </c>
      <c r="CF23">
        <v>422840</v>
      </c>
      <c r="CG23">
        <v>3174</v>
      </c>
      <c r="CH23">
        <v>605699</v>
      </c>
      <c r="CI23">
        <v>10500</v>
      </c>
      <c r="CJ23">
        <v>705046</v>
      </c>
      <c r="CK23">
        <v>57992</v>
      </c>
      <c r="CL23">
        <v>4126</v>
      </c>
      <c r="CM23">
        <v>216409</v>
      </c>
      <c r="CN23">
        <v>14413</v>
      </c>
      <c r="CO23">
        <v>97566</v>
      </c>
      <c r="CP23">
        <v>279558</v>
      </c>
      <c r="CQ23">
        <v>3039</v>
      </c>
      <c r="CR23">
        <v>260907</v>
      </c>
      <c r="CS23">
        <v>3509</v>
      </c>
      <c r="CT23">
        <v>334078</v>
      </c>
      <c r="CU23">
        <v>42543</v>
      </c>
      <c r="CV23">
        <v>7201</v>
      </c>
      <c r="CW23">
        <v>30140</v>
      </c>
      <c r="CX23">
        <v>4265</v>
      </c>
      <c r="CY23">
        <v>38961</v>
      </c>
      <c r="CZ23" t="s">
        <v>73</v>
      </c>
      <c r="DA23" t="s">
        <v>73</v>
      </c>
      <c r="DB23" t="s">
        <v>73</v>
      </c>
      <c r="DC23" t="s">
        <v>73</v>
      </c>
      <c r="DD23" t="s">
        <v>73</v>
      </c>
      <c r="DE23">
        <v>57763</v>
      </c>
      <c r="DF23">
        <v>6609</v>
      </c>
      <c r="DG23">
        <v>187830</v>
      </c>
      <c r="DH23">
        <v>30158</v>
      </c>
      <c r="DI23">
        <v>195675</v>
      </c>
      <c r="DJ23">
        <v>47054</v>
      </c>
      <c r="DK23">
        <v>450</v>
      </c>
      <c r="DL23">
        <v>86050</v>
      </c>
      <c r="DM23">
        <v>1036</v>
      </c>
      <c r="DN23">
        <v>119707</v>
      </c>
      <c r="DO23">
        <v>20136</v>
      </c>
      <c r="DP23">
        <v>4092</v>
      </c>
      <c r="DQ23">
        <v>7140</v>
      </c>
      <c r="DR23">
        <v>4158</v>
      </c>
      <c r="DS23">
        <v>6405</v>
      </c>
      <c r="DT23">
        <v>1529</v>
      </c>
      <c r="DU23">
        <v>37</v>
      </c>
      <c r="DV23">
        <v>326</v>
      </c>
      <c r="DW23">
        <v>68</v>
      </c>
      <c r="DX23">
        <v>4955</v>
      </c>
      <c r="DY23">
        <v>46192</v>
      </c>
      <c r="DZ23">
        <v>8098</v>
      </c>
      <c r="EA23">
        <v>63299</v>
      </c>
      <c r="EB23">
        <v>15061</v>
      </c>
      <c r="EC23">
        <v>61638</v>
      </c>
      <c r="ED23">
        <v>48847</v>
      </c>
      <c r="EE23">
        <v>71253</v>
      </c>
      <c r="EF23">
        <v>48637</v>
      </c>
      <c r="EG23">
        <v>71193</v>
      </c>
      <c r="EH23">
        <v>56908</v>
      </c>
      <c r="EI23" t="s">
        <v>73</v>
      </c>
      <c r="EJ23" t="s">
        <v>73</v>
      </c>
      <c r="EK23" t="s">
        <v>73</v>
      </c>
      <c r="EL23" t="s">
        <v>73</v>
      </c>
      <c r="EM23" t="s">
        <v>73</v>
      </c>
      <c r="EN23">
        <v>105259</v>
      </c>
      <c r="EO23">
        <v>45456</v>
      </c>
      <c r="EP23">
        <v>115738</v>
      </c>
      <c r="EQ23">
        <v>34242</v>
      </c>
      <c r="ER23">
        <v>97926</v>
      </c>
      <c r="ES23">
        <v>2740</v>
      </c>
      <c r="ET23">
        <v>5920</v>
      </c>
      <c r="EU23">
        <v>2687</v>
      </c>
      <c r="EV23">
        <v>6038</v>
      </c>
      <c r="EW23">
        <v>2165</v>
      </c>
      <c r="EX23">
        <v>987</v>
      </c>
      <c r="EY23">
        <v>4433</v>
      </c>
      <c r="EZ23">
        <v>1020</v>
      </c>
      <c r="FA23">
        <v>4329</v>
      </c>
      <c r="FB23">
        <v>457</v>
      </c>
      <c r="FC23">
        <v>3490</v>
      </c>
      <c r="FD23">
        <v>31227</v>
      </c>
      <c r="FE23">
        <v>3114</v>
      </c>
      <c r="FF23">
        <v>28823</v>
      </c>
      <c r="FG23">
        <v>868</v>
      </c>
      <c r="FH23">
        <v>24874</v>
      </c>
      <c r="FI23">
        <v>1622</v>
      </c>
      <c r="FJ23">
        <v>59949</v>
      </c>
      <c r="FK23">
        <v>3142</v>
      </c>
      <c r="FL23">
        <v>283375</v>
      </c>
    </row>
    <row r="24" spans="1:168" x14ac:dyDescent="0.4">
      <c r="A24" s="1" t="s">
        <v>36</v>
      </c>
      <c r="B24" s="1" t="s">
        <v>37</v>
      </c>
      <c r="C24">
        <v>5710</v>
      </c>
      <c r="D24">
        <v>717</v>
      </c>
      <c r="E24">
        <v>8431</v>
      </c>
      <c r="F24">
        <v>1510</v>
      </c>
      <c r="G24">
        <v>136197</v>
      </c>
      <c r="H24">
        <v>2063</v>
      </c>
      <c r="I24">
        <v>211012</v>
      </c>
      <c r="J24">
        <v>864</v>
      </c>
      <c r="K24">
        <v>270924</v>
      </c>
      <c r="L24">
        <v>857</v>
      </c>
      <c r="M24">
        <v>289444</v>
      </c>
      <c r="N24">
        <v>275866</v>
      </c>
      <c r="O24">
        <v>3494</v>
      </c>
      <c r="P24">
        <v>138562</v>
      </c>
      <c r="Q24">
        <v>3545</v>
      </c>
      <c r="R24">
        <v>396885</v>
      </c>
      <c r="S24">
        <v>62838</v>
      </c>
      <c r="T24">
        <v>323</v>
      </c>
      <c r="U24">
        <v>173745</v>
      </c>
      <c r="V24">
        <v>1086</v>
      </c>
      <c r="W24">
        <v>271009</v>
      </c>
      <c r="X24">
        <v>36888</v>
      </c>
      <c r="Y24">
        <v>1858</v>
      </c>
      <c r="Z24">
        <v>54470</v>
      </c>
      <c r="AA24">
        <v>1782</v>
      </c>
      <c r="AB24">
        <v>145112</v>
      </c>
      <c r="AC24">
        <v>108183</v>
      </c>
      <c r="AD24">
        <v>4611</v>
      </c>
      <c r="AE24">
        <v>176949</v>
      </c>
      <c r="AF24">
        <v>8682</v>
      </c>
      <c r="AG24">
        <v>261766</v>
      </c>
      <c r="AH24">
        <v>19250</v>
      </c>
      <c r="AI24">
        <v>25567</v>
      </c>
      <c r="AJ24">
        <v>19836</v>
      </c>
      <c r="AK24">
        <v>25943</v>
      </c>
      <c r="AL24">
        <v>15417</v>
      </c>
      <c r="AM24">
        <v>654906</v>
      </c>
      <c r="AN24">
        <v>4428</v>
      </c>
      <c r="AO24">
        <v>522483</v>
      </c>
      <c r="AP24">
        <v>5557</v>
      </c>
      <c r="AQ24">
        <v>519989</v>
      </c>
      <c r="AR24">
        <v>250708</v>
      </c>
      <c r="AS24">
        <v>498</v>
      </c>
      <c r="AT24">
        <v>270747</v>
      </c>
      <c r="AU24">
        <v>754</v>
      </c>
      <c r="AV24">
        <v>452515</v>
      </c>
      <c r="AW24">
        <v>1106</v>
      </c>
      <c r="AX24">
        <v>262</v>
      </c>
      <c r="AY24">
        <v>22950</v>
      </c>
      <c r="AZ24">
        <v>750</v>
      </c>
      <c r="BA24">
        <v>35567</v>
      </c>
      <c r="BB24">
        <v>1388020</v>
      </c>
      <c r="BC24">
        <v>17624</v>
      </c>
      <c r="BD24">
        <v>1366852</v>
      </c>
      <c r="BE24">
        <v>13943</v>
      </c>
      <c r="BF24">
        <v>137030</v>
      </c>
      <c r="BG24">
        <v>21436</v>
      </c>
      <c r="BH24">
        <v>9384</v>
      </c>
      <c r="BI24">
        <v>20495</v>
      </c>
      <c r="BJ24">
        <v>11971</v>
      </c>
      <c r="BK24">
        <v>102808</v>
      </c>
      <c r="BL24" t="s">
        <v>73</v>
      </c>
      <c r="BM24" t="s">
        <v>73</v>
      </c>
      <c r="BN24" t="s">
        <v>73</v>
      </c>
      <c r="BO24" t="s">
        <v>73</v>
      </c>
      <c r="BP24" t="s">
        <v>73</v>
      </c>
      <c r="BQ24" t="s">
        <v>73</v>
      </c>
      <c r="BR24" t="s">
        <v>73</v>
      </c>
      <c r="BS24" t="s">
        <v>73</v>
      </c>
      <c r="BT24" t="s">
        <v>73</v>
      </c>
      <c r="BU24" t="s">
        <v>73</v>
      </c>
      <c r="BV24">
        <v>14396</v>
      </c>
      <c r="BW24">
        <v>6870</v>
      </c>
      <c r="BX24">
        <v>16396</v>
      </c>
      <c r="BY24">
        <v>6268</v>
      </c>
      <c r="BZ24">
        <v>24073</v>
      </c>
      <c r="CA24">
        <v>333437</v>
      </c>
      <c r="CB24">
        <v>4247</v>
      </c>
      <c r="CC24">
        <v>337112</v>
      </c>
      <c r="CD24">
        <v>4380</v>
      </c>
      <c r="CE24">
        <v>392145</v>
      </c>
      <c r="CF24">
        <v>380749</v>
      </c>
      <c r="CG24">
        <v>2909</v>
      </c>
      <c r="CH24">
        <v>361046</v>
      </c>
      <c r="CI24">
        <v>7573</v>
      </c>
      <c r="CJ24">
        <v>750406</v>
      </c>
      <c r="CK24">
        <v>66578</v>
      </c>
      <c r="CL24">
        <v>4303</v>
      </c>
      <c r="CM24">
        <v>112731</v>
      </c>
      <c r="CN24">
        <v>10442</v>
      </c>
      <c r="CO24">
        <v>108526</v>
      </c>
      <c r="CP24">
        <v>376335</v>
      </c>
      <c r="CQ24">
        <v>3908</v>
      </c>
      <c r="CR24">
        <v>327279</v>
      </c>
      <c r="CS24">
        <v>3275</v>
      </c>
      <c r="CT24">
        <v>1039049</v>
      </c>
      <c r="CU24">
        <v>41554</v>
      </c>
      <c r="CV24">
        <v>7109</v>
      </c>
      <c r="CW24">
        <v>25896</v>
      </c>
      <c r="CX24">
        <v>3118</v>
      </c>
      <c r="CY24">
        <v>39135</v>
      </c>
      <c r="CZ24" t="s">
        <v>73</v>
      </c>
      <c r="DA24" t="s">
        <v>73</v>
      </c>
      <c r="DB24" t="s">
        <v>73</v>
      </c>
      <c r="DC24" t="s">
        <v>73</v>
      </c>
      <c r="DD24" t="s">
        <v>73</v>
      </c>
      <c r="DE24">
        <v>35387</v>
      </c>
      <c r="DF24">
        <v>5493</v>
      </c>
      <c r="DG24">
        <v>233106</v>
      </c>
      <c r="DH24">
        <v>40948</v>
      </c>
      <c r="DI24">
        <v>172996</v>
      </c>
      <c r="DJ24">
        <v>81668</v>
      </c>
      <c r="DK24">
        <v>1950</v>
      </c>
      <c r="DL24">
        <v>70715</v>
      </c>
      <c r="DM24">
        <v>867</v>
      </c>
      <c r="DN24">
        <v>124929</v>
      </c>
      <c r="DO24">
        <v>4856</v>
      </c>
      <c r="DP24">
        <v>2081</v>
      </c>
      <c r="DQ24">
        <v>4779</v>
      </c>
      <c r="DR24">
        <v>2797</v>
      </c>
      <c r="DS24">
        <v>6488</v>
      </c>
      <c r="DT24">
        <v>5144</v>
      </c>
      <c r="DU24">
        <v>280</v>
      </c>
      <c r="DV24">
        <v>258</v>
      </c>
      <c r="DW24">
        <v>23</v>
      </c>
      <c r="DX24">
        <v>5075</v>
      </c>
      <c r="DY24">
        <v>46802</v>
      </c>
      <c r="DZ24">
        <v>8922</v>
      </c>
      <c r="EA24">
        <v>53263</v>
      </c>
      <c r="EB24">
        <v>16527</v>
      </c>
      <c r="EC24">
        <v>63370</v>
      </c>
      <c r="ED24">
        <v>39853</v>
      </c>
      <c r="EE24">
        <v>44277</v>
      </c>
      <c r="EF24">
        <v>38466</v>
      </c>
      <c r="EG24">
        <v>42646</v>
      </c>
      <c r="EH24">
        <v>58695</v>
      </c>
      <c r="EI24" t="s">
        <v>73</v>
      </c>
      <c r="EJ24" t="s">
        <v>73</v>
      </c>
      <c r="EK24" t="s">
        <v>73</v>
      </c>
      <c r="EL24" t="s">
        <v>73</v>
      </c>
      <c r="EM24" t="s">
        <v>73</v>
      </c>
      <c r="EN24">
        <v>104197</v>
      </c>
      <c r="EO24">
        <v>44654</v>
      </c>
      <c r="EP24">
        <v>107323</v>
      </c>
      <c r="EQ24">
        <v>29795</v>
      </c>
      <c r="ER24">
        <v>108293</v>
      </c>
      <c r="ES24">
        <v>2253</v>
      </c>
      <c r="ET24">
        <v>6091</v>
      </c>
      <c r="EU24">
        <v>2361</v>
      </c>
      <c r="EV24">
        <v>6113</v>
      </c>
      <c r="EW24">
        <v>2906</v>
      </c>
      <c r="EX24">
        <v>886</v>
      </c>
      <c r="EY24">
        <v>4288</v>
      </c>
      <c r="EZ24">
        <v>718</v>
      </c>
      <c r="FA24">
        <v>3770</v>
      </c>
      <c r="FB24">
        <v>599</v>
      </c>
      <c r="FC24">
        <v>2989</v>
      </c>
      <c r="FD24">
        <v>27664</v>
      </c>
      <c r="FE24">
        <v>2584</v>
      </c>
      <c r="FF24">
        <v>25062</v>
      </c>
      <c r="FG24">
        <v>866</v>
      </c>
      <c r="FH24">
        <v>19205</v>
      </c>
      <c r="FI24">
        <v>1393</v>
      </c>
      <c r="FJ24">
        <v>66327</v>
      </c>
      <c r="FK24">
        <v>3317</v>
      </c>
      <c r="FL24">
        <v>269915</v>
      </c>
    </row>
    <row r="25" spans="1:168" x14ac:dyDescent="0.4">
      <c r="A25" s="1" t="s">
        <v>38</v>
      </c>
      <c r="B25" s="1" t="s">
        <v>39</v>
      </c>
      <c r="C25">
        <v>5003</v>
      </c>
      <c r="D25">
        <v>625</v>
      </c>
      <c r="E25">
        <v>9094</v>
      </c>
      <c r="F25">
        <v>1593</v>
      </c>
      <c r="G25">
        <v>155437</v>
      </c>
      <c r="H25">
        <v>2295</v>
      </c>
      <c r="I25">
        <v>248228</v>
      </c>
      <c r="J25">
        <v>897</v>
      </c>
      <c r="K25">
        <v>314163</v>
      </c>
      <c r="L25">
        <v>878</v>
      </c>
      <c r="M25">
        <v>297455</v>
      </c>
      <c r="N25">
        <v>283643</v>
      </c>
      <c r="O25">
        <v>3839</v>
      </c>
      <c r="P25">
        <v>146280</v>
      </c>
      <c r="Q25">
        <v>3687</v>
      </c>
      <c r="R25">
        <v>402285</v>
      </c>
      <c r="S25">
        <v>71903</v>
      </c>
      <c r="T25">
        <v>304</v>
      </c>
      <c r="U25">
        <v>180435</v>
      </c>
      <c r="V25">
        <v>1084</v>
      </c>
      <c r="W25">
        <v>276346</v>
      </c>
      <c r="X25">
        <v>47089</v>
      </c>
      <c r="Y25">
        <v>1730</v>
      </c>
      <c r="Z25">
        <v>55637</v>
      </c>
      <c r="AA25">
        <v>1960</v>
      </c>
      <c r="AB25">
        <v>147845</v>
      </c>
      <c r="AC25">
        <v>126098</v>
      </c>
      <c r="AD25">
        <v>4605</v>
      </c>
      <c r="AE25">
        <v>185691</v>
      </c>
      <c r="AF25">
        <v>8613</v>
      </c>
      <c r="AG25">
        <v>252164</v>
      </c>
      <c r="AH25">
        <v>17112</v>
      </c>
      <c r="AI25">
        <v>22898</v>
      </c>
      <c r="AJ25">
        <v>19157</v>
      </c>
      <c r="AK25">
        <v>23441</v>
      </c>
      <c r="AL25">
        <v>12681</v>
      </c>
      <c r="AM25">
        <v>665137</v>
      </c>
      <c r="AN25">
        <v>4199</v>
      </c>
      <c r="AO25">
        <v>705855</v>
      </c>
      <c r="AP25">
        <v>5518</v>
      </c>
      <c r="AQ25">
        <v>485514</v>
      </c>
      <c r="AR25">
        <v>237432</v>
      </c>
      <c r="AS25">
        <v>473</v>
      </c>
      <c r="AT25">
        <v>286914</v>
      </c>
      <c r="AU25">
        <v>798</v>
      </c>
      <c r="AV25">
        <v>459705</v>
      </c>
      <c r="AW25">
        <v>722</v>
      </c>
      <c r="AX25">
        <v>282</v>
      </c>
      <c r="AY25">
        <v>19188</v>
      </c>
      <c r="AZ25">
        <v>693</v>
      </c>
      <c r="BA25">
        <v>38092</v>
      </c>
      <c r="BB25">
        <v>1502340</v>
      </c>
      <c r="BC25">
        <v>19576</v>
      </c>
      <c r="BD25">
        <v>1459980</v>
      </c>
      <c r="BE25">
        <v>15083</v>
      </c>
      <c r="BF25">
        <v>116172</v>
      </c>
      <c r="BG25">
        <v>27855</v>
      </c>
      <c r="BH25">
        <v>11093</v>
      </c>
      <c r="BI25">
        <v>28254</v>
      </c>
      <c r="BJ25">
        <v>14925</v>
      </c>
      <c r="BK25">
        <v>98463</v>
      </c>
      <c r="BL25" t="s">
        <v>73</v>
      </c>
      <c r="BM25" t="s">
        <v>73</v>
      </c>
      <c r="BN25" t="s">
        <v>73</v>
      </c>
      <c r="BO25" t="s">
        <v>73</v>
      </c>
      <c r="BP25" t="s">
        <v>73</v>
      </c>
      <c r="BQ25" t="s">
        <v>73</v>
      </c>
      <c r="BR25" t="s">
        <v>73</v>
      </c>
      <c r="BS25" t="s">
        <v>73</v>
      </c>
      <c r="BT25" t="s">
        <v>73</v>
      </c>
      <c r="BU25" t="s">
        <v>73</v>
      </c>
      <c r="BV25">
        <v>12473</v>
      </c>
      <c r="BW25">
        <v>6894</v>
      </c>
      <c r="BX25">
        <v>16799</v>
      </c>
      <c r="BY25">
        <v>7009</v>
      </c>
      <c r="BZ25">
        <v>23349</v>
      </c>
      <c r="CA25">
        <v>302340</v>
      </c>
      <c r="CB25">
        <v>4024</v>
      </c>
      <c r="CC25">
        <v>327250</v>
      </c>
      <c r="CD25">
        <v>4187</v>
      </c>
      <c r="CE25">
        <v>371287</v>
      </c>
      <c r="CF25">
        <v>419547</v>
      </c>
      <c r="CG25">
        <v>3198</v>
      </c>
      <c r="CH25">
        <v>414498</v>
      </c>
      <c r="CI25">
        <v>7895</v>
      </c>
      <c r="CJ25">
        <v>738671</v>
      </c>
      <c r="CK25">
        <v>70608</v>
      </c>
      <c r="CL25">
        <v>4637</v>
      </c>
      <c r="CM25">
        <v>108932</v>
      </c>
      <c r="CN25">
        <v>10205</v>
      </c>
      <c r="CO25">
        <v>116355</v>
      </c>
      <c r="CP25">
        <v>370803</v>
      </c>
      <c r="CQ25">
        <v>4033</v>
      </c>
      <c r="CR25">
        <v>356024</v>
      </c>
      <c r="CS25">
        <v>3554</v>
      </c>
      <c r="CT25">
        <v>1093725</v>
      </c>
      <c r="CU25">
        <v>41570</v>
      </c>
      <c r="CV25">
        <v>6975</v>
      </c>
      <c r="CW25">
        <v>27168</v>
      </c>
      <c r="CX25">
        <v>3775</v>
      </c>
      <c r="CY25">
        <v>38957</v>
      </c>
      <c r="CZ25" t="s">
        <v>73</v>
      </c>
      <c r="DA25" t="s">
        <v>73</v>
      </c>
      <c r="DB25" t="s">
        <v>73</v>
      </c>
      <c r="DC25" t="s">
        <v>73</v>
      </c>
      <c r="DD25" t="s">
        <v>73</v>
      </c>
      <c r="DE25">
        <v>39307</v>
      </c>
      <c r="DF25">
        <v>6074</v>
      </c>
      <c r="DG25">
        <v>234224</v>
      </c>
      <c r="DH25">
        <v>37179</v>
      </c>
      <c r="DI25">
        <v>165025</v>
      </c>
      <c r="DJ25">
        <v>87598</v>
      </c>
      <c r="DK25">
        <v>2577</v>
      </c>
      <c r="DL25">
        <v>74070</v>
      </c>
      <c r="DM25">
        <v>871</v>
      </c>
      <c r="DN25">
        <v>131276</v>
      </c>
      <c r="DO25">
        <v>5849</v>
      </c>
      <c r="DP25">
        <v>2102</v>
      </c>
      <c r="DQ25">
        <v>4313</v>
      </c>
      <c r="DR25">
        <v>2595</v>
      </c>
      <c r="DS25">
        <v>6608</v>
      </c>
      <c r="DT25">
        <v>6577</v>
      </c>
      <c r="DU25">
        <v>410</v>
      </c>
      <c r="DV25">
        <v>238</v>
      </c>
      <c r="DW25">
        <v>22</v>
      </c>
      <c r="DX25">
        <v>5213</v>
      </c>
      <c r="DY25">
        <v>67461</v>
      </c>
      <c r="DZ25">
        <v>10084</v>
      </c>
      <c r="EA25">
        <v>72249</v>
      </c>
      <c r="EB25">
        <v>15633</v>
      </c>
      <c r="EC25">
        <v>64563</v>
      </c>
      <c r="ED25">
        <v>41185</v>
      </c>
      <c r="EE25">
        <v>53676</v>
      </c>
      <c r="EF25">
        <v>44582</v>
      </c>
      <c r="EG25">
        <v>54890</v>
      </c>
      <c r="EH25">
        <v>55501</v>
      </c>
      <c r="EI25" t="s">
        <v>73</v>
      </c>
      <c r="EJ25" t="s">
        <v>73</v>
      </c>
      <c r="EK25" t="s">
        <v>73</v>
      </c>
      <c r="EL25" t="s">
        <v>73</v>
      </c>
      <c r="EM25" t="s">
        <v>73</v>
      </c>
      <c r="EN25">
        <v>100635</v>
      </c>
      <c r="EO25">
        <v>46614</v>
      </c>
      <c r="EP25">
        <v>117162</v>
      </c>
      <c r="EQ25">
        <v>33558</v>
      </c>
      <c r="ER25">
        <v>100216</v>
      </c>
      <c r="ES25">
        <v>1952</v>
      </c>
      <c r="ET25">
        <v>5147</v>
      </c>
      <c r="EU25">
        <v>2025</v>
      </c>
      <c r="EV25">
        <v>5211</v>
      </c>
      <c r="EW25">
        <v>2785</v>
      </c>
      <c r="EX25">
        <v>539</v>
      </c>
      <c r="EY25">
        <v>3707</v>
      </c>
      <c r="EZ25">
        <v>560</v>
      </c>
      <c r="FA25">
        <v>3817</v>
      </c>
      <c r="FB25">
        <v>540</v>
      </c>
      <c r="FC25">
        <v>2841</v>
      </c>
      <c r="FD25">
        <v>25374</v>
      </c>
      <c r="FE25">
        <v>2113</v>
      </c>
      <c r="FF25">
        <v>22803</v>
      </c>
      <c r="FG25">
        <v>1225</v>
      </c>
      <c r="FH25">
        <v>21531</v>
      </c>
      <c r="FI25">
        <v>1451</v>
      </c>
      <c r="FJ25">
        <v>57321</v>
      </c>
      <c r="FK25">
        <v>2912</v>
      </c>
      <c r="FL25">
        <v>270894</v>
      </c>
    </row>
    <row r="26" spans="1:168" x14ac:dyDescent="0.4">
      <c r="A26" s="1" t="s">
        <v>40</v>
      </c>
      <c r="B26" s="1" t="s">
        <v>41</v>
      </c>
      <c r="C26">
        <v>6110</v>
      </c>
      <c r="D26">
        <v>942</v>
      </c>
      <c r="E26">
        <v>10806</v>
      </c>
      <c r="F26">
        <v>1878</v>
      </c>
      <c r="G26">
        <v>153362</v>
      </c>
      <c r="H26">
        <v>2679</v>
      </c>
      <c r="I26">
        <v>255524</v>
      </c>
      <c r="J26">
        <v>961</v>
      </c>
      <c r="K26">
        <v>342379</v>
      </c>
      <c r="L26">
        <v>994</v>
      </c>
      <c r="M26">
        <v>284566</v>
      </c>
      <c r="N26">
        <v>294637</v>
      </c>
      <c r="O26">
        <v>4023</v>
      </c>
      <c r="P26">
        <v>144014</v>
      </c>
      <c r="Q26">
        <v>3661</v>
      </c>
      <c r="R26">
        <v>416989</v>
      </c>
      <c r="S26">
        <v>72226</v>
      </c>
      <c r="T26">
        <v>302</v>
      </c>
      <c r="U26">
        <v>183980</v>
      </c>
      <c r="V26">
        <v>1091</v>
      </c>
      <c r="W26">
        <v>276527</v>
      </c>
      <c r="X26">
        <v>49217</v>
      </c>
      <c r="Y26">
        <v>2172</v>
      </c>
      <c r="Z26">
        <v>59081</v>
      </c>
      <c r="AA26">
        <v>2190</v>
      </c>
      <c r="AB26">
        <v>151300</v>
      </c>
      <c r="AC26">
        <v>139841</v>
      </c>
      <c r="AD26">
        <v>5095</v>
      </c>
      <c r="AE26">
        <v>216013</v>
      </c>
      <c r="AF26">
        <v>9719</v>
      </c>
      <c r="AG26">
        <v>230766</v>
      </c>
      <c r="AH26">
        <v>18821</v>
      </c>
      <c r="AI26">
        <v>25453</v>
      </c>
      <c r="AJ26">
        <v>21003</v>
      </c>
      <c r="AK26">
        <v>26360</v>
      </c>
      <c r="AL26">
        <v>11900</v>
      </c>
      <c r="AM26">
        <v>679237</v>
      </c>
      <c r="AN26">
        <v>4354</v>
      </c>
      <c r="AO26">
        <v>718961</v>
      </c>
      <c r="AP26">
        <v>5844</v>
      </c>
      <c r="AQ26">
        <v>448862</v>
      </c>
      <c r="AR26">
        <v>259058</v>
      </c>
      <c r="AS26">
        <v>586</v>
      </c>
      <c r="AT26">
        <v>383461</v>
      </c>
      <c r="AU26">
        <v>815</v>
      </c>
      <c r="AV26">
        <v>382526</v>
      </c>
      <c r="AW26">
        <v>598</v>
      </c>
      <c r="AX26">
        <v>288</v>
      </c>
      <c r="AY26">
        <v>24823</v>
      </c>
      <c r="AZ26">
        <v>724</v>
      </c>
      <c r="BA26">
        <v>32114</v>
      </c>
      <c r="BB26">
        <v>1586803</v>
      </c>
      <c r="BC26">
        <v>20174</v>
      </c>
      <c r="BD26">
        <v>1546699</v>
      </c>
      <c r="BE26">
        <v>16087</v>
      </c>
      <c r="BF26">
        <v>121045</v>
      </c>
      <c r="BG26">
        <v>29756</v>
      </c>
      <c r="BH26">
        <v>12976</v>
      </c>
      <c r="BI26">
        <v>30693</v>
      </c>
      <c r="BJ26">
        <v>17115</v>
      </c>
      <c r="BK26">
        <v>103089</v>
      </c>
      <c r="BL26" t="s">
        <v>73</v>
      </c>
      <c r="BM26" t="s">
        <v>73</v>
      </c>
      <c r="BN26" t="s">
        <v>73</v>
      </c>
      <c r="BO26" t="s">
        <v>73</v>
      </c>
      <c r="BP26" t="s">
        <v>73</v>
      </c>
      <c r="BQ26" t="s">
        <v>73</v>
      </c>
      <c r="BR26" t="s">
        <v>73</v>
      </c>
      <c r="BS26" t="s">
        <v>73</v>
      </c>
      <c r="BT26" t="s">
        <v>73</v>
      </c>
      <c r="BU26" t="s">
        <v>73</v>
      </c>
      <c r="BV26">
        <v>13553</v>
      </c>
      <c r="BW26">
        <v>7211</v>
      </c>
      <c r="BX26">
        <v>20249</v>
      </c>
      <c r="BY26">
        <v>8178</v>
      </c>
      <c r="BZ26">
        <v>22549</v>
      </c>
      <c r="CA26">
        <v>335345</v>
      </c>
      <c r="CB26">
        <v>5103</v>
      </c>
      <c r="CC26">
        <v>346042</v>
      </c>
      <c r="CD26">
        <v>5018</v>
      </c>
      <c r="CE26">
        <v>362258</v>
      </c>
      <c r="CF26">
        <v>409443</v>
      </c>
      <c r="CG26">
        <v>2963</v>
      </c>
      <c r="CH26">
        <v>463822</v>
      </c>
      <c r="CI26">
        <v>9867</v>
      </c>
      <c r="CJ26">
        <v>728556</v>
      </c>
      <c r="CK26">
        <v>83694</v>
      </c>
      <c r="CL26">
        <v>5951</v>
      </c>
      <c r="CM26">
        <v>142267</v>
      </c>
      <c r="CN26">
        <v>13972</v>
      </c>
      <c r="CO26">
        <v>110557</v>
      </c>
      <c r="CP26">
        <v>449218</v>
      </c>
      <c r="CQ26">
        <v>4329</v>
      </c>
      <c r="CR26">
        <v>415052</v>
      </c>
      <c r="CS26">
        <v>4170</v>
      </c>
      <c r="CT26">
        <v>1120358</v>
      </c>
      <c r="CU26">
        <v>46078</v>
      </c>
      <c r="CV26">
        <v>7575</v>
      </c>
      <c r="CW26">
        <v>31141</v>
      </c>
      <c r="CX26">
        <v>3792</v>
      </c>
      <c r="CY26">
        <v>39156</v>
      </c>
      <c r="CZ26" t="s">
        <v>73</v>
      </c>
      <c r="DA26" t="s">
        <v>73</v>
      </c>
      <c r="DB26" t="s">
        <v>73</v>
      </c>
      <c r="DC26" t="s">
        <v>73</v>
      </c>
      <c r="DD26" t="s">
        <v>73</v>
      </c>
      <c r="DE26">
        <v>42525</v>
      </c>
      <c r="DF26">
        <v>6048</v>
      </c>
      <c r="DG26">
        <v>202672</v>
      </c>
      <c r="DH26">
        <v>32230</v>
      </c>
      <c r="DI26">
        <v>210676</v>
      </c>
      <c r="DJ26">
        <v>99676</v>
      </c>
      <c r="DK26">
        <v>2560</v>
      </c>
      <c r="DL26">
        <v>100981</v>
      </c>
      <c r="DM26">
        <v>1222</v>
      </c>
      <c r="DN26">
        <v>137628</v>
      </c>
      <c r="DO26">
        <v>5775</v>
      </c>
      <c r="DP26">
        <v>2336</v>
      </c>
      <c r="DQ26">
        <v>4491</v>
      </c>
      <c r="DR26">
        <v>3107</v>
      </c>
      <c r="DS26">
        <v>7084</v>
      </c>
      <c r="DT26">
        <v>7446</v>
      </c>
      <c r="DU26">
        <v>379</v>
      </c>
      <c r="DV26">
        <v>339</v>
      </c>
      <c r="DW26">
        <v>25</v>
      </c>
      <c r="DX26">
        <v>5385</v>
      </c>
      <c r="DY26">
        <v>63521</v>
      </c>
      <c r="DZ26">
        <v>9784</v>
      </c>
      <c r="EA26">
        <v>73215</v>
      </c>
      <c r="EB26">
        <v>14780</v>
      </c>
      <c r="EC26">
        <v>60872</v>
      </c>
      <c r="ED26">
        <v>125093</v>
      </c>
      <c r="EE26">
        <v>84325</v>
      </c>
      <c r="EF26">
        <v>130797</v>
      </c>
      <c r="EG26">
        <v>86523</v>
      </c>
      <c r="EH26">
        <v>49837</v>
      </c>
      <c r="EI26" t="s">
        <v>73</v>
      </c>
      <c r="EJ26" t="s">
        <v>73</v>
      </c>
      <c r="EK26" t="s">
        <v>73</v>
      </c>
      <c r="EL26" t="s">
        <v>73</v>
      </c>
      <c r="EM26" t="s">
        <v>73</v>
      </c>
      <c r="EN26">
        <v>112418</v>
      </c>
      <c r="EO26">
        <v>47726</v>
      </c>
      <c r="EP26">
        <v>119927</v>
      </c>
      <c r="EQ26">
        <v>36351</v>
      </c>
      <c r="ER26">
        <v>103285</v>
      </c>
      <c r="ES26">
        <v>1872</v>
      </c>
      <c r="ET26">
        <v>4605</v>
      </c>
      <c r="EU26">
        <v>1990</v>
      </c>
      <c r="EV26">
        <v>5376</v>
      </c>
      <c r="EW26">
        <v>2648</v>
      </c>
      <c r="EX26">
        <v>549</v>
      </c>
      <c r="EY26">
        <v>3514</v>
      </c>
      <c r="EZ26">
        <v>709</v>
      </c>
      <c r="FA26">
        <v>4170</v>
      </c>
      <c r="FB26">
        <v>346</v>
      </c>
      <c r="FC26">
        <v>3671</v>
      </c>
      <c r="FD26">
        <v>26836</v>
      </c>
      <c r="FE26">
        <v>3979</v>
      </c>
      <c r="FF26">
        <v>25156</v>
      </c>
      <c r="FG26">
        <v>541</v>
      </c>
      <c r="FH26">
        <v>23479</v>
      </c>
      <c r="FI26">
        <v>1555</v>
      </c>
      <c r="FJ26">
        <v>66211</v>
      </c>
      <c r="FK26">
        <v>3488</v>
      </c>
      <c r="FL26">
        <v>274498</v>
      </c>
    </row>
    <row r="27" spans="1:168" x14ac:dyDescent="0.4">
      <c r="A27" s="1" t="s">
        <v>42</v>
      </c>
      <c r="B27" s="1" t="s">
        <v>43</v>
      </c>
      <c r="C27">
        <v>5365</v>
      </c>
      <c r="D27">
        <v>569</v>
      </c>
      <c r="E27">
        <v>12499</v>
      </c>
      <c r="F27">
        <v>1972</v>
      </c>
      <c r="G27">
        <v>170450</v>
      </c>
      <c r="H27">
        <v>2615</v>
      </c>
      <c r="I27">
        <v>268950</v>
      </c>
      <c r="J27">
        <v>877</v>
      </c>
      <c r="K27">
        <v>331731</v>
      </c>
      <c r="L27">
        <v>876</v>
      </c>
      <c r="M27">
        <v>294901</v>
      </c>
      <c r="N27">
        <v>301092</v>
      </c>
      <c r="O27">
        <v>3691</v>
      </c>
      <c r="P27">
        <v>157195</v>
      </c>
      <c r="Q27">
        <v>4052</v>
      </c>
      <c r="R27">
        <v>414743</v>
      </c>
      <c r="S27">
        <v>53666</v>
      </c>
      <c r="T27">
        <v>265</v>
      </c>
      <c r="U27">
        <v>168173</v>
      </c>
      <c r="V27">
        <v>1073</v>
      </c>
      <c r="W27">
        <v>272983</v>
      </c>
      <c r="X27">
        <v>46738</v>
      </c>
      <c r="Y27">
        <v>1375</v>
      </c>
      <c r="Z27">
        <v>62183</v>
      </c>
      <c r="AA27">
        <v>1985</v>
      </c>
      <c r="AB27">
        <v>147820</v>
      </c>
      <c r="AC27">
        <v>127714</v>
      </c>
      <c r="AD27">
        <v>4935</v>
      </c>
      <c r="AE27">
        <v>191769</v>
      </c>
      <c r="AF27">
        <v>8344</v>
      </c>
      <c r="AG27">
        <v>239906</v>
      </c>
      <c r="AH27">
        <v>16580</v>
      </c>
      <c r="AI27">
        <v>22782</v>
      </c>
      <c r="AJ27">
        <v>18430</v>
      </c>
      <c r="AK27">
        <v>24676</v>
      </c>
      <c r="AL27">
        <v>10393</v>
      </c>
      <c r="AM27">
        <v>695682</v>
      </c>
      <c r="AN27">
        <v>4439</v>
      </c>
      <c r="AO27">
        <v>691426</v>
      </c>
      <c r="AP27">
        <v>5965</v>
      </c>
      <c r="AQ27">
        <v>468995</v>
      </c>
      <c r="AR27">
        <v>263019</v>
      </c>
      <c r="AS27">
        <v>453</v>
      </c>
      <c r="AT27">
        <v>367433</v>
      </c>
      <c r="AU27">
        <v>826</v>
      </c>
      <c r="AV27">
        <v>327060</v>
      </c>
      <c r="AW27">
        <v>392</v>
      </c>
      <c r="AX27">
        <v>278</v>
      </c>
      <c r="AY27">
        <v>20813</v>
      </c>
      <c r="AZ27">
        <v>728</v>
      </c>
      <c r="BA27">
        <v>33908</v>
      </c>
      <c r="BB27">
        <v>1610555</v>
      </c>
      <c r="BC27">
        <v>21186</v>
      </c>
      <c r="BD27">
        <v>1633486</v>
      </c>
      <c r="BE27">
        <v>16114</v>
      </c>
      <c r="BF27">
        <v>113930</v>
      </c>
      <c r="BG27">
        <v>32063</v>
      </c>
      <c r="BH27">
        <v>12501</v>
      </c>
      <c r="BI27">
        <v>30402</v>
      </c>
      <c r="BJ27">
        <v>14889</v>
      </c>
      <c r="BK27">
        <v>58326</v>
      </c>
      <c r="BL27" t="s">
        <v>73</v>
      </c>
      <c r="BM27" t="s">
        <v>73</v>
      </c>
      <c r="BN27" t="s">
        <v>73</v>
      </c>
      <c r="BO27" t="s">
        <v>73</v>
      </c>
      <c r="BP27" t="s">
        <v>73</v>
      </c>
      <c r="BQ27" t="s">
        <v>73</v>
      </c>
      <c r="BR27" t="s">
        <v>73</v>
      </c>
      <c r="BS27" t="s">
        <v>73</v>
      </c>
      <c r="BT27" t="s">
        <v>73</v>
      </c>
      <c r="BU27" t="s">
        <v>73</v>
      </c>
      <c r="BV27">
        <v>12870</v>
      </c>
      <c r="BW27">
        <v>6055</v>
      </c>
      <c r="BX27">
        <v>16122</v>
      </c>
      <c r="BY27">
        <v>6240</v>
      </c>
      <c r="BZ27">
        <v>21073</v>
      </c>
      <c r="CA27">
        <v>301533</v>
      </c>
      <c r="CB27">
        <v>4744</v>
      </c>
      <c r="CC27">
        <v>334775</v>
      </c>
      <c r="CD27">
        <v>5248</v>
      </c>
      <c r="CE27">
        <v>335143</v>
      </c>
      <c r="CF27">
        <v>439425</v>
      </c>
      <c r="CG27">
        <v>3332</v>
      </c>
      <c r="CH27">
        <v>390444</v>
      </c>
      <c r="CI27">
        <v>7339</v>
      </c>
      <c r="CJ27">
        <v>752402</v>
      </c>
      <c r="CK27">
        <v>83630</v>
      </c>
      <c r="CL27">
        <v>5226</v>
      </c>
      <c r="CM27">
        <v>129681</v>
      </c>
      <c r="CN27">
        <v>10588</v>
      </c>
      <c r="CO27">
        <v>101472</v>
      </c>
      <c r="CP27">
        <v>440388</v>
      </c>
      <c r="CQ27">
        <v>4832</v>
      </c>
      <c r="CR27">
        <v>383560</v>
      </c>
      <c r="CS27">
        <v>4178</v>
      </c>
      <c r="CT27">
        <v>998010</v>
      </c>
      <c r="CU27">
        <v>38947</v>
      </c>
      <c r="CV27">
        <v>6806</v>
      </c>
      <c r="CW27">
        <v>27248</v>
      </c>
      <c r="CX27">
        <v>4272</v>
      </c>
      <c r="CY27">
        <v>38591</v>
      </c>
      <c r="CZ27" t="s">
        <v>73</v>
      </c>
      <c r="DA27" t="s">
        <v>73</v>
      </c>
      <c r="DB27" t="s">
        <v>73</v>
      </c>
      <c r="DC27" t="s">
        <v>73</v>
      </c>
      <c r="DD27" t="s">
        <v>73</v>
      </c>
      <c r="DE27">
        <v>40864</v>
      </c>
      <c r="DF27">
        <v>6489</v>
      </c>
      <c r="DG27">
        <v>301588</v>
      </c>
      <c r="DH27">
        <v>48327</v>
      </c>
      <c r="DI27">
        <v>166029</v>
      </c>
      <c r="DJ27">
        <v>82652</v>
      </c>
      <c r="DK27">
        <v>2483</v>
      </c>
      <c r="DL27">
        <v>82789</v>
      </c>
      <c r="DM27">
        <v>981</v>
      </c>
      <c r="DN27">
        <v>131050</v>
      </c>
      <c r="DO27">
        <v>6352</v>
      </c>
      <c r="DP27">
        <v>2547</v>
      </c>
      <c r="DQ27">
        <v>5877</v>
      </c>
      <c r="DR27">
        <v>3048</v>
      </c>
      <c r="DS27">
        <v>6599</v>
      </c>
      <c r="DT27">
        <v>7027</v>
      </c>
      <c r="DU27">
        <v>413</v>
      </c>
      <c r="DV27">
        <v>308</v>
      </c>
      <c r="DW27">
        <v>26</v>
      </c>
      <c r="DX27">
        <v>5393</v>
      </c>
      <c r="DY27">
        <v>71421</v>
      </c>
      <c r="DZ27">
        <v>9334</v>
      </c>
      <c r="EA27">
        <v>73377</v>
      </c>
      <c r="EB27">
        <v>17486</v>
      </c>
      <c r="EC27">
        <v>57319</v>
      </c>
      <c r="ED27">
        <v>85989</v>
      </c>
      <c r="EE27">
        <v>53436</v>
      </c>
      <c r="EF27">
        <v>79624</v>
      </c>
      <c r="EG27">
        <v>48352</v>
      </c>
      <c r="EH27">
        <v>57400</v>
      </c>
      <c r="EI27" t="s">
        <v>73</v>
      </c>
      <c r="EJ27" t="s">
        <v>73</v>
      </c>
      <c r="EK27" t="s">
        <v>73</v>
      </c>
      <c r="EL27" t="s">
        <v>73</v>
      </c>
      <c r="EM27" t="s">
        <v>73</v>
      </c>
      <c r="EN27">
        <v>102503</v>
      </c>
      <c r="EO27">
        <v>40782</v>
      </c>
      <c r="EP27">
        <v>111321</v>
      </c>
      <c r="EQ27">
        <v>35577</v>
      </c>
      <c r="ER27">
        <v>103773</v>
      </c>
      <c r="ES27">
        <v>1411</v>
      </c>
      <c r="ET27">
        <v>3881</v>
      </c>
      <c r="EU27">
        <v>1706</v>
      </c>
      <c r="EV27">
        <v>4618</v>
      </c>
      <c r="EW27">
        <v>2393</v>
      </c>
      <c r="EX27">
        <v>772</v>
      </c>
      <c r="EY27">
        <v>3651</v>
      </c>
      <c r="EZ27">
        <v>780</v>
      </c>
      <c r="FA27">
        <v>3761</v>
      </c>
      <c r="FB27">
        <v>338</v>
      </c>
      <c r="FC27">
        <v>2533</v>
      </c>
      <c r="FD27">
        <v>23557</v>
      </c>
      <c r="FE27">
        <v>1962</v>
      </c>
      <c r="FF27">
        <v>21636</v>
      </c>
      <c r="FG27">
        <v>848</v>
      </c>
      <c r="FH27">
        <v>20998</v>
      </c>
      <c r="FI27">
        <v>1334</v>
      </c>
      <c r="FJ27">
        <v>34470</v>
      </c>
      <c r="FK27">
        <v>1760</v>
      </c>
      <c r="FL27">
        <v>222849</v>
      </c>
    </row>
    <row r="28" spans="1:168" x14ac:dyDescent="0.4">
      <c r="A28" s="1" t="s">
        <v>44</v>
      </c>
      <c r="B28" s="1" t="s">
        <v>45</v>
      </c>
      <c r="C28">
        <v>4647</v>
      </c>
      <c r="D28">
        <v>607</v>
      </c>
      <c r="E28">
        <v>10213</v>
      </c>
      <c r="F28">
        <v>1632</v>
      </c>
      <c r="G28">
        <v>156488</v>
      </c>
      <c r="H28">
        <v>2319</v>
      </c>
      <c r="I28">
        <v>288781</v>
      </c>
      <c r="J28">
        <v>837</v>
      </c>
      <c r="K28">
        <v>354826</v>
      </c>
      <c r="L28">
        <v>860</v>
      </c>
      <c r="M28">
        <v>300786</v>
      </c>
      <c r="N28">
        <v>281976</v>
      </c>
      <c r="O28">
        <v>3435</v>
      </c>
      <c r="P28">
        <v>135318</v>
      </c>
      <c r="Q28">
        <v>3279</v>
      </c>
      <c r="R28">
        <v>406775</v>
      </c>
      <c r="S28">
        <v>53124</v>
      </c>
      <c r="T28">
        <v>284</v>
      </c>
      <c r="U28">
        <v>157250</v>
      </c>
      <c r="V28">
        <v>1050</v>
      </c>
      <c r="W28">
        <v>278310</v>
      </c>
      <c r="X28">
        <v>43669</v>
      </c>
      <c r="Y28">
        <v>1492</v>
      </c>
      <c r="Z28">
        <v>62822</v>
      </c>
      <c r="AA28">
        <v>1797</v>
      </c>
      <c r="AB28">
        <v>142704</v>
      </c>
      <c r="AC28">
        <v>121250</v>
      </c>
      <c r="AD28">
        <v>5097</v>
      </c>
      <c r="AE28">
        <v>176677</v>
      </c>
      <c r="AF28">
        <v>8460</v>
      </c>
      <c r="AG28">
        <v>246129</v>
      </c>
      <c r="AH28">
        <v>18328</v>
      </c>
      <c r="AI28">
        <v>25033</v>
      </c>
      <c r="AJ28">
        <v>16207</v>
      </c>
      <c r="AK28">
        <v>22202</v>
      </c>
      <c r="AL28">
        <v>12318</v>
      </c>
      <c r="AM28">
        <v>648684</v>
      </c>
      <c r="AN28">
        <v>4390</v>
      </c>
      <c r="AO28">
        <v>683776</v>
      </c>
      <c r="AP28">
        <v>5645</v>
      </c>
      <c r="AQ28">
        <v>447232</v>
      </c>
      <c r="AR28">
        <v>276882</v>
      </c>
      <c r="AS28">
        <v>481</v>
      </c>
      <c r="AT28">
        <v>328258</v>
      </c>
      <c r="AU28">
        <v>795</v>
      </c>
      <c r="AV28">
        <v>318081</v>
      </c>
      <c r="AW28">
        <v>392</v>
      </c>
      <c r="AX28">
        <v>235</v>
      </c>
      <c r="AY28">
        <v>22380</v>
      </c>
      <c r="AZ28">
        <v>723</v>
      </c>
      <c r="BA28">
        <v>34448</v>
      </c>
      <c r="BB28">
        <v>1481455</v>
      </c>
      <c r="BC28">
        <v>19402</v>
      </c>
      <c r="BD28">
        <v>1532434</v>
      </c>
      <c r="BE28">
        <v>14752</v>
      </c>
      <c r="BF28">
        <v>116188</v>
      </c>
      <c r="BG28">
        <v>23423</v>
      </c>
      <c r="BH28">
        <v>10476</v>
      </c>
      <c r="BI28">
        <v>26361</v>
      </c>
      <c r="BJ28">
        <v>13091</v>
      </c>
      <c r="BK28">
        <v>52133</v>
      </c>
      <c r="BL28" t="s">
        <v>73</v>
      </c>
      <c r="BM28" t="s">
        <v>73</v>
      </c>
      <c r="BN28" t="s">
        <v>73</v>
      </c>
      <c r="BO28" t="s">
        <v>73</v>
      </c>
      <c r="BP28" t="s">
        <v>73</v>
      </c>
      <c r="BQ28" t="s">
        <v>73</v>
      </c>
      <c r="BR28" t="s">
        <v>73</v>
      </c>
      <c r="BS28" t="s">
        <v>73</v>
      </c>
      <c r="BT28" t="s">
        <v>73</v>
      </c>
      <c r="BU28" t="s">
        <v>73</v>
      </c>
      <c r="BV28">
        <v>14550</v>
      </c>
      <c r="BW28">
        <v>6248</v>
      </c>
      <c r="BX28">
        <v>16323</v>
      </c>
      <c r="BY28">
        <v>6044</v>
      </c>
      <c r="BZ28">
        <v>21520</v>
      </c>
      <c r="CA28">
        <v>327093</v>
      </c>
      <c r="CB28">
        <v>4321</v>
      </c>
      <c r="CC28">
        <v>349453</v>
      </c>
      <c r="CD28">
        <v>4424</v>
      </c>
      <c r="CE28">
        <v>318104</v>
      </c>
      <c r="CF28">
        <v>415049</v>
      </c>
      <c r="CG28">
        <v>3028</v>
      </c>
      <c r="CH28">
        <v>446349</v>
      </c>
      <c r="CI28">
        <v>8292</v>
      </c>
      <c r="CJ28">
        <v>765434</v>
      </c>
      <c r="CK28">
        <v>77113</v>
      </c>
      <c r="CL28">
        <v>4679</v>
      </c>
      <c r="CM28">
        <v>140056</v>
      </c>
      <c r="CN28">
        <v>10651</v>
      </c>
      <c r="CO28">
        <v>101352</v>
      </c>
      <c r="CP28">
        <v>331696</v>
      </c>
      <c r="CQ28">
        <v>3641</v>
      </c>
      <c r="CR28">
        <v>322095</v>
      </c>
      <c r="CS28">
        <v>3132</v>
      </c>
      <c r="CT28">
        <v>598297</v>
      </c>
      <c r="CU28">
        <v>42306</v>
      </c>
      <c r="CV28">
        <v>7191</v>
      </c>
      <c r="CW28">
        <v>27659</v>
      </c>
      <c r="CX28">
        <v>3810</v>
      </c>
      <c r="CY28">
        <v>39324</v>
      </c>
      <c r="CZ28" t="s">
        <v>73</v>
      </c>
      <c r="DA28" t="s">
        <v>73</v>
      </c>
      <c r="DB28" t="s">
        <v>73</v>
      </c>
      <c r="DC28" t="s">
        <v>73</v>
      </c>
      <c r="DD28" t="s">
        <v>73</v>
      </c>
      <c r="DE28">
        <v>37361</v>
      </c>
      <c r="DF28">
        <v>5682</v>
      </c>
      <c r="DG28">
        <v>219071</v>
      </c>
      <c r="DH28">
        <v>36951</v>
      </c>
      <c r="DI28">
        <v>188313</v>
      </c>
      <c r="DJ28">
        <v>79696</v>
      </c>
      <c r="DK28">
        <v>2255</v>
      </c>
      <c r="DL28">
        <v>80999</v>
      </c>
      <c r="DM28">
        <v>939</v>
      </c>
      <c r="DN28">
        <v>129414</v>
      </c>
      <c r="DO28">
        <v>5242</v>
      </c>
      <c r="DP28">
        <v>1960</v>
      </c>
      <c r="DQ28">
        <v>4451</v>
      </c>
      <c r="DR28">
        <v>3003</v>
      </c>
      <c r="DS28">
        <v>6464</v>
      </c>
      <c r="DT28">
        <v>6533</v>
      </c>
      <c r="DU28">
        <v>364</v>
      </c>
      <c r="DV28">
        <v>294</v>
      </c>
      <c r="DW28">
        <v>21</v>
      </c>
      <c r="DX28">
        <v>5392</v>
      </c>
      <c r="DY28">
        <v>78412</v>
      </c>
      <c r="DZ28">
        <v>9704</v>
      </c>
      <c r="EA28">
        <v>83158</v>
      </c>
      <c r="EB28">
        <v>15350</v>
      </c>
      <c r="EC28">
        <v>59361</v>
      </c>
      <c r="ED28">
        <v>43141</v>
      </c>
      <c r="EE28">
        <v>40445</v>
      </c>
      <c r="EF28">
        <v>48376</v>
      </c>
      <c r="EG28">
        <v>49331</v>
      </c>
      <c r="EH28">
        <v>52652</v>
      </c>
      <c r="EI28" t="s">
        <v>73</v>
      </c>
      <c r="EJ28" t="s">
        <v>73</v>
      </c>
      <c r="EK28" t="s">
        <v>73</v>
      </c>
      <c r="EL28" t="s">
        <v>73</v>
      </c>
      <c r="EM28" t="s">
        <v>73</v>
      </c>
      <c r="EN28">
        <v>100192</v>
      </c>
      <c r="EO28">
        <v>44779</v>
      </c>
      <c r="EP28">
        <v>110900</v>
      </c>
      <c r="EQ28">
        <v>37324</v>
      </c>
      <c r="ER28">
        <v>104156</v>
      </c>
      <c r="ES28">
        <v>1857</v>
      </c>
      <c r="ET28">
        <v>4579</v>
      </c>
      <c r="EU28">
        <v>1712</v>
      </c>
      <c r="EV28">
        <v>4229</v>
      </c>
      <c r="EW28">
        <v>2342</v>
      </c>
      <c r="EX28">
        <v>391</v>
      </c>
      <c r="EY28">
        <v>2824</v>
      </c>
      <c r="EZ28">
        <v>453</v>
      </c>
      <c r="FA28">
        <v>2975</v>
      </c>
      <c r="FB28">
        <v>272</v>
      </c>
      <c r="FC28">
        <v>2785</v>
      </c>
      <c r="FD28">
        <v>22578</v>
      </c>
      <c r="FE28">
        <v>2802</v>
      </c>
      <c r="FF28">
        <v>21982</v>
      </c>
      <c r="FG28">
        <v>520</v>
      </c>
      <c r="FH28">
        <v>22684</v>
      </c>
      <c r="FI28">
        <v>1506</v>
      </c>
      <c r="FJ28">
        <v>35629</v>
      </c>
      <c r="FK28">
        <v>1860</v>
      </c>
      <c r="FL28">
        <v>224928</v>
      </c>
    </row>
    <row r="29" spans="1:168" x14ac:dyDescent="0.4">
      <c r="A29" s="1" t="s">
        <v>46</v>
      </c>
      <c r="B29" s="1" t="s">
        <v>47</v>
      </c>
      <c r="C29">
        <v>6538</v>
      </c>
      <c r="D29">
        <v>683</v>
      </c>
      <c r="E29">
        <v>12351</v>
      </c>
      <c r="F29">
        <v>1784</v>
      </c>
      <c r="G29">
        <v>175882</v>
      </c>
      <c r="H29">
        <v>2360</v>
      </c>
      <c r="I29">
        <v>270528</v>
      </c>
      <c r="J29">
        <v>892</v>
      </c>
      <c r="K29">
        <v>354036</v>
      </c>
      <c r="L29">
        <v>841</v>
      </c>
      <c r="M29">
        <v>289552</v>
      </c>
      <c r="N29">
        <v>321075</v>
      </c>
      <c r="O29">
        <v>3926</v>
      </c>
      <c r="P29">
        <v>143013</v>
      </c>
      <c r="Q29">
        <v>3592</v>
      </c>
      <c r="R29">
        <v>416428</v>
      </c>
      <c r="S29">
        <v>61271</v>
      </c>
      <c r="T29">
        <v>326</v>
      </c>
      <c r="U29">
        <v>167483</v>
      </c>
      <c r="V29">
        <v>1053</v>
      </c>
      <c r="W29">
        <v>278179</v>
      </c>
      <c r="X29">
        <v>50913</v>
      </c>
      <c r="Y29">
        <v>1554</v>
      </c>
      <c r="Z29">
        <v>67660</v>
      </c>
      <c r="AA29">
        <v>1951</v>
      </c>
      <c r="AB29">
        <v>140091</v>
      </c>
      <c r="AC29">
        <v>139442</v>
      </c>
      <c r="AD29">
        <v>5920</v>
      </c>
      <c r="AE29">
        <v>204562</v>
      </c>
      <c r="AF29">
        <v>9831</v>
      </c>
      <c r="AG29">
        <v>235417</v>
      </c>
      <c r="AH29">
        <v>19346</v>
      </c>
      <c r="AI29">
        <v>27189</v>
      </c>
      <c r="AJ29">
        <v>19534</v>
      </c>
      <c r="AK29">
        <v>26836</v>
      </c>
      <c r="AL29">
        <v>12086</v>
      </c>
      <c r="AM29">
        <v>748530</v>
      </c>
      <c r="AN29">
        <v>4512</v>
      </c>
      <c r="AO29">
        <v>798602</v>
      </c>
      <c r="AP29">
        <v>5801</v>
      </c>
      <c r="AQ29">
        <v>410872</v>
      </c>
      <c r="AR29">
        <v>295494</v>
      </c>
      <c r="AS29">
        <v>559</v>
      </c>
      <c r="AT29">
        <v>361236</v>
      </c>
      <c r="AU29">
        <v>866</v>
      </c>
      <c r="AV29">
        <v>312814</v>
      </c>
      <c r="AW29">
        <v>200</v>
      </c>
      <c r="AX29">
        <v>225</v>
      </c>
      <c r="AY29">
        <v>21139</v>
      </c>
      <c r="AZ29">
        <v>668</v>
      </c>
      <c r="BA29">
        <v>32464</v>
      </c>
      <c r="BB29">
        <v>1504946</v>
      </c>
      <c r="BC29">
        <v>19745</v>
      </c>
      <c r="BD29">
        <v>1539628</v>
      </c>
      <c r="BE29">
        <v>15499</v>
      </c>
      <c r="BF29">
        <v>115745</v>
      </c>
      <c r="BG29">
        <v>26598</v>
      </c>
      <c r="BH29">
        <v>11267</v>
      </c>
      <c r="BI29">
        <v>36482</v>
      </c>
      <c r="BJ29">
        <v>16163</v>
      </c>
      <c r="BK29">
        <v>54477</v>
      </c>
      <c r="BL29" t="s">
        <v>73</v>
      </c>
      <c r="BM29" t="s">
        <v>73</v>
      </c>
      <c r="BN29" t="s">
        <v>73</v>
      </c>
      <c r="BO29" t="s">
        <v>73</v>
      </c>
      <c r="BP29" t="s">
        <v>73</v>
      </c>
      <c r="BQ29" t="s">
        <v>73</v>
      </c>
      <c r="BR29" t="s">
        <v>73</v>
      </c>
      <c r="BS29" t="s">
        <v>73</v>
      </c>
      <c r="BT29" t="s">
        <v>73</v>
      </c>
      <c r="BU29" t="s">
        <v>73</v>
      </c>
      <c r="BV29">
        <v>16218</v>
      </c>
      <c r="BW29">
        <v>6674</v>
      </c>
      <c r="BX29">
        <v>21900</v>
      </c>
      <c r="BY29">
        <v>6682</v>
      </c>
      <c r="BZ29">
        <v>21494</v>
      </c>
      <c r="CA29">
        <v>286965</v>
      </c>
      <c r="CB29">
        <v>3803</v>
      </c>
      <c r="CC29">
        <v>315362</v>
      </c>
      <c r="CD29">
        <v>5688</v>
      </c>
      <c r="CE29">
        <v>295077</v>
      </c>
      <c r="CF29">
        <v>436394</v>
      </c>
      <c r="CG29">
        <v>3370</v>
      </c>
      <c r="CH29">
        <v>517285</v>
      </c>
      <c r="CI29">
        <v>10701</v>
      </c>
      <c r="CJ29">
        <v>750009</v>
      </c>
      <c r="CK29">
        <v>74563</v>
      </c>
      <c r="CL29">
        <v>4522</v>
      </c>
      <c r="CM29">
        <v>135823</v>
      </c>
      <c r="CN29">
        <v>10775</v>
      </c>
      <c r="CO29">
        <v>95191</v>
      </c>
      <c r="CP29">
        <v>476908</v>
      </c>
      <c r="CQ29">
        <v>4774</v>
      </c>
      <c r="CR29">
        <v>441642</v>
      </c>
      <c r="CS29">
        <v>4232</v>
      </c>
      <c r="CT29">
        <v>548375</v>
      </c>
      <c r="CU29">
        <v>43334</v>
      </c>
      <c r="CV29">
        <v>7307</v>
      </c>
      <c r="CW29">
        <v>29285</v>
      </c>
      <c r="CX29">
        <v>3662</v>
      </c>
      <c r="CY29">
        <v>39115</v>
      </c>
      <c r="CZ29" t="s">
        <v>73</v>
      </c>
      <c r="DA29" t="s">
        <v>73</v>
      </c>
      <c r="DB29" t="s">
        <v>73</v>
      </c>
      <c r="DC29" t="s">
        <v>73</v>
      </c>
      <c r="DD29" t="s">
        <v>73</v>
      </c>
      <c r="DE29">
        <v>44010</v>
      </c>
      <c r="DF29">
        <v>6439</v>
      </c>
      <c r="DG29">
        <v>244560</v>
      </c>
      <c r="DH29">
        <v>39043</v>
      </c>
      <c r="DI29">
        <v>199483</v>
      </c>
      <c r="DJ29">
        <v>88407</v>
      </c>
      <c r="DK29">
        <v>2506</v>
      </c>
      <c r="DL29">
        <v>72585</v>
      </c>
      <c r="DM29">
        <v>796</v>
      </c>
      <c r="DN29">
        <v>126984</v>
      </c>
      <c r="DO29">
        <v>5783</v>
      </c>
      <c r="DP29">
        <v>2420</v>
      </c>
      <c r="DQ29">
        <v>5229</v>
      </c>
      <c r="DR29">
        <v>3220</v>
      </c>
      <c r="DS29">
        <v>6475</v>
      </c>
      <c r="DT29">
        <v>6661</v>
      </c>
      <c r="DU29">
        <v>412</v>
      </c>
      <c r="DV29">
        <v>355</v>
      </c>
      <c r="DW29">
        <v>25</v>
      </c>
      <c r="DX29">
        <v>5322</v>
      </c>
      <c r="DY29">
        <v>66818</v>
      </c>
      <c r="DZ29">
        <v>9856</v>
      </c>
      <c r="EA29">
        <v>70659</v>
      </c>
      <c r="EB29">
        <v>14491</v>
      </c>
      <c r="EC29">
        <v>60679</v>
      </c>
      <c r="ED29">
        <v>69143</v>
      </c>
      <c r="EE29">
        <v>73076</v>
      </c>
      <c r="EF29">
        <v>61971</v>
      </c>
      <c r="EG29">
        <v>63936</v>
      </c>
      <c r="EH29">
        <v>60305</v>
      </c>
      <c r="EI29" t="s">
        <v>73</v>
      </c>
      <c r="EJ29" t="s">
        <v>73</v>
      </c>
      <c r="EK29" t="s">
        <v>73</v>
      </c>
      <c r="EL29" t="s">
        <v>73</v>
      </c>
      <c r="EM29" t="s">
        <v>73</v>
      </c>
      <c r="EN29">
        <v>118117</v>
      </c>
      <c r="EO29">
        <v>49325</v>
      </c>
      <c r="EP29">
        <v>114663</v>
      </c>
      <c r="EQ29">
        <v>39828</v>
      </c>
      <c r="ER29">
        <v>112242</v>
      </c>
      <c r="ES29">
        <v>2260</v>
      </c>
      <c r="ET29">
        <v>5828</v>
      </c>
      <c r="EU29">
        <v>2282</v>
      </c>
      <c r="EV29">
        <v>5860</v>
      </c>
      <c r="EW29">
        <v>2304</v>
      </c>
      <c r="EX29">
        <v>493</v>
      </c>
      <c r="EY29">
        <v>3322</v>
      </c>
      <c r="EZ29">
        <v>497</v>
      </c>
      <c r="FA29">
        <v>3002</v>
      </c>
      <c r="FB29">
        <v>268</v>
      </c>
      <c r="FC29">
        <v>3367</v>
      </c>
      <c r="FD29">
        <v>24861</v>
      </c>
      <c r="FE29">
        <v>3024</v>
      </c>
      <c r="FF29">
        <v>23686</v>
      </c>
      <c r="FG29">
        <v>562</v>
      </c>
      <c r="FH29">
        <v>20469</v>
      </c>
      <c r="FI29">
        <v>1398</v>
      </c>
      <c r="FJ29">
        <v>41353</v>
      </c>
      <c r="FK29">
        <v>1967</v>
      </c>
      <c r="FL29">
        <v>219100</v>
      </c>
    </row>
    <row r="30" spans="1:168" x14ac:dyDescent="0.4">
      <c r="A30" s="1" t="s">
        <v>48</v>
      </c>
      <c r="B30" s="1" t="s">
        <v>49</v>
      </c>
      <c r="C30">
        <v>5547</v>
      </c>
      <c r="D30">
        <v>595</v>
      </c>
      <c r="E30">
        <v>13355</v>
      </c>
      <c r="F30">
        <v>1929</v>
      </c>
      <c r="G30">
        <v>188858</v>
      </c>
      <c r="H30">
        <v>2677</v>
      </c>
      <c r="I30">
        <v>254053</v>
      </c>
      <c r="J30">
        <v>755</v>
      </c>
      <c r="K30">
        <v>329350</v>
      </c>
      <c r="L30">
        <v>847</v>
      </c>
      <c r="M30">
        <v>286609</v>
      </c>
      <c r="N30">
        <v>324352</v>
      </c>
      <c r="O30">
        <v>4275</v>
      </c>
      <c r="P30">
        <v>142736</v>
      </c>
      <c r="Q30">
        <v>3681</v>
      </c>
      <c r="R30">
        <v>436040</v>
      </c>
      <c r="S30">
        <v>62068</v>
      </c>
      <c r="T30">
        <v>347</v>
      </c>
      <c r="U30">
        <v>165823</v>
      </c>
      <c r="V30">
        <v>1067</v>
      </c>
      <c r="W30">
        <v>276667</v>
      </c>
      <c r="X30">
        <v>54700</v>
      </c>
      <c r="Y30">
        <v>2224</v>
      </c>
      <c r="Z30">
        <v>68999</v>
      </c>
      <c r="AA30">
        <v>2407</v>
      </c>
      <c r="AB30">
        <v>141029</v>
      </c>
      <c r="AC30">
        <v>150350</v>
      </c>
      <c r="AD30">
        <v>6378</v>
      </c>
      <c r="AE30">
        <v>218235</v>
      </c>
      <c r="AF30">
        <v>10230</v>
      </c>
      <c r="AG30">
        <v>252350</v>
      </c>
      <c r="AH30">
        <v>20310</v>
      </c>
      <c r="AI30">
        <v>27388</v>
      </c>
      <c r="AJ30">
        <v>20691</v>
      </c>
      <c r="AK30">
        <v>27812</v>
      </c>
      <c r="AL30">
        <v>12492</v>
      </c>
      <c r="AM30">
        <v>772985</v>
      </c>
      <c r="AN30">
        <v>4891</v>
      </c>
      <c r="AO30">
        <v>782923</v>
      </c>
      <c r="AP30">
        <v>6154</v>
      </c>
      <c r="AQ30">
        <v>412012</v>
      </c>
      <c r="AR30">
        <v>302489</v>
      </c>
      <c r="AS30">
        <v>533</v>
      </c>
      <c r="AT30">
        <v>349178</v>
      </c>
      <c r="AU30">
        <v>877</v>
      </c>
      <c r="AV30">
        <v>331120</v>
      </c>
      <c r="AW30">
        <v>360</v>
      </c>
      <c r="AX30">
        <v>203</v>
      </c>
      <c r="AY30">
        <v>20656</v>
      </c>
      <c r="AZ30">
        <v>664</v>
      </c>
      <c r="BA30">
        <v>29626</v>
      </c>
      <c r="BB30">
        <v>1849421</v>
      </c>
      <c r="BC30">
        <v>24537</v>
      </c>
      <c r="BD30">
        <v>1832608</v>
      </c>
      <c r="BE30">
        <v>18425</v>
      </c>
      <c r="BF30">
        <v>117116</v>
      </c>
      <c r="BG30">
        <v>30354</v>
      </c>
      <c r="BH30">
        <v>11288</v>
      </c>
      <c r="BI30">
        <v>39427</v>
      </c>
      <c r="BJ30">
        <v>16516</v>
      </c>
      <c r="BK30">
        <v>50746</v>
      </c>
      <c r="BL30" t="s">
        <v>73</v>
      </c>
      <c r="BM30" t="s">
        <v>73</v>
      </c>
      <c r="BN30" t="s">
        <v>73</v>
      </c>
      <c r="BO30" t="s">
        <v>73</v>
      </c>
      <c r="BP30" t="s">
        <v>73</v>
      </c>
      <c r="BQ30" t="s">
        <v>73</v>
      </c>
      <c r="BR30" t="s">
        <v>73</v>
      </c>
      <c r="BS30" t="s">
        <v>73</v>
      </c>
      <c r="BT30" t="s">
        <v>73</v>
      </c>
      <c r="BU30" t="s">
        <v>73</v>
      </c>
      <c r="BV30">
        <v>16628</v>
      </c>
      <c r="BW30">
        <v>7746</v>
      </c>
      <c r="BX30">
        <v>17377</v>
      </c>
      <c r="BY30">
        <v>7145</v>
      </c>
      <c r="BZ30">
        <v>23804</v>
      </c>
      <c r="CA30">
        <v>387684</v>
      </c>
      <c r="CB30">
        <v>5206</v>
      </c>
      <c r="CC30">
        <v>366076</v>
      </c>
      <c r="CD30">
        <v>5145</v>
      </c>
      <c r="CE30">
        <v>319810</v>
      </c>
      <c r="CF30">
        <v>455886</v>
      </c>
      <c r="CG30">
        <v>3340</v>
      </c>
      <c r="CH30">
        <v>454319</v>
      </c>
      <c r="CI30">
        <v>7975</v>
      </c>
      <c r="CJ30">
        <v>775235</v>
      </c>
      <c r="CK30">
        <v>83741</v>
      </c>
      <c r="CL30">
        <v>5006</v>
      </c>
      <c r="CM30">
        <v>134304</v>
      </c>
      <c r="CN30">
        <v>11539</v>
      </c>
      <c r="CO30">
        <v>103869</v>
      </c>
      <c r="CP30">
        <v>501417</v>
      </c>
      <c r="CQ30">
        <v>5030</v>
      </c>
      <c r="CR30">
        <v>433961</v>
      </c>
      <c r="CS30">
        <v>4373</v>
      </c>
      <c r="CT30">
        <v>574405</v>
      </c>
      <c r="CU30">
        <v>46983</v>
      </c>
      <c r="CV30">
        <v>7886</v>
      </c>
      <c r="CW30">
        <v>31673</v>
      </c>
      <c r="CX30">
        <v>4650</v>
      </c>
      <c r="CY30">
        <v>39904</v>
      </c>
      <c r="CZ30" t="s">
        <v>73</v>
      </c>
      <c r="DA30" t="s">
        <v>73</v>
      </c>
      <c r="DB30" t="s">
        <v>73</v>
      </c>
      <c r="DC30" t="s">
        <v>73</v>
      </c>
      <c r="DD30" t="s">
        <v>73</v>
      </c>
      <c r="DE30">
        <v>47310</v>
      </c>
      <c r="DF30">
        <v>6859</v>
      </c>
      <c r="DG30">
        <v>292782</v>
      </c>
      <c r="DH30">
        <v>48248</v>
      </c>
      <c r="DI30">
        <v>176889</v>
      </c>
      <c r="DJ30">
        <v>98697</v>
      </c>
      <c r="DK30">
        <v>2661</v>
      </c>
      <c r="DL30">
        <v>88221</v>
      </c>
      <c r="DM30">
        <v>1000</v>
      </c>
      <c r="DN30">
        <v>133013</v>
      </c>
      <c r="DO30">
        <v>6473</v>
      </c>
      <c r="DP30">
        <v>2832</v>
      </c>
      <c r="DQ30">
        <v>5315</v>
      </c>
      <c r="DR30">
        <v>3328</v>
      </c>
      <c r="DS30">
        <v>6461</v>
      </c>
      <c r="DT30">
        <v>7175</v>
      </c>
      <c r="DU30">
        <v>435</v>
      </c>
      <c r="DV30">
        <v>226</v>
      </c>
      <c r="DW30">
        <v>16</v>
      </c>
      <c r="DX30">
        <v>5384</v>
      </c>
      <c r="DY30">
        <v>72536</v>
      </c>
      <c r="DZ30">
        <v>10647</v>
      </c>
      <c r="EA30">
        <v>74695</v>
      </c>
      <c r="EB30">
        <v>17421</v>
      </c>
      <c r="EC30">
        <v>65756</v>
      </c>
      <c r="ED30">
        <v>53939</v>
      </c>
      <c r="EE30">
        <v>41690</v>
      </c>
      <c r="EF30">
        <v>55460</v>
      </c>
      <c r="EG30">
        <v>50833</v>
      </c>
      <c r="EH30">
        <v>59976</v>
      </c>
      <c r="EI30" t="s">
        <v>73</v>
      </c>
      <c r="EJ30" t="s">
        <v>73</v>
      </c>
      <c r="EK30" t="s">
        <v>73</v>
      </c>
      <c r="EL30" t="s">
        <v>73</v>
      </c>
      <c r="EM30" t="s">
        <v>73</v>
      </c>
      <c r="EN30">
        <v>123686</v>
      </c>
      <c r="EO30">
        <v>54354</v>
      </c>
      <c r="EP30">
        <v>115839</v>
      </c>
      <c r="EQ30">
        <v>40468</v>
      </c>
      <c r="ER30">
        <v>118938</v>
      </c>
      <c r="ES30">
        <v>2697</v>
      </c>
      <c r="ET30">
        <v>6430</v>
      </c>
      <c r="EU30">
        <v>2662</v>
      </c>
      <c r="EV30">
        <v>6414</v>
      </c>
      <c r="EW30">
        <v>2337</v>
      </c>
      <c r="EX30">
        <v>536</v>
      </c>
      <c r="EY30">
        <v>3364</v>
      </c>
      <c r="EZ30">
        <v>536</v>
      </c>
      <c r="FA30">
        <v>3692</v>
      </c>
      <c r="FB30">
        <v>252</v>
      </c>
      <c r="FC30">
        <v>3841</v>
      </c>
      <c r="FD30">
        <v>27617</v>
      </c>
      <c r="FE30">
        <v>3476</v>
      </c>
      <c r="FF30">
        <v>26308</v>
      </c>
      <c r="FG30">
        <v>620</v>
      </c>
      <c r="FH30">
        <v>22007</v>
      </c>
      <c r="FI30">
        <v>1547</v>
      </c>
      <c r="FJ30">
        <v>43321</v>
      </c>
      <c r="FK30">
        <v>2137</v>
      </c>
      <c r="FL30">
        <v>221015</v>
      </c>
    </row>
    <row r="31" spans="1:168" x14ac:dyDescent="0.4">
      <c r="A31" s="1" t="s">
        <v>50</v>
      </c>
      <c r="B31" s="1" t="s">
        <v>51</v>
      </c>
      <c r="C31">
        <v>5204</v>
      </c>
      <c r="D31">
        <v>560</v>
      </c>
      <c r="E31">
        <v>8962</v>
      </c>
      <c r="F31">
        <v>1506</v>
      </c>
      <c r="G31">
        <v>145824</v>
      </c>
      <c r="H31">
        <v>2136</v>
      </c>
      <c r="I31">
        <v>173599</v>
      </c>
      <c r="J31">
        <v>621</v>
      </c>
      <c r="K31">
        <v>269119</v>
      </c>
      <c r="L31">
        <v>766</v>
      </c>
      <c r="M31">
        <v>264057</v>
      </c>
      <c r="N31">
        <v>252990</v>
      </c>
      <c r="O31">
        <v>2904</v>
      </c>
      <c r="P31">
        <v>134327</v>
      </c>
      <c r="Q31">
        <v>3406</v>
      </c>
      <c r="R31">
        <v>410713</v>
      </c>
      <c r="S31">
        <v>55683</v>
      </c>
      <c r="T31">
        <v>303</v>
      </c>
      <c r="U31">
        <v>167824</v>
      </c>
      <c r="V31">
        <v>1068</v>
      </c>
      <c r="W31">
        <v>261618</v>
      </c>
      <c r="X31">
        <v>40410</v>
      </c>
      <c r="Y31">
        <v>1514</v>
      </c>
      <c r="Z31">
        <v>56120</v>
      </c>
      <c r="AA31">
        <v>1860</v>
      </c>
      <c r="AB31">
        <v>136140</v>
      </c>
      <c r="AC31">
        <v>123821</v>
      </c>
      <c r="AD31">
        <v>4945</v>
      </c>
      <c r="AE31">
        <v>189965</v>
      </c>
      <c r="AF31">
        <v>8716</v>
      </c>
      <c r="AG31">
        <v>255236</v>
      </c>
      <c r="AH31">
        <v>17456</v>
      </c>
      <c r="AI31">
        <v>24687</v>
      </c>
      <c r="AJ31">
        <v>19184</v>
      </c>
      <c r="AK31">
        <v>25527</v>
      </c>
      <c r="AL31">
        <v>11908</v>
      </c>
      <c r="AM31">
        <v>830788</v>
      </c>
      <c r="AN31">
        <v>4124</v>
      </c>
      <c r="AO31">
        <v>847897</v>
      </c>
      <c r="AP31">
        <v>5742</v>
      </c>
      <c r="AQ31">
        <v>420904</v>
      </c>
      <c r="AR31">
        <v>273282</v>
      </c>
      <c r="AS31">
        <v>472</v>
      </c>
      <c r="AT31">
        <v>341741</v>
      </c>
      <c r="AU31">
        <v>806</v>
      </c>
      <c r="AV31">
        <v>322083</v>
      </c>
      <c r="AW31">
        <v>387</v>
      </c>
      <c r="AX31">
        <v>152</v>
      </c>
      <c r="AY31">
        <v>17335</v>
      </c>
      <c r="AZ31">
        <v>574</v>
      </c>
      <c r="BA31">
        <v>31745</v>
      </c>
      <c r="BB31">
        <v>1467373</v>
      </c>
      <c r="BC31">
        <v>20779</v>
      </c>
      <c r="BD31">
        <v>1419075</v>
      </c>
      <c r="BE31">
        <v>15687</v>
      </c>
      <c r="BF31">
        <v>107768</v>
      </c>
      <c r="BG31">
        <v>30852</v>
      </c>
      <c r="BH31">
        <v>11747</v>
      </c>
      <c r="BI31">
        <v>39159</v>
      </c>
      <c r="BJ31">
        <v>16790</v>
      </c>
      <c r="BK31">
        <v>50735</v>
      </c>
      <c r="BL31" t="s">
        <v>73</v>
      </c>
      <c r="BM31" t="s">
        <v>73</v>
      </c>
      <c r="BN31" t="s">
        <v>73</v>
      </c>
      <c r="BO31" t="s">
        <v>73</v>
      </c>
      <c r="BP31" t="s">
        <v>73</v>
      </c>
      <c r="BQ31" t="s">
        <v>73</v>
      </c>
      <c r="BR31" t="s">
        <v>73</v>
      </c>
      <c r="BS31" t="s">
        <v>73</v>
      </c>
      <c r="BT31" t="s">
        <v>73</v>
      </c>
      <c r="BU31" t="s">
        <v>73</v>
      </c>
      <c r="BV31">
        <v>13609</v>
      </c>
      <c r="BW31">
        <v>6078</v>
      </c>
      <c r="BX31">
        <v>15653</v>
      </c>
      <c r="BY31">
        <v>6730</v>
      </c>
      <c r="BZ31">
        <v>25143</v>
      </c>
      <c r="CA31">
        <v>347383</v>
      </c>
      <c r="CB31">
        <v>4501</v>
      </c>
      <c r="CC31">
        <v>349363</v>
      </c>
      <c r="CD31">
        <v>4796</v>
      </c>
      <c r="CE31">
        <v>322081</v>
      </c>
      <c r="CF31">
        <v>390543</v>
      </c>
      <c r="CG31">
        <v>2775</v>
      </c>
      <c r="CH31">
        <v>468361</v>
      </c>
      <c r="CI31">
        <v>9554</v>
      </c>
      <c r="CJ31">
        <v>784045</v>
      </c>
      <c r="CK31">
        <v>75097</v>
      </c>
      <c r="CL31">
        <v>4606</v>
      </c>
      <c r="CM31">
        <v>138730</v>
      </c>
      <c r="CN31">
        <v>12495</v>
      </c>
      <c r="CO31">
        <v>105978</v>
      </c>
      <c r="CP31">
        <v>471660</v>
      </c>
      <c r="CQ31">
        <v>4541</v>
      </c>
      <c r="CR31">
        <v>430469</v>
      </c>
      <c r="CS31">
        <v>4200</v>
      </c>
      <c r="CT31">
        <v>591143</v>
      </c>
      <c r="CU31">
        <v>39612</v>
      </c>
      <c r="CV31">
        <v>6217</v>
      </c>
      <c r="CW31">
        <v>28191</v>
      </c>
      <c r="CX31">
        <v>3957</v>
      </c>
      <c r="CY31">
        <v>38795</v>
      </c>
      <c r="CZ31" t="s">
        <v>73</v>
      </c>
      <c r="DA31" t="s">
        <v>73</v>
      </c>
      <c r="DB31" t="s">
        <v>73</v>
      </c>
      <c r="DC31" t="s">
        <v>73</v>
      </c>
      <c r="DD31" t="s">
        <v>73</v>
      </c>
      <c r="DE31">
        <v>38913</v>
      </c>
      <c r="DF31">
        <v>5623</v>
      </c>
      <c r="DG31">
        <v>238961</v>
      </c>
      <c r="DH31">
        <v>37504</v>
      </c>
      <c r="DI31">
        <v>186671</v>
      </c>
      <c r="DJ31">
        <v>84751</v>
      </c>
      <c r="DK31">
        <v>2302</v>
      </c>
      <c r="DL31">
        <v>93348</v>
      </c>
      <c r="DM31">
        <v>1134</v>
      </c>
      <c r="DN31">
        <v>133006</v>
      </c>
      <c r="DO31">
        <v>5871</v>
      </c>
      <c r="DP31">
        <v>2219</v>
      </c>
      <c r="DQ31">
        <v>5172</v>
      </c>
      <c r="DR31">
        <v>3167</v>
      </c>
      <c r="DS31">
        <v>6240</v>
      </c>
      <c r="DT31">
        <v>6869</v>
      </c>
      <c r="DU31">
        <v>394</v>
      </c>
      <c r="DV31">
        <v>355</v>
      </c>
      <c r="DW31">
        <v>17</v>
      </c>
      <c r="DX31">
        <v>5359</v>
      </c>
      <c r="DY31">
        <v>61828</v>
      </c>
      <c r="DZ31">
        <v>8963</v>
      </c>
      <c r="EA31">
        <v>70576</v>
      </c>
      <c r="EB31">
        <v>15970</v>
      </c>
      <c r="EC31">
        <v>64535</v>
      </c>
      <c r="ED31">
        <v>44819</v>
      </c>
      <c r="EE31">
        <v>51852</v>
      </c>
      <c r="EF31">
        <v>53282</v>
      </c>
      <c r="EG31">
        <v>55494</v>
      </c>
      <c r="EH31">
        <v>51358</v>
      </c>
      <c r="EI31" t="s">
        <v>73</v>
      </c>
      <c r="EJ31" t="s">
        <v>73</v>
      </c>
      <c r="EK31" t="s">
        <v>73</v>
      </c>
      <c r="EL31" t="s">
        <v>73</v>
      </c>
      <c r="EM31" t="s">
        <v>73</v>
      </c>
      <c r="EN31">
        <v>99133</v>
      </c>
      <c r="EO31">
        <v>41068</v>
      </c>
      <c r="EP31">
        <v>100962</v>
      </c>
      <c r="EQ31">
        <v>36065</v>
      </c>
      <c r="ER31">
        <v>121206</v>
      </c>
      <c r="ES31">
        <v>1937</v>
      </c>
      <c r="ET31">
        <v>4461</v>
      </c>
      <c r="EU31">
        <v>2047</v>
      </c>
      <c r="EV31">
        <v>4841</v>
      </c>
      <c r="EW31">
        <v>2223</v>
      </c>
      <c r="EX31">
        <v>544</v>
      </c>
      <c r="EY31">
        <v>4233</v>
      </c>
      <c r="EZ31">
        <v>555</v>
      </c>
      <c r="FA31">
        <v>4349</v>
      </c>
      <c r="FB31">
        <v>240</v>
      </c>
      <c r="FC31">
        <v>3148</v>
      </c>
      <c r="FD31">
        <v>25164</v>
      </c>
      <c r="FE31">
        <v>2820</v>
      </c>
      <c r="FF31">
        <v>23512</v>
      </c>
      <c r="FG31">
        <v>652</v>
      </c>
      <c r="FH31">
        <v>17092</v>
      </c>
      <c r="FI31">
        <v>1308</v>
      </c>
      <c r="FJ31">
        <v>37143</v>
      </c>
      <c r="FK31">
        <v>1622</v>
      </c>
      <c r="FL31">
        <v>219902</v>
      </c>
    </row>
    <row r="32" spans="1:168" x14ac:dyDescent="0.4">
      <c r="A32" s="1" t="s">
        <v>52</v>
      </c>
      <c r="B32" s="1" t="s">
        <v>53</v>
      </c>
      <c r="C32">
        <v>4947</v>
      </c>
      <c r="D32">
        <v>556</v>
      </c>
      <c r="E32">
        <v>12672</v>
      </c>
      <c r="F32">
        <v>1962</v>
      </c>
      <c r="G32">
        <v>174481</v>
      </c>
      <c r="H32">
        <v>2613</v>
      </c>
      <c r="I32">
        <v>207605</v>
      </c>
      <c r="J32">
        <v>807</v>
      </c>
      <c r="K32">
        <v>283878</v>
      </c>
      <c r="L32">
        <v>900</v>
      </c>
      <c r="M32">
        <v>260491</v>
      </c>
      <c r="N32">
        <v>318401</v>
      </c>
      <c r="O32">
        <v>4549</v>
      </c>
      <c r="P32">
        <v>132728</v>
      </c>
      <c r="Q32">
        <v>3420</v>
      </c>
      <c r="R32">
        <v>427099</v>
      </c>
      <c r="S32">
        <v>61903</v>
      </c>
      <c r="T32">
        <v>307</v>
      </c>
      <c r="U32">
        <v>158487</v>
      </c>
      <c r="V32">
        <v>1056</v>
      </c>
      <c r="W32">
        <v>265791</v>
      </c>
      <c r="X32">
        <v>55381</v>
      </c>
      <c r="Y32">
        <v>1612</v>
      </c>
      <c r="Z32">
        <v>54147</v>
      </c>
      <c r="AA32">
        <v>1962</v>
      </c>
      <c r="AB32">
        <v>148038</v>
      </c>
      <c r="AC32">
        <v>167472</v>
      </c>
      <c r="AD32">
        <v>6650</v>
      </c>
      <c r="AE32">
        <v>203565</v>
      </c>
      <c r="AF32">
        <v>9534</v>
      </c>
      <c r="AG32">
        <v>269633</v>
      </c>
      <c r="AH32">
        <v>20417</v>
      </c>
      <c r="AI32">
        <v>27545</v>
      </c>
      <c r="AJ32">
        <v>16866</v>
      </c>
      <c r="AK32">
        <v>25351</v>
      </c>
      <c r="AL32">
        <v>15157</v>
      </c>
      <c r="AM32">
        <v>831626</v>
      </c>
      <c r="AN32">
        <v>4714</v>
      </c>
      <c r="AO32">
        <v>746318</v>
      </c>
      <c r="AP32">
        <v>5794</v>
      </c>
      <c r="AQ32">
        <v>522572</v>
      </c>
      <c r="AR32">
        <v>287135</v>
      </c>
      <c r="AS32">
        <v>625</v>
      </c>
      <c r="AT32">
        <v>340522</v>
      </c>
      <c r="AU32">
        <v>943</v>
      </c>
      <c r="AV32">
        <v>341571</v>
      </c>
      <c r="AW32">
        <v>607</v>
      </c>
      <c r="AX32">
        <v>223</v>
      </c>
      <c r="AY32">
        <v>16338</v>
      </c>
      <c r="AZ32">
        <v>616</v>
      </c>
      <c r="BA32">
        <v>35521</v>
      </c>
      <c r="BB32">
        <v>1706216</v>
      </c>
      <c r="BC32">
        <v>24640</v>
      </c>
      <c r="BD32">
        <v>1693959</v>
      </c>
      <c r="BE32">
        <v>19388</v>
      </c>
      <c r="BF32">
        <v>108818</v>
      </c>
      <c r="BG32">
        <v>38898</v>
      </c>
      <c r="BH32">
        <v>16455</v>
      </c>
      <c r="BI32">
        <v>47909</v>
      </c>
      <c r="BJ32">
        <v>23020</v>
      </c>
      <c r="BK32">
        <v>46090</v>
      </c>
      <c r="BL32" t="s">
        <v>73</v>
      </c>
      <c r="BM32" t="s">
        <v>73</v>
      </c>
      <c r="BN32" t="s">
        <v>73</v>
      </c>
      <c r="BO32" t="s">
        <v>73</v>
      </c>
      <c r="BP32" t="s">
        <v>73</v>
      </c>
      <c r="BQ32" t="s">
        <v>73</v>
      </c>
      <c r="BR32" t="s">
        <v>73</v>
      </c>
      <c r="BS32" t="s">
        <v>73</v>
      </c>
      <c r="BT32" t="s">
        <v>73</v>
      </c>
      <c r="BU32" t="s">
        <v>73</v>
      </c>
      <c r="BV32">
        <v>17328</v>
      </c>
      <c r="BW32">
        <v>8162</v>
      </c>
      <c r="BX32">
        <v>20886</v>
      </c>
      <c r="BY32">
        <v>7895</v>
      </c>
      <c r="BZ32">
        <v>27725</v>
      </c>
      <c r="CA32">
        <v>365657</v>
      </c>
      <c r="CB32">
        <v>5166</v>
      </c>
      <c r="CC32">
        <v>363486</v>
      </c>
      <c r="CD32">
        <v>5842</v>
      </c>
      <c r="CE32">
        <v>332931</v>
      </c>
      <c r="CF32">
        <v>405962</v>
      </c>
      <c r="CG32">
        <v>2941</v>
      </c>
      <c r="CH32">
        <v>545531</v>
      </c>
      <c r="CI32">
        <v>11871</v>
      </c>
      <c r="CJ32">
        <v>791813</v>
      </c>
      <c r="CK32">
        <v>71802</v>
      </c>
      <c r="CL32">
        <v>4796</v>
      </c>
      <c r="CM32">
        <v>163553</v>
      </c>
      <c r="CN32">
        <v>12580</v>
      </c>
      <c r="CO32">
        <v>107381</v>
      </c>
      <c r="CP32">
        <v>524271</v>
      </c>
      <c r="CQ32">
        <v>4980</v>
      </c>
      <c r="CR32">
        <v>470214</v>
      </c>
      <c r="CS32">
        <v>4722</v>
      </c>
      <c r="CT32">
        <v>623603</v>
      </c>
      <c r="CU32">
        <v>43951</v>
      </c>
      <c r="CV32">
        <v>6851</v>
      </c>
      <c r="CW32">
        <v>31528</v>
      </c>
      <c r="CX32">
        <v>3981</v>
      </c>
      <c r="CY32">
        <v>39404</v>
      </c>
      <c r="CZ32" t="s">
        <v>73</v>
      </c>
      <c r="DA32" t="s">
        <v>73</v>
      </c>
      <c r="DB32" t="s">
        <v>73</v>
      </c>
      <c r="DC32" t="s">
        <v>73</v>
      </c>
      <c r="DD32" t="s">
        <v>73</v>
      </c>
      <c r="DE32">
        <v>44438</v>
      </c>
      <c r="DF32">
        <v>6346</v>
      </c>
      <c r="DG32">
        <v>215412</v>
      </c>
      <c r="DH32">
        <v>33233</v>
      </c>
      <c r="DI32">
        <v>203648</v>
      </c>
      <c r="DJ32">
        <v>82034</v>
      </c>
      <c r="DK32">
        <v>2536</v>
      </c>
      <c r="DL32">
        <v>107480</v>
      </c>
      <c r="DM32">
        <v>1292</v>
      </c>
      <c r="DN32">
        <v>135356</v>
      </c>
      <c r="DO32">
        <v>7181</v>
      </c>
      <c r="DP32">
        <v>2982</v>
      </c>
      <c r="DQ32">
        <v>6934</v>
      </c>
      <c r="DR32">
        <v>3196</v>
      </c>
      <c r="DS32">
        <v>6318</v>
      </c>
      <c r="DT32">
        <v>6683</v>
      </c>
      <c r="DU32">
        <v>435</v>
      </c>
      <c r="DV32">
        <v>226</v>
      </c>
      <c r="DW32">
        <v>15</v>
      </c>
      <c r="DX32">
        <v>5213</v>
      </c>
      <c r="DY32">
        <v>63812</v>
      </c>
      <c r="DZ32">
        <v>9555</v>
      </c>
      <c r="EA32">
        <v>74474</v>
      </c>
      <c r="EB32">
        <v>15228</v>
      </c>
      <c r="EC32">
        <v>61325</v>
      </c>
      <c r="ED32">
        <v>54333</v>
      </c>
      <c r="EE32">
        <v>77428</v>
      </c>
      <c r="EF32">
        <v>54697</v>
      </c>
      <c r="EG32">
        <v>79492</v>
      </c>
      <c r="EH32">
        <v>50884</v>
      </c>
      <c r="EI32" t="s">
        <v>73</v>
      </c>
      <c r="EJ32" t="s">
        <v>73</v>
      </c>
      <c r="EK32" t="s">
        <v>73</v>
      </c>
      <c r="EL32" t="s">
        <v>73</v>
      </c>
      <c r="EM32" t="s">
        <v>73</v>
      </c>
      <c r="EN32">
        <v>119300</v>
      </c>
      <c r="EO32">
        <v>51498</v>
      </c>
      <c r="EP32">
        <v>110453</v>
      </c>
      <c r="EQ32">
        <v>39639</v>
      </c>
      <c r="ER32">
        <v>131262</v>
      </c>
      <c r="ES32">
        <v>1867</v>
      </c>
      <c r="ET32">
        <v>4587</v>
      </c>
      <c r="EU32">
        <v>2019</v>
      </c>
      <c r="EV32">
        <v>5115</v>
      </c>
      <c r="EW32">
        <v>2061</v>
      </c>
      <c r="EX32">
        <v>875</v>
      </c>
      <c r="EY32">
        <v>5887</v>
      </c>
      <c r="EZ32">
        <v>633</v>
      </c>
      <c r="FA32">
        <v>4450</v>
      </c>
      <c r="FB32">
        <v>479</v>
      </c>
      <c r="FC32">
        <v>3449</v>
      </c>
      <c r="FD32">
        <v>27055</v>
      </c>
      <c r="FE32">
        <v>3025</v>
      </c>
      <c r="FF32">
        <v>25913</v>
      </c>
      <c r="FG32">
        <v>797</v>
      </c>
      <c r="FH32">
        <v>17251</v>
      </c>
      <c r="FI32">
        <v>1358</v>
      </c>
      <c r="FJ32">
        <v>55114</v>
      </c>
      <c r="FK32">
        <v>2274</v>
      </c>
      <c r="FL32">
        <v>209441</v>
      </c>
    </row>
    <row r="33" spans="1:168" x14ac:dyDescent="0.4">
      <c r="A33" s="1" t="s">
        <v>54</v>
      </c>
      <c r="B33" s="1" t="s">
        <v>55</v>
      </c>
      <c r="C33">
        <v>8201</v>
      </c>
      <c r="D33">
        <v>623</v>
      </c>
      <c r="E33">
        <v>14129</v>
      </c>
      <c r="F33">
        <v>1919</v>
      </c>
      <c r="G33">
        <v>202958</v>
      </c>
      <c r="H33">
        <v>3234</v>
      </c>
      <c r="I33">
        <v>224819</v>
      </c>
      <c r="J33">
        <v>710</v>
      </c>
      <c r="K33">
        <v>294615</v>
      </c>
      <c r="L33">
        <v>773</v>
      </c>
      <c r="M33">
        <v>261993</v>
      </c>
      <c r="N33">
        <v>324180</v>
      </c>
      <c r="O33">
        <v>3957</v>
      </c>
      <c r="P33">
        <v>140471</v>
      </c>
      <c r="Q33">
        <v>3661</v>
      </c>
      <c r="R33">
        <v>437268</v>
      </c>
      <c r="S33">
        <v>57217</v>
      </c>
      <c r="T33">
        <v>278</v>
      </c>
      <c r="U33">
        <v>155189</v>
      </c>
      <c r="V33">
        <v>1041</v>
      </c>
      <c r="W33">
        <v>236571</v>
      </c>
      <c r="X33">
        <v>47088</v>
      </c>
      <c r="Y33">
        <v>1440</v>
      </c>
      <c r="Z33">
        <v>68852</v>
      </c>
      <c r="AA33">
        <v>2136</v>
      </c>
      <c r="AB33">
        <v>123875</v>
      </c>
      <c r="AC33">
        <v>152709</v>
      </c>
      <c r="AD33">
        <v>6182</v>
      </c>
      <c r="AE33">
        <v>221737</v>
      </c>
      <c r="AF33">
        <v>10499</v>
      </c>
      <c r="AG33">
        <v>339617</v>
      </c>
      <c r="AH33">
        <v>17683</v>
      </c>
      <c r="AI33">
        <v>25142</v>
      </c>
      <c r="AJ33">
        <v>22023</v>
      </c>
      <c r="AK33">
        <v>29132</v>
      </c>
      <c r="AL33">
        <v>10463</v>
      </c>
      <c r="AM33">
        <v>848177</v>
      </c>
      <c r="AN33">
        <v>4707</v>
      </c>
      <c r="AO33">
        <v>845224</v>
      </c>
      <c r="AP33">
        <v>6215</v>
      </c>
      <c r="AQ33">
        <v>540435</v>
      </c>
      <c r="AR33">
        <v>251305</v>
      </c>
      <c r="AS33">
        <v>598</v>
      </c>
      <c r="AT33">
        <v>324658</v>
      </c>
      <c r="AU33">
        <v>941</v>
      </c>
      <c r="AV33">
        <v>330107</v>
      </c>
      <c r="AW33">
        <v>754</v>
      </c>
      <c r="AX33">
        <v>231</v>
      </c>
      <c r="AY33">
        <v>23141</v>
      </c>
      <c r="AZ33">
        <v>771</v>
      </c>
      <c r="BA33">
        <v>30497</v>
      </c>
      <c r="BB33">
        <v>1697495</v>
      </c>
      <c r="BC33">
        <v>23846</v>
      </c>
      <c r="BD33">
        <v>1683913</v>
      </c>
      <c r="BE33">
        <v>18611</v>
      </c>
      <c r="BF33">
        <v>107097</v>
      </c>
      <c r="BG33">
        <v>38728</v>
      </c>
      <c r="BH33">
        <v>14524</v>
      </c>
      <c r="BI33">
        <v>43980</v>
      </c>
      <c r="BJ33">
        <v>19465</v>
      </c>
      <c r="BK33">
        <v>48914</v>
      </c>
      <c r="BL33" t="s">
        <v>73</v>
      </c>
      <c r="BM33" t="s">
        <v>73</v>
      </c>
      <c r="BN33" t="s">
        <v>73</v>
      </c>
      <c r="BO33" t="s">
        <v>73</v>
      </c>
      <c r="BP33" t="s">
        <v>73</v>
      </c>
      <c r="BQ33" t="s">
        <v>73</v>
      </c>
      <c r="BR33" t="s">
        <v>73</v>
      </c>
      <c r="BS33" t="s">
        <v>73</v>
      </c>
      <c r="BT33" t="s">
        <v>73</v>
      </c>
      <c r="BU33" t="s">
        <v>73</v>
      </c>
      <c r="BV33">
        <v>18133</v>
      </c>
      <c r="BW33">
        <v>7832</v>
      </c>
      <c r="BX33">
        <v>17914</v>
      </c>
      <c r="BY33">
        <v>7126</v>
      </c>
      <c r="BZ33">
        <v>26716</v>
      </c>
      <c r="CA33">
        <v>370206</v>
      </c>
      <c r="CB33">
        <v>4611</v>
      </c>
      <c r="CC33">
        <v>342481</v>
      </c>
      <c r="CD33">
        <v>4220</v>
      </c>
      <c r="CE33">
        <v>364717</v>
      </c>
      <c r="CF33">
        <v>450501</v>
      </c>
      <c r="CG33">
        <v>3395</v>
      </c>
      <c r="CH33">
        <v>476512</v>
      </c>
      <c r="CI33">
        <v>8977</v>
      </c>
      <c r="CJ33">
        <v>808537</v>
      </c>
      <c r="CK33">
        <v>79442</v>
      </c>
      <c r="CL33">
        <v>4921</v>
      </c>
      <c r="CM33">
        <v>151420</v>
      </c>
      <c r="CN33">
        <v>11776</v>
      </c>
      <c r="CO33">
        <v>106988</v>
      </c>
      <c r="CP33">
        <v>441585</v>
      </c>
      <c r="CQ33">
        <v>4605</v>
      </c>
      <c r="CR33">
        <v>407148</v>
      </c>
      <c r="CS33">
        <v>4301</v>
      </c>
      <c r="CT33">
        <v>646976</v>
      </c>
      <c r="CU33">
        <v>44074</v>
      </c>
      <c r="CV33">
        <v>7104</v>
      </c>
      <c r="CW33">
        <v>31912</v>
      </c>
      <c r="CX33">
        <v>4425</v>
      </c>
      <c r="CY33">
        <v>38804</v>
      </c>
      <c r="CZ33" t="s">
        <v>73</v>
      </c>
      <c r="DA33" t="s">
        <v>73</v>
      </c>
      <c r="DB33" t="s">
        <v>73</v>
      </c>
      <c r="DC33" t="s">
        <v>73</v>
      </c>
      <c r="DD33" t="s">
        <v>73</v>
      </c>
      <c r="DE33">
        <v>40307</v>
      </c>
      <c r="DF33">
        <v>5959</v>
      </c>
      <c r="DG33">
        <v>264841</v>
      </c>
      <c r="DH33">
        <v>43485</v>
      </c>
      <c r="DI33">
        <v>174659</v>
      </c>
      <c r="DJ33">
        <v>87164</v>
      </c>
      <c r="DK33">
        <v>2629</v>
      </c>
      <c r="DL33">
        <v>92618</v>
      </c>
      <c r="DM33">
        <v>1176</v>
      </c>
      <c r="DN33">
        <v>135796</v>
      </c>
      <c r="DO33">
        <v>7095</v>
      </c>
      <c r="DP33">
        <v>2914</v>
      </c>
      <c r="DQ33">
        <v>8819</v>
      </c>
      <c r="DR33">
        <v>4325</v>
      </c>
      <c r="DS33">
        <v>6126</v>
      </c>
      <c r="DT33">
        <v>6237</v>
      </c>
      <c r="DU33">
        <v>440</v>
      </c>
      <c r="DV33">
        <v>359</v>
      </c>
      <c r="DW33">
        <v>20</v>
      </c>
      <c r="DX33">
        <v>5166</v>
      </c>
      <c r="DY33">
        <v>82776</v>
      </c>
      <c r="DZ33">
        <v>9435</v>
      </c>
      <c r="EA33">
        <v>79209</v>
      </c>
      <c r="EB33">
        <v>18446</v>
      </c>
      <c r="EC33">
        <v>68872</v>
      </c>
      <c r="ED33">
        <v>54055</v>
      </c>
      <c r="EE33">
        <v>64224</v>
      </c>
      <c r="EF33">
        <v>59222</v>
      </c>
      <c r="EG33">
        <v>63551</v>
      </c>
      <c r="EH33">
        <v>46663</v>
      </c>
      <c r="EI33" t="s">
        <v>73</v>
      </c>
      <c r="EJ33" t="s">
        <v>73</v>
      </c>
      <c r="EK33" t="s">
        <v>73</v>
      </c>
      <c r="EL33" t="s">
        <v>73</v>
      </c>
      <c r="EM33" t="s">
        <v>73</v>
      </c>
      <c r="EN33">
        <v>107728</v>
      </c>
      <c r="EO33">
        <v>52788</v>
      </c>
      <c r="EP33">
        <v>97229</v>
      </c>
      <c r="EQ33">
        <v>41051</v>
      </c>
      <c r="ER33">
        <v>138746</v>
      </c>
      <c r="ES33">
        <v>1990</v>
      </c>
      <c r="ET33">
        <v>3434</v>
      </c>
      <c r="EU33">
        <v>2152</v>
      </c>
      <c r="EV33">
        <v>3950</v>
      </c>
      <c r="EW33">
        <v>1896</v>
      </c>
      <c r="EX33">
        <v>735</v>
      </c>
      <c r="EY33">
        <v>4552</v>
      </c>
      <c r="EZ33">
        <v>896</v>
      </c>
      <c r="FA33">
        <v>5465</v>
      </c>
      <c r="FB33">
        <v>319</v>
      </c>
      <c r="FC33">
        <v>3030</v>
      </c>
      <c r="FD33">
        <v>23860</v>
      </c>
      <c r="FE33">
        <v>2967</v>
      </c>
      <c r="FF33">
        <v>23411</v>
      </c>
      <c r="FG33">
        <v>577</v>
      </c>
      <c r="FH33">
        <v>17023</v>
      </c>
      <c r="FI33">
        <v>1267</v>
      </c>
      <c r="FJ33">
        <v>46505</v>
      </c>
      <c r="FK33">
        <v>2006</v>
      </c>
      <c r="FL33">
        <v>207241</v>
      </c>
    </row>
    <row r="34" spans="1:168" x14ac:dyDescent="0.4">
      <c r="A34" s="1" t="s">
        <v>56</v>
      </c>
      <c r="B34" s="1" t="s">
        <v>57</v>
      </c>
      <c r="C34">
        <v>7217</v>
      </c>
      <c r="D34">
        <v>712</v>
      </c>
      <c r="E34">
        <v>12566</v>
      </c>
      <c r="F34">
        <v>1865</v>
      </c>
      <c r="G34">
        <v>176566</v>
      </c>
      <c r="H34">
        <v>2867</v>
      </c>
      <c r="I34">
        <v>233385</v>
      </c>
      <c r="J34">
        <v>639</v>
      </c>
      <c r="K34">
        <v>319128</v>
      </c>
      <c r="L34">
        <v>784</v>
      </c>
      <c r="M34">
        <v>249225</v>
      </c>
      <c r="N34">
        <v>285305</v>
      </c>
      <c r="O34">
        <v>3515</v>
      </c>
      <c r="P34">
        <v>132259</v>
      </c>
      <c r="Q34">
        <v>3331</v>
      </c>
      <c r="R34">
        <v>430878</v>
      </c>
      <c r="S34">
        <v>54882</v>
      </c>
      <c r="T34">
        <v>259</v>
      </c>
      <c r="U34">
        <v>155524</v>
      </c>
      <c r="V34">
        <v>1047</v>
      </c>
      <c r="W34">
        <v>240433</v>
      </c>
      <c r="X34">
        <v>45218</v>
      </c>
      <c r="Y34">
        <v>1170</v>
      </c>
      <c r="Z34">
        <v>49422</v>
      </c>
      <c r="AA34">
        <v>1804</v>
      </c>
      <c r="AB34">
        <v>134010</v>
      </c>
      <c r="AC34">
        <v>138404</v>
      </c>
      <c r="AD34">
        <v>5542</v>
      </c>
      <c r="AE34">
        <v>191079</v>
      </c>
      <c r="AF34">
        <v>8505</v>
      </c>
      <c r="AG34">
        <v>366732</v>
      </c>
      <c r="AH34">
        <v>17298</v>
      </c>
      <c r="AI34">
        <v>24341</v>
      </c>
      <c r="AJ34">
        <v>17505</v>
      </c>
      <c r="AK34">
        <v>23940</v>
      </c>
      <c r="AL34">
        <v>10800</v>
      </c>
      <c r="AM34">
        <v>804760</v>
      </c>
      <c r="AN34">
        <v>4190</v>
      </c>
      <c r="AO34">
        <v>801448</v>
      </c>
      <c r="AP34">
        <v>5656</v>
      </c>
      <c r="AQ34">
        <v>563425</v>
      </c>
      <c r="AR34">
        <v>258203</v>
      </c>
      <c r="AS34">
        <v>555</v>
      </c>
      <c r="AT34">
        <v>325668</v>
      </c>
      <c r="AU34">
        <v>928</v>
      </c>
      <c r="AV34">
        <v>319733</v>
      </c>
      <c r="AW34">
        <v>481</v>
      </c>
      <c r="AX34">
        <v>167</v>
      </c>
      <c r="AY34">
        <v>17427</v>
      </c>
      <c r="AZ34">
        <v>618</v>
      </c>
      <c r="BA34">
        <v>31663</v>
      </c>
      <c r="BB34">
        <v>1585072</v>
      </c>
      <c r="BC34">
        <v>22406</v>
      </c>
      <c r="BD34">
        <v>1532091</v>
      </c>
      <c r="BE34">
        <v>17028</v>
      </c>
      <c r="BF34">
        <v>115521</v>
      </c>
      <c r="BG34">
        <v>30103</v>
      </c>
      <c r="BH34">
        <v>13516</v>
      </c>
      <c r="BI34">
        <v>39967</v>
      </c>
      <c r="BJ34">
        <v>20113</v>
      </c>
      <c r="BK34">
        <v>45179</v>
      </c>
      <c r="BL34" t="s">
        <v>73</v>
      </c>
      <c r="BM34" t="s">
        <v>73</v>
      </c>
      <c r="BN34" t="s">
        <v>73</v>
      </c>
      <c r="BO34" t="s">
        <v>73</v>
      </c>
      <c r="BP34" t="s">
        <v>73</v>
      </c>
      <c r="BQ34" t="s">
        <v>73</v>
      </c>
      <c r="BR34" t="s">
        <v>73</v>
      </c>
      <c r="BS34" t="s">
        <v>73</v>
      </c>
      <c r="BT34" t="s">
        <v>73</v>
      </c>
      <c r="BU34" t="s">
        <v>73</v>
      </c>
      <c r="BV34">
        <v>16764</v>
      </c>
      <c r="BW34">
        <v>7428</v>
      </c>
      <c r="BX34">
        <v>13663</v>
      </c>
      <c r="BY34">
        <v>7592</v>
      </c>
      <c r="BZ34">
        <v>30346</v>
      </c>
      <c r="CA34">
        <v>322240</v>
      </c>
      <c r="CB34">
        <v>3916</v>
      </c>
      <c r="CC34">
        <v>334023</v>
      </c>
      <c r="CD34">
        <v>4460</v>
      </c>
      <c r="CE34">
        <v>360921</v>
      </c>
      <c r="CF34">
        <v>395172</v>
      </c>
      <c r="CG34">
        <v>2886</v>
      </c>
      <c r="CH34">
        <v>460726</v>
      </c>
      <c r="CI34">
        <v>10573</v>
      </c>
      <c r="CJ34">
        <v>809056</v>
      </c>
      <c r="CK34">
        <v>66773</v>
      </c>
      <c r="CL34">
        <v>3975</v>
      </c>
      <c r="CM34">
        <v>140616</v>
      </c>
      <c r="CN34">
        <v>11966</v>
      </c>
      <c r="CO34">
        <v>105738</v>
      </c>
      <c r="CP34">
        <v>432787</v>
      </c>
      <c r="CQ34">
        <v>4400</v>
      </c>
      <c r="CR34">
        <v>392240</v>
      </c>
      <c r="CS34">
        <v>4203</v>
      </c>
      <c r="CT34">
        <v>635324</v>
      </c>
      <c r="CU34">
        <v>41140</v>
      </c>
      <c r="CV34">
        <v>6432</v>
      </c>
      <c r="CW34">
        <v>29992</v>
      </c>
      <c r="CX34">
        <v>3946</v>
      </c>
      <c r="CY34">
        <v>39115</v>
      </c>
      <c r="CZ34" t="s">
        <v>73</v>
      </c>
      <c r="DA34" t="s">
        <v>73</v>
      </c>
      <c r="DB34" t="s">
        <v>73</v>
      </c>
      <c r="DC34" t="s">
        <v>73</v>
      </c>
      <c r="DD34" t="s">
        <v>73</v>
      </c>
      <c r="DE34">
        <v>39176</v>
      </c>
      <c r="DF34">
        <v>5629</v>
      </c>
      <c r="DG34">
        <v>230258</v>
      </c>
      <c r="DH34">
        <v>37200</v>
      </c>
      <c r="DI34">
        <v>186429</v>
      </c>
      <c r="DJ34">
        <v>83013</v>
      </c>
      <c r="DK34">
        <v>1833</v>
      </c>
      <c r="DL34">
        <v>97251</v>
      </c>
      <c r="DM34">
        <v>1375</v>
      </c>
      <c r="DN34">
        <v>143290</v>
      </c>
      <c r="DO34">
        <v>6003</v>
      </c>
      <c r="DP34">
        <v>2695</v>
      </c>
      <c r="DQ34">
        <v>6607</v>
      </c>
      <c r="DR34">
        <v>3884</v>
      </c>
      <c r="DS34">
        <v>6305</v>
      </c>
      <c r="DT34">
        <v>4615</v>
      </c>
      <c r="DU34">
        <v>246</v>
      </c>
      <c r="DV34">
        <v>126</v>
      </c>
      <c r="DW34">
        <v>14</v>
      </c>
      <c r="DX34">
        <v>5174</v>
      </c>
      <c r="DY34">
        <v>69953</v>
      </c>
      <c r="DZ34">
        <v>9641</v>
      </c>
      <c r="EA34">
        <v>73996</v>
      </c>
      <c r="EB34">
        <v>15868</v>
      </c>
      <c r="EC34">
        <v>72420</v>
      </c>
      <c r="ED34">
        <v>45768</v>
      </c>
      <c r="EE34">
        <v>87492</v>
      </c>
      <c r="EF34">
        <v>41788</v>
      </c>
      <c r="EG34">
        <v>64875</v>
      </c>
      <c r="EH34">
        <v>50360</v>
      </c>
      <c r="EI34" t="s">
        <v>73</v>
      </c>
      <c r="EJ34" t="s">
        <v>73</v>
      </c>
      <c r="EK34" t="s">
        <v>73</v>
      </c>
      <c r="EL34" t="s">
        <v>73</v>
      </c>
      <c r="EM34" t="s">
        <v>73</v>
      </c>
      <c r="EN34">
        <v>94061</v>
      </c>
      <c r="EO34">
        <v>44108</v>
      </c>
      <c r="EP34">
        <v>90166</v>
      </c>
      <c r="EQ34">
        <v>34147</v>
      </c>
      <c r="ER34">
        <v>144426</v>
      </c>
      <c r="ES34">
        <v>1986</v>
      </c>
      <c r="ET34">
        <v>4688</v>
      </c>
      <c r="EU34">
        <v>1940</v>
      </c>
      <c r="EV34">
        <v>4582</v>
      </c>
      <c r="EW34">
        <v>1933</v>
      </c>
      <c r="EX34">
        <v>1056</v>
      </c>
      <c r="EY34">
        <v>6818</v>
      </c>
      <c r="EZ34">
        <v>1009</v>
      </c>
      <c r="FA34">
        <v>6648</v>
      </c>
      <c r="FB34">
        <v>366</v>
      </c>
      <c r="FC34">
        <v>3336</v>
      </c>
      <c r="FD34">
        <v>25940</v>
      </c>
      <c r="FE34">
        <v>3154</v>
      </c>
      <c r="FF34">
        <v>25558</v>
      </c>
      <c r="FG34">
        <v>479</v>
      </c>
      <c r="FH34">
        <v>14263</v>
      </c>
      <c r="FI34">
        <v>1155</v>
      </c>
      <c r="FJ34">
        <v>41460</v>
      </c>
      <c r="FK34">
        <v>1826</v>
      </c>
      <c r="FL34">
        <v>200444</v>
      </c>
    </row>
    <row r="35" spans="1:168" x14ac:dyDescent="0.4">
      <c r="A35" s="1" t="s">
        <v>58</v>
      </c>
      <c r="B35" s="1" t="s">
        <v>59</v>
      </c>
      <c r="C35">
        <v>7556</v>
      </c>
      <c r="D35">
        <v>855</v>
      </c>
      <c r="E35">
        <v>13019</v>
      </c>
      <c r="F35">
        <v>1960</v>
      </c>
      <c r="G35">
        <v>177558</v>
      </c>
      <c r="H35">
        <v>2880</v>
      </c>
      <c r="I35">
        <v>235937</v>
      </c>
      <c r="J35">
        <v>711</v>
      </c>
      <c r="K35">
        <v>318605</v>
      </c>
      <c r="L35">
        <v>832</v>
      </c>
      <c r="M35">
        <v>239068</v>
      </c>
      <c r="N35">
        <v>309026</v>
      </c>
      <c r="O35">
        <v>3726</v>
      </c>
      <c r="P35">
        <v>130381</v>
      </c>
      <c r="Q35">
        <v>3286</v>
      </c>
      <c r="R35">
        <v>433183</v>
      </c>
      <c r="S35">
        <v>56689</v>
      </c>
      <c r="T35">
        <v>267</v>
      </c>
      <c r="U35">
        <v>154531</v>
      </c>
      <c r="V35">
        <v>1045</v>
      </c>
      <c r="W35">
        <v>247128</v>
      </c>
      <c r="X35">
        <v>50332</v>
      </c>
      <c r="Y35">
        <v>1241</v>
      </c>
      <c r="Z35">
        <v>54402</v>
      </c>
      <c r="AA35">
        <v>1651</v>
      </c>
      <c r="AB35">
        <v>141902</v>
      </c>
      <c r="AC35">
        <v>143826</v>
      </c>
      <c r="AD35">
        <v>5697</v>
      </c>
      <c r="AE35">
        <v>177135</v>
      </c>
      <c r="AF35">
        <v>8429</v>
      </c>
      <c r="AG35">
        <v>405178</v>
      </c>
      <c r="AH35">
        <v>16984</v>
      </c>
      <c r="AI35">
        <v>25195</v>
      </c>
      <c r="AJ35">
        <v>15803</v>
      </c>
      <c r="AK35">
        <v>23757</v>
      </c>
      <c r="AL35">
        <v>12085</v>
      </c>
      <c r="AM35">
        <v>767430</v>
      </c>
      <c r="AN35">
        <v>4273</v>
      </c>
      <c r="AO35">
        <v>727122</v>
      </c>
      <c r="AP35">
        <v>5777</v>
      </c>
      <c r="AQ35">
        <v>618073</v>
      </c>
      <c r="AR35">
        <v>227185</v>
      </c>
      <c r="AS35">
        <v>573</v>
      </c>
      <c r="AT35">
        <v>314964</v>
      </c>
      <c r="AU35">
        <v>919</v>
      </c>
      <c r="AV35">
        <v>296741</v>
      </c>
      <c r="AW35">
        <v>203</v>
      </c>
      <c r="AX35">
        <v>103</v>
      </c>
      <c r="AY35">
        <v>17935</v>
      </c>
      <c r="AZ35">
        <v>690</v>
      </c>
      <c r="BA35">
        <v>28074</v>
      </c>
      <c r="BB35">
        <v>1404099</v>
      </c>
      <c r="BC35">
        <v>19685</v>
      </c>
      <c r="BD35">
        <v>1469937</v>
      </c>
      <c r="BE35">
        <v>16362</v>
      </c>
      <c r="BF35">
        <v>116256</v>
      </c>
      <c r="BG35">
        <v>41108</v>
      </c>
      <c r="BH35">
        <v>22324</v>
      </c>
      <c r="BI35">
        <v>50669</v>
      </c>
      <c r="BJ35">
        <v>26895</v>
      </c>
      <c r="BK35">
        <v>54144</v>
      </c>
      <c r="BL35" t="s">
        <v>73</v>
      </c>
      <c r="BM35" t="s">
        <v>73</v>
      </c>
      <c r="BN35" t="s">
        <v>73</v>
      </c>
      <c r="BO35" t="s">
        <v>73</v>
      </c>
      <c r="BP35" t="s">
        <v>73</v>
      </c>
      <c r="BQ35" t="s">
        <v>73</v>
      </c>
      <c r="BR35" t="s">
        <v>73</v>
      </c>
      <c r="BS35" t="s">
        <v>73</v>
      </c>
      <c r="BT35" t="s">
        <v>73</v>
      </c>
      <c r="BU35" t="s">
        <v>73</v>
      </c>
      <c r="BV35">
        <v>15307</v>
      </c>
      <c r="BW35">
        <v>7169</v>
      </c>
      <c r="BX35">
        <v>13917</v>
      </c>
      <c r="BY35">
        <v>7174</v>
      </c>
      <c r="BZ35">
        <v>32816</v>
      </c>
      <c r="CA35">
        <v>328079</v>
      </c>
      <c r="CB35">
        <v>4252</v>
      </c>
      <c r="CC35">
        <v>319923</v>
      </c>
      <c r="CD35">
        <v>4579</v>
      </c>
      <c r="CE35">
        <v>372861</v>
      </c>
      <c r="CF35">
        <v>375042</v>
      </c>
      <c r="CG35">
        <v>2833</v>
      </c>
      <c r="CH35">
        <v>504463</v>
      </c>
      <c r="CI35">
        <v>11106</v>
      </c>
      <c r="CJ35">
        <v>735995</v>
      </c>
      <c r="CK35">
        <v>74551</v>
      </c>
      <c r="CL35">
        <v>4730</v>
      </c>
      <c r="CM35">
        <v>160741</v>
      </c>
      <c r="CN35">
        <v>11400</v>
      </c>
      <c r="CO35">
        <v>107479</v>
      </c>
      <c r="CP35">
        <v>449335</v>
      </c>
      <c r="CQ35">
        <v>4397</v>
      </c>
      <c r="CR35">
        <v>413199</v>
      </c>
      <c r="CS35">
        <v>4306</v>
      </c>
      <c r="CT35">
        <v>649625</v>
      </c>
      <c r="CU35">
        <v>41917</v>
      </c>
      <c r="CV35">
        <v>6926</v>
      </c>
      <c r="CW35">
        <v>31070</v>
      </c>
      <c r="CX35">
        <v>3900</v>
      </c>
      <c r="CY35">
        <v>38251</v>
      </c>
      <c r="CZ35" t="s">
        <v>73</v>
      </c>
      <c r="DA35" t="s">
        <v>73</v>
      </c>
      <c r="DB35" t="s">
        <v>73</v>
      </c>
      <c r="DC35" t="s">
        <v>73</v>
      </c>
      <c r="DD35" t="s">
        <v>73</v>
      </c>
      <c r="DE35">
        <v>38010</v>
      </c>
      <c r="DF35">
        <v>5506</v>
      </c>
      <c r="DG35">
        <v>210073</v>
      </c>
      <c r="DH35">
        <v>32423</v>
      </c>
      <c r="DI35">
        <v>211790</v>
      </c>
      <c r="DJ35">
        <v>97674</v>
      </c>
      <c r="DK35">
        <v>2726</v>
      </c>
      <c r="DL35">
        <v>104315</v>
      </c>
      <c r="DM35">
        <v>1383</v>
      </c>
      <c r="DN35">
        <v>144661</v>
      </c>
      <c r="DO35">
        <v>6742</v>
      </c>
      <c r="DP35">
        <v>2811</v>
      </c>
      <c r="DQ35">
        <v>6556</v>
      </c>
      <c r="DR35">
        <v>3252</v>
      </c>
      <c r="DS35">
        <v>6337</v>
      </c>
      <c r="DT35">
        <v>7083</v>
      </c>
      <c r="DU35">
        <v>436</v>
      </c>
      <c r="DV35">
        <v>350</v>
      </c>
      <c r="DW35">
        <v>26</v>
      </c>
      <c r="DX35">
        <v>4927</v>
      </c>
      <c r="DY35">
        <v>64793</v>
      </c>
      <c r="DZ35">
        <v>10100</v>
      </c>
      <c r="EA35">
        <v>73322</v>
      </c>
      <c r="EB35">
        <v>13780</v>
      </c>
      <c r="EC35">
        <v>72626</v>
      </c>
      <c r="ED35">
        <v>51526</v>
      </c>
      <c r="EE35">
        <v>91738</v>
      </c>
      <c r="EF35">
        <v>60262</v>
      </c>
      <c r="EG35">
        <v>109408</v>
      </c>
      <c r="EH35">
        <v>42227</v>
      </c>
      <c r="EI35" t="s">
        <v>73</v>
      </c>
      <c r="EJ35" t="s">
        <v>73</v>
      </c>
      <c r="EK35" t="s">
        <v>73</v>
      </c>
      <c r="EL35" t="s">
        <v>73</v>
      </c>
      <c r="EM35" t="s">
        <v>73</v>
      </c>
      <c r="EN35">
        <v>105716</v>
      </c>
      <c r="EO35">
        <v>49580</v>
      </c>
      <c r="EP35">
        <v>110501</v>
      </c>
      <c r="EQ35">
        <v>39326</v>
      </c>
      <c r="ER35">
        <v>149322</v>
      </c>
      <c r="ES35">
        <v>1643</v>
      </c>
      <c r="ET35">
        <v>4391</v>
      </c>
      <c r="EU35">
        <v>1584</v>
      </c>
      <c r="EV35">
        <v>4291</v>
      </c>
      <c r="EW35">
        <v>1985</v>
      </c>
      <c r="EX35">
        <v>941</v>
      </c>
      <c r="EY35">
        <v>5740</v>
      </c>
      <c r="EZ35">
        <v>1079</v>
      </c>
      <c r="FA35">
        <v>6374</v>
      </c>
      <c r="FB35">
        <v>226</v>
      </c>
      <c r="FC35">
        <v>3110</v>
      </c>
      <c r="FD35">
        <v>20955</v>
      </c>
      <c r="FE35">
        <v>2832</v>
      </c>
      <c r="FF35">
        <v>20403</v>
      </c>
      <c r="FG35">
        <v>443</v>
      </c>
      <c r="FH35">
        <v>16449</v>
      </c>
      <c r="FI35">
        <v>1270</v>
      </c>
      <c r="FJ35">
        <v>43058</v>
      </c>
      <c r="FK35">
        <v>1787</v>
      </c>
      <c r="FL35">
        <v>206242</v>
      </c>
    </row>
    <row r="36" spans="1:168" x14ac:dyDescent="0.4">
      <c r="A36" s="1" t="s">
        <v>60</v>
      </c>
      <c r="B36" s="1" t="s">
        <v>61</v>
      </c>
      <c r="C36">
        <v>6779</v>
      </c>
      <c r="D36">
        <v>708</v>
      </c>
      <c r="E36">
        <v>10319</v>
      </c>
      <c r="F36">
        <v>2106</v>
      </c>
      <c r="G36">
        <v>172799</v>
      </c>
      <c r="H36">
        <v>3014</v>
      </c>
      <c r="I36">
        <v>229206</v>
      </c>
      <c r="J36">
        <v>793</v>
      </c>
      <c r="K36">
        <v>297116</v>
      </c>
      <c r="L36">
        <v>840</v>
      </c>
      <c r="M36">
        <v>243745</v>
      </c>
      <c r="N36">
        <v>285693</v>
      </c>
      <c r="O36">
        <v>3028</v>
      </c>
      <c r="P36">
        <v>440971</v>
      </c>
      <c r="Q36">
        <v>5836</v>
      </c>
      <c r="R36">
        <v>379097</v>
      </c>
      <c r="S36">
        <v>54641</v>
      </c>
      <c r="T36">
        <v>230</v>
      </c>
      <c r="U36">
        <v>153519</v>
      </c>
      <c r="V36">
        <v>1037</v>
      </c>
      <c r="W36">
        <v>254655</v>
      </c>
      <c r="X36">
        <v>41177</v>
      </c>
      <c r="Y36">
        <v>1021</v>
      </c>
      <c r="Z36">
        <v>82350</v>
      </c>
      <c r="AA36">
        <v>2277</v>
      </c>
      <c r="AB36">
        <v>112680</v>
      </c>
      <c r="AC36">
        <v>129374</v>
      </c>
      <c r="AD36">
        <v>5430</v>
      </c>
      <c r="AE36">
        <v>234223</v>
      </c>
      <c r="AF36">
        <v>11491</v>
      </c>
      <c r="AG36">
        <v>369123</v>
      </c>
      <c r="AH36">
        <v>16678</v>
      </c>
      <c r="AI36">
        <v>24408</v>
      </c>
      <c r="AJ36">
        <v>18867</v>
      </c>
      <c r="AK36">
        <v>24083</v>
      </c>
      <c r="AL36">
        <v>11376</v>
      </c>
      <c r="AM36">
        <v>811499</v>
      </c>
      <c r="AN36">
        <v>4251</v>
      </c>
      <c r="AO36">
        <v>759584</v>
      </c>
      <c r="AP36">
        <v>5747</v>
      </c>
      <c r="AQ36">
        <v>688445</v>
      </c>
      <c r="AR36">
        <v>217475</v>
      </c>
      <c r="AS36">
        <v>477</v>
      </c>
      <c r="AT36">
        <v>299299</v>
      </c>
      <c r="AU36">
        <v>871</v>
      </c>
      <c r="AV36">
        <v>288815</v>
      </c>
      <c r="AW36">
        <v>161</v>
      </c>
      <c r="AX36">
        <v>122</v>
      </c>
      <c r="AY36">
        <v>19685</v>
      </c>
      <c r="AZ36">
        <v>644</v>
      </c>
      <c r="BA36">
        <v>27798</v>
      </c>
      <c r="BB36">
        <v>1561619</v>
      </c>
      <c r="BC36">
        <v>20857</v>
      </c>
      <c r="BD36">
        <v>1616166</v>
      </c>
      <c r="BE36">
        <v>16351</v>
      </c>
      <c r="BF36">
        <v>114071</v>
      </c>
      <c r="BG36">
        <v>35584</v>
      </c>
      <c r="BH36">
        <v>17505</v>
      </c>
      <c r="BI36">
        <v>41732</v>
      </c>
      <c r="BJ36">
        <v>22518</v>
      </c>
      <c r="BK36">
        <v>60495</v>
      </c>
      <c r="BL36" t="s">
        <v>73</v>
      </c>
      <c r="BM36" t="s">
        <v>73</v>
      </c>
      <c r="BN36" t="s">
        <v>73</v>
      </c>
      <c r="BO36" t="s">
        <v>73</v>
      </c>
      <c r="BP36" t="s">
        <v>73</v>
      </c>
      <c r="BQ36" t="s">
        <v>73</v>
      </c>
      <c r="BR36" t="s">
        <v>73</v>
      </c>
      <c r="BS36" t="s">
        <v>73</v>
      </c>
      <c r="BT36" t="s">
        <v>73</v>
      </c>
      <c r="BU36" t="s">
        <v>73</v>
      </c>
      <c r="BV36">
        <v>17038</v>
      </c>
      <c r="BW36">
        <v>7625</v>
      </c>
      <c r="BX36">
        <v>16028</v>
      </c>
      <c r="BY36">
        <v>7520</v>
      </c>
      <c r="BZ36">
        <v>34524</v>
      </c>
      <c r="CA36">
        <v>308317</v>
      </c>
      <c r="CB36">
        <v>4267</v>
      </c>
      <c r="CC36">
        <v>324502</v>
      </c>
      <c r="CD36">
        <v>4273</v>
      </c>
      <c r="CE36">
        <v>360103</v>
      </c>
      <c r="CF36">
        <v>385702</v>
      </c>
      <c r="CG36">
        <v>2893</v>
      </c>
      <c r="CH36">
        <v>449259</v>
      </c>
      <c r="CI36">
        <v>8598</v>
      </c>
      <c r="CJ36">
        <v>698017</v>
      </c>
      <c r="CK36">
        <v>77719</v>
      </c>
      <c r="CL36">
        <v>4780</v>
      </c>
      <c r="CM36">
        <v>149078</v>
      </c>
      <c r="CN36">
        <v>13077</v>
      </c>
      <c r="CO36">
        <v>98060</v>
      </c>
      <c r="CP36">
        <v>377575</v>
      </c>
      <c r="CQ36">
        <v>3724</v>
      </c>
      <c r="CR36">
        <v>363519</v>
      </c>
      <c r="CS36">
        <v>3956</v>
      </c>
      <c r="CT36">
        <v>619958</v>
      </c>
      <c r="CU36">
        <v>40474</v>
      </c>
      <c r="CV36">
        <v>6500</v>
      </c>
      <c r="CW36">
        <v>28683</v>
      </c>
      <c r="CX36">
        <v>3730</v>
      </c>
      <c r="CY36">
        <v>38797</v>
      </c>
      <c r="CZ36" t="s">
        <v>73</v>
      </c>
      <c r="DA36" t="s">
        <v>73</v>
      </c>
      <c r="DB36" t="s">
        <v>73</v>
      </c>
      <c r="DC36" t="s">
        <v>73</v>
      </c>
      <c r="DD36" t="s">
        <v>73</v>
      </c>
      <c r="DE36">
        <v>37501</v>
      </c>
      <c r="DF36">
        <v>5157</v>
      </c>
      <c r="DG36">
        <v>274416</v>
      </c>
      <c r="DH36">
        <v>46811</v>
      </c>
      <c r="DI36">
        <v>191360</v>
      </c>
      <c r="DJ36">
        <v>95157</v>
      </c>
      <c r="DK36">
        <v>2635</v>
      </c>
      <c r="DL36">
        <v>95599</v>
      </c>
      <c r="DM36">
        <v>1327</v>
      </c>
      <c r="DN36">
        <v>146306</v>
      </c>
      <c r="DO36">
        <v>6611</v>
      </c>
      <c r="DP36">
        <v>2280</v>
      </c>
      <c r="DQ36">
        <v>7029</v>
      </c>
      <c r="DR36">
        <v>3571</v>
      </c>
      <c r="DS36">
        <v>5711</v>
      </c>
      <c r="DT36">
        <v>6581</v>
      </c>
      <c r="DU36">
        <v>418</v>
      </c>
      <c r="DV36">
        <v>97</v>
      </c>
      <c r="DW36">
        <v>14</v>
      </c>
      <c r="DX36">
        <v>4942</v>
      </c>
      <c r="DY36">
        <v>54556</v>
      </c>
      <c r="DZ36">
        <v>9901</v>
      </c>
      <c r="EA36">
        <v>65730</v>
      </c>
      <c r="EB36">
        <v>19209</v>
      </c>
      <c r="EC36">
        <v>69236</v>
      </c>
      <c r="ED36">
        <v>50626</v>
      </c>
      <c r="EE36">
        <v>119964</v>
      </c>
      <c r="EF36">
        <v>51116</v>
      </c>
      <c r="EG36">
        <v>122868</v>
      </c>
      <c r="EH36">
        <v>42490</v>
      </c>
      <c r="EI36" t="s">
        <v>73</v>
      </c>
      <c r="EJ36" t="s">
        <v>73</v>
      </c>
      <c r="EK36" t="s">
        <v>73</v>
      </c>
      <c r="EL36" t="s">
        <v>73</v>
      </c>
      <c r="EM36" t="s">
        <v>73</v>
      </c>
      <c r="EN36">
        <v>86203</v>
      </c>
      <c r="EO36">
        <v>44497</v>
      </c>
      <c r="EP36">
        <v>94205</v>
      </c>
      <c r="EQ36">
        <v>36744</v>
      </c>
      <c r="ER36">
        <v>152965</v>
      </c>
      <c r="ES36">
        <v>1644</v>
      </c>
      <c r="ET36">
        <v>4218</v>
      </c>
      <c r="EU36">
        <v>1733</v>
      </c>
      <c r="EV36">
        <v>4544</v>
      </c>
      <c r="EW36">
        <v>1891</v>
      </c>
      <c r="EX36">
        <v>1037</v>
      </c>
      <c r="EY36">
        <v>6457</v>
      </c>
      <c r="EZ36">
        <v>750</v>
      </c>
      <c r="FA36">
        <v>4538</v>
      </c>
      <c r="FB36">
        <v>511</v>
      </c>
      <c r="FC36">
        <v>3176</v>
      </c>
      <c r="FD36">
        <v>21375</v>
      </c>
      <c r="FE36">
        <v>2831</v>
      </c>
      <c r="FF36">
        <v>19879</v>
      </c>
      <c r="FG36">
        <v>483</v>
      </c>
      <c r="FH36">
        <v>11950</v>
      </c>
      <c r="FI36">
        <v>1174</v>
      </c>
      <c r="FJ36">
        <v>40610</v>
      </c>
      <c r="FK36">
        <v>1839</v>
      </c>
      <c r="FL36">
        <v>205664</v>
      </c>
    </row>
    <row r="37" spans="1:168" x14ac:dyDescent="0.4">
      <c r="A37" s="1" t="s">
        <v>62</v>
      </c>
      <c r="B37" s="1" t="s">
        <v>63</v>
      </c>
      <c r="C37">
        <v>5521</v>
      </c>
      <c r="D37">
        <v>683</v>
      </c>
      <c r="E37">
        <v>9334</v>
      </c>
      <c r="F37">
        <v>2026</v>
      </c>
      <c r="G37">
        <v>179597</v>
      </c>
      <c r="H37">
        <v>2945</v>
      </c>
      <c r="I37">
        <v>254147</v>
      </c>
      <c r="J37">
        <v>825</v>
      </c>
      <c r="K37">
        <v>322851</v>
      </c>
      <c r="L37">
        <v>811</v>
      </c>
      <c r="M37">
        <v>247964</v>
      </c>
      <c r="N37">
        <v>306224</v>
      </c>
      <c r="O37">
        <v>2771</v>
      </c>
      <c r="P37">
        <v>405641</v>
      </c>
      <c r="Q37">
        <v>5529</v>
      </c>
      <c r="R37">
        <v>514687</v>
      </c>
      <c r="S37">
        <v>46950</v>
      </c>
      <c r="T37">
        <v>207</v>
      </c>
      <c r="U37">
        <v>150954</v>
      </c>
      <c r="V37">
        <v>1025</v>
      </c>
      <c r="W37">
        <v>256645</v>
      </c>
      <c r="X37">
        <v>45929</v>
      </c>
      <c r="Y37">
        <v>923</v>
      </c>
      <c r="Z37">
        <v>56079</v>
      </c>
      <c r="AA37">
        <v>1694</v>
      </c>
      <c r="AB37">
        <v>113184</v>
      </c>
      <c r="AC37">
        <v>145257</v>
      </c>
      <c r="AD37">
        <v>6592</v>
      </c>
      <c r="AE37">
        <v>224966</v>
      </c>
      <c r="AF37">
        <v>11037</v>
      </c>
      <c r="AG37">
        <v>364729</v>
      </c>
      <c r="AH37">
        <v>17957</v>
      </c>
      <c r="AI37">
        <v>25434</v>
      </c>
      <c r="AJ37">
        <v>16051</v>
      </c>
      <c r="AK37">
        <v>24432</v>
      </c>
      <c r="AL37">
        <v>14100</v>
      </c>
      <c r="AM37">
        <v>731532</v>
      </c>
      <c r="AN37">
        <v>4093</v>
      </c>
      <c r="AO37">
        <v>657979</v>
      </c>
      <c r="AP37">
        <v>5844</v>
      </c>
      <c r="AQ37">
        <v>764153</v>
      </c>
      <c r="AR37">
        <v>237390</v>
      </c>
      <c r="AS37">
        <v>517</v>
      </c>
      <c r="AT37">
        <v>277415</v>
      </c>
      <c r="AU37">
        <v>854</v>
      </c>
      <c r="AV37">
        <v>303679</v>
      </c>
      <c r="AW37">
        <v>173</v>
      </c>
      <c r="AX37">
        <v>152</v>
      </c>
      <c r="AY37">
        <v>18020</v>
      </c>
      <c r="AZ37">
        <v>674</v>
      </c>
      <c r="BA37">
        <v>22570</v>
      </c>
      <c r="BB37">
        <v>1487043</v>
      </c>
      <c r="BC37">
        <v>20426</v>
      </c>
      <c r="BD37">
        <v>1430621</v>
      </c>
      <c r="BE37">
        <v>15250</v>
      </c>
      <c r="BF37">
        <v>107077</v>
      </c>
      <c r="BG37">
        <v>34420</v>
      </c>
      <c r="BH37">
        <v>18430</v>
      </c>
      <c r="BI37">
        <v>43508</v>
      </c>
      <c r="BJ37">
        <v>23977</v>
      </c>
      <c r="BK37">
        <v>72648</v>
      </c>
      <c r="BL37" t="s">
        <v>73</v>
      </c>
      <c r="BM37" t="s">
        <v>73</v>
      </c>
      <c r="BN37" t="s">
        <v>73</v>
      </c>
      <c r="BO37" t="s">
        <v>73</v>
      </c>
      <c r="BP37" t="s">
        <v>73</v>
      </c>
      <c r="BQ37" t="s">
        <v>73</v>
      </c>
      <c r="BR37" t="s">
        <v>73</v>
      </c>
      <c r="BS37" t="s">
        <v>73</v>
      </c>
      <c r="BT37" t="s">
        <v>73</v>
      </c>
      <c r="BU37" t="s">
        <v>73</v>
      </c>
      <c r="BV37">
        <v>16509</v>
      </c>
      <c r="BW37">
        <v>7372</v>
      </c>
      <c r="BX37">
        <v>15685</v>
      </c>
      <c r="BY37">
        <v>7194</v>
      </c>
      <c r="BZ37">
        <v>35922</v>
      </c>
      <c r="CA37">
        <v>334822</v>
      </c>
      <c r="CB37">
        <v>4080</v>
      </c>
      <c r="CC37">
        <v>318591</v>
      </c>
      <c r="CD37">
        <v>4237</v>
      </c>
      <c r="CE37">
        <v>380942</v>
      </c>
      <c r="CF37">
        <v>408483</v>
      </c>
      <c r="CG37">
        <v>2957</v>
      </c>
      <c r="CH37">
        <v>427481</v>
      </c>
      <c r="CI37">
        <v>9351</v>
      </c>
      <c r="CJ37">
        <v>713484</v>
      </c>
      <c r="CK37">
        <v>78073</v>
      </c>
      <c r="CL37">
        <v>4933</v>
      </c>
      <c r="CM37">
        <v>157217</v>
      </c>
      <c r="CN37">
        <v>11465</v>
      </c>
      <c r="CO37">
        <v>90900</v>
      </c>
      <c r="CP37">
        <v>386589</v>
      </c>
      <c r="CQ37">
        <v>3661</v>
      </c>
      <c r="CR37">
        <v>320652</v>
      </c>
      <c r="CS37">
        <v>3309</v>
      </c>
      <c r="CT37">
        <v>640604</v>
      </c>
      <c r="CU37">
        <v>38197</v>
      </c>
      <c r="CV37">
        <v>6642</v>
      </c>
      <c r="CW37">
        <v>28200</v>
      </c>
      <c r="CX37">
        <v>3845</v>
      </c>
      <c r="CY37">
        <v>38147</v>
      </c>
      <c r="CZ37" t="s">
        <v>73</v>
      </c>
      <c r="DA37" t="s">
        <v>73</v>
      </c>
      <c r="DB37" t="s">
        <v>73</v>
      </c>
      <c r="DC37" t="s">
        <v>73</v>
      </c>
      <c r="DD37" t="s">
        <v>73</v>
      </c>
      <c r="DE37">
        <v>40943</v>
      </c>
      <c r="DF37">
        <v>5775</v>
      </c>
      <c r="DG37">
        <v>211525</v>
      </c>
      <c r="DH37">
        <v>34815</v>
      </c>
      <c r="DI37">
        <v>209916</v>
      </c>
      <c r="DJ37">
        <v>97114</v>
      </c>
      <c r="DK37">
        <v>2559</v>
      </c>
      <c r="DL37">
        <v>100369</v>
      </c>
      <c r="DM37">
        <v>1288</v>
      </c>
      <c r="DN37">
        <v>149666</v>
      </c>
      <c r="DO37">
        <v>6425</v>
      </c>
      <c r="DP37">
        <v>2368</v>
      </c>
      <c r="DQ37">
        <v>6230</v>
      </c>
      <c r="DR37">
        <v>3172</v>
      </c>
      <c r="DS37">
        <v>5263</v>
      </c>
      <c r="DT37">
        <v>6527</v>
      </c>
      <c r="DU37">
        <v>397</v>
      </c>
      <c r="DV37">
        <v>204</v>
      </c>
      <c r="DW37">
        <v>16</v>
      </c>
      <c r="DX37">
        <v>4924</v>
      </c>
      <c r="DY37">
        <v>52104</v>
      </c>
      <c r="DZ37">
        <v>9775</v>
      </c>
      <c r="EA37">
        <v>58249</v>
      </c>
      <c r="EB37">
        <v>16014</v>
      </c>
      <c r="EC37">
        <v>71038</v>
      </c>
      <c r="ED37">
        <v>49715</v>
      </c>
      <c r="EE37">
        <v>171851</v>
      </c>
      <c r="EF37">
        <v>51612</v>
      </c>
      <c r="EG37">
        <v>172602</v>
      </c>
      <c r="EH37">
        <v>42137</v>
      </c>
      <c r="EI37" t="s">
        <v>73</v>
      </c>
      <c r="EJ37" t="s">
        <v>73</v>
      </c>
      <c r="EK37" t="s">
        <v>73</v>
      </c>
      <c r="EL37" t="s">
        <v>73</v>
      </c>
      <c r="EM37" t="s">
        <v>73</v>
      </c>
      <c r="EN37">
        <v>79338</v>
      </c>
      <c r="EO37">
        <v>44052</v>
      </c>
      <c r="EP37">
        <v>85652</v>
      </c>
      <c r="EQ37">
        <v>34912</v>
      </c>
      <c r="ER37">
        <v>147345</v>
      </c>
      <c r="ES37">
        <v>1563</v>
      </c>
      <c r="ET37">
        <v>3806</v>
      </c>
      <c r="EU37">
        <v>1590</v>
      </c>
      <c r="EV37">
        <v>4190</v>
      </c>
      <c r="EW37">
        <v>1861</v>
      </c>
      <c r="EX37">
        <v>583</v>
      </c>
      <c r="EY37">
        <v>4158</v>
      </c>
      <c r="EZ37">
        <v>635</v>
      </c>
      <c r="FA37">
        <v>4513</v>
      </c>
      <c r="FB37">
        <v>458</v>
      </c>
      <c r="FC37">
        <v>2041</v>
      </c>
      <c r="FD37">
        <v>15738</v>
      </c>
      <c r="FE37">
        <v>1840</v>
      </c>
      <c r="FF37">
        <v>14941</v>
      </c>
      <c r="FG37">
        <v>389</v>
      </c>
      <c r="FH37">
        <v>8507</v>
      </c>
      <c r="FI37">
        <v>997</v>
      </c>
      <c r="FJ37">
        <v>32315</v>
      </c>
      <c r="FK37">
        <v>1388</v>
      </c>
      <c r="FL37">
        <v>202676</v>
      </c>
    </row>
    <row r="38" spans="1:168" x14ac:dyDescent="0.4">
      <c r="A38" s="1" t="s">
        <v>64</v>
      </c>
      <c r="B38" s="1" t="s">
        <v>65</v>
      </c>
      <c r="C38">
        <v>5984</v>
      </c>
      <c r="D38">
        <v>811</v>
      </c>
      <c r="E38">
        <v>12035</v>
      </c>
      <c r="F38">
        <v>2110</v>
      </c>
      <c r="G38">
        <v>200338</v>
      </c>
      <c r="H38">
        <v>3153</v>
      </c>
      <c r="I38">
        <v>255571</v>
      </c>
      <c r="J38">
        <v>910</v>
      </c>
      <c r="K38">
        <v>342979</v>
      </c>
      <c r="L38">
        <v>962</v>
      </c>
      <c r="M38">
        <v>231794</v>
      </c>
      <c r="N38">
        <v>311030</v>
      </c>
      <c r="O38">
        <v>3619</v>
      </c>
      <c r="P38">
        <v>438305</v>
      </c>
      <c r="Q38">
        <v>6011</v>
      </c>
      <c r="R38">
        <v>423000</v>
      </c>
      <c r="S38">
        <v>52750</v>
      </c>
      <c r="T38">
        <v>232</v>
      </c>
      <c r="U38">
        <v>161092</v>
      </c>
      <c r="V38">
        <v>1066</v>
      </c>
      <c r="W38">
        <v>253505</v>
      </c>
      <c r="X38">
        <v>61385</v>
      </c>
      <c r="Y38">
        <v>1543</v>
      </c>
      <c r="Z38">
        <v>64007</v>
      </c>
      <c r="AA38">
        <v>1855</v>
      </c>
      <c r="AB38">
        <v>123957</v>
      </c>
      <c r="AC38">
        <v>164305</v>
      </c>
      <c r="AD38">
        <v>7138</v>
      </c>
      <c r="AE38">
        <v>212445</v>
      </c>
      <c r="AF38">
        <v>11121</v>
      </c>
      <c r="AG38">
        <v>386649</v>
      </c>
      <c r="AH38">
        <v>21670</v>
      </c>
      <c r="AI38">
        <v>27560</v>
      </c>
      <c r="AJ38">
        <v>18869</v>
      </c>
      <c r="AK38">
        <v>25833</v>
      </c>
      <c r="AL38">
        <v>16128</v>
      </c>
      <c r="AM38">
        <v>811450</v>
      </c>
      <c r="AN38">
        <v>4486</v>
      </c>
      <c r="AO38">
        <v>737244</v>
      </c>
      <c r="AP38">
        <v>6077</v>
      </c>
      <c r="AQ38">
        <v>840188</v>
      </c>
      <c r="AR38">
        <v>249654</v>
      </c>
      <c r="AS38">
        <v>608</v>
      </c>
      <c r="AT38">
        <v>355377</v>
      </c>
      <c r="AU38">
        <v>971</v>
      </c>
      <c r="AV38">
        <v>265470</v>
      </c>
      <c r="AW38">
        <v>609</v>
      </c>
      <c r="AX38">
        <v>262</v>
      </c>
      <c r="AY38">
        <v>14889</v>
      </c>
      <c r="AZ38">
        <v>646</v>
      </c>
      <c r="BA38">
        <v>25310</v>
      </c>
      <c r="BB38">
        <v>1632100</v>
      </c>
      <c r="BC38">
        <v>22864</v>
      </c>
      <c r="BD38">
        <v>1563041</v>
      </c>
      <c r="BE38">
        <v>17708</v>
      </c>
      <c r="BF38">
        <v>100020</v>
      </c>
      <c r="BG38">
        <v>44200</v>
      </c>
      <c r="BH38">
        <v>24521</v>
      </c>
      <c r="BI38">
        <v>50605</v>
      </c>
      <c r="BJ38">
        <v>27895</v>
      </c>
      <c r="BK38">
        <v>84024</v>
      </c>
      <c r="BL38" t="s">
        <v>73</v>
      </c>
      <c r="BM38" t="s">
        <v>73</v>
      </c>
      <c r="BN38" t="s">
        <v>73</v>
      </c>
      <c r="BO38" t="s">
        <v>73</v>
      </c>
      <c r="BP38" t="s">
        <v>73</v>
      </c>
      <c r="BQ38" t="s">
        <v>73</v>
      </c>
      <c r="BR38" t="s">
        <v>73</v>
      </c>
      <c r="BS38" t="s">
        <v>73</v>
      </c>
      <c r="BT38" t="s">
        <v>73</v>
      </c>
      <c r="BU38" t="s">
        <v>73</v>
      </c>
      <c r="BV38">
        <v>19158</v>
      </c>
      <c r="BW38">
        <v>8844</v>
      </c>
      <c r="BX38">
        <v>19167</v>
      </c>
      <c r="BY38">
        <v>8547</v>
      </c>
      <c r="BZ38">
        <v>35767</v>
      </c>
      <c r="CA38">
        <v>336707</v>
      </c>
      <c r="CB38">
        <v>4559</v>
      </c>
      <c r="CC38">
        <v>346164</v>
      </c>
      <c r="CD38">
        <v>5398</v>
      </c>
      <c r="CE38">
        <v>376263</v>
      </c>
      <c r="CF38">
        <v>424279</v>
      </c>
      <c r="CG38">
        <v>3220</v>
      </c>
      <c r="CH38">
        <v>520449</v>
      </c>
      <c r="CI38">
        <v>10855</v>
      </c>
      <c r="CJ38">
        <v>683919</v>
      </c>
      <c r="CK38">
        <v>81728</v>
      </c>
      <c r="CL38">
        <v>5468</v>
      </c>
      <c r="CM38">
        <v>158632</v>
      </c>
      <c r="CN38">
        <v>12673</v>
      </c>
      <c r="CO38">
        <v>95708</v>
      </c>
      <c r="CP38">
        <v>436241</v>
      </c>
      <c r="CQ38">
        <v>4254</v>
      </c>
      <c r="CR38">
        <v>436515</v>
      </c>
      <c r="CS38">
        <v>4330</v>
      </c>
      <c r="CT38">
        <v>621566</v>
      </c>
      <c r="CU38">
        <v>46658</v>
      </c>
      <c r="CV38">
        <v>7823</v>
      </c>
      <c r="CW38">
        <v>32042</v>
      </c>
      <c r="CX38">
        <v>4472</v>
      </c>
      <c r="CY38">
        <v>38829</v>
      </c>
      <c r="CZ38" t="s">
        <v>73</v>
      </c>
      <c r="DA38" t="s">
        <v>73</v>
      </c>
      <c r="DB38" t="s">
        <v>73</v>
      </c>
      <c r="DC38" t="s">
        <v>73</v>
      </c>
      <c r="DD38" t="s">
        <v>73</v>
      </c>
      <c r="DE38">
        <v>43310</v>
      </c>
      <c r="DF38">
        <v>6160</v>
      </c>
      <c r="DG38">
        <v>244347</v>
      </c>
      <c r="DH38">
        <v>38364</v>
      </c>
      <c r="DI38">
        <v>232746</v>
      </c>
      <c r="DJ38">
        <v>94228</v>
      </c>
      <c r="DK38">
        <v>2734</v>
      </c>
      <c r="DL38">
        <v>112188</v>
      </c>
      <c r="DM38">
        <v>1483</v>
      </c>
      <c r="DN38">
        <v>136750</v>
      </c>
      <c r="DO38">
        <v>7750</v>
      </c>
      <c r="DP38">
        <v>2795</v>
      </c>
      <c r="DQ38">
        <v>6367</v>
      </c>
      <c r="DR38">
        <v>3728</v>
      </c>
      <c r="DS38">
        <v>6844</v>
      </c>
      <c r="DT38">
        <v>7501</v>
      </c>
      <c r="DU38">
        <v>458</v>
      </c>
      <c r="DV38">
        <v>117</v>
      </c>
      <c r="DW38">
        <v>16</v>
      </c>
      <c r="DX38">
        <v>4921</v>
      </c>
      <c r="DY38">
        <v>56058</v>
      </c>
      <c r="DZ38">
        <v>10689</v>
      </c>
      <c r="EA38">
        <v>68364</v>
      </c>
      <c r="EB38">
        <v>16642</v>
      </c>
      <c r="EC38">
        <v>69358</v>
      </c>
      <c r="ED38">
        <v>56790</v>
      </c>
      <c r="EE38">
        <v>207717</v>
      </c>
      <c r="EF38">
        <v>60341</v>
      </c>
      <c r="EG38">
        <v>210949</v>
      </c>
      <c r="EH38">
        <v>39286</v>
      </c>
      <c r="EI38" t="s">
        <v>73</v>
      </c>
      <c r="EJ38" t="s">
        <v>73</v>
      </c>
      <c r="EK38" t="s">
        <v>73</v>
      </c>
      <c r="EL38" t="s">
        <v>73</v>
      </c>
      <c r="EM38" t="s">
        <v>73</v>
      </c>
      <c r="EN38">
        <v>86994</v>
      </c>
      <c r="EO38">
        <v>50977</v>
      </c>
      <c r="EP38">
        <v>104562</v>
      </c>
      <c r="EQ38">
        <v>45954</v>
      </c>
      <c r="ER38">
        <v>134495</v>
      </c>
      <c r="ES38">
        <v>1681</v>
      </c>
      <c r="ET38">
        <v>4318</v>
      </c>
      <c r="EU38">
        <v>1924</v>
      </c>
      <c r="EV38">
        <v>5256</v>
      </c>
      <c r="EW38">
        <v>1605</v>
      </c>
      <c r="EX38">
        <v>993</v>
      </c>
      <c r="EY38">
        <v>6615</v>
      </c>
      <c r="EZ38">
        <v>899</v>
      </c>
      <c r="FA38">
        <v>6300</v>
      </c>
      <c r="FB38">
        <v>551</v>
      </c>
      <c r="FC38">
        <v>2825</v>
      </c>
      <c r="FD38">
        <v>18051</v>
      </c>
      <c r="FE38">
        <v>2525</v>
      </c>
      <c r="FF38">
        <v>17709</v>
      </c>
      <c r="FG38">
        <v>252</v>
      </c>
      <c r="FH38">
        <v>7060</v>
      </c>
      <c r="FI38">
        <v>1082</v>
      </c>
      <c r="FJ38">
        <v>38972</v>
      </c>
      <c r="FK38">
        <v>1889</v>
      </c>
      <c r="FL38">
        <v>192916</v>
      </c>
    </row>
    <row r="39" spans="1:168" x14ac:dyDescent="0.4">
      <c r="A39" s="1"/>
      <c r="B39" s="1"/>
    </row>
    <row r="40" spans="1:168" x14ac:dyDescent="0.4">
      <c r="A40" s="1"/>
      <c r="B40" s="1"/>
    </row>
  </sheetData>
  <phoneticPr fontId="2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EB94B-00BF-4A11-9E8B-48A645813863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1349</v>
      </c>
      <c r="D3" t="s">
        <v>1349</v>
      </c>
      <c r="E3" t="s">
        <v>1351</v>
      </c>
      <c r="F3" t="s">
        <v>1351</v>
      </c>
      <c r="G3" t="s">
        <v>1351</v>
      </c>
      <c r="H3" t="s">
        <v>1351</v>
      </c>
      <c r="I3" t="s">
        <v>1353</v>
      </c>
      <c r="J3" t="s">
        <v>1353</v>
      </c>
      <c r="K3" t="s">
        <v>1353</v>
      </c>
      <c r="L3" t="s">
        <v>1353</v>
      </c>
      <c r="M3" t="s">
        <v>1355</v>
      </c>
      <c r="N3" t="s">
        <v>1355</v>
      </c>
      <c r="O3" t="s">
        <v>1355</v>
      </c>
      <c r="P3" t="s">
        <v>1355</v>
      </c>
      <c r="Q3" t="s">
        <v>1357</v>
      </c>
      <c r="R3" t="s">
        <v>1357</v>
      </c>
      <c r="S3" t="s">
        <v>1359</v>
      </c>
      <c r="T3" t="s">
        <v>1359</v>
      </c>
      <c r="U3" t="s">
        <v>1361</v>
      </c>
      <c r="V3" t="s">
        <v>1361</v>
      </c>
      <c r="W3" t="s">
        <v>1363</v>
      </c>
      <c r="X3" t="s">
        <v>1363</v>
      </c>
      <c r="Y3" t="s">
        <v>1365</v>
      </c>
      <c r="Z3" t="s">
        <v>1365</v>
      </c>
      <c r="AA3" t="s">
        <v>1367</v>
      </c>
      <c r="AB3" t="s">
        <v>1367</v>
      </c>
      <c r="AC3" t="s">
        <v>1369</v>
      </c>
      <c r="AD3" t="s">
        <v>1369</v>
      </c>
      <c r="AE3" t="s">
        <v>1371</v>
      </c>
      <c r="AF3" t="s">
        <v>1371</v>
      </c>
      <c r="AG3" t="s">
        <v>1373</v>
      </c>
      <c r="AH3" t="s">
        <v>1373</v>
      </c>
      <c r="AI3" t="s">
        <v>1375</v>
      </c>
      <c r="AJ3" t="s">
        <v>1375</v>
      </c>
      <c r="AK3" t="s">
        <v>1377</v>
      </c>
      <c r="AL3" t="s">
        <v>1377</v>
      </c>
      <c r="AM3" t="s">
        <v>1379</v>
      </c>
      <c r="AN3" t="s">
        <v>1379</v>
      </c>
      <c r="AO3" t="s">
        <v>1381</v>
      </c>
      <c r="AP3" t="s">
        <v>1381</v>
      </c>
    </row>
    <row r="4" spans="1:42" x14ac:dyDescent="0.4">
      <c r="A4" s="1"/>
      <c r="B4" s="2" t="s">
        <v>1</v>
      </c>
      <c r="C4" t="s">
        <v>1350</v>
      </c>
      <c r="D4" t="s">
        <v>1350</v>
      </c>
      <c r="E4" t="s">
        <v>1352</v>
      </c>
      <c r="F4" t="s">
        <v>1352</v>
      </c>
      <c r="G4" t="s">
        <v>1352</v>
      </c>
      <c r="H4" t="s">
        <v>1352</v>
      </c>
      <c r="I4" t="s">
        <v>1354</v>
      </c>
      <c r="J4" t="s">
        <v>1354</v>
      </c>
      <c r="K4" t="s">
        <v>1354</v>
      </c>
      <c r="L4" t="s">
        <v>1354</v>
      </c>
      <c r="M4" t="s">
        <v>1356</v>
      </c>
      <c r="N4" t="s">
        <v>1356</v>
      </c>
      <c r="O4" t="s">
        <v>1356</v>
      </c>
      <c r="P4" t="s">
        <v>1356</v>
      </c>
      <c r="Q4" t="s">
        <v>1358</v>
      </c>
      <c r="R4" t="s">
        <v>1358</v>
      </c>
      <c r="S4" t="s">
        <v>1360</v>
      </c>
      <c r="T4" t="s">
        <v>1360</v>
      </c>
      <c r="U4" t="s">
        <v>1362</v>
      </c>
      <c r="V4" t="s">
        <v>1362</v>
      </c>
      <c r="W4" t="s">
        <v>1364</v>
      </c>
      <c r="X4" t="s">
        <v>1364</v>
      </c>
      <c r="Y4" t="s">
        <v>1366</v>
      </c>
      <c r="Z4" t="s">
        <v>1366</v>
      </c>
      <c r="AA4" t="s">
        <v>1368</v>
      </c>
      <c r="AB4" t="s">
        <v>1368</v>
      </c>
      <c r="AC4" t="s">
        <v>1370</v>
      </c>
      <c r="AD4" t="s">
        <v>1370</v>
      </c>
      <c r="AE4" t="s">
        <v>1372</v>
      </c>
      <c r="AF4" t="s">
        <v>1372</v>
      </c>
      <c r="AG4" t="s">
        <v>1374</v>
      </c>
      <c r="AH4" t="s">
        <v>1374</v>
      </c>
      <c r="AI4" t="s">
        <v>1376</v>
      </c>
      <c r="AJ4" t="s">
        <v>1376</v>
      </c>
      <c r="AK4" t="s">
        <v>1378</v>
      </c>
      <c r="AL4" t="s">
        <v>1378</v>
      </c>
      <c r="AM4" t="s">
        <v>1380</v>
      </c>
      <c r="AN4" t="s">
        <v>1380</v>
      </c>
      <c r="AO4" t="s">
        <v>1382</v>
      </c>
      <c r="AP4" t="s">
        <v>1382</v>
      </c>
    </row>
    <row r="5" spans="1:42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74</v>
      </c>
      <c r="H5" t="s">
        <v>76</v>
      </c>
      <c r="I5" t="s">
        <v>69</v>
      </c>
      <c r="J5" t="s">
        <v>257</v>
      </c>
      <c r="K5" t="s">
        <v>74</v>
      </c>
      <c r="L5" t="s">
        <v>76</v>
      </c>
      <c r="M5" t="s">
        <v>69</v>
      </c>
      <c r="N5" t="s">
        <v>257</v>
      </c>
      <c r="O5" t="s">
        <v>74</v>
      </c>
      <c r="P5" t="s">
        <v>76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</row>
    <row r="6" spans="1:42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75</v>
      </c>
      <c r="H6" t="s">
        <v>77</v>
      </c>
      <c r="I6" t="s">
        <v>72</v>
      </c>
      <c r="J6" t="s">
        <v>259</v>
      </c>
      <c r="K6" t="s">
        <v>75</v>
      </c>
      <c r="L6" t="s">
        <v>77</v>
      </c>
      <c r="M6" t="s">
        <v>72</v>
      </c>
      <c r="N6" t="s">
        <v>259</v>
      </c>
      <c r="O6" t="s">
        <v>75</v>
      </c>
      <c r="P6" t="s">
        <v>77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</row>
    <row r="7" spans="1:4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251</v>
      </c>
      <c r="J7" t="s">
        <v>258</v>
      </c>
      <c r="K7" t="s">
        <v>251</v>
      </c>
      <c r="L7" t="s">
        <v>251</v>
      </c>
      <c r="M7" t="s">
        <v>251</v>
      </c>
      <c r="N7" t="s">
        <v>258</v>
      </c>
      <c r="O7" t="s">
        <v>251</v>
      </c>
      <c r="P7" t="s">
        <v>251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</row>
    <row r="8" spans="1:4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253</v>
      </c>
      <c r="J8" t="s">
        <v>260</v>
      </c>
      <c r="K8" t="s">
        <v>253</v>
      </c>
      <c r="L8" t="s">
        <v>253</v>
      </c>
      <c r="M8" t="s">
        <v>253</v>
      </c>
      <c r="N8" t="s">
        <v>260</v>
      </c>
      <c r="O8" t="s">
        <v>253</v>
      </c>
      <c r="P8" t="s">
        <v>253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</row>
    <row r="9" spans="1:42" x14ac:dyDescent="0.4">
      <c r="A9" s="1" t="s">
        <v>6</v>
      </c>
      <c r="B9" s="3" t="s">
        <v>7</v>
      </c>
      <c r="C9">
        <v>2692</v>
      </c>
      <c r="D9">
        <v>23951</v>
      </c>
      <c r="E9">
        <v>156615</v>
      </c>
      <c r="F9">
        <v>67328</v>
      </c>
      <c r="G9">
        <v>164242</v>
      </c>
      <c r="H9">
        <v>2618</v>
      </c>
      <c r="I9">
        <v>1272185</v>
      </c>
      <c r="J9">
        <v>108337</v>
      </c>
      <c r="K9">
        <v>1422664</v>
      </c>
      <c r="L9">
        <v>3399</v>
      </c>
      <c r="M9">
        <v>4091270</v>
      </c>
      <c r="N9">
        <v>417119</v>
      </c>
      <c r="O9">
        <v>5309451</v>
      </c>
      <c r="P9">
        <v>28834</v>
      </c>
      <c r="Q9">
        <v>15907</v>
      </c>
      <c r="R9">
        <v>99603</v>
      </c>
      <c r="S9">
        <v>125958</v>
      </c>
      <c r="T9">
        <v>11662</v>
      </c>
      <c r="U9">
        <v>9767</v>
      </c>
      <c r="V9">
        <v>9573</v>
      </c>
      <c r="W9">
        <v>470310</v>
      </c>
      <c r="X9">
        <v>31100</v>
      </c>
      <c r="Y9">
        <v>1871797</v>
      </c>
      <c r="Z9">
        <v>22661</v>
      </c>
      <c r="AA9">
        <v>1180435</v>
      </c>
      <c r="AB9">
        <v>52668</v>
      </c>
      <c r="AC9">
        <v>47245</v>
      </c>
      <c r="AD9">
        <v>10613</v>
      </c>
      <c r="AE9">
        <v>16408</v>
      </c>
      <c r="AF9">
        <v>9976</v>
      </c>
      <c r="AG9">
        <v>15729</v>
      </c>
      <c r="AH9">
        <v>29016</v>
      </c>
      <c r="AI9">
        <v>32425</v>
      </c>
      <c r="AJ9">
        <v>14245</v>
      </c>
      <c r="AK9">
        <v>2509</v>
      </c>
      <c r="AL9">
        <v>1504</v>
      </c>
      <c r="AM9">
        <v>78472</v>
      </c>
      <c r="AN9">
        <v>5284</v>
      </c>
      <c r="AO9">
        <v>585923</v>
      </c>
      <c r="AP9">
        <v>37233</v>
      </c>
    </row>
    <row r="10" spans="1:42" x14ac:dyDescent="0.4">
      <c r="A10" s="1" t="s">
        <v>8</v>
      </c>
      <c r="B10" s="3" t="s">
        <v>9</v>
      </c>
      <c r="C10">
        <v>2380</v>
      </c>
      <c r="D10">
        <v>20967</v>
      </c>
      <c r="E10">
        <v>148320</v>
      </c>
      <c r="F10">
        <v>71438</v>
      </c>
      <c r="G10">
        <v>156297</v>
      </c>
      <c r="H10">
        <v>3036</v>
      </c>
      <c r="I10">
        <v>1085238</v>
      </c>
      <c r="J10">
        <v>111939</v>
      </c>
      <c r="K10">
        <v>1213653</v>
      </c>
      <c r="L10">
        <v>3480</v>
      </c>
      <c r="M10">
        <v>3508443</v>
      </c>
      <c r="N10">
        <v>395080</v>
      </c>
      <c r="O10">
        <v>4131493</v>
      </c>
      <c r="P10">
        <v>27903</v>
      </c>
      <c r="Q10">
        <v>15830</v>
      </c>
      <c r="R10">
        <v>103044</v>
      </c>
      <c r="S10">
        <v>128139</v>
      </c>
      <c r="T10">
        <v>7988</v>
      </c>
      <c r="U10">
        <v>9597</v>
      </c>
      <c r="V10">
        <v>10507</v>
      </c>
      <c r="W10">
        <v>830446</v>
      </c>
      <c r="X10">
        <v>41221</v>
      </c>
      <c r="Y10">
        <v>1882216</v>
      </c>
      <c r="Z10">
        <v>25604</v>
      </c>
      <c r="AA10">
        <v>1344492</v>
      </c>
      <c r="AB10">
        <v>64710</v>
      </c>
      <c r="AC10">
        <v>57818</v>
      </c>
      <c r="AD10">
        <v>14129</v>
      </c>
      <c r="AE10">
        <v>4559</v>
      </c>
      <c r="AF10">
        <v>9664</v>
      </c>
      <c r="AG10">
        <v>8976</v>
      </c>
      <c r="AH10">
        <v>22086</v>
      </c>
      <c r="AI10">
        <v>38507</v>
      </c>
      <c r="AJ10">
        <v>15071</v>
      </c>
      <c r="AK10">
        <v>1680</v>
      </c>
      <c r="AL10">
        <v>894</v>
      </c>
      <c r="AM10">
        <v>76714</v>
      </c>
      <c r="AN10">
        <v>4991</v>
      </c>
      <c r="AO10">
        <v>503635</v>
      </c>
      <c r="AP10">
        <v>38088</v>
      </c>
    </row>
    <row r="11" spans="1:42" x14ac:dyDescent="0.4">
      <c r="A11" s="1" t="s">
        <v>10</v>
      </c>
      <c r="B11" s="3" t="s">
        <v>11</v>
      </c>
      <c r="C11">
        <v>2413</v>
      </c>
      <c r="D11">
        <v>20408</v>
      </c>
      <c r="E11">
        <v>148378</v>
      </c>
      <c r="F11">
        <v>78202</v>
      </c>
      <c r="G11">
        <v>154602</v>
      </c>
      <c r="H11">
        <v>1816</v>
      </c>
      <c r="I11">
        <v>1268830</v>
      </c>
      <c r="J11">
        <v>147062</v>
      </c>
      <c r="K11">
        <v>1388883</v>
      </c>
      <c r="L11">
        <v>3129</v>
      </c>
      <c r="M11">
        <v>3582687</v>
      </c>
      <c r="N11">
        <v>399489</v>
      </c>
      <c r="O11">
        <v>4059626</v>
      </c>
      <c r="P11">
        <v>36002</v>
      </c>
      <c r="Q11">
        <v>14232</v>
      </c>
      <c r="R11">
        <v>110261</v>
      </c>
      <c r="S11">
        <v>107394</v>
      </c>
      <c r="T11">
        <v>6847</v>
      </c>
      <c r="U11">
        <v>10000</v>
      </c>
      <c r="V11">
        <v>10926</v>
      </c>
      <c r="W11">
        <v>384610</v>
      </c>
      <c r="X11">
        <v>39392</v>
      </c>
      <c r="Y11">
        <v>1407962</v>
      </c>
      <c r="Z11">
        <v>26109</v>
      </c>
      <c r="AA11">
        <v>1113496</v>
      </c>
      <c r="AB11">
        <v>66251</v>
      </c>
      <c r="AC11">
        <v>51111</v>
      </c>
      <c r="AD11">
        <v>15643</v>
      </c>
      <c r="AE11">
        <v>5026</v>
      </c>
      <c r="AF11">
        <v>13052</v>
      </c>
      <c r="AG11">
        <v>23741</v>
      </c>
      <c r="AH11">
        <v>52418</v>
      </c>
      <c r="AI11">
        <v>46238</v>
      </c>
      <c r="AJ11">
        <v>21038</v>
      </c>
      <c r="AK11">
        <v>1813</v>
      </c>
      <c r="AL11">
        <v>1186</v>
      </c>
      <c r="AM11">
        <v>78205</v>
      </c>
      <c r="AN11">
        <v>5363</v>
      </c>
      <c r="AO11">
        <v>426959</v>
      </c>
      <c r="AP11">
        <v>28213</v>
      </c>
    </row>
    <row r="12" spans="1:42" x14ac:dyDescent="0.4">
      <c r="A12" s="1" t="s">
        <v>12</v>
      </c>
      <c r="B12" s="3" t="s">
        <v>13</v>
      </c>
      <c r="C12">
        <v>1367</v>
      </c>
      <c r="D12">
        <v>17149</v>
      </c>
      <c r="E12">
        <v>91947</v>
      </c>
      <c r="F12">
        <v>73605</v>
      </c>
      <c r="G12">
        <v>97619</v>
      </c>
      <c r="H12">
        <v>502</v>
      </c>
      <c r="I12">
        <v>1353574</v>
      </c>
      <c r="J12">
        <v>162859</v>
      </c>
      <c r="K12">
        <v>1472020</v>
      </c>
      <c r="L12">
        <v>4156</v>
      </c>
      <c r="M12">
        <v>3879124</v>
      </c>
      <c r="N12">
        <v>448928</v>
      </c>
      <c r="O12">
        <v>4433951</v>
      </c>
      <c r="P12">
        <v>46755</v>
      </c>
      <c r="Q12">
        <v>12411</v>
      </c>
      <c r="R12">
        <v>118897</v>
      </c>
      <c r="S12">
        <v>112130</v>
      </c>
      <c r="T12">
        <v>6916</v>
      </c>
      <c r="U12">
        <v>8889</v>
      </c>
      <c r="V12">
        <v>11783</v>
      </c>
      <c r="W12">
        <v>345008</v>
      </c>
      <c r="X12">
        <v>44220</v>
      </c>
      <c r="Y12">
        <v>85247</v>
      </c>
      <c r="Z12">
        <v>22327</v>
      </c>
      <c r="AA12">
        <v>833048</v>
      </c>
      <c r="AB12">
        <v>45797</v>
      </c>
      <c r="AC12">
        <v>59660</v>
      </c>
      <c r="AD12">
        <v>14190</v>
      </c>
      <c r="AE12" t="s">
        <v>73</v>
      </c>
      <c r="AF12" t="s">
        <v>73</v>
      </c>
      <c r="AG12">
        <v>23621</v>
      </c>
      <c r="AH12">
        <v>47578</v>
      </c>
      <c r="AI12">
        <v>95275</v>
      </c>
      <c r="AJ12">
        <v>39501</v>
      </c>
      <c r="AK12">
        <v>1278</v>
      </c>
      <c r="AL12">
        <v>845</v>
      </c>
      <c r="AM12">
        <v>154584</v>
      </c>
      <c r="AN12">
        <v>8288</v>
      </c>
      <c r="AO12">
        <v>417081</v>
      </c>
      <c r="AP12">
        <v>22398</v>
      </c>
    </row>
    <row r="13" spans="1:42" x14ac:dyDescent="0.4">
      <c r="A13" s="1" t="s">
        <v>14</v>
      </c>
      <c r="B13" s="3" t="s">
        <v>15</v>
      </c>
      <c r="C13">
        <v>1008</v>
      </c>
      <c r="D13">
        <v>12700</v>
      </c>
      <c r="E13">
        <v>141642</v>
      </c>
      <c r="F13">
        <v>81983</v>
      </c>
      <c r="G13">
        <v>146574</v>
      </c>
      <c r="H13">
        <v>737</v>
      </c>
      <c r="I13">
        <v>1529953</v>
      </c>
      <c r="J13">
        <v>182801</v>
      </c>
      <c r="K13">
        <v>1666191</v>
      </c>
      <c r="L13">
        <v>4373</v>
      </c>
      <c r="M13">
        <v>4819752</v>
      </c>
      <c r="N13">
        <v>499446</v>
      </c>
      <c r="O13">
        <v>5552514</v>
      </c>
      <c r="P13">
        <v>256277</v>
      </c>
      <c r="Q13">
        <v>8436</v>
      </c>
      <c r="R13">
        <v>103394</v>
      </c>
      <c r="S13">
        <v>81015</v>
      </c>
      <c r="T13">
        <v>7422</v>
      </c>
      <c r="U13">
        <v>7852</v>
      </c>
      <c r="V13">
        <v>10249</v>
      </c>
      <c r="W13">
        <v>352327</v>
      </c>
      <c r="X13">
        <v>50238</v>
      </c>
      <c r="Y13">
        <v>92102</v>
      </c>
      <c r="Z13">
        <v>19148</v>
      </c>
      <c r="AA13">
        <v>834036</v>
      </c>
      <c r="AB13">
        <v>47830</v>
      </c>
      <c r="AC13">
        <v>48952</v>
      </c>
      <c r="AD13">
        <v>14259</v>
      </c>
      <c r="AE13" t="s">
        <v>73</v>
      </c>
      <c r="AF13" t="s">
        <v>73</v>
      </c>
      <c r="AG13">
        <v>15548</v>
      </c>
      <c r="AH13">
        <v>34832</v>
      </c>
      <c r="AI13">
        <v>44128</v>
      </c>
      <c r="AJ13">
        <v>19109</v>
      </c>
      <c r="AK13">
        <v>585</v>
      </c>
      <c r="AL13">
        <v>404</v>
      </c>
      <c r="AM13">
        <v>96564</v>
      </c>
      <c r="AN13">
        <v>5475</v>
      </c>
      <c r="AO13">
        <v>463880</v>
      </c>
      <c r="AP13">
        <v>27665</v>
      </c>
    </row>
    <row r="14" spans="1:42" x14ac:dyDescent="0.4">
      <c r="A14" s="1" t="s">
        <v>16</v>
      </c>
      <c r="B14" s="1" t="s">
        <v>17</v>
      </c>
      <c r="C14">
        <v>159</v>
      </c>
      <c r="D14">
        <v>3126</v>
      </c>
      <c r="E14">
        <v>12281</v>
      </c>
      <c r="F14">
        <v>13345</v>
      </c>
      <c r="G14">
        <v>12899</v>
      </c>
      <c r="H14">
        <v>1042</v>
      </c>
      <c r="I14">
        <v>108334</v>
      </c>
      <c r="J14">
        <v>13271</v>
      </c>
      <c r="K14">
        <v>121361</v>
      </c>
      <c r="L14">
        <v>2425</v>
      </c>
      <c r="M14">
        <v>362875</v>
      </c>
      <c r="N14">
        <v>41892</v>
      </c>
      <c r="O14">
        <v>423537</v>
      </c>
      <c r="P14">
        <v>35354</v>
      </c>
      <c r="Q14">
        <v>1559</v>
      </c>
      <c r="R14">
        <v>15634</v>
      </c>
      <c r="S14">
        <v>9672</v>
      </c>
      <c r="T14">
        <v>606</v>
      </c>
      <c r="U14">
        <v>702</v>
      </c>
      <c r="V14">
        <v>976</v>
      </c>
      <c r="W14">
        <v>32845</v>
      </c>
      <c r="X14">
        <v>3474</v>
      </c>
      <c r="Y14">
        <v>7683</v>
      </c>
      <c r="Z14">
        <v>2092</v>
      </c>
      <c r="AA14">
        <v>81992</v>
      </c>
      <c r="AB14">
        <v>4612</v>
      </c>
      <c r="AC14">
        <v>4097</v>
      </c>
      <c r="AD14">
        <v>690</v>
      </c>
      <c r="AE14" t="s">
        <v>73</v>
      </c>
      <c r="AF14" t="s">
        <v>73</v>
      </c>
      <c r="AG14">
        <v>2648</v>
      </c>
      <c r="AH14">
        <v>6045</v>
      </c>
      <c r="AI14">
        <v>10057</v>
      </c>
      <c r="AJ14">
        <v>3282</v>
      </c>
      <c r="AK14">
        <v>368</v>
      </c>
      <c r="AL14">
        <v>206</v>
      </c>
      <c r="AM14">
        <v>20332</v>
      </c>
      <c r="AN14">
        <v>1203</v>
      </c>
      <c r="AO14">
        <v>34696</v>
      </c>
      <c r="AP14">
        <v>1776</v>
      </c>
    </row>
    <row r="15" spans="1:42" x14ac:dyDescent="0.4">
      <c r="A15" s="1" t="s">
        <v>18</v>
      </c>
      <c r="B15" s="1" t="s">
        <v>19</v>
      </c>
      <c r="C15">
        <v>84</v>
      </c>
      <c r="D15">
        <v>778</v>
      </c>
      <c r="E15">
        <v>4957</v>
      </c>
      <c r="F15">
        <v>4004</v>
      </c>
      <c r="G15">
        <v>5398</v>
      </c>
      <c r="H15">
        <v>684</v>
      </c>
      <c r="I15">
        <v>92782</v>
      </c>
      <c r="J15">
        <v>11534</v>
      </c>
      <c r="K15">
        <v>101501</v>
      </c>
      <c r="L15">
        <v>3936</v>
      </c>
      <c r="M15">
        <v>290396</v>
      </c>
      <c r="N15">
        <v>32688</v>
      </c>
      <c r="O15">
        <v>334931</v>
      </c>
      <c r="P15">
        <v>42684</v>
      </c>
      <c r="Q15">
        <v>825</v>
      </c>
      <c r="R15">
        <v>6940</v>
      </c>
      <c r="S15">
        <v>11784</v>
      </c>
      <c r="T15">
        <v>588</v>
      </c>
      <c r="U15">
        <v>730</v>
      </c>
      <c r="V15">
        <v>855</v>
      </c>
      <c r="W15">
        <v>33879</v>
      </c>
      <c r="X15">
        <v>3679</v>
      </c>
      <c r="Y15">
        <v>5590</v>
      </c>
      <c r="Z15">
        <v>1905</v>
      </c>
      <c r="AA15">
        <v>63516</v>
      </c>
      <c r="AB15">
        <v>3619</v>
      </c>
      <c r="AC15">
        <v>4290</v>
      </c>
      <c r="AD15">
        <v>1072</v>
      </c>
      <c r="AE15" t="s">
        <v>73</v>
      </c>
      <c r="AF15" t="s">
        <v>73</v>
      </c>
      <c r="AG15">
        <v>2283</v>
      </c>
      <c r="AH15">
        <v>5275</v>
      </c>
      <c r="AI15">
        <v>10013</v>
      </c>
      <c r="AJ15">
        <v>3706</v>
      </c>
      <c r="AK15">
        <v>46</v>
      </c>
      <c r="AL15">
        <v>20</v>
      </c>
      <c r="AM15">
        <v>17372</v>
      </c>
      <c r="AN15">
        <v>1347</v>
      </c>
      <c r="AO15">
        <v>22713</v>
      </c>
      <c r="AP15">
        <v>1343</v>
      </c>
    </row>
    <row r="16" spans="1:42" x14ac:dyDescent="0.4">
      <c r="A16" s="1" t="s">
        <v>20</v>
      </c>
      <c r="B16" s="1" t="s">
        <v>21</v>
      </c>
      <c r="C16">
        <v>92</v>
      </c>
      <c r="D16">
        <v>1053</v>
      </c>
      <c r="E16">
        <v>5228</v>
      </c>
      <c r="F16">
        <v>4026</v>
      </c>
      <c r="G16">
        <v>5701</v>
      </c>
      <c r="H16">
        <v>578</v>
      </c>
      <c r="I16">
        <v>85969</v>
      </c>
      <c r="J16">
        <v>10631</v>
      </c>
      <c r="K16">
        <v>92528</v>
      </c>
      <c r="L16">
        <v>4880</v>
      </c>
      <c r="M16">
        <v>222030</v>
      </c>
      <c r="N16">
        <v>27573</v>
      </c>
      <c r="O16">
        <v>270582</v>
      </c>
      <c r="P16">
        <v>32787</v>
      </c>
      <c r="Q16">
        <v>897</v>
      </c>
      <c r="R16">
        <v>9103</v>
      </c>
      <c r="S16">
        <v>12079</v>
      </c>
      <c r="T16">
        <v>575</v>
      </c>
      <c r="U16">
        <v>801</v>
      </c>
      <c r="V16">
        <v>1046</v>
      </c>
      <c r="W16">
        <v>28489</v>
      </c>
      <c r="X16">
        <v>3269</v>
      </c>
      <c r="Y16">
        <v>6159</v>
      </c>
      <c r="Z16">
        <v>2074</v>
      </c>
      <c r="AA16">
        <v>69609</v>
      </c>
      <c r="AB16">
        <v>3897</v>
      </c>
      <c r="AC16">
        <v>4411</v>
      </c>
      <c r="AD16">
        <v>1201</v>
      </c>
      <c r="AE16" t="s">
        <v>73</v>
      </c>
      <c r="AF16" t="s">
        <v>73</v>
      </c>
      <c r="AG16">
        <v>1926</v>
      </c>
      <c r="AH16">
        <v>4263</v>
      </c>
      <c r="AI16">
        <v>8995</v>
      </c>
      <c r="AJ16">
        <v>3413</v>
      </c>
      <c r="AK16">
        <v>42</v>
      </c>
      <c r="AL16">
        <v>19</v>
      </c>
      <c r="AM16">
        <v>11138</v>
      </c>
      <c r="AN16">
        <v>564</v>
      </c>
      <c r="AO16">
        <v>30082</v>
      </c>
      <c r="AP16">
        <v>1575</v>
      </c>
    </row>
    <row r="17" spans="1:42" x14ac:dyDescent="0.4">
      <c r="A17" s="1" t="s">
        <v>22</v>
      </c>
      <c r="B17" s="1" t="s">
        <v>23</v>
      </c>
      <c r="C17">
        <v>110</v>
      </c>
      <c r="D17">
        <v>2429</v>
      </c>
      <c r="E17">
        <v>6654</v>
      </c>
      <c r="F17">
        <v>6130</v>
      </c>
      <c r="G17">
        <v>7017</v>
      </c>
      <c r="H17">
        <v>541</v>
      </c>
      <c r="I17">
        <v>107205</v>
      </c>
      <c r="J17">
        <v>13594</v>
      </c>
      <c r="K17">
        <v>115843</v>
      </c>
      <c r="L17">
        <v>4299</v>
      </c>
      <c r="M17">
        <v>271581</v>
      </c>
      <c r="N17">
        <v>33237</v>
      </c>
      <c r="O17">
        <v>308247</v>
      </c>
      <c r="P17">
        <v>30983</v>
      </c>
      <c r="Q17">
        <v>1211</v>
      </c>
      <c r="R17">
        <v>13819</v>
      </c>
      <c r="S17">
        <v>9671</v>
      </c>
      <c r="T17">
        <v>386</v>
      </c>
      <c r="U17">
        <v>793</v>
      </c>
      <c r="V17">
        <v>1002</v>
      </c>
      <c r="W17">
        <v>30521</v>
      </c>
      <c r="X17">
        <v>3511</v>
      </c>
      <c r="Y17">
        <v>6606</v>
      </c>
      <c r="Z17">
        <v>2324</v>
      </c>
      <c r="AA17">
        <v>63169</v>
      </c>
      <c r="AB17">
        <v>3551</v>
      </c>
      <c r="AC17">
        <v>4744</v>
      </c>
      <c r="AD17">
        <v>1271</v>
      </c>
      <c r="AE17" t="s">
        <v>73</v>
      </c>
      <c r="AF17" t="s">
        <v>73</v>
      </c>
      <c r="AG17">
        <v>1498</v>
      </c>
      <c r="AH17">
        <v>2708</v>
      </c>
      <c r="AI17">
        <v>9005</v>
      </c>
      <c r="AJ17">
        <v>4110</v>
      </c>
      <c r="AK17">
        <v>132</v>
      </c>
      <c r="AL17">
        <v>79</v>
      </c>
      <c r="AM17">
        <v>9475</v>
      </c>
      <c r="AN17">
        <v>533</v>
      </c>
      <c r="AO17">
        <v>37898</v>
      </c>
      <c r="AP17">
        <v>2381</v>
      </c>
    </row>
    <row r="18" spans="1:42" x14ac:dyDescent="0.4">
      <c r="A18" s="1" t="s">
        <v>24</v>
      </c>
      <c r="B18" s="1" t="s">
        <v>25</v>
      </c>
      <c r="C18">
        <v>79</v>
      </c>
      <c r="D18">
        <v>706</v>
      </c>
      <c r="E18">
        <v>6272</v>
      </c>
      <c r="F18">
        <v>5525</v>
      </c>
      <c r="G18">
        <v>6827</v>
      </c>
      <c r="H18">
        <v>540</v>
      </c>
      <c r="I18">
        <v>131687</v>
      </c>
      <c r="J18">
        <v>14809</v>
      </c>
      <c r="K18">
        <v>141706</v>
      </c>
      <c r="L18">
        <v>4336</v>
      </c>
      <c r="M18">
        <v>312318</v>
      </c>
      <c r="N18">
        <v>37589</v>
      </c>
      <c r="O18">
        <v>344907</v>
      </c>
      <c r="P18">
        <v>37669</v>
      </c>
      <c r="Q18">
        <v>864</v>
      </c>
      <c r="R18">
        <v>5742</v>
      </c>
      <c r="S18">
        <v>12331</v>
      </c>
      <c r="T18">
        <v>671</v>
      </c>
      <c r="U18">
        <v>818</v>
      </c>
      <c r="V18">
        <v>1011</v>
      </c>
      <c r="W18">
        <v>29710</v>
      </c>
      <c r="X18">
        <v>4080</v>
      </c>
      <c r="Y18">
        <v>7661</v>
      </c>
      <c r="Z18">
        <v>2014</v>
      </c>
      <c r="AA18">
        <v>72476</v>
      </c>
      <c r="AB18">
        <v>4302</v>
      </c>
      <c r="AC18">
        <v>6179</v>
      </c>
      <c r="AD18">
        <v>1097</v>
      </c>
      <c r="AE18" t="s">
        <v>73</v>
      </c>
      <c r="AF18" t="s">
        <v>73</v>
      </c>
      <c r="AG18">
        <v>1870</v>
      </c>
      <c r="AH18">
        <v>3251</v>
      </c>
      <c r="AI18">
        <v>9781</v>
      </c>
      <c r="AJ18">
        <v>4236</v>
      </c>
      <c r="AK18">
        <v>42</v>
      </c>
      <c r="AL18">
        <v>30</v>
      </c>
      <c r="AM18">
        <v>7564</v>
      </c>
      <c r="AN18">
        <v>479</v>
      </c>
      <c r="AO18">
        <v>45964</v>
      </c>
      <c r="AP18">
        <v>2076</v>
      </c>
    </row>
    <row r="19" spans="1:42" x14ac:dyDescent="0.4">
      <c r="A19" s="1" t="s">
        <v>26</v>
      </c>
      <c r="B19" s="1" t="s">
        <v>27</v>
      </c>
      <c r="C19">
        <v>87</v>
      </c>
      <c r="D19">
        <v>1312</v>
      </c>
      <c r="E19">
        <v>6432</v>
      </c>
      <c r="F19">
        <v>5057</v>
      </c>
      <c r="G19">
        <v>6709</v>
      </c>
      <c r="H19">
        <v>565</v>
      </c>
      <c r="I19">
        <v>102458</v>
      </c>
      <c r="J19">
        <v>13904</v>
      </c>
      <c r="K19">
        <v>106399</v>
      </c>
      <c r="L19">
        <v>9871</v>
      </c>
      <c r="M19">
        <v>247772</v>
      </c>
      <c r="N19">
        <v>29710</v>
      </c>
      <c r="O19">
        <v>282191</v>
      </c>
      <c r="P19">
        <v>42383</v>
      </c>
      <c r="Q19">
        <v>979</v>
      </c>
      <c r="R19">
        <v>11125</v>
      </c>
      <c r="S19">
        <v>8035</v>
      </c>
      <c r="T19">
        <v>567</v>
      </c>
      <c r="U19">
        <v>663</v>
      </c>
      <c r="V19">
        <v>870</v>
      </c>
      <c r="W19">
        <v>17944</v>
      </c>
      <c r="X19">
        <v>3018</v>
      </c>
      <c r="Y19">
        <v>9045</v>
      </c>
      <c r="Z19">
        <v>1759</v>
      </c>
      <c r="AA19">
        <v>54818</v>
      </c>
      <c r="AB19">
        <v>2637</v>
      </c>
      <c r="AC19">
        <v>4808</v>
      </c>
      <c r="AD19">
        <v>989</v>
      </c>
      <c r="AE19" t="s">
        <v>73</v>
      </c>
      <c r="AF19" t="s">
        <v>73</v>
      </c>
      <c r="AG19">
        <v>1625</v>
      </c>
      <c r="AH19">
        <v>2823</v>
      </c>
      <c r="AI19">
        <v>7184</v>
      </c>
      <c r="AJ19">
        <v>3507</v>
      </c>
      <c r="AK19">
        <v>26</v>
      </c>
      <c r="AL19">
        <v>16</v>
      </c>
      <c r="AM19">
        <v>8552</v>
      </c>
      <c r="AN19">
        <v>445</v>
      </c>
      <c r="AO19">
        <v>30660</v>
      </c>
      <c r="AP19">
        <v>1560</v>
      </c>
    </row>
    <row r="20" spans="1:42" x14ac:dyDescent="0.4">
      <c r="A20" s="1" t="s">
        <v>28</v>
      </c>
      <c r="B20" s="1" t="s">
        <v>29</v>
      </c>
      <c r="C20">
        <v>116</v>
      </c>
      <c r="D20">
        <v>1230</v>
      </c>
      <c r="E20">
        <v>6566</v>
      </c>
      <c r="F20">
        <v>7485</v>
      </c>
      <c r="G20">
        <v>7163</v>
      </c>
      <c r="H20">
        <v>663</v>
      </c>
      <c r="I20">
        <v>122481</v>
      </c>
      <c r="J20">
        <v>13922</v>
      </c>
      <c r="K20">
        <v>138918</v>
      </c>
      <c r="L20">
        <v>2845</v>
      </c>
      <c r="M20">
        <v>330859</v>
      </c>
      <c r="N20">
        <v>39170</v>
      </c>
      <c r="O20">
        <v>374909</v>
      </c>
      <c r="P20">
        <v>40027</v>
      </c>
      <c r="Q20">
        <v>1140</v>
      </c>
      <c r="R20">
        <v>10454</v>
      </c>
      <c r="S20">
        <v>6067</v>
      </c>
      <c r="T20">
        <v>484</v>
      </c>
      <c r="U20">
        <v>716</v>
      </c>
      <c r="V20">
        <v>970</v>
      </c>
      <c r="W20">
        <v>23819</v>
      </c>
      <c r="X20">
        <v>3583</v>
      </c>
      <c r="Y20">
        <v>8178</v>
      </c>
      <c r="Z20">
        <v>1789</v>
      </c>
      <c r="AA20">
        <v>75196</v>
      </c>
      <c r="AB20">
        <v>3859</v>
      </c>
      <c r="AC20">
        <v>7197</v>
      </c>
      <c r="AD20">
        <v>1556</v>
      </c>
      <c r="AE20" t="s">
        <v>73</v>
      </c>
      <c r="AF20" t="s">
        <v>73</v>
      </c>
      <c r="AG20">
        <v>1644</v>
      </c>
      <c r="AH20">
        <v>2899</v>
      </c>
      <c r="AI20">
        <v>5821</v>
      </c>
      <c r="AJ20">
        <v>3017</v>
      </c>
      <c r="AK20">
        <v>223</v>
      </c>
      <c r="AL20">
        <v>163</v>
      </c>
      <c r="AM20">
        <v>7920</v>
      </c>
      <c r="AN20">
        <v>494</v>
      </c>
      <c r="AO20">
        <v>41579</v>
      </c>
      <c r="AP20">
        <v>1965</v>
      </c>
    </row>
    <row r="21" spans="1:42" x14ac:dyDescent="0.4">
      <c r="A21" s="1" t="s">
        <v>30</v>
      </c>
      <c r="B21" s="1" t="s">
        <v>31</v>
      </c>
      <c r="C21">
        <v>48</v>
      </c>
      <c r="D21">
        <v>417</v>
      </c>
      <c r="E21">
        <v>5722</v>
      </c>
      <c r="F21">
        <v>5478</v>
      </c>
      <c r="G21">
        <v>6298</v>
      </c>
      <c r="H21">
        <v>506</v>
      </c>
      <c r="I21">
        <v>127608</v>
      </c>
      <c r="J21">
        <v>15222</v>
      </c>
      <c r="K21">
        <v>135838</v>
      </c>
      <c r="L21">
        <v>5263</v>
      </c>
      <c r="M21">
        <v>431841</v>
      </c>
      <c r="N21">
        <v>46919</v>
      </c>
      <c r="O21">
        <v>469528</v>
      </c>
      <c r="P21">
        <v>48213</v>
      </c>
      <c r="Q21">
        <v>854</v>
      </c>
      <c r="R21">
        <v>9241</v>
      </c>
      <c r="S21">
        <v>9797</v>
      </c>
      <c r="T21">
        <v>877</v>
      </c>
      <c r="U21">
        <v>794</v>
      </c>
      <c r="V21">
        <v>1021</v>
      </c>
      <c r="W21">
        <v>28590</v>
      </c>
      <c r="X21">
        <v>4331</v>
      </c>
      <c r="Y21">
        <v>5987</v>
      </c>
      <c r="Z21">
        <v>1448</v>
      </c>
      <c r="AA21">
        <v>69461</v>
      </c>
      <c r="AB21">
        <v>3586</v>
      </c>
      <c r="AC21">
        <v>5298</v>
      </c>
      <c r="AD21">
        <v>1353</v>
      </c>
      <c r="AE21" t="s">
        <v>73</v>
      </c>
      <c r="AF21" t="s">
        <v>73</v>
      </c>
      <c r="AG21">
        <v>1609</v>
      </c>
      <c r="AH21">
        <v>2856</v>
      </c>
      <c r="AI21">
        <v>5574</v>
      </c>
      <c r="AJ21">
        <v>2400</v>
      </c>
      <c r="AK21">
        <v>51</v>
      </c>
      <c r="AL21">
        <v>32</v>
      </c>
      <c r="AM21">
        <v>11587</v>
      </c>
      <c r="AN21">
        <v>403</v>
      </c>
      <c r="AO21">
        <v>36331</v>
      </c>
      <c r="AP21">
        <v>1546</v>
      </c>
    </row>
    <row r="22" spans="1:42" x14ac:dyDescent="0.4">
      <c r="A22" s="1" t="s">
        <v>32</v>
      </c>
      <c r="B22" s="1" t="s">
        <v>33</v>
      </c>
      <c r="C22">
        <v>201</v>
      </c>
      <c r="D22">
        <v>2331</v>
      </c>
      <c r="E22">
        <v>5008</v>
      </c>
      <c r="F22">
        <v>4208</v>
      </c>
      <c r="G22">
        <v>5510</v>
      </c>
      <c r="H22">
        <v>444</v>
      </c>
      <c r="I22">
        <v>111310</v>
      </c>
      <c r="J22">
        <v>13616</v>
      </c>
      <c r="K22">
        <v>121406</v>
      </c>
      <c r="L22">
        <v>6945</v>
      </c>
      <c r="M22">
        <v>308098</v>
      </c>
      <c r="N22">
        <v>37197</v>
      </c>
      <c r="O22">
        <v>354064</v>
      </c>
      <c r="P22">
        <v>54754</v>
      </c>
      <c r="Q22">
        <v>961</v>
      </c>
      <c r="R22">
        <v>10206</v>
      </c>
      <c r="S22">
        <v>6553</v>
      </c>
      <c r="T22">
        <v>546</v>
      </c>
      <c r="U22">
        <v>813</v>
      </c>
      <c r="V22">
        <v>1183</v>
      </c>
      <c r="W22">
        <v>34737</v>
      </c>
      <c r="X22">
        <v>4659</v>
      </c>
      <c r="Y22">
        <v>8533</v>
      </c>
      <c r="Z22">
        <v>1756</v>
      </c>
      <c r="AA22">
        <v>60435</v>
      </c>
      <c r="AB22">
        <v>3253</v>
      </c>
      <c r="AC22">
        <v>3302</v>
      </c>
      <c r="AD22">
        <v>746</v>
      </c>
      <c r="AE22" t="s">
        <v>73</v>
      </c>
      <c r="AF22" t="s">
        <v>73</v>
      </c>
      <c r="AG22">
        <v>1583</v>
      </c>
      <c r="AH22">
        <v>2692</v>
      </c>
      <c r="AI22">
        <v>5521</v>
      </c>
      <c r="AJ22">
        <v>2501</v>
      </c>
      <c r="AK22">
        <v>47</v>
      </c>
      <c r="AL22">
        <v>54</v>
      </c>
      <c r="AM22">
        <v>13424</v>
      </c>
      <c r="AN22">
        <v>411</v>
      </c>
      <c r="AO22">
        <v>34866</v>
      </c>
      <c r="AP22">
        <v>2063</v>
      </c>
    </row>
    <row r="23" spans="1:42" x14ac:dyDescent="0.4">
      <c r="A23" s="1" t="s">
        <v>34</v>
      </c>
      <c r="B23" s="1" t="s">
        <v>35</v>
      </c>
      <c r="C23">
        <v>167</v>
      </c>
      <c r="D23">
        <v>1829</v>
      </c>
      <c r="E23">
        <v>5622</v>
      </c>
      <c r="F23">
        <v>3978</v>
      </c>
      <c r="G23">
        <v>5963</v>
      </c>
      <c r="H23">
        <v>502</v>
      </c>
      <c r="I23">
        <v>166443</v>
      </c>
      <c r="J23">
        <v>19347</v>
      </c>
      <c r="K23">
        <v>182207</v>
      </c>
      <c r="L23">
        <v>4156</v>
      </c>
      <c r="M23">
        <v>487636</v>
      </c>
      <c r="N23">
        <v>54755</v>
      </c>
      <c r="O23">
        <v>564249</v>
      </c>
      <c r="P23">
        <v>46755</v>
      </c>
      <c r="Q23">
        <v>1022</v>
      </c>
      <c r="R23">
        <v>11207</v>
      </c>
      <c r="S23">
        <v>4201</v>
      </c>
      <c r="T23">
        <v>526</v>
      </c>
      <c r="U23">
        <v>686</v>
      </c>
      <c r="V23">
        <v>917</v>
      </c>
      <c r="W23">
        <v>30428</v>
      </c>
      <c r="X23">
        <v>4500</v>
      </c>
      <c r="Y23">
        <v>7472</v>
      </c>
      <c r="Z23">
        <v>1506</v>
      </c>
      <c r="AA23">
        <v>78306</v>
      </c>
      <c r="AB23">
        <v>4993</v>
      </c>
      <c r="AC23">
        <v>7669</v>
      </c>
      <c r="AD23">
        <v>1743</v>
      </c>
      <c r="AE23" t="s">
        <v>73</v>
      </c>
      <c r="AF23" t="s">
        <v>73</v>
      </c>
      <c r="AG23">
        <v>1708</v>
      </c>
      <c r="AH23">
        <v>2866</v>
      </c>
      <c r="AI23">
        <v>5172</v>
      </c>
      <c r="AJ23">
        <v>2592</v>
      </c>
      <c r="AK23">
        <v>215</v>
      </c>
      <c r="AL23">
        <v>169</v>
      </c>
      <c r="AM23">
        <v>11386</v>
      </c>
      <c r="AN23">
        <v>528</v>
      </c>
      <c r="AO23">
        <v>34679</v>
      </c>
      <c r="AP23">
        <v>1897</v>
      </c>
    </row>
    <row r="24" spans="1:42" x14ac:dyDescent="0.4">
      <c r="A24" s="1" t="s">
        <v>36</v>
      </c>
      <c r="B24" s="1" t="s">
        <v>37</v>
      </c>
      <c r="C24">
        <v>117</v>
      </c>
      <c r="D24">
        <v>2429</v>
      </c>
      <c r="E24">
        <v>9642</v>
      </c>
      <c r="F24">
        <v>6889</v>
      </c>
      <c r="G24">
        <v>9568</v>
      </c>
      <c r="H24">
        <v>1130</v>
      </c>
      <c r="I24">
        <v>104609</v>
      </c>
      <c r="J24">
        <v>13628</v>
      </c>
      <c r="K24">
        <v>113503</v>
      </c>
      <c r="L24">
        <v>5577</v>
      </c>
      <c r="M24">
        <v>268249</v>
      </c>
      <c r="N24">
        <v>33416</v>
      </c>
      <c r="O24">
        <v>335838</v>
      </c>
      <c r="P24">
        <v>100049</v>
      </c>
      <c r="Q24">
        <v>607</v>
      </c>
      <c r="R24">
        <v>9014</v>
      </c>
      <c r="S24">
        <v>6229</v>
      </c>
      <c r="T24">
        <v>1072</v>
      </c>
      <c r="U24">
        <v>763</v>
      </c>
      <c r="V24">
        <v>868</v>
      </c>
      <c r="W24">
        <v>27120</v>
      </c>
      <c r="X24">
        <v>3677</v>
      </c>
      <c r="Y24">
        <v>8062</v>
      </c>
      <c r="Z24">
        <v>1531</v>
      </c>
      <c r="AA24">
        <v>67915</v>
      </c>
      <c r="AB24">
        <v>3912</v>
      </c>
      <c r="AC24">
        <v>3867</v>
      </c>
      <c r="AD24">
        <v>1137</v>
      </c>
      <c r="AE24" t="s">
        <v>73</v>
      </c>
      <c r="AF24" t="s">
        <v>73</v>
      </c>
      <c r="AG24">
        <v>1887</v>
      </c>
      <c r="AH24">
        <v>3504</v>
      </c>
      <c r="AI24">
        <v>4348</v>
      </c>
      <c r="AJ24">
        <v>1934</v>
      </c>
      <c r="AK24">
        <v>49</v>
      </c>
      <c r="AL24">
        <v>42</v>
      </c>
      <c r="AM24">
        <v>8071</v>
      </c>
      <c r="AN24">
        <v>459</v>
      </c>
      <c r="AO24">
        <v>37403</v>
      </c>
      <c r="AP24">
        <v>2065</v>
      </c>
    </row>
    <row r="25" spans="1:42" x14ac:dyDescent="0.4">
      <c r="A25" s="1" t="s">
        <v>38</v>
      </c>
      <c r="B25" s="1" t="s">
        <v>39</v>
      </c>
      <c r="C25">
        <v>140</v>
      </c>
      <c r="D25">
        <v>1471</v>
      </c>
      <c r="E25">
        <v>9663</v>
      </c>
      <c r="F25">
        <v>7286</v>
      </c>
      <c r="G25">
        <v>10307</v>
      </c>
      <c r="H25">
        <v>814</v>
      </c>
      <c r="I25">
        <v>118833</v>
      </c>
      <c r="J25">
        <v>13854</v>
      </c>
      <c r="K25">
        <v>129578</v>
      </c>
      <c r="L25">
        <v>5923</v>
      </c>
      <c r="M25">
        <v>317101</v>
      </c>
      <c r="N25">
        <v>38414</v>
      </c>
      <c r="O25">
        <v>381035</v>
      </c>
      <c r="P25">
        <v>194279</v>
      </c>
      <c r="Q25">
        <v>601</v>
      </c>
      <c r="R25">
        <v>7678</v>
      </c>
      <c r="S25">
        <v>7775</v>
      </c>
      <c r="T25">
        <v>410</v>
      </c>
      <c r="U25">
        <v>774</v>
      </c>
      <c r="V25">
        <v>1128</v>
      </c>
      <c r="W25">
        <v>35244</v>
      </c>
      <c r="X25">
        <v>4398</v>
      </c>
      <c r="Y25">
        <v>5961</v>
      </c>
      <c r="Z25">
        <v>1754</v>
      </c>
      <c r="AA25">
        <v>71696</v>
      </c>
      <c r="AB25">
        <v>3846</v>
      </c>
      <c r="AC25">
        <v>4891</v>
      </c>
      <c r="AD25">
        <v>1180</v>
      </c>
      <c r="AE25" t="s">
        <v>73</v>
      </c>
      <c r="AF25" t="s">
        <v>73</v>
      </c>
      <c r="AG25">
        <v>1733</v>
      </c>
      <c r="AH25">
        <v>3706</v>
      </c>
      <c r="AI25">
        <v>2617</v>
      </c>
      <c r="AJ25">
        <v>1336</v>
      </c>
      <c r="AK25">
        <v>48</v>
      </c>
      <c r="AL25">
        <v>54</v>
      </c>
      <c r="AM25">
        <v>7967</v>
      </c>
      <c r="AN25">
        <v>454</v>
      </c>
      <c r="AO25">
        <v>38453</v>
      </c>
      <c r="AP25">
        <v>2350</v>
      </c>
    </row>
    <row r="26" spans="1:42" x14ac:dyDescent="0.4">
      <c r="A26" s="1" t="s">
        <v>40</v>
      </c>
      <c r="B26" s="1" t="s">
        <v>41</v>
      </c>
      <c r="C26">
        <v>89</v>
      </c>
      <c r="D26">
        <v>794</v>
      </c>
      <c r="E26">
        <v>11535</v>
      </c>
      <c r="F26">
        <v>9181</v>
      </c>
      <c r="G26">
        <v>12438</v>
      </c>
      <c r="H26">
        <v>304</v>
      </c>
      <c r="I26">
        <v>144347</v>
      </c>
      <c r="J26">
        <v>17227</v>
      </c>
      <c r="K26">
        <v>157319</v>
      </c>
      <c r="L26">
        <v>4204</v>
      </c>
      <c r="M26">
        <v>462928</v>
      </c>
      <c r="N26">
        <v>54181</v>
      </c>
      <c r="O26">
        <v>511429</v>
      </c>
      <c r="P26">
        <v>231913</v>
      </c>
      <c r="Q26">
        <v>873</v>
      </c>
      <c r="R26">
        <v>9070</v>
      </c>
      <c r="S26">
        <v>7887</v>
      </c>
      <c r="T26">
        <v>623</v>
      </c>
      <c r="U26">
        <v>660</v>
      </c>
      <c r="V26">
        <v>1013</v>
      </c>
      <c r="W26">
        <v>39731</v>
      </c>
      <c r="X26">
        <v>4923</v>
      </c>
      <c r="Y26">
        <v>9801</v>
      </c>
      <c r="Z26">
        <v>1927</v>
      </c>
      <c r="AA26">
        <v>73937</v>
      </c>
      <c r="AB26">
        <v>4018</v>
      </c>
      <c r="AC26">
        <v>4346</v>
      </c>
      <c r="AD26">
        <v>1165</v>
      </c>
      <c r="AE26" t="s">
        <v>73</v>
      </c>
      <c r="AF26" t="s">
        <v>73</v>
      </c>
      <c r="AG26">
        <v>1936</v>
      </c>
      <c r="AH26">
        <v>3954</v>
      </c>
      <c r="AI26">
        <v>2023</v>
      </c>
      <c r="AJ26">
        <v>1197</v>
      </c>
      <c r="AK26">
        <v>174</v>
      </c>
      <c r="AL26">
        <v>97</v>
      </c>
      <c r="AM26">
        <v>12985</v>
      </c>
      <c r="AN26">
        <v>756</v>
      </c>
      <c r="AO26">
        <v>38037</v>
      </c>
      <c r="AP26">
        <v>2860</v>
      </c>
    </row>
    <row r="27" spans="1:42" x14ac:dyDescent="0.4">
      <c r="A27" s="1" t="s">
        <v>42</v>
      </c>
      <c r="B27" s="1" t="s">
        <v>43</v>
      </c>
      <c r="C27">
        <v>75</v>
      </c>
      <c r="D27">
        <v>446</v>
      </c>
      <c r="E27">
        <v>8969</v>
      </c>
      <c r="F27">
        <v>4260</v>
      </c>
      <c r="G27">
        <v>8693</v>
      </c>
      <c r="H27">
        <v>895</v>
      </c>
      <c r="I27">
        <v>133703</v>
      </c>
      <c r="J27">
        <v>15113</v>
      </c>
      <c r="K27">
        <v>142486</v>
      </c>
      <c r="L27">
        <v>7554</v>
      </c>
      <c r="M27">
        <v>433694</v>
      </c>
      <c r="N27">
        <v>42137</v>
      </c>
      <c r="O27">
        <v>497696</v>
      </c>
      <c r="P27">
        <v>240260</v>
      </c>
      <c r="Q27">
        <v>670</v>
      </c>
      <c r="R27">
        <v>5993</v>
      </c>
      <c r="S27">
        <v>8828</v>
      </c>
      <c r="T27">
        <v>366</v>
      </c>
      <c r="U27">
        <v>734</v>
      </c>
      <c r="V27">
        <v>926</v>
      </c>
      <c r="W27">
        <v>34849</v>
      </c>
      <c r="X27">
        <v>4488</v>
      </c>
      <c r="Y27">
        <v>6514</v>
      </c>
      <c r="Z27">
        <v>1564</v>
      </c>
      <c r="AA27">
        <v>58585</v>
      </c>
      <c r="AB27">
        <v>3263</v>
      </c>
      <c r="AC27">
        <v>3833</v>
      </c>
      <c r="AD27">
        <v>948</v>
      </c>
      <c r="AE27" t="s">
        <v>73</v>
      </c>
      <c r="AF27" t="s">
        <v>73</v>
      </c>
      <c r="AG27">
        <v>799</v>
      </c>
      <c r="AH27">
        <v>1828</v>
      </c>
      <c r="AI27">
        <v>2497</v>
      </c>
      <c r="AJ27">
        <v>1735</v>
      </c>
      <c r="AK27">
        <v>37</v>
      </c>
      <c r="AL27">
        <v>18</v>
      </c>
      <c r="AM27">
        <v>5101</v>
      </c>
      <c r="AN27">
        <v>331</v>
      </c>
      <c r="AO27">
        <v>27582</v>
      </c>
      <c r="AP27">
        <v>1385</v>
      </c>
    </row>
    <row r="28" spans="1:42" x14ac:dyDescent="0.4">
      <c r="A28" s="1" t="s">
        <v>44</v>
      </c>
      <c r="B28" s="1" t="s">
        <v>45</v>
      </c>
      <c r="C28">
        <v>100</v>
      </c>
      <c r="D28">
        <v>1699</v>
      </c>
      <c r="E28">
        <v>12507</v>
      </c>
      <c r="F28">
        <v>5764</v>
      </c>
      <c r="G28">
        <v>13070</v>
      </c>
      <c r="H28">
        <v>875</v>
      </c>
      <c r="I28">
        <v>105751</v>
      </c>
      <c r="J28">
        <v>12469</v>
      </c>
      <c r="K28">
        <v>114461</v>
      </c>
      <c r="L28">
        <v>7801</v>
      </c>
      <c r="M28">
        <v>290042</v>
      </c>
      <c r="N28">
        <v>32886</v>
      </c>
      <c r="O28">
        <v>325928</v>
      </c>
      <c r="P28">
        <v>247151</v>
      </c>
      <c r="Q28">
        <v>736</v>
      </c>
      <c r="R28">
        <v>5482</v>
      </c>
      <c r="S28">
        <v>10464</v>
      </c>
      <c r="T28">
        <v>714</v>
      </c>
      <c r="U28">
        <v>681</v>
      </c>
      <c r="V28">
        <v>912</v>
      </c>
      <c r="W28">
        <v>24068</v>
      </c>
      <c r="X28">
        <v>3616</v>
      </c>
      <c r="Y28">
        <v>6449</v>
      </c>
      <c r="Z28">
        <v>1472</v>
      </c>
      <c r="AA28">
        <v>74443</v>
      </c>
      <c r="AB28">
        <v>4108</v>
      </c>
      <c r="AC28">
        <v>4375</v>
      </c>
      <c r="AD28">
        <v>1100</v>
      </c>
      <c r="AE28" t="s">
        <v>73</v>
      </c>
      <c r="AF28" t="s">
        <v>73</v>
      </c>
      <c r="AG28">
        <v>864</v>
      </c>
      <c r="AH28">
        <v>1983</v>
      </c>
      <c r="AI28">
        <v>3110</v>
      </c>
      <c r="AJ28">
        <v>1725</v>
      </c>
      <c r="AK28">
        <v>16</v>
      </c>
      <c r="AL28">
        <v>10</v>
      </c>
      <c r="AM28">
        <v>5702</v>
      </c>
      <c r="AN28">
        <v>337</v>
      </c>
      <c r="AO28">
        <v>28541</v>
      </c>
      <c r="AP28">
        <v>1629</v>
      </c>
    </row>
    <row r="29" spans="1:42" x14ac:dyDescent="0.4">
      <c r="A29" s="1" t="s">
        <v>46</v>
      </c>
      <c r="B29" s="1" t="s">
        <v>47</v>
      </c>
      <c r="C29">
        <v>46</v>
      </c>
      <c r="D29">
        <v>1056</v>
      </c>
      <c r="E29">
        <v>14258</v>
      </c>
      <c r="F29">
        <v>7017</v>
      </c>
      <c r="G29">
        <v>15187</v>
      </c>
      <c r="H29">
        <v>691</v>
      </c>
      <c r="I29">
        <v>122833</v>
      </c>
      <c r="J29">
        <v>14450</v>
      </c>
      <c r="K29">
        <v>137172</v>
      </c>
      <c r="L29">
        <v>4383</v>
      </c>
      <c r="M29">
        <v>430997</v>
      </c>
      <c r="N29">
        <v>47308</v>
      </c>
      <c r="O29">
        <v>484453</v>
      </c>
      <c r="P29">
        <v>244365</v>
      </c>
      <c r="Q29">
        <v>941</v>
      </c>
      <c r="R29">
        <v>9423</v>
      </c>
      <c r="S29">
        <v>7378</v>
      </c>
      <c r="T29">
        <v>589</v>
      </c>
      <c r="U29">
        <v>711</v>
      </c>
      <c r="V29">
        <v>892</v>
      </c>
      <c r="W29">
        <v>31458</v>
      </c>
      <c r="X29">
        <v>4322</v>
      </c>
      <c r="Y29">
        <v>7932</v>
      </c>
      <c r="Z29">
        <v>1819</v>
      </c>
      <c r="AA29">
        <v>70998</v>
      </c>
      <c r="AB29">
        <v>4116</v>
      </c>
      <c r="AC29">
        <v>4010</v>
      </c>
      <c r="AD29">
        <v>1165</v>
      </c>
      <c r="AE29" t="s">
        <v>73</v>
      </c>
      <c r="AF29" t="s">
        <v>73</v>
      </c>
      <c r="AG29">
        <v>919</v>
      </c>
      <c r="AH29">
        <v>2061</v>
      </c>
      <c r="AI29">
        <v>3773</v>
      </c>
      <c r="AJ29">
        <v>1803</v>
      </c>
      <c r="AK29">
        <v>42</v>
      </c>
      <c r="AL29">
        <v>27</v>
      </c>
      <c r="AM29">
        <v>7722</v>
      </c>
      <c r="AN29">
        <v>527</v>
      </c>
      <c r="AO29">
        <v>35228</v>
      </c>
      <c r="AP29">
        <v>2043</v>
      </c>
    </row>
    <row r="30" spans="1:42" x14ac:dyDescent="0.4">
      <c r="A30" s="1" t="s">
        <v>48</v>
      </c>
      <c r="B30" s="1" t="s">
        <v>49</v>
      </c>
      <c r="C30">
        <v>62</v>
      </c>
      <c r="D30">
        <v>628</v>
      </c>
      <c r="E30">
        <v>16059</v>
      </c>
      <c r="F30">
        <v>8611</v>
      </c>
      <c r="G30">
        <v>16430</v>
      </c>
      <c r="H30">
        <v>803</v>
      </c>
      <c r="I30">
        <v>184719</v>
      </c>
      <c r="J30">
        <v>20312</v>
      </c>
      <c r="K30">
        <v>193847</v>
      </c>
      <c r="L30">
        <v>7558</v>
      </c>
      <c r="M30">
        <v>523354</v>
      </c>
      <c r="N30">
        <v>45698</v>
      </c>
      <c r="O30">
        <v>603064</v>
      </c>
      <c r="P30">
        <v>259284</v>
      </c>
      <c r="Q30">
        <v>747</v>
      </c>
      <c r="R30">
        <v>6809</v>
      </c>
      <c r="S30">
        <v>6892</v>
      </c>
      <c r="T30">
        <v>1096</v>
      </c>
      <c r="U30">
        <v>722</v>
      </c>
      <c r="V30">
        <v>1049</v>
      </c>
      <c r="W30">
        <v>32681</v>
      </c>
      <c r="X30">
        <v>4902</v>
      </c>
      <c r="Y30">
        <v>6053</v>
      </c>
      <c r="Z30">
        <v>1654</v>
      </c>
      <c r="AA30">
        <v>73982</v>
      </c>
      <c r="AB30">
        <v>4509</v>
      </c>
      <c r="AC30">
        <v>3014</v>
      </c>
      <c r="AD30">
        <v>1158</v>
      </c>
      <c r="AE30" t="s">
        <v>73</v>
      </c>
      <c r="AF30" t="s">
        <v>73</v>
      </c>
      <c r="AG30">
        <v>1152</v>
      </c>
      <c r="AH30">
        <v>2870</v>
      </c>
      <c r="AI30">
        <v>3789</v>
      </c>
      <c r="AJ30">
        <v>1562</v>
      </c>
      <c r="AK30">
        <v>31</v>
      </c>
      <c r="AL30">
        <v>20</v>
      </c>
      <c r="AM30">
        <v>10174</v>
      </c>
      <c r="AN30">
        <v>624</v>
      </c>
      <c r="AO30">
        <v>36495</v>
      </c>
      <c r="AP30">
        <v>1937</v>
      </c>
    </row>
    <row r="31" spans="1:42" x14ac:dyDescent="0.4">
      <c r="A31" s="1" t="s">
        <v>50</v>
      </c>
      <c r="B31" s="1" t="s">
        <v>51</v>
      </c>
      <c r="C31">
        <v>65</v>
      </c>
      <c r="D31">
        <v>497</v>
      </c>
      <c r="E31">
        <v>14167</v>
      </c>
      <c r="F31">
        <v>7330</v>
      </c>
      <c r="G31">
        <v>14729</v>
      </c>
      <c r="H31">
        <v>611</v>
      </c>
      <c r="I31">
        <v>127508</v>
      </c>
      <c r="J31">
        <v>15427</v>
      </c>
      <c r="K31">
        <v>137550</v>
      </c>
      <c r="L31">
        <v>8464</v>
      </c>
      <c r="M31">
        <v>315229</v>
      </c>
      <c r="N31">
        <v>35441</v>
      </c>
      <c r="O31">
        <v>351285</v>
      </c>
      <c r="P31">
        <v>266165</v>
      </c>
      <c r="Q31">
        <v>574</v>
      </c>
      <c r="R31">
        <v>5752</v>
      </c>
      <c r="S31">
        <v>3348</v>
      </c>
      <c r="T31">
        <v>287</v>
      </c>
      <c r="U31">
        <v>564</v>
      </c>
      <c r="V31">
        <v>633</v>
      </c>
      <c r="W31">
        <v>23047</v>
      </c>
      <c r="X31">
        <v>3671</v>
      </c>
      <c r="Y31">
        <v>7244</v>
      </c>
      <c r="Z31">
        <v>1468</v>
      </c>
      <c r="AA31">
        <v>63025</v>
      </c>
      <c r="AB31">
        <v>3703</v>
      </c>
      <c r="AC31">
        <v>3328</v>
      </c>
      <c r="AD31">
        <v>917</v>
      </c>
      <c r="AE31" t="s">
        <v>73</v>
      </c>
      <c r="AF31" t="s">
        <v>73</v>
      </c>
      <c r="AG31">
        <v>824</v>
      </c>
      <c r="AH31">
        <v>2026</v>
      </c>
      <c r="AI31">
        <v>2723</v>
      </c>
      <c r="AJ31">
        <v>1005</v>
      </c>
      <c r="AK31">
        <v>46</v>
      </c>
      <c r="AL31">
        <v>27</v>
      </c>
      <c r="AM31">
        <v>5879</v>
      </c>
      <c r="AN31">
        <v>409</v>
      </c>
      <c r="AO31">
        <v>28514</v>
      </c>
      <c r="AP31">
        <v>1515</v>
      </c>
    </row>
    <row r="32" spans="1:42" x14ac:dyDescent="0.4">
      <c r="A32" s="1" t="s">
        <v>52</v>
      </c>
      <c r="B32" s="1" t="s">
        <v>53</v>
      </c>
      <c r="C32">
        <v>73</v>
      </c>
      <c r="D32">
        <v>606</v>
      </c>
      <c r="E32">
        <v>18767</v>
      </c>
      <c r="F32">
        <v>8513</v>
      </c>
      <c r="G32">
        <v>19096</v>
      </c>
      <c r="H32">
        <v>817</v>
      </c>
      <c r="I32">
        <v>138897</v>
      </c>
      <c r="J32">
        <v>16900</v>
      </c>
      <c r="K32">
        <v>155606</v>
      </c>
      <c r="L32">
        <v>4086</v>
      </c>
      <c r="M32">
        <v>436308</v>
      </c>
      <c r="N32">
        <v>49874</v>
      </c>
      <c r="O32">
        <v>502314</v>
      </c>
      <c r="P32">
        <v>247634</v>
      </c>
      <c r="Q32">
        <v>795</v>
      </c>
      <c r="R32">
        <v>11899</v>
      </c>
      <c r="S32">
        <v>3518</v>
      </c>
      <c r="T32">
        <v>705</v>
      </c>
      <c r="U32">
        <v>589</v>
      </c>
      <c r="V32">
        <v>736</v>
      </c>
      <c r="W32">
        <v>30703</v>
      </c>
      <c r="X32">
        <v>4432</v>
      </c>
      <c r="Y32">
        <v>9237</v>
      </c>
      <c r="Z32">
        <v>1787</v>
      </c>
      <c r="AA32">
        <v>76729</v>
      </c>
      <c r="AB32">
        <v>4410</v>
      </c>
      <c r="AC32">
        <v>4407</v>
      </c>
      <c r="AD32">
        <v>1491</v>
      </c>
      <c r="AE32" t="s">
        <v>73</v>
      </c>
      <c r="AF32" t="s">
        <v>73</v>
      </c>
      <c r="AG32">
        <v>1111</v>
      </c>
      <c r="AH32">
        <v>2792</v>
      </c>
      <c r="AI32">
        <v>4437</v>
      </c>
      <c r="AJ32">
        <v>1426</v>
      </c>
      <c r="AK32">
        <v>58</v>
      </c>
      <c r="AL32">
        <v>42</v>
      </c>
      <c r="AM32">
        <v>11369</v>
      </c>
      <c r="AN32">
        <v>553</v>
      </c>
      <c r="AO32">
        <v>44682</v>
      </c>
      <c r="AP32">
        <v>2739</v>
      </c>
    </row>
    <row r="33" spans="1:42" x14ac:dyDescent="0.4">
      <c r="A33" s="1" t="s">
        <v>54</v>
      </c>
      <c r="B33" s="1" t="s">
        <v>55</v>
      </c>
      <c r="C33">
        <v>92</v>
      </c>
      <c r="D33">
        <v>1781</v>
      </c>
      <c r="E33">
        <v>10023</v>
      </c>
      <c r="F33">
        <v>6644</v>
      </c>
      <c r="G33">
        <v>10409</v>
      </c>
      <c r="H33">
        <v>768</v>
      </c>
      <c r="I33">
        <v>135395</v>
      </c>
      <c r="J33">
        <v>16867</v>
      </c>
      <c r="K33">
        <v>147265</v>
      </c>
      <c r="L33">
        <v>6022</v>
      </c>
      <c r="M33">
        <v>658297</v>
      </c>
      <c r="N33">
        <v>53154</v>
      </c>
      <c r="O33">
        <v>703556</v>
      </c>
      <c r="P33">
        <v>269470</v>
      </c>
      <c r="Q33">
        <v>612</v>
      </c>
      <c r="R33">
        <v>10223</v>
      </c>
      <c r="S33">
        <v>6853</v>
      </c>
      <c r="T33">
        <v>428</v>
      </c>
      <c r="U33">
        <v>623</v>
      </c>
      <c r="V33">
        <v>726</v>
      </c>
      <c r="W33">
        <v>30502</v>
      </c>
      <c r="X33">
        <v>4593</v>
      </c>
      <c r="Y33">
        <v>7661</v>
      </c>
      <c r="Z33">
        <v>1382</v>
      </c>
      <c r="AA33">
        <v>71649</v>
      </c>
      <c r="AB33">
        <v>4413</v>
      </c>
      <c r="AC33">
        <v>4507</v>
      </c>
      <c r="AD33">
        <v>1445</v>
      </c>
      <c r="AE33" t="s">
        <v>73</v>
      </c>
      <c r="AF33" t="s">
        <v>73</v>
      </c>
      <c r="AG33">
        <v>1473</v>
      </c>
      <c r="AH33">
        <v>3569</v>
      </c>
      <c r="AI33">
        <v>5104</v>
      </c>
      <c r="AJ33">
        <v>1874</v>
      </c>
      <c r="AK33">
        <v>38</v>
      </c>
      <c r="AL33">
        <v>21</v>
      </c>
      <c r="AM33">
        <v>10781</v>
      </c>
      <c r="AN33">
        <v>350</v>
      </c>
      <c r="AO33">
        <v>49403</v>
      </c>
      <c r="AP33">
        <v>2779</v>
      </c>
    </row>
    <row r="34" spans="1:42" x14ac:dyDescent="0.4">
      <c r="A34" s="1" t="s">
        <v>56</v>
      </c>
      <c r="B34" s="1" t="s">
        <v>57</v>
      </c>
      <c r="C34">
        <v>59</v>
      </c>
      <c r="D34">
        <v>493</v>
      </c>
      <c r="E34">
        <v>7897</v>
      </c>
      <c r="F34">
        <v>5502</v>
      </c>
      <c r="G34">
        <v>8201</v>
      </c>
      <c r="H34">
        <v>708</v>
      </c>
      <c r="I34">
        <v>79116</v>
      </c>
      <c r="J34">
        <v>10359</v>
      </c>
      <c r="K34">
        <v>89009</v>
      </c>
      <c r="L34">
        <v>5577</v>
      </c>
      <c r="M34">
        <v>248805</v>
      </c>
      <c r="N34">
        <v>25423</v>
      </c>
      <c r="O34">
        <v>312253</v>
      </c>
      <c r="P34">
        <v>287808</v>
      </c>
      <c r="Q34">
        <v>502</v>
      </c>
      <c r="R34">
        <v>10454</v>
      </c>
      <c r="S34">
        <v>3936</v>
      </c>
      <c r="T34">
        <v>481</v>
      </c>
      <c r="U34">
        <v>528</v>
      </c>
      <c r="V34">
        <v>671</v>
      </c>
      <c r="W34">
        <v>21806</v>
      </c>
      <c r="X34">
        <v>3682</v>
      </c>
      <c r="Y34">
        <v>7943</v>
      </c>
      <c r="Z34">
        <v>1361</v>
      </c>
      <c r="AA34">
        <v>60967</v>
      </c>
      <c r="AB34">
        <v>3597</v>
      </c>
      <c r="AC34">
        <v>3676</v>
      </c>
      <c r="AD34">
        <v>1040</v>
      </c>
      <c r="AE34" t="s">
        <v>73</v>
      </c>
      <c r="AF34" t="s">
        <v>73</v>
      </c>
      <c r="AG34">
        <v>1229</v>
      </c>
      <c r="AH34">
        <v>2981</v>
      </c>
      <c r="AI34">
        <v>4871</v>
      </c>
      <c r="AJ34">
        <v>1582</v>
      </c>
      <c r="AK34">
        <v>30</v>
      </c>
      <c r="AL34">
        <v>28</v>
      </c>
      <c r="AM34">
        <v>5577</v>
      </c>
      <c r="AN34">
        <v>325</v>
      </c>
      <c r="AO34">
        <v>46023</v>
      </c>
      <c r="AP34">
        <v>2908</v>
      </c>
    </row>
    <row r="35" spans="1:42" x14ac:dyDescent="0.4">
      <c r="A35" s="1" t="s">
        <v>58</v>
      </c>
      <c r="B35" s="1" t="s">
        <v>59</v>
      </c>
      <c r="C35">
        <v>90</v>
      </c>
      <c r="D35">
        <v>800</v>
      </c>
      <c r="E35">
        <v>8155</v>
      </c>
      <c r="F35">
        <v>4986</v>
      </c>
      <c r="G35">
        <v>8446</v>
      </c>
      <c r="H35">
        <v>737</v>
      </c>
      <c r="I35">
        <v>134242</v>
      </c>
      <c r="J35">
        <v>16195</v>
      </c>
      <c r="K35">
        <v>148395</v>
      </c>
      <c r="L35">
        <v>4373</v>
      </c>
      <c r="M35">
        <v>434748</v>
      </c>
      <c r="N35">
        <v>41514</v>
      </c>
      <c r="O35">
        <v>543663</v>
      </c>
      <c r="P35">
        <v>256277</v>
      </c>
      <c r="Q35">
        <v>778</v>
      </c>
      <c r="R35">
        <v>11597</v>
      </c>
      <c r="S35">
        <v>7907</v>
      </c>
      <c r="T35">
        <v>651</v>
      </c>
      <c r="U35">
        <v>503</v>
      </c>
      <c r="V35">
        <v>695</v>
      </c>
      <c r="W35">
        <v>21118</v>
      </c>
      <c r="X35">
        <v>3534</v>
      </c>
      <c r="Y35">
        <v>9245</v>
      </c>
      <c r="Z35">
        <v>1429</v>
      </c>
      <c r="AA35">
        <v>70110</v>
      </c>
      <c r="AB35">
        <v>3935</v>
      </c>
      <c r="AC35">
        <v>4698</v>
      </c>
      <c r="AD35">
        <v>1513</v>
      </c>
      <c r="AE35" t="s">
        <v>73</v>
      </c>
      <c r="AF35" t="s">
        <v>73</v>
      </c>
      <c r="AG35">
        <v>1621</v>
      </c>
      <c r="AH35">
        <v>3558</v>
      </c>
      <c r="AI35">
        <v>4836</v>
      </c>
      <c r="AJ35">
        <v>1930</v>
      </c>
      <c r="AK35">
        <v>16</v>
      </c>
      <c r="AL35">
        <v>18</v>
      </c>
      <c r="AM35">
        <v>5236</v>
      </c>
      <c r="AN35">
        <v>350</v>
      </c>
      <c r="AO35">
        <v>53519</v>
      </c>
      <c r="AP35">
        <v>3455</v>
      </c>
    </row>
    <row r="36" spans="1:42" x14ac:dyDescent="0.4">
      <c r="A36" s="1" t="s">
        <v>60</v>
      </c>
      <c r="B36" s="1" t="s">
        <v>61</v>
      </c>
      <c r="C36">
        <v>96</v>
      </c>
      <c r="D36">
        <v>738</v>
      </c>
      <c r="E36">
        <v>9026</v>
      </c>
      <c r="F36">
        <v>8572</v>
      </c>
      <c r="G36">
        <v>9405</v>
      </c>
      <c r="H36">
        <v>878</v>
      </c>
      <c r="I36">
        <v>93712</v>
      </c>
      <c r="J36">
        <v>13046</v>
      </c>
      <c r="K36">
        <v>102886</v>
      </c>
      <c r="L36">
        <v>6137</v>
      </c>
      <c r="M36">
        <v>285182</v>
      </c>
      <c r="N36">
        <v>34572</v>
      </c>
      <c r="O36">
        <v>363903</v>
      </c>
      <c r="P36">
        <v>315413</v>
      </c>
      <c r="Q36">
        <v>617</v>
      </c>
      <c r="R36">
        <v>6124</v>
      </c>
      <c r="S36">
        <v>5711</v>
      </c>
      <c r="T36">
        <v>470</v>
      </c>
      <c r="U36">
        <v>646</v>
      </c>
      <c r="V36">
        <v>913</v>
      </c>
      <c r="W36">
        <v>15905</v>
      </c>
      <c r="X36">
        <v>2954</v>
      </c>
      <c r="Y36">
        <v>7171</v>
      </c>
      <c r="Z36">
        <v>1339</v>
      </c>
      <c r="AA36">
        <v>56789</v>
      </c>
      <c r="AB36">
        <v>3191</v>
      </c>
      <c r="AC36">
        <v>3234</v>
      </c>
      <c r="AD36">
        <v>1033</v>
      </c>
      <c r="AE36" t="s">
        <v>73</v>
      </c>
      <c r="AF36" t="s">
        <v>73</v>
      </c>
      <c r="AG36">
        <v>1341</v>
      </c>
      <c r="AH36">
        <v>3130</v>
      </c>
      <c r="AI36">
        <v>5477</v>
      </c>
      <c r="AJ36">
        <v>1660</v>
      </c>
      <c r="AK36">
        <v>20</v>
      </c>
      <c r="AL36">
        <v>14</v>
      </c>
      <c r="AM36">
        <v>4966</v>
      </c>
      <c r="AN36">
        <v>279</v>
      </c>
      <c r="AO36">
        <v>49001</v>
      </c>
      <c r="AP36">
        <v>2776</v>
      </c>
    </row>
    <row r="37" spans="1:42" x14ac:dyDescent="0.4">
      <c r="A37" s="1" t="s">
        <v>62</v>
      </c>
      <c r="B37" s="1" t="s">
        <v>63</v>
      </c>
      <c r="C37">
        <v>104</v>
      </c>
      <c r="D37">
        <v>1230</v>
      </c>
      <c r="E37">
        <v>5440</v>
      </c>
      <c r="F37">
        <v>4369</v>
      </c>
      <c r="G37">
        <v>6066</v>
      </c>
      <c r="H37">
        <v>539</v>
      </c>
      <c r="I37">
        <v>90277</v>
      </c>
      <c r="J37">
        <v>13684</v>
      </c>
      <c r="K37">
        <v>100192</v>
      </c>
      <c r="L37">
        <v>6935</v>
      </c>
      <c r="M37">
        <v>293977</v>
      </c>
      <c r="N37">
        <v>35264</v>
      </c>
      <c r="O37">
        <v>374171</v>
      </c>
      <c r="P37">
        <v>389554</v>
      </c>
      <c r="Q37">
        <v>526</v>
      </c>
      <c r="R37">
        <v>7618</v>
      </c>
      <c r="S37">
        <v>5510</v>
      </c>
      <c r="T37">
        <v>576</v>
      </c>
      <c r="U37">
        <v>627</v>
      </c>
      <c r="V37">
        <v>828</v>
      </c>
      <c r="W37">
        <v>20161</v>
      </c>
      <c r="X37">
        <v>3357</v>
      </c>
      <c r="Y37">
        <v>7278</v>
      </c>
      <c r="Z37">
        <v>1301</v>
      </c>
      <c r="AA37">
        <v>68121</v>
      </c>
      <c r="AB37">
        <v>3632</v>
      </c>
      <c r="AC37">
        <v>4662</v>
      </c>
      <c r="AD37">
        <v>1437</v>
      </c>
      <c r="AE37" t="s">
        <v>73</v>
      </c>
      <c r="AF37" t="s">
        <v>73</v>
      </c>
      <c r="AG37">
        <v>1326</v>
      </c>
      <c r="AH37">
        <v>3238</v>
      </c>
      <c r="AI37">
        <v>5710</v>
      </c>
      <c r="AJ37">
        <v>1660</v>
      </c>
      <c r="AK37">
        <v>15</v>
      </c>
      <c r="AL37">
        <v>10</v>
      </c>
      <c r="AM37">
        <v>4149</v>
      </c>
      <c r="AN37">
        <v>208</v>
      </c>
      <c r="AO37">
        <v>49993</v>
      </c>
      <c r="AP37">
        <v>3112</v>
      </c>
    </row>
    <row r="38" spans="1:42" x14ac:dyDescent="0.4">
      <c r="A38" s="1" t="s">
        <v>64</v>
      </c>
      <c r="B38" s="1" t="s">
        <v>65</v>
      </c>
      <c r="C38">
        <v>70</v>
      </c>
      <c r="D38">
        <v>837</v>
      </c>
      <c r="E38">
        <v>9585</v>
      </c>
      <c r="F38">
        <v>5841</v>
      </c>
      <c r="G38">
        <v>9937</v>
      </c>
      <c r="H38">
        <v>412</v>
      </c>
      <c r="I38">
        <v>108903</v>
      </c>
      <c r="J38">
        <v>16119</v>
      </c>
      <c r="K38">
        <v>124777</v>
      </c>
      <c r="L38">
        <v>4853</v>
      </c>
      <c r="M38">
        <v>330333</v>
      </c>
      <c r="N38">
        <v>41360</v>
      </c>
      <c r="O38">
        <v>627059</v>
      </c>
      <c r="P38">
        <v>62489</v>
      </c>
      <c r="Q38">
        <v>815</v>
      </c>
      <c r="R38">
        <v>10019</v>
      </c>
      <c r="S38">
        <v>4113</v>
      </c>
      <c r="T38">
        <v>636</v>
      </c>
      <c r="U38">
        <v>636</v>
      </c>
      <c r="V38">
        <v>928</v>
      </c>
      <c r="W38">
        <v>21623</v>
      </c>
      <c r="X38">
        <v>3790</v>
      </c>
      <c r="Y38">
        <v>8396</v>
      </c>
      <c r="Z38">
        <v>1579</v>
      </c>
      <c r="AA38">
        <v>75231</v>
      </c>
      <c r="AB38">
        <v>4082</v>
      </c>
      <c r="AC38">
        <v>5488</v>
      </c>
      <c r="AD38">
        <v>1483</v>
      </c>
      <c r="AE38" t="s">
        <v>73</v>
      </c>
      <c r="AF38" t="s">
        <v>73</v>
      </c>
      <c r="AG38">
        <v>1228</v>
      </c>
      <c r="AH38">
        <v>3143</v>
      </c>
      <c r="AI38">
        <v>6372</v>
      </c>
      <c r="AJ38">
        <v>2650</v>
      </c>
      <c r="AK38">
        <v>31</v>
      </c>
      <c r="AL38">
        <v>28</v>
      </c>
      <c r="AM38">
        <v>6010</v>
      </c>
      <c r="AN38">
        <v>347</v>
      </c>
      <c r="AO38">
        <v>48823</v>
      </c>
      <c r="AP38">
        <v>2669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8CE51-59FE-4F79-9E52-92A0A2AD895C}">
  <dimension ref="A1:DB40"/>
  <sheetViews>
    <sheetView workbookViewId="0">
      <selection activeCell="C9" sqref="C9"/>
    </sheetView>
  </sheetViews>
  <sheetFormatPr defaultColWidth="15.62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1383</v>
      </c>
      <c r="D3" t="s">
        <v>1383</v>
      </c>
      <c r="E3" t="s">
        <v>1383</v>
      </c>
      <c r="F3" t="s">
        <v>1383</v>
      </c>
      <c r="G3" t="s">
        <v>1383</v>
      </c>
      <c r="H3" t="s">
        <v>1385</v>
      </c>
      <c r="I3" t="s">
        <v>1385</v>
      </c>
      <c r="J3" t="s">
        <v>1385</v>
      </c>
      <c r="K3" t="s">
        <v>1385</v>
      </c>
      <c r="L3" t="s">
        <v>1385</v>
      </c>
      <c r="M3" t="s">
        <v>1387</v>
      </c>
      <c r="N3" t="s">
        <v>1387</v>
      </c>
      <c r="O3" t="s">
        <v>1387</v>
      </c>
      <c r="P3" t="s">
        <v>1387</v>
      </c>
      <c r="Q3" t="s">
        <v>1387</v>
      </c>
      <c r="R3" t="s">
        <v>1389</v>
      </c>
      <c r="S3" t="s">
        <v>1389</v>
      </c>
      <c r="T3" t="s">
        <v>1389</v>
      </c>
      <c r="U3" t="s">
        <v>1389</v>
      </c>
      <c r="V3" t="s">
        <v>1389</v>
      </c>
      <c r="W3" t="s">
        <v>1391</v>
      </c>
      <c r="X3" t="s">
        <v>1391</v>
      </c>
      <c r="Y3" t="s">
        <v>1393</v>
      </c>
      <c r="Z3" t="s">
        <v>1393</v>
      </c>
      <c r="AA3" t="s">
        <v>1395</v>
      </c>
      <c r="AB3" t="s">
        <v>1395</v>
      </c>
      <c r="AC3" t="s">
        <v>1397</v>
      </c>
      <c r="AD3" t="s">
        <v>1399</v>
      </c>
      <c r="AE3" t="s">
        <v>1399</v>
      </c>
      <c r="AF3" t="s">
        <v>1399</v>
      </c>
      <c r="AG3" t="s">
        <v>1399</v>
      </c>
      <c r="AH3" t="s">
        <v>1399</v>
      </c>
      <c r="AI3" t="s">
        <v>1401</v>
      </c>
      <c r="AJ3" t="s">
        <v>1401</v>
      </c>
      <c r="AK3" t="s">
        <v>1401</v>
      </c>
      <c r="AL3" t="s">
        <v>1401</v>
      </c>
      <c r="AM3" t="s">
        <v>1401</v>
      </c>
      <c r="AN3" t="s">
        <v>1403</v>
      </c>
      <c r="AO3" t="s">
        <v>1403</v>
      </c>
      <c r="AP3" t="s">
        <v>1403</v>
      </c>
      <c r="AQ3" t="s">
        <v>1403</v>
      </c>
      <c r="AR3" t="s">
        <v>1403</v>
      </c>
      <c r="AS3" t="s">
        <v>1405</v>
      </c>
      <c r="AT3" t="s">
        <v>1405</v>
      </c>
      <c r="AU3" t="s">
        <v>1405</v>
      </c>
      <c r="AV3" t="s">
        <v>1405</v>
      </c>
      <c r="AW3" t="s">
        <v>1405</v>
      </c>
      <c r="AX3" t="s">
        <v>1407</v>
      </c>
      <c r="AY3" t="s">
        <v>1407</v>
      </c>
      <c r="AZ3" t="s">
        <v>1407</v>
      </c>
      <c r="BA3" t="s">
        <v>1407</v>
      </c>
      <c r="BB3" t="s">
        <v>1407</v>
      </c>
      <c r="BC3" t="s">
        <v>1409</v>
      </c>
      <c r="BD3" t="s">
        <v>1409</v>
      </c>
      <c r="BE3" t="s">
        <v>1409</v>
      </c>
      <c r="BF3" t="s">
        <v>1409</v>
      </c>
      <c r="BG3" t="s">
        <v>1409</v>
      </c>
      <c r="BH3" t="s">
        <v>1411</v>
      </c>
      <c r="BI3" t="s">
        <v>1411</v>
      </c>
      <c r="BJ3" t="s">
        <v>1411</v>
      </c>
      <c r="BK3" t="s">
        <v>1411</v>
      </c>
      <c r="BL3" t="s">
        <v>1411</v>
      </c>
      <c r="BM3" t="s">
        <v>1413</v>
      </c>
      <c r="BN3" t="s">
        <v>1413</v>
      </c>
      <c r="BO3" t="s">
        <v>1413</v>
      </c>
      <c r="BP3" t="s">
        <v>1413</v>
      </c>
      <c r="BQ3" t="s">
        <v>1413</v>
      </c>
      <c r="BR3" t="s">
        <v>1415</v>
      </c>
      <c r="BS3" t="s">
        <v>1415</v>
      </c>
      <c r="BT3" t="s">
        <v>1415</v>
      </c>
      <c r="BU3" t="s">
        <v>1415</v>
      </c>
      <c r="BV3" t="s">
        <v>1415</v>
      </c>
      <c r="BW3" t="s">
        <v>1417</v>
      </c>
      <c r="BX3" t="s">
        <v>1419</v>
      </c>
      <c r="BY3" t="s">
        <v>1419</v>
      </c>
      <c r="BZ3" t="s">
        <v>1419</v>
      </c>
      <c r="CA3" t="s">
        <v>1419</v>
      </c>
      <c r="CB3" t="s">
        <v>1419</v>
      </c>
      <c r="CC3" t="s">
        <v>1421</v>
      </c>
      <c r="CD3" t="s">
        <v>1421</v>
      </c>
      <c r="CE3" t="s">
        <v>1423</v>
      </c>
      <c r="CF3" t="s">
        <v>1423</v>
      </c>
      <c r="CG3" t="s">
        <v>1425</v>
      </c>
      <c r="CH3" t="s">
        <v>1425</v>
      </c>
      <c r="CI3" t="s">
        <v>1427</v>
      </c>
      <c r="CJ3" t="s">
        <v>1427</v>
      </c>
      <c r="CK3" t="s">
        <v>1429</v>
      </c>
      <c r="CL3" t="s">
        <v>1429</v>
      </c>
      <c r="CM3" t="s">
        <v>1431</v>
      </c>
      <c r="CN3" t="s">
        <v>1431</v>
      </c>
      <c r="CO3" t="s">
        <v>1433</v>
      </c>
      <c r="CP3" t="s">
        <v>1433</v>
      </c>
      <c r="CQ3" t="s">
        <v>1435</v>
      </c>
      <c r="CR3" t="s">
        <v>1435</v>
      </c>
      <c r="CS3" t="s">
        <v>1437</v>
      </c>
      <c r="CT3" t="s">
        <v>1437</v>
      </c>
      <c r="CU3" t="s">
        <v>1439</v>
      </c>
      <c r="CV3" t="s">
        <v>1439</v>
      </c>
      <c r="CW3" t="s">
        <v>1441</v>
      </c>
      <c r="CX3" t="s">
        <v>1441</v>
      </c>
      <c r="CY3" t="s">
        <v>1443</v>
      </c>
      <c r="CZ3" t="s">
        <v>1443</v>
      </c>
      <c r="DA3" t="s">
        <v>1445</v>
      </c>
      <c r="DB3" t="s">
        <v>1445</v>
      </c>
    </row>
    <row r="4" spans="1:106" x14ac:dyDescent="0.4">
      <c r="A4" s="1"/>
      <c r="B4" s="2" t="s">
        <v>1</v>
      </c>
      <c r="C4" t="s">
        <v>1384</v>
      </c>
      <c r="D4" t="s">
        <v>1384</v>
      </c>
      <c r="E4" t="s">
        <v>1384</v>
      </c>
      <c r="F4" t="s">
        <v>1384</v>
      </c>
      <c r="G4" t="s">
        <v>1384</v>
      </c>
      <c r="H4" t="s">
        <v>1386</v>
      </c>
      <c r="I4" t="s">
        <v>1386</v>
      </c>
      <c r="J4" t="s">
        <v>1386</v>
      </c>
      <c r="K4" t="s">
        <v>1386</v>
      </c>
      <c r="L4" t="s">
        <v>1386</v>
      </c>
      <c r="M4" t="s">
        <v>1388</v>
      </c>
      <c r="N4" t="s">
        <v>1388</v>
      </c>
      <c r="O4" t="s">
        <v>1388</v>
      </c>
      <c r="P4" t="s">
        <v>1388</v>
      </c>
      <c r="Q4" t="s">
        <v>1388</v>
      </c>
      <c r="R4" t="s">
        <v>1390</v>
      </c>
      <c r="S4" t="s">
        <v>1390</v>
      </c>
      <c r="T4" t="s">
        <v>1390</v>
      </c>
      <c r="U4" t="s">
        <v>1390</v>
      </c>
      <c r="V4" t="s">
        <v>1390</v>
      </c>
      <c r="W4" t="s">
        <v>1392</v>
      </c>
      <c r="X4" t="s">
        <v>1392</v>
      </c>
      <c r="Y4" t="s">
        <v>1394</v>
      </c>
      <c r="Z4" t="s">
        <v>1394</v>
      </c>
      <c r="AA4" t="s">
        <v>1396</v>
      </c>
      <c r="AB4" t="s">
        <v>1396</v>
      </c>
      <c r="AC4" t="s">
        <v>1398</v>
      </c>
      <c r="AD4" t="s">
        <v>1400</v>
      </c>
      <c r="AE4" t="s">
        <v>1400</v>
      </c>
      <c r="AF4" t="s">
        <v>1400</v>
      </c>
      <c r="AG4" t="s">
        <v>1400</v>
      </c>
      <c r="AH4" t="s">
        <v>1400</v>
      </c>
      <c r="AI4" t="s">
        <v>1402</v>
      </c>
      <c r="AJ4" t="s">
        <v>1402</v>
      </c>
      <c r="AK4" t="s">
        <v>1402</v>
      </c>
      <c r="AL4" t="s">
        <v>1402</v>
      </c>
      <c r="AM4" t="s">
        <v>1402</v>
      </c>
      <c r="AN4" t="s">
        <v>1404</v>
      </c>
      <c r="AO4" t="s">
        <v>1404</v>
      </c>
      <c r="AP4" t="s">
        <v>1404</v>
      </c>
      <c r="AQ4" t="s">
        <v>1404</v>
      </c>
      <c r="AR4" t="s">
        <v>1404</v>
      </c>
      <c r="AS4" t="s">
        <v>1406</v>
      </c>
      <c r="AT4" t="s">
        <v>1406</v>
      </c>
      <c r="AU4" t="s">
        <v>1406</v>
      </c>
      <c r="AV4" t="s">
        <v>1406</v>
      </c>
      <c r="AW4" t="s">
        <v>1406</v>
      </c>
      <c r="AX4" t="s">
        <v>1408</v>
      </c>
      <c r="AY4" t="s">
        <v>1408</v>
      </c>
      <c r="AZ4" t="s">
        <v>1408</v>
      </c>
      <c r="BA4" t="s">
        <v>1408</v>
      </c>
      <c r="BB4" t="s">
        <v>1408</v>
      </c>
      <c r="BC4" t="s">
        <v>1410</v>
      </c>
      <c r="BD4" t="s">
        <v>1410</v>
      </c>
      <c r="BE4" t="s">
        <v>1410</v>
      </c>
      <c r="BF4" t="s">
        <v>1410</v>
      </c>
      <c r="BG4" t="s">
        <v>1410</v>
      </c>
      <c r="BH4" t="s">
        <v>1412</v>
      </c>
      <c r="BI4" t="s">
        <v>1412</v>
      </c>
      <c r="BJ4" t="s">
        <v>1412</v>
      </c>
      <c r="BK4" t="s">
        <v>1412</v>
      </c>
      <c r="BL4" t="s">
        <v>1412</v>
      </c>
      <c r="BM4" t="s">
        <v>1414</v>
      </c>
      <c r="BN4" t="s">
        <v>1414</v>
      </c>
      <c r="BO4" t="s">
        <v>1414</v>
      </c>
      <c r="BP4" t="s">
        <v>1414</v>
      </c>
      <c r="BQ4" t="s">
        <v>1414</v>
      </c>
      <c r="BR4" t="s">
        <v>1416</v>
      </c>
      <c r="BS4" t="s">
        <v>1416</v>
      </c>
      <c r="BT4" t="s">
        <v>1416</v>
      </c>
      <c r="BU4" t="s">
        <v>1416</v>
      </c>
      <c r="BV4" t="s">
        <v>1416</v>
      </c>
      <c r="BW4" t="s">
        <v>1418</v>
      </c>
      <c r="BX4" t="s">
        <v>1420</v>
      </c>
      <c r="BY4" t="s">
        <v>1420</v>
      </c>
      <c r="BZ4" t="s">
        <v>1420</v>
      </c>
      <c r="CA4" t="s">
        <v>1420</v>
      </c>
      <c r="CB4" t="s">
        <v>1420</v>
      </c>
      <c r="CC4" t="s">
        <v>1422</v>
      </c>
      <c r="CD4" t="s">
        <v>1422</v>
      </c>
      <c r="CE4" t="s">
        <v>1424</v>
      </c>
      <c r="CF4" t="s">
        <v>1424</v>
      </c>
      <c r="CG4" t="s">
        <v>1426</v>
      </c>
      <c r="CH4" t="s">
        <v>1426</v>
      </c>
      <c r="CI4" t="s">
        <v>1428</v>
      </c>
      <c r="CJ4" t="s">
        <v>1428</v>
      </c>
      <c r="CK4" t="s">
        <v>1430</v>
      </c>
      <c r="CL4" t="s">
        <v>1430</v>
      </c>
      <c r="CM4" t="s">
        <v>1432</v>
      </c>
      <c r="CN4" t="s">
        <v>1432</v>
      </c>
      <c r="CO4" t="s">
        <v>1434</v>
      </c>
      <c r="CP4" t="s">
        <v>1434</v>
      </c>
      <c r="CQ4" t="s">
        <v>1436</v>
      </c>
      <c r="CR4" t="s">
        <v>1436</v>
      </c>
      <c r="CS4" t="s">
        <v>1438</v>
      </c>
      <c r="CT4" t="s">
        <v>1438</v>
      </c>
      <c r="CU4" t="s">
        <v>1440</v>
      </c>
      <c r="CV4" t="s">
        <v>1440</v>
      </c>
      <c r="CW4" t="s">
        <v>1442</v>
      </c>
      <c r="CX4" t="s">
        <v>1442</v>
      </c>
      <c r="CY4" t="s">
        <v>1444</v>
      </c>
      <c r="CZ4" t="s">
        <v>1444</v>
      </c>
      <c r="DA4" t="s">
        <v>1446</v>
      </c>
      <c r="DB4" t="s">
        <v>1446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257</v>
      </c>
      <c r="AD5" t="s">
        <v>69</v>
      </c>
      <c r="AE5" t="s">
        <v>257</v>
      </c>
      <c r="AF5" t="s">
        <v>74</v>
      </c>
      <c r="AG5" t="s">
        <v>263</v>
      </c>
      <c r="AH5" t="s">
        <v>76</v>
      </c>
      <c r="AI5" t="s">
        <v>69</v>
      </c>
      <c r="AJ5" t="s">
        <v>257</v>
      </c>
      <c r="AK5" t="s">
        <v>74</v>
      </c>
      <c r="AL5" t="s">
        <v>263</v>
      </c>
      <c r="AM5" t="s">
        <v>76</v>
      </c>
      <c r="AN5" t="s">
        <v>69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257</v>
      </c>
      <c r="AU5" t="s">
        <v>74</v>
      </c>
      <c r="AV5" t="s">
        <v>263</v>
      </c>
      <c r="AW5" t="s">
        <v>76</v>
      </c>
      <c r="AX5" t="s">
        <v>69</v>
      </c>
      <c r="AY5" t="s">
        <v>257</v>
      </c>
      <c r="AZ5" t="s">
        <v>74</v>
      </c>
      <c r="BA5" t="s">
        <v>263</v>
      </c>
      <c r="BB5" t="s">
        <v>76</v>
      </c>
      <c r="BC5" t="s">
        <v>69</v>
      </c>
      <c r="BD5" t="s">
        <v>257</v>
      </c>
      <c r="BE5" t="s">
        <v>74</v>
      </c>
      <c r="BF5" t="s">
        <v>263</v>
      </c>
      <c r="BG5" t="s">
        <v>76</v>
      </c>
      <c r="BH5" t="s">
        <v>69</v>
      </c>
      <c r="BI5" t="s">
        <v>257</v>
      </c>
      <c r="BJ5" t="s">
        <v>74</v>
      </c>
      <c r="BK5" t="s">
        <v>263</v>
      </c>
      <c r="BL5" t="s">
        <v>76</v>
      </c>
      <c r="BM5" t="s">
        <v>69</v>
      </c>
      <c r="BN5" t="s">
        <v>257</v>
      </c>
      <c r="BO5" t="s">
        <v>74</v>
      </c>
      <c r="BP5" t="s">
        <v>263</v>
      </c>
      <c r="BQ5" t="s">
        <v>76</v>
      </c>
      <c r="BR5" t="s">
        <v>69</v>
      </c>
      <c r="BS5" t="s">
        <v>257</v>
      </c>
      <c r="BT5" t="s">
        <v>74</v>
      </c>
      <c r="BU5" t="s">
        <v>263</v>
      </c>
      <c r="BV5" t="s">
        <v>76</v>
      </c>
      <c r="BW5" t="s">
        <v>257</v>
      </c>
      <c r="BX5" t="s">
        <v>69</v>
      </c>
      <c r="BY5" t="s">
        <v>257</v>
      </c>
      <c r="BZ5" t="s">
        <v>74</v>
      </c>
      <c r="CA5" t="s">
        <v>263</v>
      </c>
      <c r="CB5" t="s">
        <v>76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  <c r="CS5" t="s">
        <v>69</v>
      </c>
      <c r="CT5" t="s">
        <v>257</v>
      </c>
      <c r="CU5" t="s">
        <v>69</v>
      </c>
      <c r="CV5" t="s">
        <v>257</v>
      </c>
      <c r="CW5" t="s">
        <v>69</v>
      </c>
      <c r="CX5" t="s">
        <v>257</v>
      </c>
      <c r="CY5" t="s">
        <v>69</v>
      </c>
      <c r="CZ5" t="s">
        <v>257</v>
      </c>
      <c r="DA5" t="s">
        <v>69</v>
      </c>
      <c r="DB5" t="s">
        <v>257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259</v>
      </c>
      <c r="AD6" t="s">
        <v>72</v>
      </c>
      <c r="AE6" t="s">
        <v>259</v>
      </c>
      <c r="AF6" t="s">
        <v>75</v>
      </c>
      <c r="AG6" t="s">
        <v>264</v>
      </c>
      <c r="AH6" t="s">
        <v>77</v>
      </c>
      <c r="AI6" t="s">
        <v>72</v>
      </c>
      <c r="AJ6" t="s">
        <v>259</v>
      </c>
      <c r="AK6" t="s">
        <v>75</v>
      </c>
      <c r="AL6" t="s">
        <v>264</v>
      </c>
      <c r="AM6" t="s">
        <v>77</v>
      </c>
      <c r="AN6" t="s">
        <v>72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259</v>
      </c>
      <c r="AU6" t="s">
        <v>75</v>
      </c>
      <c r="AV6" t="s">
        <v>264</v>
      </c>
      <c r="AW6" t="s">
        <v>77</v>
      </c>
      <c r="AX6" t="s">
        <v>72</v>
      </c>
      <c r="AY6" t="s">
        <v>259</v>
      </c>
      <c r="AZ6" t="s">
        <v>75</v>
      </c>
      <c r="BA6" t="s">
        <v>264</v>
      </c>
      <c r="BB6" t="s">
        <v>77</v>
      </c>
      <c r="BC6" t="s">
        <v>72</v>
      </c>
      <c r="BD6" t="s">
        <v>259</v>
      </c>
      <c r="BE6" t="s">
        <v>75</v>
      </c>
      <c r="BF6" t="s">
        <v>264</v>
      </c>
      <c r="BG6" t="s">
        <v>77</v>
      </c>
      <c r="BH6" t="s">
        <v>72</v>
      </c>
      <c r="BI6" t="s">
        <v>259</v>
      </c>
      <c r="BJ6" t="s">
        <v>75</v>
      </c>
      <c r="BK6" t="s">
        <v>264</v>
      </c>
      <c r="BL6" t="s">
        <v>77</v>
      </c>
      <c r="BM6" t="s">
        <v>72</v>
      </c>
      <c r="BN6" t="s">
        <v>259</v>
      </c>
      <c r="BO6" t="s">
        <v>75</v>
      </c>
      <c r="BP6" t="s">
        <v>264</v>
      </c>
      <c r="BQ6" t="s">
        <v>77</v>
      </c>
      <c r="BR6" t="s">
        <v>72</v>
      </c>
      <c r="BS6" t="s">
        <v>259</v>
      </c>
      <c r="BT6" t="s">
        <v>75</v>
      </c>
      <c r="BU6" t="s">
        <v>264</v>
      </c>
      <c r="BV6" t="s">
        <v>77</v>
      </c>
      <c r="BW6" t="s">
        <v>259</v>
      </c>
      <c r="BX6" t="s">
        <v>72</v>
      </c>
      <c r="BY6" t="s">
        <v>259</v>
      </c>
      <c r="BZ6" t="s">
        <v>75</v>
      </c>
      <c r="CA6" t="s">
        <v>264</v>
      </c>
      <c r="CB6" t="s">
        <v>77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  <c r="CS6" t="s">
        <v>72</v>
      </c>
      <c r="CT6" t="s">
        <v>259</v>
      </c>
      <c r="CU6" t="s">
        <v>72</v>
      </c>
      <c r="CV6" t="s">
        <v>259</v>
      </c>
      <c r="CW6" t="s">
        <v>72</v>
      </c>
      <c r="CX6" t="s">
        <v>259</v>
      </c>
      <c r="CY6" t="s">
        <v>72</v>
      </c>
      <c r="CZ6" t="s">
        <v>259</v>
      </c>
      <c r="DA6" t="s">
        <v>72</v>
      </c>
      <c r="DB6" t="s">
        <v>259</v>
      </c>
    </row>
    <row r="7" spans="1:106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258</v>
      </c>
      <c r="AD7" t="s">
        <v>251</v>
      </c>
      <c r="AE7" t="s">
        <v>258</v>
      </c>
      <c r="AF7" t="s">
        <v>251</v>
      </c>
      <c r="AG7" t="s">
        <v>258</v>
      </c>
      <c r="AH7" t="s">
        <v>251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251</v>
      </c>
      <c r="AO7" t="s">
        <v>258</v>
      </c>
      <c r="AP7" t="s">
        <v>251</v>
      </c>
      <c r="AQ7" t="s">
        <v>258</v>
      </c>
      <c r="AR7" t="s">
        <v>251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251</v>
      </c>
      <c r="AY7" t="s">
        <v>258</v>
      </c>
      <c r="AZ7" t="s">
        <v>251</v>
      </c>
      <c r="BA7" t="s">
        <v>258</v>
      </c>
      <c r="BB7" t="s">
        <v>251</v>
      </c>
      <c r="BC7" t="s">
        <v>251</v>
      </c>
      <c r="BD7" t="s">
        <v>258</v>
      </c>
      <c r="BE7" t="s">
        <v>251</v>
      </c>
      <c r="BF7" t="s">
        <v>258</v>
      </c>
      <c r="BG7" t="s">
        <v>251</v>
      </c>
      <c r="BH7" t="s">
        <v>251</v>
      </c>
      <c r="BI7" t="s">
        <v>258</v>
      </c>
      <c r="BJ7" t="s">
        <v>251</v>
      </c>
      <c r="BK7" t="s">
        <v>258</v>
      </c>
      <c r="BL7" t="s">
        <v>251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251</v>
      </c>
      <c r="BS7" t="s">
        <v>258</v>
      </c>
      <c r="BT7" t="s">
        <v>251</v>
      </c>
      <c r="BU7" t="s">
        <v>258</v>
      </c>
      <c r="BV7" t="s">
        <v>251</v>
      </c>
      <c r="BW7" t="s">
        <v>258</v>
      </c>
      <c r="BX7" t="s">
        <v>502</v>
      </c>
      <c r="BY7" t="s">
        <v>258</v>
      </c>
      <c r="BZ7" t="s">
        <v>502</v>
      </c>
      <c r="CA7" t="s">
        <v>258</v>
      </c>
      <c r="CB7" t="s">
        <v>502</v>
      </c>
      <c r="CC7" t="s">
        <v>251</v>
      </c>
      <c r="CD7" t="s">
        <v>258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258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258</v>
      </c>
      <c r="CY7" t="s">
        <v>251</v>
      </c>
      <c r="CZ7" t="s">
        <v>258</v>
      </c>
      <c r="DA7" t="s">
        <v>251</v>
      </c>
      <c r="DB7" t="s">
        <v>258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260</v>
      </c>
      <c r="AD8" t="s">
        <v>253</v>
      </c>
      <c r="AE8" t="s">
        <v>260</v>
      </c>
      <c r="AF8" t="s">
        <v>253</v>
      </c>
      <c r="AG8" t="s">
        <v>260</v>
      </c>
      <c r="AH8" t="s">
        <v>253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253</v>
      </c>
      <c r="AY8" t="s">
        <v>260</v>
      </c>
      <c r="AZ8" t="s">
        <v>253</v>
      </c>
      <c r="BA8" t="s">
        <v>260</v>
      </c>
      <c r="BB8" t="s">
        <v>253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253</v>
      </c>
      <c r="BI8" t="s">
        <v>260</v>
      </c>
      <c r="BJ8" t="s">
        <v>253</v>
      </c>
      <c r="BK8" t="s">
        <v>260</v>
      </c>
      <c r="BL8" t="s">
        <v>253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253</v>
      </c>
      <c r="BS8" t="s">
        <v>260</v>
      </c>
      <c r="BT8" t="s">
        <v>253</v>
      </c>
      <c r="BU8" t="s">
        <v>260</v>
      </c>
      <c r="BV8" t="s">
        <v>253</v>
      </c>
      <c r="BW8" t="s">
        <v>260</v>
      </c>
      <c r="BX8" t="s">
        <v>253</v>
      </c>
      <c r="BY8" t="s">
        <v>260</v>
      </c>
      <c r="BZ8" t="s">
        <v>253</v>
      </c>
      <c r="CA8" t="s">
        <v>260</v>
      </c>
      <c r="CB8" t="s">
        <v>253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260</v>
      </c>
      <c r="CY8" t="s">
        <v>253</v>
      </c>
      <c r="CZ8" t="s">
        <v>260</v>
      </c>
      <c r="DA8" t="s">
        <v>253</v>
      </c>
      <c r="DB8" t="s">
        <v>260</v>
      </c>
    </row>
    <row r="9" spans="1:106" x14ac:dyDescent="0.4">
      <c r="A9" s="1" t="s">
        <v>6</v>
      </c>
      <c r="B9" s="3" t="s">
        <v>7</v>
      </c>
      <c r="C9">
        <v>744871</v>
      </c>
      <c r="D9">
        <v>2676</v>
      </c>
      <c r="E9">
        <v>739331</v>
      </c>
      <c r="F9">
        <v>3229</v>
      </c>
      <c r="G9">
        <v>11217</v>
      </c>
      <c r="H9">
        <v>10451776</v>
      </c>
      <c r="I9">
        <v>53895</v>
      </c>
      <c r="J9">
        <v>10509632</v>
      </c>
      <c r="K9">
        <v>56365</v>
      </c>
      <c r="L9">
        <v>576716</v>
      </c>
      <c r="M9">
        <v>754540</v>
      </c>
      <c r="N9">
        <v>12927</v>
      </c>
      <c r="O9">
        <v>1179228</v>
      </c>
      <c r="P9">
        <v>14268</v>
      </c>
      <c r="Q9">
        <v>52162</v>
      </c>
      <c r="R9">
        <v>15961</v>
      </c>
      <c r="S9">
        <v>13831</v>
      </c>
      <c r="T9">
        <v>8996</v>
      </c>
      <c r="U9">
        <v>32409</v>
      </c>
      <c r="V9">
        <v>930</v>
      </c>
      <c r="W9">
        <v>684</v>
      </c>
      <c r="X9">
        <v>59547</v>
      </c>
      <c r="Y9">
        <v>669</v>
      </c>
      <c r="Z9">
        <v>13282</v>
      </c>
      <c r="AA9">
        <v>6020</v>
      </c>
      <c r="AB9">
        <v>95678</v>
      </c>
      <c r="AC9">
        <v>68602</v>
      </c>
      <c r="AD9">
        <v>1113984</v>
      </c>
      <c r="AE9">
        <v>12146</v>
      </c>
      <c r="AF9">
        <v>1296733</v>
      </c>
      <c r="AG9">
        <v>13217</v>
      </c>
      <c r="AH9">
        <v>2117</v>
      </c>
      <c r="AI9">
        <v>346521</v>
      </c>
      <c r="AJ9">
        <v>11469</v>
      </c>
      <c r="AK9">
        <v>360704</v>
      </c>
      <c r="AL9">
        <v>11970</v>
      </c>
      <c r="AM9">
        <v>25706</v>
      </c>
      <c r="AN9">
        <v>108628</v>
      </c>
      <c r="AO9">
        <v>10878</v>
      </c>
      <c r="AP9">
        <v>98448</v>
      </c>
      <c r="AQ9">
        <v>11896</v>
      </c>
      <c r="AR9">
        <v>2066</v>
      </c>
      <c r="AS9">
        <v>127963</v>
      </c>
      <c r="AT9">
        <v>14388</v>
      </c>
      <c r="AU9">
        <v>129078</v>
      </c>
      <c r="AV9">
        <v>14481</v>
      </c>
      <c r="AW9">
        <v>0</v>
      </c>
      <c r="AX9">
        <v>445347</v>
      </c>
      <c r="AY9">
        <v>8214</v>
      </c>
      <c r="AZ9">
        <v>516163</v>
      </c>
      <c r="BA9">
        <v>9009</v>
      </c>
      <c r="BB9">
        <v>91148</v>
      </c>
      <c r="BC9">
        <v>786330</v>
      </c>
      <c r="BD9">
        <v>17468</v>
      </c>
      <c r="BE9">
        <v>778163</v>
      </c>
      <c r="BF9">
        <v>17943</v>
      </c>
      <c r="BG9">
        <v>4955</v>
      </c>
      <c r="BH9">
        <v>16179</v>
      </c>
      <c r="BI9">
        <v>11871</v>
      </c>
      <c r="BJ9">
        <v>16438</v>
      </c>
      <c r="BK9">
        <v>12568</v>
      </c>
      <c r="BL9">
        <v>11</v>
      </c>
      <c r="BM9">
        <v>4252</v>
      </c>
      <c r="BN9">
        <v>13403</v>
      </c>
      <c r="BO9">
        <v>4310</v>
      </c>
      <c r="BP9">
        <v>13422</v>
      </c>
      <c r="BQ9">
        <v>0</v>
      </c>
      <c r="BR9">
        <v>4275</v>
      </c>
      <c r="BS9">
        <v>5456</v>
      </c>
      <c r="BT9">
        <v>6845</v>
      </c>
      <c r="BU9">
        <v>5878</v>
      </c>
      <c r="BV9">
        <v>208</v>
      </c>
      <c r="BW9">
        <v>18965</v>
      </c>
      <c r="BX9">
        <v>4247921</v>
      </c>
      <c r="BY9">
        <v>22591</v>
      </c>
      <c r="BZ9">
        <v>4321892</v>
      </c>
      <c r="CA9">
        <v>25294</v>
      </c>
      <c r="CB9">
        <v>75816</v>
      </c>
      <c r="CC9">
        <v>17512</v>
      </c>
      <c r="CD9">
        <v>56753</v>
      </c>
      <c r="CE9">
        <v>4889</v>
      </c>
      <c r="CF9">
        <v>123342</v>
      </c>
      <c r="CG9">
        <v>11338</v>
      </c>
      <c r="CH9">
        <v>39053</v>
      </c>
      <c r="CI9">
        <v>202</v>
      </c>
      <c r="CJ9">
        <v>10789</v>
      </c>
      <c r="CK9">
        <v>154722</v>
      </c>
      <c r="CL9">
        <v>3106</v>
      </c>
      <c r="CM9">
        <v>5208</v>
      </c>
      <c r="CN9">
        <v>3591</v>
      </c>
      <c r="CO9">
        <v>18349</v>
      </c>
      <c r="CP9">
        <v>52158</v>
      </c>
      <c r="CQ9">
        <v>7092</v>
      </c>
      <c r="CR9">
        <v>25362</v>
      </c>
      <c r="CS9">
        <v>149503</v>
      </c>
      <c r="CT9">
        <v>38156</v>
      </c>
      <c r="CU9">
        <v>2328</v>
      </c>
      <c r="CV9">
        <v>57370</v>
      </c>
      <c r="CW9">
        <v>1793253</v>
      </c>
      <c r="CX9">
        <v>30036</v>
      </c>
      <c r="CY9">
        <v>6821778</v>
      </c>
      <c r="CZ9">
        <v>125887</v>
      </c>
      <c r="DA9">
        <v>475481</v>
      </c>
      <c r="DB9">
        <v>388445</v>
      </c>
    </row>
    <row r="10" spans="1:106" x14ac:dyDescent="0.4">
      <c r="A10" s="1" t="s">
        <v>8</v>
      </c>
      <c r="B10" s="3" t="s">
        <v>9</v>
      </c>
      <c r="C10">
        <v>818027</v>
      </c>
      <c r="D10">
        <v>2910</v>
      </c>
      <c r="E10">
        <v>814687</v>
      </c>
      <c r="F10">
        <v>3481</v>
      </c>
      <c r="G10">
        <v>13445</v>
      </c>
      <c r="H10">
        <v>10831080</v>
      </c>
      <c r="I10">
        <v>63369</v>
      </c>
      <c r="J10">
        <v>10666671</v>
      </c>
      <c r="K10">
        <v>63294</v>
      </c>
      <c r="L10">
        <v>704893</v>
      </c>
      <c r="M10">
        <v>852619</v>
      </c>
      <c r="N10">
        <v>15589</v>
      </c>
      <c r="O10">
        <v>1257879</v>
      </c>
      <c r="P10">
        <v>16931</v>
      </c>
      <c r="Q10">
        <v>62553</v>
      </c>
      <c r="R10">
        <v>13489</v>
      </c>
      <c r="S10">
        <v>12996</v>
      </c>
      <c r="T10">
        <v>7746</v>
      </c>
      <c r="U10">
        <v>28755</v>
      </c>
      <c r="V10">
        <v>508</v>
      </c>
      <c r="W10">
        <v>673</v>
      </c>
      <c r="X10">
        <v>53440</v>
      </c>
      <c r="Y10">
        <v>605</v>
      </c>
      <c r="Z10">
        <v>11801</v>
      </c>
      <c r="AA10">
        <v>8473</v>
      </c>
      <c r="AB10">
        <v>96490</v>
      </c>
      <c r="AC10">
        <v>74792</v>
      </c>
      <c r="AD10">
        <v>1200771</v>
      </c>
      <c r="AE10">
        <v>12072</v>
      </c>
      <c r="AF10">
        <v>1379142</v>
      </c>
      <c r="AG10">
        <v>13187</v>
      </c>
      <c r="AH10">
        <v>1458</v>
      </c>
      <c r="AI10">
        <v>340842</v>
      </c>
      <c r="AJ10">
        <v>12919</v>
      </c>
      <c r="AK10">
        <v>356922</v>
      </c>
      <c r="AL10">
        <v>13423</v>
      </c>
      <c r="AM10">
        <v>24685</v>
      </c>
      <c r="AN10">
        <v>127665</v>
      </c>
      <c r="AO10">
        <v>11904</v>
      </c>
      <c r="AP10">
        <v>112754</v>
      </c>
      <c r="AQ10">
        <v>12978</v>
      </c>
      <c r="AR10">
        <v>2394</v>
      </c>
      <c r="AS10">
        <v>132440</v>
      </c>
      <c r="AT10">
        <v>16873</v>
      </c>
      <c r="AU10">
        <v>133621</v>
      </c>
      <c r="AV10">
        <v>16977</v>
      </c>
      <c r="AW10">
        <v>0</v>
      </c>
      <c r="AX10">
        <v>449277</v>
      </c>
      <c r="AY10">
        <v>8405</v>
      </c>
      <c r="AZ10">
        <v>512723</v>
      </c>
      <c r="BA10">
        <v>9041</v>
      </c>
      <c r="BB10">
        <v>81147</v>
      </c>
      <c r="BC10">
        <v>777379</v>
      </c>
      <c r="BD10">
        <v>19795</v>
      </c>
      <c r="BE10">
        <v>767425</v>
      </c>
      <c r="BF10">
        <v>20314</v>
      </c>
      <c r="BG10">
        <v>4596</v>
      </c>
      <c r="BH10">
        <v>14845</v>
      </c>
      <c r="BI10">
        <v>13326</v>
      </c>
      <c r="BJ10">
        <v>14985</v>
      </c>
      <c r="BK10">
        <v>13904</v>
      </c>
      <c r="BL10">
        <v>13</v>
      </c>
      <c r="BM10">
        <v>2802</v>
      </c>
      <c r="BN10">
        <v>18376</v>
      </c>
      <c r="BO10">
        <v>2836</v>
      </c>
      <c r="BP10">
        <v>18391</v>
      </c>
      <c r="BQ10">
        <v>0</v>
      </c>
      <c r="BR10">
        <v>4472</v>
      </c>
      <c r="BS10">
        <v>5316</v>
      </c>
      <c r="BT10">
        <v>7819</v>
      </c>
      <c r="BU10">
        <v>5785</v>
      </c>
      <c r="BV10">
        <v>209</v>
      </c>
      <c r="BW10">
        <v>20764</v>
      </c>
      <c r="BX10">
        <v>4280691</v>
      </c>
      <c r="BY10">
        <v>28390</v>
      </c>
      <c r="BZ10">
        <v>4163373</v>
      </c>
      <c r="CA10">
        <v>28673</v>
      </c>
      <c r="CB10">
        <v>225020</v>
      </c>
      <c r="CC10">
        <v>18474</v>
      </c>
      <c r="CD10">
        <v>61029</v>
      </c>
      <c r="CE10">
        <v>4758</v>
      </c>
      <c r="CF10">
        <v>113668</v>
      </c>
      <c r="CG10">
        <v>14044</v>
      </c>
      <c r="CH10">
        <v>48875</v>
      </c>
      <c r="CI10">
        <v>237</v>
      </c>
      <c r="CJ10">
        <v>14480</v>
      </c>
      <c r="CK10">
        <v>6192</v>
      </c>
      <c r="CL10">
        <v>3198</v>
      </c>
      <c r="CM10">
        <v>4815</v>
      </c>
      <c r="CN10">
        <v>3417</v>
      </c>
      <c r="CO10">
        <v>17459</v>
      </c>
      <c r="CP10">
        <v>54488</v>
      </c>
      <c r="CQ10">
        <v>6813</v>
      </c>
      <c r="CR10">
        <v>19368</v>
      </c>
      <c r="CS10">
        <v>153380</v>
      </c>
      <c r="CT10">
        <v>27305</v>
      </c>
      <c r="CU10">
        <v>2125</v>
      </c>
      <c r="CV10">
        <v>56817</v>
      </c>
      <c r="CW10">
        <v>1624214</v>
      </c>
      <c r="CX10">
        <v>25744</v>
      </c>
      <c r="CY10">
        <v>7506394</v>
      </c>
      <c r="CZ10">
        <v>129091</v>
      </c>
      <c r="DA10">
        <v>496388</v>
      </c>
      <c r="DB10">
        <v>416962</v>
      </c>
    </row>
    <row r="11" spans="1:106" x14ac:dyDescent="0.4">
      <c r="A11" s="1" t="s">
        <v>10</v>
      </c>
      <c r="B11" s="3" t="s">
        <v>11</v>
      </c>
      <c r="C11">
        <v>635637</v>
      </c>
      <c r="D11">
        <v>2411</v>
      </c>
      <c r="E11">
        <v>636538</v>
      </c>
      <c r="F11">
        <v>2950</v>
      </c>
      <c r="G11">
        <v>11309</v>
      </c>
      <c r="H11">
        <v>11575497</v>
      </c>
      <c r="I11">
        <v>70105</v>
      </c>
      <c r="J11">
        <v>11755212</v>
      </c>
      <c r="K11">
        <v>72275</v>
      </c>
      <c r="L11">
        <v>530662</v>
      </c>
      <c r="M11">
        <v>868471</v>
      </c>
      <c r="N11">
        <v>18140</v>
      </c>
      <c r="O11">
        <v>1291240</v>
      </c>
      <c r="P11">
        <v>19721</v>
      </c>
      <c r="Q11">
        <v>63320</v>
      </c>
      <c r="R11">
        <v>10518</v>
      </c>
      <c r="S11">
        <v>7066</v>
      </c>
      <c r="T11">
        <v>6210</v>
      </c>
      <c r="U11">
        <v>17371</v>
      </c>
      <c r="V11">
        <v>602</v>
      </c>
      <c r="W11">
        <v>578</v>
      </c>
      <c r="X11">
        <v>47245</v>
      </c>
      <c r="Y11">
        <v>679</v>
      </c>
      <c r="Z11">
        <v>11303</v>
      </c>
      <c r="AA11">
        <v>7529</v>
      </c>
      <c r="AB11">
        <v>110966</v>
      </c>
      <c r="AC11">
        <v>67316</v>
      </c>
      <c r="AD11">
        <v>1114508</v>
      </c>
      <c r="AE11">
        <v>12949</v>
      </c>
      <c r="AF11">
        <v>1255880</v>
      </c>
      <c r="AG11">
        <v>14492</v>
      </c>
      <c r="AH11">
        <v>2217</v>
      </c>
      <c r="AI11">
        <v>368524</v>
      </c>
      <c r="AJ11">
        <v>15299</v>
      </c>
      <c r="AK11">
        <v>380816</v>
      </c>
      <c r="AL11">
        <v>15816</v>
      </c>
      <c r="AM11">
        <v>30064</v>
      </c>
      <c r="AN11">
        <v>147766</v>
      </c>
      <c r="AO11">
        <v>13191</v>
      </c>
      <c r="AP11">
        <v>125772</v>
      </c>
      <c r="AQ11">
        <v>14639</v>
      </c>
      <c r="AR11">
        <v>3465</v>
      </c>
      <c r="AS11">
        <v>145087</v>
      </c>
      <c r="AT11">
        <v>20191</v>
      </c>
      <c r="AU11">
        <v>146191</v>
      </c>
      <c r="AV11">
        <v>20299</v>
      </c>
      <c r="AW11">
        <v>0</v>
      </c>
      <c r="AX11">
        <v>419669</v>
      </c>
      <c r="AY11">
        <v>9368</v>
      </c>
      <c r="AZ11">
        <v>468735</v>
      </c>
      <c r="BA11">
        <v>10492</v>
      </c>
      <c r="BB11">
        <v>99013</v>
      </c>
      <c r="BC11">
        <v>729740</v>
      </c>
      <c r="BD11">
        <v>20008</v>
      </c>
      <c r="BE11">
        <v>724024</v>
      </c>
      <c r="BF11">
        <v>21159</v>
      </c>
      <c r="BG11">
        <v>3495</v>
      </c>
      <c r="BH11">
        <v>15563</v>
      </c>
      <c r="BI11">
        <v>14746</v>
      </c>
      <c r="BJ11">
        <v>15782</v>
      </c>
      <c r="BK11">
        <v>15468</v>
      </c>
      <c r="BL11">
        <v>15</v>
      </c>
      <c r="BM11">
        <v>5108</v>
      </c>
      <c r="BN11">
        <v>21468</v>
      </c>
      <c r="BO11">
        <v>5127</v>
      </c>
      <c r="BP11">
        <v>21476</v>
      </c>
      <c r="BQ11">
        <v>2</v>
      </c>
      <c r="BR11">
        <v>4701</v>
      </c>
      <c r="BS11">
        <v>5861</v>
      </c>
      <c r="BT11">
        <v>8550</v>
      </c>
      <c r="BU11">
        <v>6361</v>
      </c>
      <c r="BV11">
        <v>403</v>
      </c>
      <c r="BW11">
        <v>22471</v>
      </c>
      <c r="BX11">
        <v>4073396</v>
      </c>
      <c r="BY11">
        <v>27316</v>
      </c>
      <c r="BZ11">
        <v>4119980</v>
      </c>
      <c r="CA11">
        <v>29247</v>
      </c>
      <c r="CB11">
        <v>210576</v>
      </c>
      <c r="CC11">
        <v>11853</v>
      </c>
      <c r="CD11">
        <v>66018</v>
      </c>
      <c r="CE11">
        <v>3909</v>
      </c>
      <c r="CF11">
        <v>98305</v>
      </c>
      <c r="CG11">
        <v>15333</v>
      </c>
      <c r="CH11">
        <v>54510</v>
      </c>
      <c r="CI11">
        <v>307</v>
      </c>
      <c r="CJ11">
        <v>19816</v>
      </c>
      <c r="CK11">
        <v>10484</v>
      </c>
      <c r="CL11">
        <v>3886</v>
      </c>
      <c r="CM11">
        <v>4262</v>
      </c>
      <c r="CN11">
        <v>2771</v>
      </c>
      <c r="CO11">
        <v>20231</v>
      </c>
      <c r="CP11">
        <v>61794</v>
      </c>
      <c r="CQ11">
        <v>7059</v>
      </c>
      <c r="CR11">
        <v>16959</v>
      </c>
      <c r="CS11">
        <v>141892</v>
      </c>
      <c r="CT11">
        <v>40719</v>
      </c>
      <c r="CU11">
        <v>2651</v>
      </c>
      <c r="CV11">
        <v>75230</v>
      </c>
      <c r="CW11">
        <v>1476347</v>
      </c>
      <c r="CX11">
        <v>23367</v>
      </c>
      <c r="CY11">
        <v>6656906</v>
      </c>
      <c r="CZ11">
        <v>123218</v>
      </c>
      <c r="DA11">
        <v>390683</v>
      </c>
      <c r="DB11">
        <v>336564</v>
      </c>
    </row>
    <row r="12" spans="1:106" x14ac:dyDescent="0.4">
      <c r="A12" s="1" t="s">
        <v>12</v>
      </c>
      <c r="B12" s="3" t="s">
        <v>13</v>
      </c>
      <c r="C12">
        <v>630263</v>
      </c>
      <c r="D12">
        <v>2505</v>
      </c>
      <c r="E12">
        <v>630403</v>
      </c>
      <c r="F12">
        <v>3034</v>
      </c>
      <c r="G12">
        <v>10550</v>
      </c>
      <c r="H12">
        <v>11508102</v>
      </c>
      <c r="I12">
        <v>63275</v>
      </c>
      <c r="J12">
        <v>11313008</v>
      </c>
      <c r="K12">
        <v>63625</v>
      </c>
      <c r="L12">
        <v>713802</v>
      </c>
      <c r="M12">
        <v>854132</v>
      </c>
      <c r="N12">
        <v>16668</v>
      </c>
      <c r="O12">
        <v>1302646</v>
      </c>
      <c r="P12">
        <v>18675</v>
      </c>
      <c r="Q12">
        <v>48668</v>
      </c>
      <c r="R12">
        <v>8906</v>
      </c>
      <c r="S12">
        <v>8695</v>
      </c>
      <c r="T12">
        <v>5951</v>
      </c>
      <c r="U12">
        <v>17319</v>
      </c>
      <c r="V12">
        <v>377</v>
      </c>
      <c r="W12">
        <v>301</v>
      </c>
      <c r="X12">
        <v>26734</v>
      </c>
      <c r="Y12">
        <v>115</v>
      </c>
      <c r="Z12">
        <v>6523</v>
      </c>
      <c r="AA12">
        <v>4302</v>
      </c>
      <c r="AB12">
        <v>133369</v>
      </c>
      <c r="AC12">
        <v>68510</v>
      </c>
      <c r="AD12">
        <v>1094641</v>
      </c>
      <c r="AE12">
        <v>12694</v>
      </c>
      <c r="AF12">
        <v>1240866</v>
      </c>
      <c r="AG12">
        <v>14032</v>
      </c>
      <c r="AH12">
        <v>1987</v>
      </c>
      <c r="AI12">
        <v>362961</v>
      </c>
      <c r="AJ12">
        <v>17203</v>
      </c>
      <c r="AK12">
        <v>385251</v>
      </c>
      <c r="AL12">
        <v>17883</v>
      </c>
      <c r="AM12">
        <v>27355</v>
      </c>
      <c r="AN12">
        <v>105747</v>
      </c>
      <c r="AO12">
        <v>14664</v>
      </c>
      <c r="AP12">
        <v>104658</v>
      </c>
      <c r="AQ12">
        <v>15607</v>
      </c>
      <c r="AR12">
        <v>1678</v>
      </c>
      <c r="AS12">
        <v>139973</v>
      </c>
      <c r="AT12">
        <v>20443</v>
      </c>
      <c r="AU12">
        <v>140934</v>
      </c>
      <c r="AV12">
        <v>20551</v>
      </c>
      <c r="AW12">
        <v>0</v>
      </c>
      <c r="AX12">
        <v>348466</v>
      </c>
      <c r="AY12">
        <v>8665</v>
      </c>
      <c r="AZ12">
        <v>410297</v>
      </c>
      <c r="BA12">
        <v>9870</v>
      </c>
      <c r="BB12">
        <v>92657</v>
      </c>
      <c r="BC12">
        <v>588992</v>
      </c>
      <c r="BD12">
        <v>16883</v>
      </c>
      <c r="BE12">
        <v>574230</v>
      </c>
      <c r="BF12">
        <v>17870</v>
      </c>
      <c r="BG12">
        <v>8231</v>
      </c>
      <c r="BH12">
        <v>13208</v>
      </c>
      <c r="BI12">
        <v>15877</v>
      </c>
      <c r="BJ12">
        <v>13387</v>
      </c>
      <c r="BK12">
        <v>16588</v>
      </c>
      <c r="BL12">
        <v>12</v>
      </c>
      <c r="BM12">
        <v>5914</v>
      </c>
      <c r="BN12">
        <v>24907</v>
      </c>
      <c r="BO12">
        <v>5976</v>
      </c>
      <c r="BP12">
        <v>24933</v>
      </c>
      <c r="BQ12">
        <v>0</v>
      </c>
      <c r="BR12">
        <v>4493</v>
      </c>
      <c r="BS12">
        <v>6203</v>
      </c>
      <c r="BT12">
        <v>8906</v>
      </c>
      <c r="BU12">
        <v>6790</v>
      </c>
      <c r="BV12">
        <v>377</v>
      </c>
      <c r="BW12">
        <v>21851</v>
      </c>
      <c r="BX12">
        <v>3761109</v>
      </c>
      <c r="BY12">
        <v>25545</v>
      </c>
      <c r="BZ12">
        <v>3861547</v>
      </c>
      <c r="CA12">
        <v>27845</v>
      </c>
      <c r="CB12">
        <v>142318</v>
      </c>
      <c r="CC12">
        <v>12501</v>
      </c>
      <c r="CD12">
        <v>63327</v>
      </c>
      <c r="CE12">
        <v>3766</v>
      </c>
      <c r="CF12">
        <v>98736</v>
      </c>
      <c r="CG12">
        <v>14691</v>
      </c>
      <c r="CH12">
        <v>51936</v>
      </c>
      <c r="CI12">
        <v>289</v>
      </c>
      <c r="CJ12">
        <v>17035</v>
      </c>
      <c r="CK12">
        <v>7694</v>
      </c>
      <c r="CL12">
        <v>3408</v>
      </c>
      <c r="CM12">
        <v>4075</v>
      </c>
      <c r="CN12">
        <v>2760</v>
      </c>
      <c r="CO12">
        <v>18101</v>
      </c>
      <c r="CP12">
        <v>57017</v>
      </c>
      <c r="CQ12">
        <v>6734</v>
      </c>
      <c r="CR12">
        <v>20637</v>
      </c>
      <c r="CS12">
        <v>111204</v>
      </c>
      <c r="CT12">
        <v>36751</v>
      </c>
      <c r="CU12">
        <v>2733</v>
      </c>
      <c r="CV12">
        <v>88335</v>
      </c>
      <c r="CW12">
        <v>1181345</v>
      </c>
      <c r="CX12">
        <v>19396</v>
      </c>
      <c r="CY12">
        <v>6841838</v>
      </c>
      <c r="CZ12">
        <v>118030</v>
      </c>
      <c r="DA12">
        <v>417860</v>
      </c>
      <c r="DB12">
        <v>334020</v>
      </c>
    </row>
    <row r="13" spans="1:106" x14ac:dyDescent="0.4">
      <c r="A13" s="1" t="s">
        <v>14</v>
      </c>
      <c r="B13" s="3" t="s">
        <v>15</v>
      </c>
      <c r="C13">
        <v>643925</v>
      </c>
      <c r="D13">
        <v>2767</v>
      </c>
      <c r="E13">
        <v>642201</v>
      </c>
      <c r="F13">
        <v>3344</v>
      </c>
      <c r="G13">
        <v>12071</v>
      </c>
      <c r="H13">
        <v>11190829</v>
      </c>
      <c r="I13">
        <v>62605</v>
      </c>
      <c r="J13">
        <v>10916516</v>
      </c>
      <c r="K13">
        <v>64297</v>
      </c>
      <c r="L13">
        <v>879255</v>
      </c>
      <c r="M13">
        <v>761366</v>
      </c>
      <c r="N13">
        <v>17092</v>
      </c>
      <c r="O13">
        <v>1177547</v>
      </c>
      <c r="P13">
        <v>18762</v>
      </c>
      <c r="Q13">
        <v>39369</v>
      </c>
      <c r="R13">
        <v>11179</v>
      </c>
      <c r="S13">
        <v>9480</v>
      </c>
      <c r="T13">
        <v>6863</v>
      </c>
      <c r="U13">
        <v>17053</v>
      </c>
      <c r="V13">
        <v>208</v>
      </c>
      <c r="W13" t="s">
        <v>73</v>
      </c>
      <c r="X13" t="s">
        <v>73</v>
      </c>
      <c r="Y13" t="s">
        <v>73</v>
      </c>
      <c r="Z13" t="s">
        <v>73</v>
      </c>
      <c r="AA13">
        <v>2641</v>
      </c>
      <c r="AB13">
        <v>169842</v>
      </c>
      <c r="AC13">
        <v>76798</v>
      </c>
      <c r="AD13">
        <v>1085704</v>
      </c>
      <c r="AE13">
        <v>13200</v>
      </c>
      <c r="AF13">
        <v>1238556</v>
      </c>
      <c r="AG13">
        <v>14591</v>
      </c>
      <c r="AH13">
        <v>1733</v>
      </c>
      <c r="AI13">
        <v>263159</v>
      </c>
      <c r="AJ13">
        <v>14215</v>
      </c>
      <c r="AK13">
        <v>289305</v>
      </c>
      <c r="AL13">
        <v>14898</v>
      </c>
      <c r="AM13">
        <v>21893</v>
      </c>
      <c r="AN13">
        <v>160128</v>
      </c>
      <c r="AO13">
        <v>13991</v>
      </c>
      <c r="AP13">
        <v>157791</v>
      </c>
      <c r="AQ13">
        <v>16182</v>
      </c>
      <c r="AR13">
        <v>11371</v>
      </c>
      <c r="AS13">
        <v>131131</v>
      </c>
      <c r="AT13">
        <v>18176</v>
      </c>
      <c r="AU13">
        <v>132267</v>
      </c>
      <c r="AV13">
        <v>18303</v>
      </c>
      <c r="AW13">
        <v>0</v>
      </c>
      <c r="AX13">
        <v>378612</v>
      </c>
      <c r="AY13">
        <v>8891</v>
      </c>
      <c r="AZ13">
        <v>421215</v>
      </c>
      <c r="BA13">
        <v>13913</v>
      </c>
      <c r="BB13">
        <v>68110</v>
      </c>
      <c r="BC13">
        <v>641587</v>
      </c>
      <c r="BD13">
        <v>17304</v>
      </c>
      <c r="BE13">
        <v>631142</v>
      </c>
      <c r="BF13">
        <v>18727</v>
      </c>
      <c r="BG13">
        <v>9364</v>
      </c>
      <c r="BH13">
        <v>14000</v>
      </c>
      <c r="BI13">
        <v>14978</v>
      </c>
      <c r="BJ13">
        <v>14186</v>
      </c>
      <c r="BK13">
        <v>15705</v>
      </c>
      <c r="BL13">
        <v>6</v>
      </c>
      <c r="BM13">
        <v>5208</v>
      </c>
      <c r="BN13">
        <v>33581</v>
      </c>
      <c r="BO13">
        <v>5228</v>
      </c>
      <c r="BP13">
        <v>33607</v>
      </c>
      <c r="BQ13">
        <v>0</v>
      </c>
      <c r="BR13">
        <v>3706</v>
      </c>
      <c r="BS13">
        <v>7461</v>
      </c>
      <c r="BT13">
        <v>8473</v>
      </c>
      <c r="BU13">
        <v>8131</v>
      </c>
      <c r="BV13">
        <v>596</v>
      </c>
      <c r="BW13">
        <v>21629</v>
      </c>
      <c r="BX13">
        <v>4115740</v>
      </c>
      <c r="BY13">
        <v>28102</v>
      </c>
      <c r="BZ13">
        <v>4123299</v>
      </c>
      <c r="CA13">
        <v>31642</v>
      </c>
      <c r="CB13">
        <v>154651</v>
      </c>
      <c r="CC13">
        <v>14383</v>
      </c>
      <c r="CD13">
        <v>61739</v>
      </c>
      <c r="CE13">
        <v>3520</v>
      </c>
      <c r="CF13">
        <v>87246</v>
      </c>
      <c r="CG13">
        <v>16192</v>
      </c>
      <c r="CH13">
        <v>57476</v>
      </c>
      <c r="CI13">
        <v>305</v>
      </c>
      <c r="CJ13">
        <v>17393</v>
      </c>
      <c r="CK13">
        <v>9644</v>
      </c>
      <c r="CL13">
        <v>3766</v>
      </c>
      <c r="CM13">
        <v>4183</v>
      </c>
      <c r="CN13">
        <v>2684</v>
      </c>
      <c r="CO13">
        <v>16945</v>
      </c>
      <c r="CP13">
        <v>49293</v>
      </c>
      <c r="CQ13">
        <v>6474</v>
      </c>
      <c r="CR13">
        <v>13944</v>
      </c>
      <c r="CS13">
        <v>113072</v>
      </c>
      <c r="CT13">
        <v>48133</v>
      </c>
      <c r="CU13">
        <v>2180</v>
      </c>
      <c r="CV13">
        <v>75191</v>
      </c>
      <c r="CW13">
        <v>1098472</v>
      </c>
      <c r="CX13">
        <v>19495</v>
      </c>
      <c r="CY13">
        <v>7578473</v>
      </c>
      <c r="CZ13">
        <v>110954</v>
      </c>
      <c r="DA13">
        <v>420534</v>
      </c>
      <c r="DB13">
        <v>343287</v>
      </c>
    </row>
    <row r="14" spans="1:106" x14ac:dyDescent="0.4">
      <c r="A14" s="1" t="s">
        <v>16</v>
      </c>
      <c r="B14" s="1" t="s">
        <v>17</v>
      </c>
      <c r="C14">
        <v>50913</v>
      </c>
      <c r="D14">
        <v>219</v>
      </c>
      <c r="E14">
        <v>48987</v>
      </c>
      <c r="F14">
        <v>251</v>
      </c>
      <c r="G14">
        <v>13099</v>
      </c>
      <c r="H14">
        <v>1021480</v>
      </c>
      <c r="I14">
        <v>5778</v>
      </c>
      <c r="J14">
        <v>1048462</v>
      </c>
      <c r="K14">
        <v>6014</v>
      </c>
      <c r="L14">
        <v>519097</v>
      </c>
      <c r="M14">
        <v>57567</v>
      </c>
      <c r="N14">
        <v>1319</v>
      </c>
      <c r="O14">
        <v>104589</v>
      </c>
      <c r="P14">
        <v>1564</v>
      </c>
      <c r="Q14">
        <v>59413</v>
      </c>
      <c r="R14">
        <v>1035</v>
      </c>
      <c r="S14">
        <v>1053</v>
      </c>
      <c r="T14">
        <v>880</v>
      </c>
      <c r="U14">
        <v>3186</v>
      </c>
      <c r="V14">
        <v>387</v>
      </c>
      <c r="W14">
        <v>49</v>
      </c>
      <c r="X14">
        <v>4253</v>
      </c>
      <c r="Y14">
        <v>12</v>
      </c>
      <c r="Z14">
        <v>687</v>
      </c>
      <c r="AA14">
        <v>1515</v>
      </c>
      <c r="AB14">
        <v>14139</v>
      </c>
      <c r="AC14">
        <v>7788</v>
      </c>
      <c r="AD14">
        <v>82825</v>
      </c>
      <c r="AE14">
        <v>1125</v>
      </c>
      <c r="AF14">
        <v>95012</v>
      </c>
      <c r="AG14">
        <v>1243</v>
      </c>
      <c r="AH14">
        <v>1055</v>
      </c>
      <c r="AI14">
        <v>32808</v>
      </c>
      <c r="AJ14">
        <v>1628</v>
      </c>
      <c r="AK14">
        <v>34231</v>
      </c>
      <c r="AL14">
        <v>1705</v>
      </c>
      <c r="AM14">
        <v>29287</v>
      </c>
      <c r="AN14">
        <v>10992</v>
      </c>
      <c r="AO14">
        <v>1704</v>
      </c>
      <c r="AP14">
        <v>9851</v>
      </c>
      <c r="AQ14">
        <v>1763</v>
      </c>
      <c r="AR14">
        <v>3424</v>
      </c>
      <c r="AS14">
        <v>15164</v>
      </c>
      <c r="AT14">
        <v>2034</v>
      </c>
      <c r="AU14">
        <v>15218</v>
      </c>
      <c r="AV14">
        <v>2041</v>
      </c>
      <c r="AW14">
        <v>0</v>
      </c>
      <c r="AX14">
        <v>32148</v>
      </c>
      <c r="AY14">
        <v>1223</v>
      </c>
      <c r="AZ14">
        <v>36519</v>
      </c>
      <c r="BA14">
        <v>1314</v>
      </c>
      <c r="BB14">
        <v>93811</v>
      </c>
      <c r="BC14">
        <v>46437</v>
      </c>
      <c r="BD14">
        <v>1374</v>
      </c>
      <c r="BE14">
        <v>46068</v>
      </c>
      <c r="BF14">
        <v>1488</v>
      </c>
      <c r="BG14">
        <v>2449</v>
      </c>
      <c r="BH14">
        <v>1473</v>
      </c>
      <c r="BI14">
        <v>1653</v>
      </c>
      <c r="BJ14">
        <v>1482</v>
      </c>
      <c r="BK14">
        <v>1708</v>
      </c>
      <c r="BL14">
        <v>15</v>
      </c>
      <c r="BM14">
        <v>1160</v>
      </c>
      <c r="BN14">
        <v>3162</v>
      </c>
      <c r="BO14">
        <v>1162</v>
      </c>
      <c r="BP14">
        <v>3163</v>
      </c>
      <c r="BQ14">
        <v>0</v>
      </c>
      <c r="BR14">
        <v>404</v>
      </c>
      <c r="BS14">
        <v>938</v>
      </c>
      <c r="BT14">
        <v>730</v>
      </c>
      <c r="BU14">
        <v>987</v>
      </c>
      <c r="BV14">
        <v>327</v>
      </c>
      <c r="BW14">
        <v>2701</v>
      </c>
      <c r="BX14">
        <v>360290</v>
      </c>
      <c r="BY14">
        <v>2043</v>
      </c>
      <c r="BZ14">
        <v>377875</v>
      </c>
      <c r="CA14">
        <v>2349</v>
      </c>
      <c r="CB14">
        <v>214411</v>
      </c>
      <c r="CC14">
        <v>1293</v>
      </c>
      <c r="CD14">
        <v>9400</v>
      </c>
      <c r="CE14">
        <v>401</v>
      </c>
      <c r="CF14">
        <v>11894</v>
      </c>
      <c r="CG14">
        <v>1678</v>
      </c>
      <c r="CH14">
        <v>6007</v>
      </c>
      <c r="CI14">
        <v>24</v>
      </c>
      <c r="CJ14">
        <v>1841</v>
      </c>
      <c r="CK14">
        <v>2644</v>
      </c>
      <c r="CL14">
        <v>950</v>
      </c>
      <c r="CM14">
        <v>371</v>
      </c>
      <c r="CN14">
        <v>260</v>
      </c>
      <c r="CO14">
        <v>1741</v>
      </c>
      <c r="CP14">
        <v>5963</v>
      </c>
      <c r="CQ14">
        <v>687</v>
      </c>
      <c r="CR14">
        <v>1041</v>
      </c>
      <c r="CS14">
        <v>11389</v>
      </c>
      <c r="CT14">
        <v>6970</v>
      </c>
      <c r="CU14">
        <v>397</v>
      </c>
      <c r="CV14">
        <v>14656</v>
      </c>
      <c r="CW14">
        <v>108100</v>
      </c>
      <c r="CX14">
        <v>5326</v>
      </c>
      <c r="CY14">
        <v>511573</v>
      </c>
      <c r="CZ14">
        <v>13602</v>
      </c>
      <c r="DA14">
        <v>35357</v>
      </c>
      <c r="DB14">
        <v>32725</v>
      </c>
    </row>
    <row r="15" spans="1:106" x14ac:dyDescent="0.4">
      <c r="A15" s="1" t="s">
        <v>18</v>
      </c>
      <c r="B15" s="1" t="s">
        <v>19</v>
      </c>
      <c r="C15">
        <v>51394</v>
      </c>
      <c r="D15">
        <v>200</v>
      </c>
      <c r="E15">
        <v>53264</v>
      </c>
      <c r="F15">
        <v>240</v>
      </c>
      <c r="G15">
        <v>11167</v>
      </c>
      <c r="H15">
        <v>975090</v>
      </c>
      <c r="I15">
        <v>4917</v>
      </c>
      <c r="J15">
        <v>931807</v>
      </c>
      <c r="K15">
        <v>4783</v>
      </c>
      <c r="L15">
        <v>563026</v>
      </c>
      <c r="M15">
        <v>70780</v>
      </c>
      <c r="N15">
        <v>1328</v>
      </c>
      <c r="O15">
        <v>102272</v>
      </c>
      <c r="P15">
        <v>1427</v>
      </c>
      <c r="Q15">
        <v>51403</v>
      </c>
      <c r="R15">
        <v>574</v>
      </c>
      <c r="S15">
        <v>486</v>
      </c>
      <c r="T15">
        <v>318</v>
      </c>
      <c r="U15">
        <v>673</v>
      </c>
      <c r="V15">
        <v>378</v>
      </c>
      <c r="W15">
        <v>24</v>
      </c>
      <c r="X15">
        <v>2247</v>
      </c>
      <c r="Y15">
        <v>7</v>
      </c>
      <c r="Z15">
        <v>389</v>
      </c>
      <c r="AA15">
        <v>205</v>
      </c>
      <c r="AB15">
        <v>10157</v>
      </c>
      <c r="AC15">
        <v>5815</v>
      </c>
      <c r="AD15">
        <v>92792</v>
      </c>
      <c r="AE15">
        <v>1085</v>
      </c>
      <c r="AF15">
        <v>102702</v>
      </c>
      <c r="AG15">
        <v>1192</v>
      </c>
      <c r="AH15">
        <v>2598</v>
      </c>
      <c r="AI15">
        <v>31934</v>
      </c>
      <c r="AJ15">
        <v>1451</v>
      </c>
      <c r="AK15">
        <v>32476</v>
      </c>
      <c r="AL15">
        <v>1479</v>
      </c>
      <c r="AM15">
        <v>30534</v>
      </c>
      <c r="AN15">
        <v>9542</v>
      </c>
      <c r="AO15">
        <v>863</v>
      </c>
      <c r="AP15">
        <v>8717</v>
      </c>
      <c r="AQ15">
        <v>980</v>
      </c>
      <c r="AR15">
        <v>3872</v>
      </c>
      <c r="AS15">
        <v>11916</v>
      </c>
      <c r="AT15">
        <v>1625</v>
      </c>
      <c r="AU15">
        <v>11962</v>
      </c>
      <c r="AV15">
        <v>1630</v>
      </c>
      <c r="AW15">
        <v>0</v>
      </c>
      <c r="AX15">
        <v>30019</v>
      </c>
      <c r="AY15">
        <v>502</v>
      </c>
      <c r="AZ15">
        <v>27327</v>
      </c>
      <c r="BA15">
        <v>512</v>
      </c>
      <c r="BB15">
        <v>101464</v>
      </c>
      <c r="BC15">
        <v>44030</v>
      </c>
      <c r="BD15">
        <v>1323</v>
      </c>
      <c r="BE15">
        <v>43266</v>
      </c>
      <c r="BF15">
        <v>1375</v>
      </c>
      <c r="BG15">
        <v>3001</v>
      </c>
      <c r="BH15">
        <v>839</v>
      </c>
      <c r="BI15">
        <v>1119</v>
      </c>
      <c r="BJ15">
        <v>840</v>
      </c>
      <c r="BK15">
        <v>1150</v>
      </c>
      <c r="BL15">
        <v>16</v>
      </c>
      <c r="BM15">
        <v>160</v>
      </c>
      <c r="BN15">
        <v>1067</v>
      </c>
      <c r="BO15">
        <v>166</v>
      </c>
      <c r="BP15">
        <v>1069</v>
      </c>
      <c r="BQ15">
        <v>0</v>
      </c>
      <c r="BR15">
        <v>291</v>
      </c>
      <c r="BS15">
        <v>305</v>
      </c>
      <c r="BT15">
        <v>549</v>
      </c>
      <c r="BU15">
        <v>334</v>
      </c>
      <c r="BV15">
        <v>496</v>
      </c>
      <c r="BW15">
        <v>1623</v>
      </c>
      <c r="BX15">
        <v>368424</v>
      </c>
      <c r="BY15">
        <v>2143</v>
      </c>
      <c r="BZ15">
        <v>394481</v>
      </c>
      <c r="CA15">
        <v>2747</v>
      </c>
      <c r="CB15">
        <v>192704</v>
      </c>
      <c r="CC15">
        <v>958</v>
      </c>
      <c r="CD15">
        <v>4518</v>
      </c>
      <c r="CE15">
        <v>344</v>
      </c>
      <c r="CF15">
        <v>8245</v>
      </c>
      <c r="CG15">
        <v>1002</v>
      </c>
      <c r="CH15">
        <v>3458</v>
      </c>
      <c r="CI15">
        <v>17</v>
      </c>
      <c r="CJ15">
        <v>1442</v>
      </c>
      <c r="CK15">
        <v>818</v>
      </c>
      <c r="CL15">
        <v>87</v>
      </c>
      <c r="CM15">
        <v>422</v>
      </c>
      <c r="CN15">
        <v>200</v>
      </c>
      <c r="CO15">
        <v>1487</v>
      </c>
      <c r="CP15">
        <v>4674</v>
      </c>
      <c r="CQ15">
        <v>390</v>
      </c>
      <c r="CR15">
        <v>1709</v>
      </c>
      <c r="CS15">
        <v>9259</v>
      </c>
      <c r="CT15">
        <v>2388</v>
      </c>
      <c r="CU15">
        <v>165</v>
      </c>
      <c r="CV15">
        <v>4349</v>
      </c>
      <c r="CW15">
        <v>92439</v>
      </c>
      <c r="CX15">
        <v>813</v>
      </c>
      <c r="CY15">
        <v>542943</v>
      </c>
      <c r="CZ15">
        <v>8602</v>
      </c>
      <c r="DA15">
        <v>29318</v>
      </c>
      <c r="DB15">
        <v>25965</v>
      </c>
    </row>
    <row r="16" spans="1:106" x14ac:dyDescent="0.4">
      <c r="A16" s="1" t="s">
        <v>20</v>
      </c>
      <c r="B16" s="1" t="s">
        <v>21</v>
      </c>
      <c r="C16">
        <v>49549</v>
      </c>
      <c r="D16">
        <v>184</v>
      </c>
      <c r="E16">
        <v>50206</v>
      </c>
      <c r="F16">
        <v>231</v>
      </c>
      <c r="G16">
        <v>10466</v>
      </c>
      <c r="H16">
        <v>902266</v>
      </c>
      <c r="I16">
        <v>4891</v>
      </c>
      <c r="J16">
        <v>868267</v>
      </c>
      <c r="K16">
        <v>4846</v>
      </c>
      <c r="L16">
        <v>597805</v>
      </c>
      <c r="M16">
        <v>72233</v>
      </c>
      <c r="N16">
        <v>1245</v>
      </c>
      <c r="O16">
        <v>106431</v>
      </c>
      <c r="P16">
        <v>1370</v>
      </c>
      <c r="Q16">
        <v>55356</v>
      </c>
      <c r="R16">
        <v>697</v>
      </c>
      <c r="S16">
        <v>606</v>
      </c>
      <c r="T16">
        <v>516</v>
      </c>
      <c r="U16">
        <v>1112</v>
      </c>
      <c r="V16">
        <v>337</v>
      </c>
      <c r="W16">
        <v>16</v>
      </c>
      <c r="X16">
        <v>1320</v>
      </c>
      <c r="Y16">
        <v>6</v>
      </c>
      <c r="Z16">
        <v>375</v>
      </c>
      <c r="AA16">
        <v>129</v>
      </c>
      <c r="AB16">
        <v>10844</v>
      </c>
      <c r="AC16">
        <v>5254</v>
      </c>
      <c r="AD16">
        <v>87362</v>
      </c>
      <c r="AE16">
        <v>977</v>
      </c>
      <c r="AF16">
        <v>98844</v>
      </c>
      <c r="AG16">
        <v>1107</v>
      </c>
      <c r="AH16">
        <v>2331</v>
      </c>
      <c r="AI16">
        <v>27864</v>
      </c>
      <c r="AJ16">
        <v>1280</v>
      </c>
      <c r="AK16">
        <v>29047</v>
      </c>
      <c r="AL16">
        <v>1309</v>
      </c>
      <c r="AM16">
        <v>30747</v>
      </c>
      <c r="AN16">
        <v>9506</v>
      </c>
      <c r="AO16">
        <v>959</v>
      </c>
      <c r="AP16">
        <v>9956</v>
      </c>
      <c r="AQ16">
        <v>1044</v>
      </c>
      <c r="AR16">
        <v>2148</v>
      </c>
      <c r="AS16">
        <v>10862</v>
      </c>
      <c r="AT16">
        <v>1733</v>
      </c>
      <c r="AU16">
        <v>10936</v>
      </c>
      <c r="AV16">
        <v>1740</v>
      </c>
      <c r="AW16">
        <v>0</v>
      </c>
      <c r="AX16">
        <v>29316</v>
      </c>
      <c r="AY16">
        <v>597</v>
      </c>
      <c r="AZ16">
        <v>35428</v>
      </c>
      <c r="BA16">
        <v>667</v>
      </c>
      <c r="BB16">
        <v>99464</v>
      </c>
      <c r="BC16">
        <v>48364</v>
      </c>
      <c r="BD16">
        <v>1379</v>
      </c>
      <c r="BE16">
        <v>47542</v>
      </c>
      <c r="BF16">
        <v>1510</v>
      </c>
      <c r="BG16">
        <v>3325</v>
      </c>
      <c r="BH16">
        <v>1028</v>
      </c>
      <c r="BI16">
        <v>973</v>
      </c>
      <c r="BJ16">
        <v>1033</v>
      </c>
      <c r="BK16">
        <v>1023</v>
      </c>
      <c r="BL16">
        <v>8</v>
      </c>
      <c r="BM16">
        <v>380</v>
      </c>
      <c r="BN16">
        <v>1973</v>
      </c>
      <c r="BO16">
        <v>381</v>
      </c>
      <c r="BP16">
        <v>1973</v>
      </c>
      <c r="BQ16">
        <v>7</v>
      </c>
      <c r="BR16">
        <v>351</v>
      </c>
      <c r="BS16">
        <v>424</v>
      </c>
      <c r="BT16">
        <v>649</v>
      </c>
      <c r="BU16">
        <v>472</v>
      </c>
      <c r="BV16">
        <v>482</v>
      </c>
      <c r="BW16">
        <v>1758</v>
      </c>
      <c r="BX16">
        <v>308271</v>
      </c>
      <c r="BY16">
        <v>2159</v>
      </c>
      <c r="BZ16">
        <v>311163</v>
      </c>
      <c r="CA16">
        <v>2247</v>
      </c>
      <c r="CB16">
        <v>192482</v>
      </c>
      <c r="CC16">
        <v>1118</v>
      </c>
      <c r="CD16">
        <v>6329</v>
      </c>
      <c r="CE16">
        <v>311</v>
      </c>
      <c r="CF16">
        <v>8371</v>
      </c>
      <c r="CG16">
        <v>1030</v>
      </c>
      <c r="CH16">
        <v>3556</v>
      </c>
      <c r="CI16">
        <v>27</v>
      </c>
      <c r="CJ16">
        <v>2115</v>
      </c>
      <c r="CK16">
        <v>105</v>
      </c>
      <c r="CL16">
        <v>68</v>
      </c>
      <c r="CM16">
        <v>404</v>
      </c>
      <c r="CN16">
        <v>189</v>
      </c>
      <c r="CO16">
        <v>1674</v>
      </c>
      <c r="CP16">
        <v>5269</v>
      </c>
      <c r="CQ16">
        <v>441</v>
      </c>
      <c r="CR16">
        <v>1945</v>
      </c>
      <c r="CS16">
        <v>7768</v>
      </c>
      <c r="CT16">
        <v>1588</v>
      </c>
      <c r="CU16">
        <v>192</v>
      </c>
      <c r="CV16">
        <v>5645</v>
      </c>
      <c r="CW16">
        <v>97352</v>
      </c>
      <c r="CX16">
        <v>1051</v>
      </c>
      <c r="CY16">
        <v>671086</v>
      </c>
      <c r="CZ16">
        <v>8806</v>
      </c>
      <c r="DA16">
        <v>35907</v>
      </c>
      <c r="DB16">
        <v>27066</v>
      </c>
    </row>
    <row r="17" spans="1:106" x14ac:dyDescent="0.4">
      <c r="A17" s="1" t="s">
        <v>22</v>
      </c>
      <c r="B17" s="1" t="s">
        <v>23</v>
      </c>
      <c r="C17">
        <v>48282</v>
      </c>
      <c r="D17">
        <v>191</v>
      </c>
      <c r="E17">
        <v>49858</v>
      </c>
      <c r="F17">
        <v>255</v>
      </c>
      <c r="G17">
        <v>8943</v>
      </c>
      <c r="H17">
        <v>953456</v>
      </c>
      <c r="I17">
        <v>4921</v>
      </c>
      <c r="J17">
        <v>951089</v>
      </c>
      <c r="K17">
        <v>5116</v>
      </c>
      <c r="L17">
        <v>601036</v>
      </c>
      <c r="M17">
        <v>76309</v>
      </c>
      <c r="N17">
        <v>1365</v>
      </c>
      <c r="O17">
        <v>115135</v>
      </c>
      <c r="P17">
        <v>1598</v>
      </c>
      <c r="Q17">
        <v>55323</v>
      </c>
      <c r="R17">
        <v>785</v>
      </c>
      <c r="S17">
        <v>1074</v>
      </c>
      <c r="T17">
        <v>536</v>
      </c>
      <c r="U17">
        <v>2506</v>
      </c>
      <c r="V17">
        <v>282</v>
      </c>
      <c r="W17">
        <v>18</v>
      </c>
      <c r="X17">
        <v>1863</v>
      </c>
      <c r="Y17">
        <v>8</v>
      </c>
      <c r="Z17">
        <v>423</v>
      </c>
      <c r="AA17">
        <v>177</v>
      </c>
      <c r="AB17">
        <v>11755</v>
      </c>
      <c r="AC17">
        <v>5595</v>
      </c>
      <c r="AD17">
        <v>82985</v>
      </c>
      <c r="AE17">
        <v>1002</v>
      </c>
      <c r="AF17">
        <v>93577</v>
      </c>
      <c r="AG17">
        <v>1115</v>
      </c>
      <c r="AH17">
        <v>1575</v>
      </c>
      <c r="AI17">
        <v>29943</v>
      </c>
      <c r="AJ17">
        <v>1550</v>
      </c>
      <c r="AK17">
        <v>33074</v>
      </c>
      <c r="AL17">
        <v>1604</v>
      </c>
      <c r="AM17">
        <v>29023</v>
      </c>
      <c r="AN17">
        <v>9582</v>
      </c>
      <c r="AO17">
        <v>1141</v>
      </c>
      <c r="AP17">
        <v>8822</v>
      </c>
      <c r="AQ17">
        <v>1201</v>
      </c>
      <c r="AR17">
        <v>2682</v>
      </c>
      <c r="AS17">
        <v>11780</v>
      </c>
      <c r="AT17">
        <v>1799</v>
      </c>
      <c r="AU17">
        <v>11835</v>
      </c>
      <c r="AV17">
        <v>1804</v>
      </c>
      <c r="AW17">
        <v>0</v>
      </c>
      <c r="AX17">
        <v>26074</v>
      </c>
      <c r="AY17">
        <v>552</v>
      </c>
      <c r="AZ17">
        <v>37340</v>
      </c>
      <c r="BA17">
        <v>675</v>
      </c>
      <c r="BB17">
        <v>94309</v>
      </c>
      <c r="BC17">
        <v>45469</v>
      </c>
      <c r="BD17">
        <v>1395</v>
      </c>
      <c r="BE17">
        <v>44469</v>
      </c>
      <c r="BF17">
        <v>1478</v>
      </c>
      <c r="BG17">
        <v>3198</v>
      </c>
      <c r="BH17">
        <v>833</v>
      </c>
      <c r="BI17">
        <v>1049</v>
      </c>
      <c r="BJ17">
        <v>833</v>
      </c>
      <c r="BK17">
        <v>1083</v>
      </c>
      <c r="BL17">
        <v>9</v>
      </c>
      <c r="BM17">
        <v>324</v>
      </c>
      <c r="BN17">
        <v>1697</v>
      </c>
      <c r="BO17">
        <v>335</v>
      </c>
      <c r="BP17">
        <v>1702</v>
      </c>
      <c r="BQ17">
        <v>0</v>
      </c>
      <c r="BR17">
        <v>374</v>
      </c>
      <c r="BS17">
        <v>576</v>
      </c>
      <c r="BT17">
        <v>805</v>
      </c>
      <c r="BU17">
        <v>622</v>
      </c>
      <c r="BV17">
        <v>638</v>
      </c>
      <c r="BW17">
        <v>1550</v>
      </c>
      <c r="BX17">
        <v>348663</v>
      </c>
      <c r="BY17">
        <v>1909</v>
      </c>
      <c r="BZ17">
        <v>357224</v>
      </c>
      <c r="CA17">
        <v>2293</v>
      </c>
      <c r="CB17">
        <v>186581</v>
      </c>
      <c r="CC17">
        <v>939</v>
      </c>
      <c r="CD17">
        <v>4840</v>
      </c>
      <c r="CE17">
        <v>374</v>
      </c>
      <c r="CF17">
        <v>9263</v>
      </c>
      <c r="CG17">
        <v>1377</v>
      </c>
      <c r="CH17">
        <v>5021</v>
      </c>
      <c r="CI17">
        <v>52</v>
      </c>
      <c r="CJ17">
        <v>2696</v>
      </c>
      <c r="CK17">
        <v>110</v>
      </c>
      <c r="CL17">
        <v>73</v>
      </c>
      <c r="CM17">
        <v>256</v>
      </c>
      <c r="CN17">
        <v>175</v>
      </c>
      <c r="CO17">
        <v>1694</v>
      </c>
      <c r="CP17">
        <v>6152</v>
      </c>
      <c r="CQ17">
        <v>458</v>
      </c>
      <c r="CR17">
        <v>2020</v>
      </c>
      <c r="CS17">
        <v>12516</v>
      </c>
      <c r="CT17">
        <v>7157</v>
      </c>
      <c r="CU17">
        <v>224</v>
      </c>
      <c r="CV17">
        <v>6151</v>
      </c>
      <c r="CW17">
        <v>99554</v>
      </c>
      <c r="CX17">
        <v>1138</v>
      </c>
      <c r="CY17">
        <v>629328</v>
      </c>
      <c r="CZ17">
        <v>9251</v>
      </c>
      <c r="DA17">
        <v>36641</v>
      </c>
      <c r="DB17">
        <v>30154</v>
      </c>
    </row>
    <row r="18" spans="1:106" x14ac:dyDescent="0.4">
      <c r="A18" s="1" t="s">
        <v>24</v>
      </c>
      <c r="B18" s="1" t="s">
        <v>25</v>
      </c>
      <c r="C18">
        <v>53363</v>
      </c>
      <c r="D18">
        <v>218</v>
      </c>
      <c r="E18">
        <v>50438</v>
      </c>
      <c r="F18">
        <v>246</v>
      </c>
      <c r="G18">
        <v>11747</v>
      </c>
      <c r="H18">
        <v>1015220</v>
      </c>
      <c r="I18">
        <v>5477</v>
      </c>
      <c r="J18">
        <v>1003713</v>
      </c>
      <c r="K18">
        <v>5387</v>
      </c>
      <c r="L18">
        <v>613083</v>
      </c>
      <c r="M18">
        <v>82207</v>
      </c>
      <c r="N18">
        <v>1449</v>
      </c>
      <c r="O18">
        <v>104978</v>
      </c>
      <c r="P18">
        <v>1561</v>
      </c>
      <c r="Q18">
        <v>61505</v>
      </c>
      <c r="R18">
        <v>656</v>
      </c>
      <c r="S18">
        <v>625</v>
      </c>
      <c r="T18">
        <v>406</v>
      </c>
      <c r="U18">
        <v>959</v>
      </c>
      <c r="V18">
        <v>313</v>
      </c>
      <c r="W18">
        <v>26</v>
      </c>
      <c r="X18">
        <v>2381</v>
      </c>
      <c r="Y18">
        <v>12</v>
      </c>
      <c r="Z18">
        <v>635</v>
      </c>
      <c r="AA18">
        <v>197</v>
      </c>
      <c r="AB18">
        <v>10855</v>
      </c>
      <c r="AC18">
        <v>5545</v>
      </c>
      <c r="AD18">
        <v>97606</v>
      </c>
      <c r="AE18">
        <v>1120</v>
      </c>
      <c r="AF18">
        <v>111448</v>
      </c>
      <c r="AG18">
        <v>1240</v>
      </c>
      <c r="AH18">
        <v>2191</v>
      </c>
      <c r="AI18">
        <v>30665</v>
      </c>
      <c r="AJ18">
        <v>1511</v>
      </c>
      <c r="AK18">
        <v>32674</v>
      </c>
      <c r="AL18">
        <v>1559</v>
      </c>
      <c r="AM18">
        <v>28868</v>
      </c>
      <c r="AN18">
        <v>8593</v>
      </c>
      <c r="AO18">
        <v>1154</v>
      </c>
      <c r="AP18">
        <v>9580</v>
      </c>
      <c r="AQ18">
        <v>1230</v>
      </c>
      <c r="AR18">
        <v>1534</v>
      </c>
      <c r="AS18">
        <v>10699</v>
      </c>
      <c r="AT18">
        <v>1700</v>
      </c>
      <c r="AU18">
        <v>10791</v>
      </c>
      <c r="AV18">
        <v>1711</v>
      </c>
      <c r="AW18">
        <v>0</v>
      </c>
      <c r="AX18">
        <v>27104</v>
      </c>
      <c r="AY18">
        <v>610</v>
      </c>
      <c r="AZ18">
        <v>31399</v>
      </c>
      <c r="BA18">
        <v>684</v>
      </c>
      <c r="BB18">
        <v>95611</v>
      </c>
      <c r="BC18">
        <v>54218</v>
      </c>
      <c r="BD18">
        <v>1515</v>
      </c>
      <c r="BE18">
        <v>53251</v>
      </c>
      <c r="BF18">
        <v>1622</v>
      </c>
      <c r="BG18">
        <v>3277</v>
      </c>
      <c r="BH18">
        <v>1112</v>
      </c>
      <c r="BI18">
        <v>1411</v>
      </c>
      <c r="BJ18">
        <v>1118</v>
      </c>
      <c r="BK18">
        <v>1471</v>
      </c>
      <c r="BL18">
        <v>11</v>
      </c>
      <c r="BM18">
        <v>324</v>
      </c>
      <c r="BN18">
        <v>2315</v>
      </c>
      <c r="BO18">
        <v>333</v>
      </c>
      <c r="BP18">
        <v>2318</v>
      </c>
      <c r="BQ18">
        <v>0</v>
      </c>
      <c r="BR18">
        <v>410</v>
      </c>
      <c r="BS18">
        <v>290</v>
      </c>
      <c r="BT18">
        <v>736</v>
      </c>
      <c r="BU18">
        <v>353</v>
      </c>
      <c r="BV18">
        <v>660</v>
      </c>
      <c r="BW18">
        <v>1620</v>
      </c>
      <c r="BX18">
        <v>325547</v>
      </c>
      <c r="BY18">
        <v>2272</v>
      </c>
      <c r="BZ18">
        <v>344591</v>
      </c>
      <c r="CA18">
        <v>2434</v>
      </c>
      <c r="CB18">
        <v>169937</v>
      </c>
      <c r="CC18">
        <v>1007</v>
      </c>
      <c r="CD18">
        <v>3690</v>
      </c>
      <c r="CE18">
        <v>259</v>
      </c>
      <c r="CF18">
        <v>6534</v>
      </c>
      <c r="CG18">
        <v>1546</v>
      </c>
      <c r="CH18">
        <v>5387</v>
      </c>
      <c r="CI18">
        <v>4</v>
      </c>
      <c r="CJ18">
        <v>329</v>
      </c>
      <c r="CK18">
        <v>317</v>
      </c>
      <c r="CL18">
        <v>175</v>
      </c>
      <c r="CM18">
        <v>338</v>
      </c>
      <c r="CN18">
        <v>227</v>
      </c>
      <c r="CO18">
        <v>1127</v>
      </c>
      <c r="CP18">
        <v>3361</v>
      </c>
      <c r="CQ18">
        <v>681</v>
      </c>
      <c r="CR18">
        <v>2162</v>
      </c>
      <c r="CS18">
        <v>8536</v>
      </c>
      <c r="CT18">
        <v>2061</v>
      </c>
      <c r="CU18">
        <v>170</v>
      </c>
      <c r="CV18">
        <v>6816</v>
      </c>
      <c r="CW18">
        <v>98331</v>
      </c>
      <c r="CX18">
        <v>1093</v>
      </c>
      <c r="CY18">
        <v>704332</v>
      </c>
      <c r="CZ18">
        <v>9712</v>
      </c>
      <c r="DA18">
        <v>40395</v>
      </c>
      <c r="DB18">
        <v>30611</v>
      </c>
    </row>
    <row r="19" spans="1:106" x14ac:dyDescent="0.4">
      <c r="A19" s="1" t="s">
        <v>26</v>
      </c>
      <c r="B19" s="1" t="s">
        <v>27</v>
      </c>
      <c r="C19">
        <v>48509</v>
      </c>
      <c r="D19">
        <v>193</v>
      </c>
      <c r="E19">
        <v>50008</v>
      </c>
      <c r="F19">
        <v>242</v>
      </c>
      <c r="G19">
        <v>10188</v>
      </c>
      <c r="H19">
        <v>766613</v>
      </c>
      <c r="I19">
        <v>4327</v>
      </c>
      <c r="J19">
        <v>788558</v>
      </c>
      <c r="K19">
        <v>4518</v>
      </c>
      <c r="L19">
        <v>591289</v>
      </c>
      <c r="M19">
        <v>63780</v>
      </c>
      <c r="N19">
        <v>1264</v>
      </c>
      <c r="O19">
        <v>98104</v>
      </c>
      <c r="P19">
        <v>1440</v>
      </c>
      <c r="Q19">
        <v>65539</v>
      </c>
      <c r="R19">
        <v>632</v>
      </c>
      <c r="S19">
        <v>611</v>
      </c>
      <c r="T19">
        <v>406</v>
      </c>
      <c r="U19">
        <v>1183</v>
      </c>
      <c r="V19">
        <v>325</v>
      </c>
      <c r="W19">
        <v>22</v>
      </c>
      <c r="X19">
        <v>1931</v>
      </c>
      <c r="Y19">
        <v>9</v>
      </c>
      <c r="Z19">
        <v>487</v>
      </c>
      <c r="AA19">
        <v>117</v>
      </c>
      <c r="AB19">
        <v>7193</v>
      </c>
      <c r="AC19">
        <v>4917</v>
      </c>
      <c r="AD19">
        <v>83049</v>
      </c>
      <c r="AE19">
        <v>1021</v>
      </c>
      <c r="AF19">
        <v>91656</v>
      </c>
      <c r="AG19">
        <v>1112</v>
      </c>
      <c r="AH19">
        <v>3197</v>
      </c>
      <c r="AI19">
        <v>23395</v>
      </c>
      <c r="AJ19">
        <v>1015</v>
      </c>
      <c r="AK19">
        <v>24799</v>
      </c>
      <c r="AL19">
        <v>1063</v>
      </c>
      <c r="AM19">
        <v>29035</v>
      </c>
      <c r="AN19">
        <v>7057</v>
      </c>
      <c r="AO19">
        <v>958</v>
      </c>
      <c r="AP19">
        <v>7103</v>
      </c>
      <c r="AQ19">
        <v>1010</v>
      </c>
      <c r="AR19">
        <v>1506</v>
      </c>
      <c r="AS19">
        <v>8789</v>
      </c>
      <c r="AT19">
        <v>1406</v>
      </c>
      <c r="AU19">
        <v>8848</v>
      </c>
      <c r="AV19">
        <v>1412</v>
      </c>
      <c r="AW19">
        <v>0</v>
      </c>
      <c r="AX19">
        <v>25396</v>
      </c>
      <c r="AY19">
        <v>682</v>
      </c>
      <c r="AZ19">
        <v>30585</v>
      </c>
      <c r="BA19">
        <v>735</v>
      </c>
      <c r="BB19">
        <v>94661</v>
      </c>
      <c r="BC19">
        <v>45129</v>
      </c>
      <c r="BD19">
        <v>1208</v>
      </c>
      <c r="BE19">
        <v>44089</v>
      </c>
      <c r="BF19">
        <v>1318</v>
      </c>
      <c r="BG19">
        <v>3692</v>
      </c>
      <c r="BH19">
        <v>922</v>
      </c>
      <c r="BI19">
        <v>1117</v>
      </c>
      <c r="BJ19">
        <v>929</v>
      </c>
      <c r="BK19">
        <v>1155</v>
      </c>
      <c r="BL19">
        <v>9</v>
      </c>
      <c r="BM19">
        <v>487</v>
      </c>
      <c r="BN19">
        <v>2163</v>
      </c>
      <c r="BO19">
        <v>487</v>
      </c>
      <c r="BP19">
        <v>2163</v>
      </c>
      <c r="BQ19">
        <v>0</v>
      </c>
      <c r="BR19">
        <v>377</v>
      </c>
      <c r="BS19">
        <v>424</v>
      </c>
      <c r="BT19">
        <v>655</v>
      </c>
      <c r="BU19">
        <v>457</v>
      </c>
      <c r="BV19">
        <v>583</v>
      </c>
      <c r="BW19">
        <v>1640</v>
      </c>
      <c r="BX19">
        <v>278688</v>
      </c>
      <c r="BY19">
        <v>2229</v>
      </c>
      <c r="BZ19">
        <v>279470</v>
      </c>
      <c r="CA19">
        <v>2398</v>
      </c>
      <c r="CB19">
        <v>171555</v>
      </c>
      <c r="CC19">
        <v>1069</v>
      </c>
      <c r="CD19">
        <v>4429</v>
      </c>
      <c r="CE19">
        <v>265</v>
      </c>
      <c r="CF19">
        <v>6458</v>
      </c>
      <c r="CG19">
        <v>898</v>
      </c>
      <c r="CH19">
        <v>3051</v>
      </c>
      <c r="CI19">
        <v>19</v>
      </c>
      <c r="CJ19">
        <v>932</v>
      </c>
      <c r="CK19">
        <v>248</v>
      </c>
      <c r="CL19">
        <v>126</v>
      </c>
      <c r="CM19">
        <v>221</v>
      </c>
      <c r="CN19">
        <v>271</v>
      </c>
      <c r="CO19">
        <v>1353</v>
      </c>
      <c r="CP19">
        <v>4315</v>
      </c>
      <c r="CQ19">
        <v>756</v>
      </c>
      <c r="CR19">
        <v>2232</v>
      </c>
      <c r="CS19">
        <v>7638</v>
      </c>
      <c r="CT19">
        <v>2026</v>
      </c>
      <c r="CU19">
        <v>176</v>
      </c>
      <c r="CV19">
        <v>4664</v>
      </c>
      <c r="CW19">
        <v>90124</v>
      </c>
      <c r="CX19">
        <v>1044</v>
      </c>
      <c r="CY19">
        <v>507614</v>
      </c>
      <c r="CZ19">
        <v>7915</v>
      </c>
      <c r="DA19">
        <v>30544</v>
      </c>
      <c r="DB19">
        <v>23912</v>
      </c>
    </row>
    <row r="20" spans="1:106" x14ac:dyDescent="0.4">
      <c r="A20" s="1" t="s">
        <v>28</v>
      </c>
      <c r="B20" s="1" t="s">
        <v>29</v>
      </c>
      <c r="C20">
        <v>50976</v>
      </c>
      <c r="D20">
        <v>203</v>
      </c>
      <c r="E20">
        <v>51332</v>
      </c>
      <c r="F20">
        <v>254</v>
      </c>
      <c r="G20">
        <v>9782</v>
      </c>
      <c r="H20">
        <v>1010966</v>
      </c>
      <c r="I20">
        <v>5125</v>
      </c>
      <c r="J20">
        <v>1007242</v>
      </c>
      <c r="K20">
        <v>5212</v>
      </c>
      <c r="L20">
        <v>594585</v>
      </c>
      <c r="M20">
        <v>70933</v>
      </c>
      <c r="N20">
        <v>1461</v>
      </c>
      <c r="O20">
        <v>119243</v>
      </c>
      <c r="P20">
        <v>1672</v>
      </c>
      <c r="Q20">
        <v>60331</v>
      </c>
      <c r="R20">
        <v>727</v>
      </c>
      <c r="S20">
        <v>744</v>
      </c>
      <c r="T20">
        <v>519</v>
      </c>
      <c r="U20">
        <v>1794</v>
      </c>
      <c r="V20">
        <v>277</v>
      </c>
      <c r="W20">
        <v>14</v>
      </c>
      <c r="X20">
        <v>1590</v>
      </c>
      <c r="Y20">
        <v>10</v>
      </c>
      <c r="Z20">
        <v>601</v>
      </c>
      <c r="AA20">
        <v>185</v>
      </c>
      <c r="AB20">
        <v>12595</v>
      </c>
      <c r="AC20">
        <v>5625</v>
      </c>
      <c r="AD20">
        <v>92232</v>
      </c>
      <c r="AE20">
        <v>1027</v>
      </c>
      <c r="AF20">
        <v>104723</v>
      </c>
      <c r="AG20">
        <v>1149</v>
      </c>
      <c r="AH20">
        <v>2197</v>
      </c>
      <c r="AI20">
        <v>29141</v>
      </c>
      <c r="AJ20">
        <v>1436</v>
      </c>
      <c r="AK20">
        <v>31478</v>
      </c>
      <c r="AL20">
        <v>1492</v>
      </c>
      <c r="AM20">
        <v>28101</v>
      </c>
      <c r="AN20">
        <v>8387</v>
      </c>
      <c r="AO20">
        <v>1375</v>
      </c>
      <c r="AP20">
        <v>8652</v>
      </c>
      <c r="AQ20">
        <v>1455</v>
      </c>
      <c r="AR20">
        <v>1342</v>
      </c>
      <c r="AS20">
        <v>11793</v>
      </c>
      <c r="AT20">
        <v>1740</v>
      </c>
      <c r="AU20">
        <v>11938</v>
      </c>
      <c r="AV20">
        <v>1761</v>
      </c>
      <c r="AW20">
        <v>0</v>
      </c>
      <c r="AX20">
        <v>27404</v>
      </c>
      <c r="AY20">
        <v>788</v>
      </c>
      <c r="AZ20">
        <v>31083</v>
      </c>
      <c r="BA20">
        <v>892</v>
      </c>
      <c r="BB20">
        <v>93899</v>
      </c>
      <c r="BC20">
        <v>48971</v>
      </c>
      <c r="BD20">
        <v>1443</v>
      </c>
      <c r="BE20">
        <v>48149</v>
      </c>
      <c r="BF20">
        <v>1529</v>
      </c>
      <c r="BG20">
        <v>3324</v>
      </c>
      <c r="BH20">
        <v>1080</v>
      </c>
      <c r="BI20">
        <v>1388</v>
      </c>
      <c r="BJ20">
        <v>1109</v>
      </c>
      <c r="BK20">
        <v>1452</v>
      </c>
      <c r="BL20">
        <v>9</v>
      </c>
      <c r="BM20">
        <v>246</v>
      </c>
      <c r="BN20">
        <v>1652</v>
      </c>
      <c r="BO20">
        <v>254</v>
      </c>
      <c r="BP20">
        <v>1655</v>
      </c>
      <c r="BQ20">
        <v>0</v>
      </c>
      <c r="BR20">
        <v>396</v>
      </c>
      <c r="BS20">
        <v>677</v>
      </c>
      <c r="BT20">
        <v>793</v>
      </c>
      <c r="BU20">
        <v>732</v>
      </c>
      <c r="BV20">
        <v>569</v>
      </c>
      <c r="BW20">
        <v>2235</v>
      </c>
      <c r="BX20">
        <v>309159</v>
      </c>
      <c r="BY20">
        <v>2084</v>
      </c>
      <c r="BZ20">
        <v>311620</v>
      </c>
      <c r="CA20">
        <v>2084</v>
      </c>
      <c r="CB20">
        <v>172154</v>
      </c>
      <c r="CC20">
        <v>1154</v>
      </c>
      <c r="CD20">
        <v>5086</v>
      </c>
      <c r="CE20">
        <v>333</v>
      </c>
      <c r="CF20">
        <v>8093</v>
      </c>
      <c r="CG20">
        <v>1096</v>
      </c>
      <c r="CH20">
        <v>4170</v>
      </c>
      <c r="CI20">
        <v>22</v>
      </c>
      <c r="CJ20">
        <v>968</v>
      </c>
      <c r="CK20">
        <v>1535</v>
      </c>
      <c r="CL20">
        <v>643</v>
      </c>
      <c r="CM20">
        <v>308</v>
      </c>
      <c r="CN20">
        <v>277</v>
      </c>
      <c r="CO20">
        <v>1460</v>
      </c>
      <c r="CP20">
        <v>4972</v>
      </c>
      <c r="CQ20">
        <v>485</v>
      </c>
      <c r="CR20">
        <v>2363</v>
      </c>
      <c r="CS20">
        <v>8669</v>
      </c>
      <c r="CT20">
        <v>3490</v>
      </c>
      <c r="CU20">
        <v>228</v>
      </c>
      <c r="CV20">
        <v>6744</v>
      </c>
      <c r="CW20">
        <v>92762</v>
      </c>
      <c r="CX20">
        <v>1484</v>
      </c>
      <c r="CY20">
        <v>477470</v>
      </c>
      <c r="CZ20">
        <v>12139</v>
      </c>
      <c r="DA20">
        <v>37432</v>
      </c>
      <c r="DB20">
        <v>31794</v>
      </c>
    </row>
    <row r="21" spans="1:106" x14ac:dyDescent="0.4">
      <c r="A21" s="1" t="s">
        <v>30</v>
      </c>
      <c r="B21" s="1" t="s">
        <v>31</v>
      </c>
      <c r="C21">
        <v>60447</v>
      </c>
      <c r="D21">
        <v>239</v>
      </c>
      <c r="E21">
        <v>59377</v>
      </c>
      <c r="F21">
        <v>290</v>
      </c>
      <c r="G21">
        <v>10793</v>
      </c>
      <c r="H21">
        <v>1038964</v>
      </c>
      <c r="I21">
        <v>5887</v>
      </c>
      <c r="J21">
        <v>995344</v>
      </c>
      <c r="K21">
        <v>5948</v>
      </c>
      <c r="L21">
        <v>636492</v>
      </c>
      <c r="M21">
        <v>80481</v>
      </c>
      <c r="N21">
        <v>1676</v>
      </c>
      <c r="O21">
        <v>109749</v>
      </c>
      <c r="P21">
        <v>1750</v>
      </c>
      <c r="Q21">
        <v>69711</v>
      </c>
      <c r="R21">
        <v>850</v>
      </c>
      <c r="S21">
        <v>768</v>
      </c>
      <c r="T21">
        <v>490</v>
      </c>
      <c r="U21">
        <v>719</v>
      </c>
      <c r="V21">
        <v>300</v>
      </c>
      <c r="W21">
        <v>17</v>
      </c>
      <c r="X21">
        <v>1290</v>
      </c>
      <c r="Y21">
        <v>19</v>
      </c>
      <c r="Z21">
        <v>1042</v>
      </c>
      <c r="AA21">
        <v>240</v>
      </c>
      <c r="AB21">
        <v>14195</v>
      </c>
      <c r="AC21">
        <v>6192</v>
      </c>
      <c r="AD21">
        <v>99671</v>
      </c>
      <c r="AE21">
        <v>1136</v>
      </c>
      <c r="AF21">
        <v>112430</v>
      </c>
      <c r="AG21">
        <v>1233</v>
      </c>
      <c r="AH21">
        <v>3078</v>
      </c>
      <c r="AI21">
        <v>32954</v>
      </c>
      <c r="AJ21">
        <v>1522</v>
      </c>
      <c r="AK21">
        <v>34995</v>
      </c>
      <c r="AL21">
        <v>1593</v>
      </c>
      <c r="AM21">
        <v>28581</v>
      </c>
      <c r="AN21">
        <v>7556</v>
      </c>
      <c r="AO21">
        <v>1291</v>
      </c>
      <c r="AP21">
        <v>8586</v>
      </c>
      <c r="AQ21">
        <v>1425</v>
      </c>
      <c r="AR21">
        <v>839</v>
      </c>
      <c r="AS21">
        <v>13110</v>
      </c>
      <c r="AT21">
        <v>1856</v>
      </c>
      <c r="AU21">
        <v>13188</v>
      </c>
      <c r="AV21">
        <v>1865</v>
      </c>
      <c r="AW21">
        <v>0</v>
      </c>
      <c r="AX21">
        <v>35320</v>
      </c>
      <c r="AY21">
        <v>740</v>
      </c>
      <c r="AZ21">
        <v>38686</v>
      </c>
      <c r="BA21">
        <v>793</v>
      </c>
      <c r="BB21">
        <v>93668</v>
      </c>
      <c r="BC21">
        <v>58028</v>
      </c>
      <c r="BD21">
        <v>1607</v>
      </c>
      <c r="BE21">
        <v>54591</v>
      </c>
      <c r="BF21">
        <v>1669</v>
      </c>
      <c r="BG21">
        <v>5287</v>
      </c>
      <c r="BH21">
        <v>1121</v>
      </c>
      <c r="BI21">
        <v>1490</v>
      </c>
      <c r="BJ21">
        <v>1144</v>
      </c>
      <c r="BK21">
        <v>1550</v>
      </c>
      <c r="BL21">
        <v>11</v>
      </c>
      <c r="BM21">
        <v>879</v>
      </c>
      <c r="BN21">
        <v>2608</v>
      </c>
      <c r="BO21">
        <v>886</v>
      </c>
      <c r="BP21">
        <v>2611</v>
      </c>
      <c r="BQ21">
        <v>0</v>
      </c>
      <c r="BR21">
        <v>389</v>
      </c>
      <c r="BS21">
        <v>556</v>
      </c>
      <c r="BT21">
        <v>895</v>
      </c>
      <c r="BU21">
        <v>609</v>
      </c>
      <c r="BV21">
        <v>583</v>
      </c>
      <c r="BW21">
        <v>1850</v>
      </c>
      <c r="BX21">
        <v>273013</v>
      </c>
      <c r="BY21">
        <v>2135</v>
      </c>
      <c r="BZ21">
        <v>279389</v>
      </c>
      <c r="CA21">
        <v>2213</v>
      </c>
      <c r="CB21">
        <v>167638</v>
      </c>
      <c r="CC21">
        <v>926</v>
      </c>
      <c r="CD21">
        <v>3762</v>
      </c>
      <c r="CE21">
        <v>324</v>
      </c>
      <c r="CF21">
        <v>7600</v>
      </c>
      <c r="CG21">
        <v>1207</v>
      </c>
      <c r="CH21">
        <v>4211</v>
      </c>
      <c r="CI21">
        <v>21</v>
      </c>
      <c r="CJ21">
        <v>900</v>
      </c>
      <c r="CK21">
        <v>366</v>
      </c>
      <c r="CL21">
        <v>182</v>
      </c>
      <c r="CM21">
        <v>365</v>
      </c>
      <c r="CN21">
        <v>214</v>
      </c>
      <c r="CO21">
        <v>1520</v>
      </c>
      <c r="CP21">
        <v>4485</v>
      </c>
      <c r="CQ21">
        <v>574</v>
      </c>
      <c r="CR21">
        <v>1303</v>
      </c>
      <c r="CS21">
        <v>9730</v>
      </c>
      <c r="CT21">
        <v>1853</v>
      </c>
      <c r="CU21">
        <v>183</v>
      </c>
      <c r="CV21">
        <v>5973</v>
      </c>
      <c r="CW21">
        <v>95439</v>
      </c>
      <c r="CX21">
        <v>1205</v>
      </c>
      <c r="CY21">
        <v>606003</v>
      </c>
      <c r="CZ21">
        <v>9398</v>
      </c>
      <c r="DA21">
        <v>40984</v>
      </c>
      <c r="DB21">
        <v>28884</v>
      </c>
    </row>
    <row r="22" spans="1:106" x14ac:dyDescent="0.4">
      <c r="A22" s="1" t="s">
        <v>32</v>
      </c>
      <c r="B22" s="1" t="s">
        <v>33</v>
      </c>
      <c r="C22">
        <v>59399</v>
      </c>
      <c r="D22">
        <v>225</v>
      </c>
      <c r="E22">
        <v>59750</v>
      </c>
      <c r="F22">
        <v>277</v>
      </c>
      <c r="G22">
        <v>10425</v>
      </c>
      <c r="H22">
        <v>977273</v>
      </c>
      <c r="I22">
        <v>5708</v>
      </c>
      <c r="J22">
        <v>944002</v>
      </c>
      <c r="K22">
        <v>5729</v>
      </c>
      <c r="L22">
        <v>664912</v>
      </c>
      <c r="M22">
        <v>79291</v>
      </c>
      <c r="N22">
        <v>1541</v>
      </c>
      <c r="O22">
        <v>120964</v>
      </c>
      <c r="P22">
        <v>1781</v>
      </c>
      <c r="Q22">
        <v>58381</v>
      </c>
      <c r="R22">
        <v>613</v>
      </c>
      <c r="S22">
        <v>574</v>
      </c>
      <c r="T22">
        <v>400</v>
      </c>
      <c r="U22">
        <v>956</v>
      </c>
      <c r="V22">
        <v>315</v>
      </c>
      <c r="W22">
        <v>9</v>
      </c>
      <c r="X22">
        <v>683</v>
      </c>
      <c r="Y22">
        <v>5</v>
      </c>
      <c r="Z22">
        <v>335</v>
      </c>
      <c r="AA22">
        <v>113</v>
      </c>
      <c r="AB22">
        <v>10685</v>
      </c>
      <c r="AC22">
        <v>5379</v>
      </c>
      <c r="AD22">
        <v>102371</v>
      </c>
      <c r="AE22">
        <v>1078</v>
      </c>
      <c r="AF22">
        <v>118716</v>
      </c>
      <c r="AG22">
        <v>1204</v>
      </c>
      <c r="AH22">
        <v>2213</v>
      </c>
      <c r="AI22">
        <v>30869</v>
      </c>
      <c r="AJ22">
        <v>1426</v>
      </c>
      <c r="AK22">
        <v>33709</v>
      </c>
      <c r="AL22">
        <v>1486</v>
      </c>
      <c r="AM22">
        <v>27021</v>
      </c>
      <c r="AN22">
        <v>8394</v>
      </c>
      <c r="AO22">
        <v>1319</v>
      </c>
      <c r="AP22">
        <v>8130</v>
      </c>
      <c r="AQ22">
        <v>1361</v>
      </c>
      <c r="AR22">
        <v>1496</v>
      </c>
      <c r="AS22">
        <v>11892</v>
      </c>
      <c r="AT22">
        <v>1717</v>
      </c>
      <c r="AU22">
        <v>11956</v>
      </c>
      <c r="AV22">
        <v>1724</v>
      </c>
      <c r="AW22">
        <v>0</v>
      </c>
      <c r="AX22">
        <v>31479</v>
      </c>
      <c r="AY22">
        <v>724</v>
      </c>
      <c r="AZ22">
        <v>40013</v>
      </c>
      <c r="BA22">
        <v>817</v>
      </c>
      <c r="BB22">
        <v>91272</v>
      </c>
      <c r="BC22">
        <v>57606</v>
      </c>
      <c r="BD22">
        <v>1592</v>
      </c>
      <c r="BE22">
        <v>54895</v>
      </c>
      <c r="BF22">
        <v>1644</v>
      </c>
      <c r="BG22">
        <v>6972</v>
      </c>
      <c r="BH22">
        <v>1292</v>
      </c>
      <c r="BI22">
        <v>1420</v>
      </c>
      <c r="BJ22">
        <v>1304</v>
      </c>
      <c r="BK22">
        <v>1482</v>
      </c>
      <c r="BL22">
        <v>10</v>
      </c>
      <c r="BM22">
        <v>441</v>
      </c>
      <c r="BN22">
        <v>2518</v>
      </c>
      <c r="BO22">
        <v>446</v>
      </c>
      <c r="BP22">
        <v>2520</v>
      </c>
      <c r="BQ22">
        <v>0</v>
      </c>
      <c r="BR22">
        <v>320</v>
      </c>
      <c r="BS22">
        <v>415</v>
      </c>
      <c r="BT22">
        <v>794</v>
      </c>
      <c r="BU22">
        <v>478</v>
      </c>
      <c r="BV22">
        <v>471</v>
      </c>
      <c r="BW22">
        <v>1766</v>
      </c>
      <c r="BX22">
        <v>268605</v>
      </c>
      <c r="BY22">
        <v>2543</v>
      </c>
      <c r="BZ22">
        <v>284176</v>
      </c>
      <c r="CA22">
        <v>2456</v>
      </c>
      <c r="CB22">
        <v>153287</v>
      </c>
      <c r="CC22">
        <v>922</v>
      </c>
      <c r="CD22">
        <v>4388</v>
      </c>
      <c r="CE22">
        <v>275</v>
      </c>
      <c r="CF22">
        <v>7318</v>
      </c>
      <c r="CG22">
        <v>1124</v>
      </c>
      <c r="CH22">
        <v>3904</v>
      </c>
      <c r="CI22">
        <v>30</v>
      </c>
      <c r="CJ22">
        <v>1071</v>
      </c>
      <c r="CK22">
        <v>350</v>
      </c>
      <c r="CL22">
        <v>250</v>
      </c>
      <c r="CM22">
        <v>434</v>
      </c>
      <c r="CN22">
        <v>280</v>
      </c>
      <c r="CO22">
        <v>1396</v>
      </c>
      <c r="CP22">
        <v>3772</v>
      </c>
      <c r="CQ22">
        <v>498</v>
      </c>
      <c r="CR22">
        <v>1780</v>
      </c>
      <c r="CS22">
        <v>8436</v>
      </c>
      <c r="CT22">
        <v>2080</v>
      </c>
      <c r="CU22">
        <v>220</v>
      </c>
      <c r="CV22">
        <v>6264</v>
      </c>
      <c r="CW22">
        <v>91751</v>
      </c>
      <c r="CX22">
        <v>1391</v>
      </c>
      <c r="CY22">
        <v>666227</v>
      </c>
      <c r="CZ22">
        <v>9218</v>
      </c>
      <c r="DA22">
        <v>36425</v>
      </c>
      <c r="DB22">
        <v>28063</v>
      </c>
    </row>
    <row r="23" spans="1:106" x14ac:dyDescent="0.4">
      <c r="A23" s="1" t="s">
        <v>34</v>
      </c>
      <c r="B23" s="1" t="s">
        <v>35</v>
      </c>
      <c r="C23">
        <v>57818</v>
      </c>
      <c r="D23">
        <v>249</v>
      </c>
      <c r="E23">
        <v>57623</v>
      </c>
      <c r="F23">
        <v>285</v>
      </c>
      <c r="G23">
        <v>10550</v>
      </c>
      <c r="H23">
        <v>964486</v>
      </c>
      <c r="I23">
        <v>5348</v>
      </c>
      <c r="J23">
        <v>905427</v>
      </c>
      <c r="K23">
        <v>5094</v>
      </c>
      <c r="L23">
        <v>713802</v>
      </c>
      <c r="M23">
        <v>72599</v>
      </c>
      <c r="N23">
        <v>1562</v>
      </c>
      <c r="O23">
        <v>121070</v>
      </c>
      <c r="P23">
        <v>1744</v>
      </c>
      <c r="Q23">
        <v>48668</v>
      </c>
      <c r="R23">
        <v>775</v>
      </c>
      <c r="S23">
        <v>883</v>
      </c>
      <c r="T23">
        <v>522</v>
      </c>
      <c r="U23">
        <v>2168</v>
      </c>
      <c r="V23">
        <v>377</v>
      </c>
      <c r="W23">
        <v>10</v>
      </c>
      <c r="X23">
        <v>890</v>
      </c>
      <c r="Y23">
        <v>4</v>
      </c>
      <c r="Z23">
        <v>206</v>
      </c>
      <c r="AA23">
        <v>219</v>
      </c>
      <c r="AB23">
        <v>12268</v>
      </c>
      <c r="AC23">
        <v>6519</v>
      </c>
      <c r="AD23">
        <v>98858</v>
      </c>
      <c r="AE23">
        <v>1139</v>
      </c>
      <c r="AF23">
        <v>112639</v>
      </c>
      <c r="AG23">
        <v>1240</v>
      </c>
      <c r="AH23">
        <v>1987</v>
      </c>
      <c r="AI23">
        <v>28438</v>
      </c>
      <c r="AJ23">
        <v>1470</v>
      </c>
      <c r="AK23">
        <v>30281</v>
      </c>
      <c r="AL23">
        <v>1553</v>
      </c>
      <c r="AM23">
        <v>27355</v>
      </c>
      <c r="AN23">
        <v>7236</v>
      </c>
      <c r="AO23">
        <v>1279</v>
      </c>
      <c r="AP23">
        <v>7064</v>
      </c>
      <c r="AQ23">
        <v>1370</v>
      </c>
      <c r="AR23">
        <v>1678</v>
      </c>
      <c r="AS23">
        <v>10363</v>
      </c>
      <c r="AT23">
        <v>1575</v>
      </c>
      <c r="AU23">
        <v>10486</v>
      </c>
      <c r="AV23">
        <v>1588</v>
      </c>
      <c r="AW23">
        <v>0</v>
      </c>
      <c r="AX23">
        <v>25981</v>
      </c>
      <c r="AY23">
        <v>706</v>
      </c>
      <c r="AZ23">
        <v>28828</v>
      </c>
      <c r="BA23">
        <v>1068</v>
      </c>
      <c r="BB23">
        <v>92657</v>
      </c>
      <c r="BC23">
        <v>55662</v>
      </c>
      <c r="BD23">
        <v>1578</v>
      </c>
      <c r="BE23">
        <v>54005</v>
      </c>
      <c r="BF23">
        <v>1633</v>
      </c>
      <c r="BG23">
        <v>8231</v>
      </c>
      <c r="BH23">
        <v>1063</v>
      </c>
      <c r="BI23">
        <v>1559</v>
      </c>
      <c r="BJ23">
        <v>1085</v>
      </c>
      <c r="BK23">
        <v>1646</v>
      </c>
      <c r="BL23">
        <v>12</v>
      </c>
      <c r="BM23">
        <v>764</v>
      </c>
      <c r="BN23">
        <v>1777</v>
      </c>
      <c r="BO23">
        <v>771</v>
      </c>
      <c r="BP23">
        <v>1780</v>
      </c>
      <c r="BQ23">
        <v>0</v>
      </c>
      <c r="BR23">
        <v>359</v>
      </c>
      <c r="BS23">
        <v>570</v>
      </c>
      <c r="BT23">
        <v>800</v>
      </c>
      <c r="BU23">
        <v>626</v>
      </c>
      <c r="BV23">
        <v>377</v>
      </c>
      <c r="BW23">
        <v>1744</v>
      </c>
      <c r="BX23">
        <v>207103</v>
      </c>
      <c r="BY23">
        <v>1970</v>
      </c>
      <c r="BZ23">
        <v>218972</v>
      </c>
      <c r="CA23">
        <v>2151</v>
      </c>
      <c r="CB23">
        <v>142318</v>
      </c>
      <c r="CC23">
        <v>1251</v>
      </c>
      <c r="CD23">
        <v>8101</v>
      </c>
      <c r="CE23">
        <v>388</v>
      </c>
      <c r="CF23">
        <v>12190</v>
      </c>
      <c r="CG23">
        <v>1350</v>
      </c>
      <c r="CH23">
        <v>4856</v>
      </c>
      <c r="CI23">
        <v>26</v>
      </c>
      <c r="CJ23">
        <v>1712</v>
      </c>
      <c r="CK23">
        <v>780</v>
      </c>
      <c r="CL23">
        <v>515</v>
      </c>
      <c r="CM23">
        <v>330</v>
      </c>
      <c r="CN23">
        <v>211</v>
      </c>
      <c r="CO23">
        <v>1766</v>
      </c>
      <c r="CP23">
        <v>5068</v>
      </c>
      <c r="CQ23">
        <v>571</v>
      </c>
      <c r="CR23">
        <v>1994</v>
      </c>
      <c r="CS23">
        <v>6144</v>
      </c>
      <c r="CT23">
        <v>2943</v>
      </c>
      <c r="CU23">
        <v>245</v>
      </c>
      <c r="CV23">
        <v>9956</v>
      </c>
      <c r="CW23">
        <v>91502</v>
      </c>
      <c r="CX23">
        <v>1588</v>
      </c>
      <c r="CY23">
        <v>529304</v>
      </c>
      <c r="CZ23">
        <v>11438</v>
      </c>
      <c r="DA23">
        <v>36233</v>
      </c>
      <c r="DB23">
        <v>28452</v>
      </c>
    </row>
    <row r="24" spans="1:106" x14ac:dyDescent="0.4">
      <c r="A24" s="1" t="s">
        <v>36</v>
      </c>
      <c r="B24" s="1" t="s">
        <v>37</v>
      </c>
      <c r="C24">
        <v>52199</v>
      </c>
      <c r="D24">
        <v>206</v>
      </c>
      <c r="E24">
        <v>51343</v>
      </c>
      <c r="F24">
        <v>274</v>
      </c>
      <c r="G24">
        <v>11385</v>
      </c>
      <c r="H24">
        <v>925765</v>
      </c>
      <c r="I24">
        <v>5456</v>
      </c>
      <c r="J24">
        <v>843454</v>
      </c>
      <c r="K24">
        <v>5055</v>
      </c>
      <c r="L24">
        <v>799080</v>
      </c>
      <c r="M24">
        <v>73066</v>
      </c>
      <c r="N24">
        <v>1510</v>
      </c>
      <c r="O24">
        <v>98913</v>
      </c>
      <c r="P24">
        <v>1493</v>
      </c>
      <c r="Q24">
        <v>58900</v>
      </c>
      <c r="R24">
        <v>788</v>
      </c>
      <c r="S24">
        <v>652</v>
      </c>
      <c r="T24">
        <v>454</v>
      </c>
      <c r="U24">
        <v>572</v>
      </c>
      <c r="V24">
        <v>438</v>
      </c>
      <c r="W24" t="s">
        <v>73</v>
      </c>
      <c r="X24" t="s">
        <v>73</v>
      </c>
      <c r="Y24" t="s">
        <v>73</v>
      </c>
      <c r="Z24" t="s">
        <v>73</v>
      </c>
      <c r="AA24">
        <v>173</v>
      </c>
      <c r="AB24">
        <v>15029</v>
      </c>
      <c r="AC24">
        <v>5476</v>
      </c>
      <c r="AD24">
        <v>98937</v>
      </c>
      <c r="AE24">
        <v>1032</v>
      </c>
      <c r="AF24">
        <v>111967</v>
      </c>
      <c r="AG24">
        <v>1137</v>
      </c>
      <c r="AH24">
        <v>3135</v>
      </c>
      <c r="AI24">
        <v>23012</v>
      </c>
      <c r="AJ24">
        <v>1175</v>
      </c>
      <c r="AK24">
        <v>23533</v>
      </c>
      <c r="AL24">
        <v>1222</v>
      </c>
      <c r="AM24">
        <v>28244</v>
      </c>
      <c r="AN24">
        <v>12487</v>
      </c>
      <c r="AO24">
        <v>1381</v>
      </c>
      <c r="AP24">
        <v>11341</v>
      </c>
      <c r="AQ24">
        <v>1493</v>
      </c>
      <c r="AR24">
        <v>11043</v>
      </c>
      <c r="AS24">
        <v>10414</v>
      </c>
      <c r="AT24">
        <v>1529</v>
      </c>
      <c r="AU24">
        <v>10468</v>
      </c>
      <c r="AV24">
        <v>1537</v>
      </c>
      <c r="AW24">
        <v>0</v>
      </c>
      <c r="AX24">
        <v>31371</v>
      </c>
      <c r="AY24">
        <v>600</v>
      </c>
      <c r="AZ24">
        <v>38783</v>
      </c>
      <c r="BA24">
        <v>693</v>
      </c>
      <c r="BB24">
        <v>88825</v>
      </c>
      <c r="BC24">
        <v>54558</v>
      </c>
      <c r="BD24">
        <v>1501</v>
      </c>
      <c r="BE24">
        <v>53031</v>
      </c>
      <c r="BF24">
        <v>1599</v>
      </c>
      <c r="BG24">
        <v>8391</v>
      </c>
      <c r="BH24">
        <v>1057</v>
      </c>
      <c r="BI24">
        <v>1175</v>
      </c>
      <c r="BJ24">
        <v>1086</v>
      </c>
      <c r="BK24">
        <v>1269</v>
      </c>
      <c r="BL24">
        <v>9</v>
      </c>
      <c r="BM24">
        <v>280</v>
      </c>
      <c r="BN24">
        <v>2316</v>
      </c>
      <c r="BO24">
        <v>280</v>
      </c>
      <c r="BP24">
        <v>2316</v>
      </c>
      <c r="BQ24">
        <v>2</v>
      </c>
      <c r="BR24">
        <v>342</v>
      </c>
      <c r="BS24">
        <v>705</v>
      </c>
      <c r="BT24">
        <v>794</v>
      </c>
      <c r="BU24">
        <v>754</v>
      </c>
      <c r="BV24">
        <v>488</v>
      </c>
      <c r="BW24">
        <v>1724</v>
      </c>
      <c r="BX24">
        <v>344776</v>
      </c>
      <c r="BY24">
        <v>2309</v>
      </c>
      <c r="BZ24">
        <v>326311</v>
      </c>
      <c r="CA24">
        <v>2417</v>
      </c>
      <c r="CB24">
        <v>165963</v>
      </c>
      <c r="CC24">
        <v>976</v>
      </c>
      <c r="CD24">
        <v>3478</v>
      </c>
      <c r="CE24">
        <v>172</v>
      </c>
      <c r="CF24">
        <v>4527</v>
      </c>
      <c r="CG24">
        <v>1195</v>
      </c>
      <c r="CH24">
        <v>4212</v>
      </c>
      <c r="CI24">
        <v>27</v>
      </c>
      <c r="CJ24">
        <v>1453</v>
      </c>
      <c r="CK24">
        <v>323</v>
      </c>
      <c r="CL24">
        <v>259</v>
      </c>
      <c r="CM24">
        <v>310</v>
      </c>
      <c r="CN24">
        <v>223</v>
      </c>
      <c r="CO24">
        <v>919</v>
      </c>
      <c r="CP24">
        <v>2755</v>
      </c>
      <c r="CQ24">
        <v>533</v>
      </c>
      <c r="CR24">
        <v>771</v>
      </c>
      <c r="CS24">
        <v>7304</v>
      </c>
      <c r="CT24">
        <v>2425</v>
      </c>
      <c r="CU24">
        <v>159</v>
      </c>
      <c r="CV24">
        <v>6368</v>
      </c>
      <c r="CW24">
        <v>91481</v>
      </c>
      <c r="CX24">
        <v>1438</v>
      </c>
      <c r="CY24">
        <v>538433</v>
      </c>
      <c r="CZ24">
        <v>8171</v>
      </c>
      <c r="DA24">
        <v>33746</v>
      </c>
      <c r="DB24">
        <v>23303</v>
      </c>
    </row>
    <row r="25" spans="1:106" x14ac:dyDescent="0.4">
      <c r="A25" s="1" t="s">
        <v>38</v>
      </c>
      <c r="B25" s="1" t="s">
        <v>39</v>
      </c>
      <c r="C25">
        <v>50897</v>
      </c>
      <c r="D25">
        <v>227</v>
      </c>
      <c r="E25">
        <v>52810</v>
      </c>
      <c r="F25">
        <v>260</v>
      </c>
      <c r="G25">
        <v>9390</v>
      </c>
      <c r="H25">
        <v>872360</v>
      </c>
      <c r="I25">
        <v>5257</v>
      </c>
      <c r="J25">
        <v>874412</v>
      </c>
      <c r="K25">
        <v>5422</v>
      </c>
      <c r="L25">
        <v>787110</v>
      </c>
      <c r="M25">
        <v>69400</v>
      </c>
      <c r="N25">
        <v>1408</v>
      </c>
      <c r="O25">
        <v>89344</v>
      </c>
      <c r="P25">
        <v>1520</v>
      </c>
      <c r="Q25">
        <v>64016</v>
      </c>
      <c r="R25">
        <v>1065</v>
      </c>
      <c r="S25">
        <v>825</v>
      </c>
      <c r="T25">
        <v>667</v>
      </c>
      <c r="U25">
        <v>1108</v>
      </c>
      <c r="V25">
        <v>403</v>
      </c>
      <c r="W25" t="s">
        <v>73</v>
      </c>
      <c r="X25" t="s">
        <v>73</v>
      </c>
      <c r="Y25" t="s">
        <v>73</v>
      </c>
      <c r="Z25" t="s">
        <v>73</v>
      </c>
      <c r="AA25">
        <v>186</v>
      </c>
      <c r="AB25">
        <v>11630</v>
      </c>
      <c r="AC25">
        <v>5803</v>
      </c>
      <c r="AD25">
        <v>90605</v>
      </c>
      <c r="AE25">
        <v>1067</v>
      </c>
      <c r="AF25">
        <v>101593</v>
      </c>
      <c r="AG25">
        <v>1168</v>
      </c>
      <c r="AH25">
        <v>3111</v>
      </c>
      <c r="AI25">
        <v>22630</v>
      </c>
      <c r="AJ25">
        <v>1175</v>
      </c>
      <c r="AK25">
        <v>24558</v>
      </c>
      <c r="AL25">
        <v>1232</v>
      </c>
      <c r="AM25">
        <v>28198</v>
      </c>
      <c r="AN25">
        <v>12319</v>
      </c>
      <c r="AO25">
        <v>1456</v>
      </c>
      <c r="AP25">
        <v>12594</v>
      </c>
      <c r="AQ25">
        <v>1655</v>
      </c>
      <c r="AR25">
        <v>10600</v>
      </c>
      <c r="AS25">
        <v>10087</v>
      </c>
      <c r="AT25">
        <v>1494</v>
      </c>
      <c r="AU25">
        <v>10151</v>
      </c>
      <c r="AV25">
        <v>1501</v>
      </c>
      <c r="AW25">
        <v>0</v>
      </c>
      <c r="AX25">
        <v>30035</v>
      </c>
      <c r="AY25">
        <v>850</v>
      </c>
      <c r="AZ25">
        <v>34959</v>
      </c>
      <c r="BA25">
        <v>959</v>
      </c>
      <c r="BB25">
        <v>86512</v>
      </c>
      <c r="BC25">
        <v>57236</v>
      </c>
      <c r="BD25">
        <v>1481</v>
      </c>
      <c r="BE25">
        <v>56543</v>
      </c>
      <c r="BF25">
        <v>1611</v>
      </c>
      <c r="BG25">
        <v>7733</v>
      </c>
      <c r="BH25">
        <v>1138</v>
      </c>
      <c r="BI25">
        <v>1452</v>
      </c>
      <c r="BJ25">
        <v>1165</v>
      </c>
      <c r="BK25">
        <v>1539</v>
      </c>
      <c r="BL25">
        <v>9</v>
      </c>
      <c r="BM25">
        <v>446</v>
      </c>
      <c r="BN25">
        <v>2866</v>
      </c>
      <c r="BO25">
        <v>449</v>
      </c>
      <c r="BP25">
        <v>2867</v>
      </c>
      <c r="BQ25">
        <v>0</v>
      </c>
      <c r="BR25">
        <v>370</v>
      </c>
      <c r="BS25">
        <v>738</v>
      </c>
      <c r="BT25">
        <v>744</v>
      </c>
      <c r="BU25">
        <v>806</v>
      </c>
      <c r="BV25">
        <v>570</v>
      </c>
      <c r="BW25">
        <v>1706</v>
      </c>
      <c r="BX25">
        <v>361579</v>
      </c>
      <c r="BY25">
        <v>2359</v>
      </c>
      <c r="BZ25">
        <v>341297</v>
      </c>
      <c r="CA25">
        <v>2444</v>
      </c>
      <c r="CB25">
        <v>188685</v>
      </c>
      <c r="CC25">
        <v>1576</v>
      </c>
      <c r="CD25">
        <v>4829</v>
      </c>
      <c r="CE25">
        <v>305</v>
      </c>
      <c r="CF25">
        <v>7261</v>
      </c>
      <c r="CG25">
        <v>900</v>
      </c>
      <c r="CH25">
        <v>3368</v>
      </c>
      <c r="CI25">
        <v>28</v>
      </c>
      <c r="CJ25">
        <v>1788</v>
      </c>
      <c r="CK25">
        <v>654</v>
      </c>
      <c r="CL25">
        <v>549</v>
      </c>
      <c r="CM25">
        <v>283</v>
      </c>
      <c r="CN25">
        <v>202</v>
      </c>
      <c r="CO25">
        <v>1201</v>
      </c>
      <c r="CP25">
        <v>3978</v>
      </c>
      <c r="CQ25">
        <v>795</v>
      </c>
      <c r="CR25">
        <v>912</v>
      </c>
      <c r="CS25">
        <v>6695</v>
      </c>
      <c r="CT25">
        <v>10246</v>
      </c>
      <c r="CU25">
        <v>276</v>
      </c>
      <c r="CV25">
        <v>8302</v>
      </c>
      <c r="CW25">
        <v>91692</v>
      </c>
      <c r="CX25">
        <v>1730</v>
      </c>
      <c r="CY25">
        <v>490329</v>
      </c>
      <c r="CZ25">
        <v>11890</v>
      </c>
      <c r="DA25">
        <v>35585</v>
      </c>
      <c r="DB25">
        <v>27827</v>
      </c>
    </row>
    <row r="26" spans="1:106" x14ac:dyDescent="0.4">
      <c r="A26" s="1" t="s">
        <v>40</v>
      </c>
      <c r="B26" s="1" t="s">
        <v>41</v>
      </c>
      <c r="C26">
        <v>51536</v>
      </c>
      <c r="D26">
        <v>229</v>
      </c>
      <c r="E26">
        <v>50352</v>
      </c>
      <c r="F26">
        <v>274</v>
      </c>
      <c r="G26">
        <v>10571</v>
      </c>
      <c r="H26">
        <v>936671</v>
      </c>
      <c r="I26">
        <v>5128</v>
      </c>
      <c r="J26">
        <v>871863</v>
      </c>
      <c r="K26">
        <v>4953</v>
      </c>
      <c r="L26">
        <v>841733</v>
      </c>
      <c r="M26">
        <v>78772</v>
      </c>
      <c r="N26">
        <v>1650</v>
      </c>
      <c r="O26">
        <v>101226</v>
      </c>
      <c r="P26">
        <v>1787</v>
      </c>
      <c r="Q26">
        <v>74026</v>
      </c>
      <c r="R26">
        <v>1359</v>
      </c>
      <c r="S26">
        <v>1277</v>
      </c>
      <c r="T26">
        <v>1062</v>
      </c>
      <c r="U26">
        <v>4000</v>
      </c>
      <c r="V26">
        <v>192</v>
      </c>
      <c r="W26" t="s">
        <v>73</v>
      </c>
      <c r="X26" t="s">
        <v>73</v>
      </c>
      <c r="Y26" t="s">
        <v>73</v>
      </c>
      <c r="Z26" t="s">
        <v>73</v>
      </c>
      <c r="AA26">
        <v>186</v>
      </c>
      <c r="AB26">
        <v>15700</v>
      </c>
      <c r="AC26">
        <v>8399</v>
      </c>
      <c r="AD26">
        <v>97608</v>
      </c>
      <c r="AE26">
        <v>1173</v>
      </c>
      <c r="AF26">
        <v>110019</v>
      </c>
      <c r="AG26">
        <v>1285</v>
      </c>
      <c r="AH26">
        <v>1945</v>
      </c>
      <c r="AI26">
        <v>22129</v>
      </c>
      <c r="AJ26">
        <v>1215</v>
      </c>
      <c r="AK26">
        <v>25850</v>
      </c>
      <c r="AL26">
        <v>1300</v>
      </c>
      <c r="AM26">
        <v>26361</v>
      </c>
      <c r="AN26">
        <v>14171</v>
      </c>
      <c r="AO26">
        <v>1449</v>
      </c>
      <c r="AP26">
        <v>14435</v>
      </c>
      <c r="AQ26">
        <v>1651</v>
      </c>
      <c r="AR26">
        <v>10799</v>
      </c>
      <c r="AS26">
        <v>11079</v>
      </c>
      <c r="AT26">
        <v>1671</v>
      </c>
      <c r="AU26">
        <v>11205</v>
      </c>
      <c r="AV26">
        <v>1684</v>
      </c>
      <c r="AW26">
        <v>0</v>
      </c>
      <c r="AX26">
        <v>33932</v>
      </c>
      <c r="AY26">
        <v>1017</v>
      </c>
      <c r="AZ26">
        <v>40172</v>
      </c>
      <c r="BA26">
        <v>1221</v>
      </c>
      <c r="BB26">
        <v>81462</v>
      </c>
      <c r="BC26">
        <v>56930</v>
      </c>
      <c r="BD26">
        <v>1592</v>
      </c>
      <c r="BE26">
        <v>57667</v>
      </c>
      <c r="BF26">
        <v>1763</v>
      </c>
      <c r="BG26">
        <v>6478</v>
      </c>
      <c r="BH26">
        <v>1360</v>
      </c>
      <c r="BI26">
        <v>1466</v>
      </c>
      <c r="BJ26">
        <v>1375</v>
      </c>
      <c r="BK26">
        <v>1528</v>
      </c>
      <c r="BL26">
        <v>5</v>
      </c>
      <c r="BM26">
        <v>846</v>
      </c>
      <c r="BN26">
        <v>4297</v>
      </c>
      <c r="BO26">
        <v>846</v>
      </c>
      <c r="BP26">
        <v>4297</v>
      </c>
      <c r="BQ26">
        <v>2</v>
      </c>
      <c r="BR26">
        <v>308</v>
      </c>
      <c r="BS26">
        <v>1093</v>
      </c>
      <c r="BT26">
        <v>738</v>
      </c>
      <c r="BU26">
        <v>1140</v>
      </c>
      <c r="BV26">
        <v>546</v>
      </c>
      <c r="BW26">
        <v>2783</v>
      </c>
      <c r="BX26">
        <v>371672</v>
      </c>
      <c r="BY26">
        <v>2471</v>
      </c>
      <c r="BZ26">
        <v>412127</v>
      </c>
      <c r="CA26">
        <v>3158</v>
      </c>
      <c r="CB26">
        <v>150470</v>
      </c>
      <c r="CC26">
        <v>1493</v>
      </c>
      <c r="CD26">
        <v>8193</v>
      </c>
      <c r="CE26">
        <v>322</v>
      </c>
      <c r="CF26">
        <v>9191</v>
      </c>
      <c r="CG26">
        <v>1853</v>
      </c>
      <c r="CH26">
        <v>6773</v>
      </c>
      <c r="CI26">
        <v>28</v>
      </c>
      <c r="CJ26">
        <v>1468</v>
      </c>
      <c r="CK26">
        <v>2716</v>
      </c>
      <c r="CL26">
        <v>960</v>
      </c>
      <c r="CM26">
        <v>318</v>
      </c>
      <c r="CN26">
        <v>268</v>
      </c>
      <c r="CO26">
        <v>1772</v>
      </c>
      <c r="CP26">
        <v>5327</v>
      </c>
      <c r="CQ26">
        <v>600</v>
      </c>
      <c r="CR26">
        <v>3126</v>
      </c>
      <c r="CS26">
        <v>8690</v>
      </c>
      <c r="CT26">
        <v>8700</v>
      </c>
      <c r="CU26">
        <v>329</v>
      </c>
      <c r="CV26">
        <v>13501</v>
      </c>
      <c r="CW26">
        <v>94449</v>
      </c>
      <c r="CX26">
        <v>5219</v>
      </c>
      <c r="CY26">
        <v>447016</v>
      </c>
      <c r="CZ26">
        <v>13638</v>
      </c>
      <c r="DA26">
        <v>34158</v>
      </c>
      <c r="DB26">
        <v>31461</v>
      </c>
    </row>
    <row r="27" spans="1:106" x14ac:dyDescent="0.4">
      <c r="A27" s="1" t="s">
        <v>42</v>
      </c>
      <c r="B27" s="1" t="s">
        <v>43</v>
      </c>
      <c r="C27">
        <v>53603</v>
      </c>
      <c r="D27">
        <v>207</v>
      </c>
      <c r="E27">
        <v>52373</v>
      </c>
      <c r="F27">
        <v>250</v>
      </c>
      <c r="G27">
        <v>11784</v>
      </c>
      <c r="H27">
        <v>919326</v>
      </c>
      <c r="I27">
        <v>5162</v>
      </c>
      <c r="J27">
        <v>958763</v>
      </c>
      <c r="K27">
        <v>5760</v>
      </c>
      <c r="L27">
        <v>792163</v>
      </c>
      <c r="M27">
        <v>65809</v>
      </c>
      <c r="N27">
        <v>1338</v>
      </c>
      <c r="O27">
        <v>92135</v>
      </c>
      <c r="P27">
        <v>1384</v>
      </c>
      <c r="Q27">
        <v>76336</v>
      </c>
      <c r="R27">
        <v>841</v>
      </c>
      <c r="S27">
        <v>568</v>
      </c>
      <c r="T27">
        <v>432</v>
      </c>
      <c r="U27">
        <v>606</v>
      </c>
      <c r="V27">
        <v>221</v>
      </c>
      <c r="W27" t="s">
        <v>73</v>
      </c>
      <c r="X27" t="s">
        <v>73</v>
      </c>
      <c r="Y27" t="s">
        <v>73</v>
      </c>
      <c r="Z27" t="s">
        <v>73</v>
      </c>
      <c r="AA27">
        <v>155</v>
      </c>
      <c r="AB27">
        <v>14766</v>
      </c>
      <c r="AC27">
        <v>5536</v>
      </c>
      <c r="AD27">
        <v>92668</v>
      </c>
      <c r="AE27">
        <v>1120</v>
      </c>
      <c r="AF27">
        <v>105135</v>
      </c>
      <c r="AG27">
        <v>1215</v>
      </c>
      <c r="AH27">
        <v>2590</v>
      </c>
      <c r="AI27">
        <v>22102</v>
      </c>
      <c r="AJ27">
        <v>1116</v>
      </c>
      <c r="AK27">
        <v>23106</v>
      </c>
      <c r="AL27">
        <v>1152</v>
      </c>
      <c r="AM27">
        <v>27089</v>
      </c>
      <c r="AN27">
        <v>10372</v>
      </c>
      <c r="AO27">
        <v>840</v>
      </c>
      <c r="AP27">
        <v>10758</v>
      </c>
      <c r="AQ27">
        <v>1090</v>
      </c>
      <c r="AR27">
        <v>9106</v>
      </c>
      <c r="AS27">
        <v>13283</v>
      </c>
      <c r="AT27">
        <v>1694</v>
      </c>
      <c r="AU27">
        <v>13338</v>
      </c>
      <c r="AV27">
        <v>1700</v>
      </c>
      <c r="AW27">
        <v>0</v>
      </c>
      <c r="AX27">
        <v>34322</v>
      </c>
      <c r="AY27">
        <v>574</v>
      </c>
      <c r="AZ27">
        <v>32558</v>
      </c>
      <c r="BA27">
        <v>678</v>
      </c>
      <c r="BB27">
        <v>85305</v>
      </c>
      <c r="BC27">
        <v>52463</v>
      </c>
      <c r="BD27">
        <v>1396</v>
      </c>
      <c r="BE27">
        <v>51267</v>
      </c>
      <c r="BF27">
        <v>1466</v>
      </c>
      <c r="BG27">
        <v>7033</v>
      </c>
      <c r="BH27">
        <v>887</v>
      </c>
      <c r="BI27">
        <v>1049</v>
      </c>
      <c r="BJ27">
        <v>891</v>
      </c>
      <c r="BK27">
        <v>1075</v>
      </c>
      <c r="BL27">
        <v>5</v>
      </c>
      <c r="BM27">
        <v>360</v>
      </c>
      <c r="BN27">
        <v>3094</v>
      </c>
      <c r="BO27">
        <v>363</v>
      </c>
      <c r="BP27">
        <v>3096</v>
      </c>
      <c r="BQ27">
        <v>0</v>
      </c>
      <c r="BR27">
        <v>297</v>
      </c>
      <c r="BS27">
        <v>487</v>
      </c>
      <c r="BT27">
        <v>783</v>
      </c>
      <c r="BU27">
        <v>576</v>
      </c>
      <c r="BV27">
        <v>434</v>
      </c>
      <c r="BW27">
        <v>1662</v>
      </c>
      <c r="BX27">
        <v>372168</v>
      </c>
      <c r="BY27">
        <v>2570</v>
      </c>
      <c r="BZ27">
        <v>382382</v>
      </c>
      <c r="CA27">
        <v>2990</v>
      </c>
      <c r="CB27">
        <v>143336</v>
      </c>
      <c r="CC27">
        <v>1345</v>
      </c>
      <c r="CD27">
        <v>4308</v>
      </c>
      <c r="CE27">
        <v>264</v>
      </c>
      <c r="CF27">
        <v>5618</v>
      </c>
      <c r="CG27">
        <v>967</v>
      </c>
      <c r="CH27">
        <v>3377</v>
      </c>
      <c r="CI27">
        <v>20</v>
      </c>
      <c r="CJ27">
        <v>1322</v>
      </c>
      <c r="CK27">
        <v>210</v>
      </c>
      <c r="CL27">
        <v>26</v>
      </c>
      <c r="CM27">
        <v>331</v>
      </c>
      <c r="CN27">
        <v>220</v>
      </c>
      <c r="CO27">
        <v>1221</v>
      </c>
      <c r="CP27">
        <v>3884</v>
      </c>
      <c r="CQ27">
        <v>488</v>
      </c>
      <c r="CR27">
        <v>970</v>
      </c>
      <c r="CS27">
        <v>10544</v>
      </c>
      <c r="CT27">
        <v>2774</v>
      </c>
      <c r="CU27">
        <v>95</v>
      </c>
      <c r="CV27">
        <v>2761</v>
      </c>
      <c r="CW27">
        <v>89060</v>
      </c>
      <c r="CX27">
        <v>954</v>
      </c>
      <c r="CY27">
        <v>627607</v>
      </c>
      <c r="CZ27">
        <v>8672</v>
      </c>
      <c r="DA27">
        <v>31243</v>
      </c>
      <c r="DB27">
        <v>23936</v>
      </c>
    </row>
    <row r="28" spans="1:106" x14ac:dyDescent="0.4">
      <c r="A28" s="1" t="s">
        <v>44</v>
      </c>
      <c r="B28" s="1" t="s">
        <v>45</v>
      </c>
      <c r="C28">
        <v>49494</v>
      </c>
      <c r="D28">
        <v>218</v>
      </c>
      <c r="E28">
        <v>49621</v>
      </c>
      <c r="F28">
        <v>239</v>
      </c>
      <c r="G28">
        <v>11614</v>
      </c>
      <c r="H28">
        <v>902178</v>
      </c>
      <c r="I28">
        <v>4714</v>
      </c>
      <c r="J28">
        <v>849879</v>
      </c>
      <c r="K28">
        <v>4625</v>
      </c>
      <c r="L28">
        <v>834329</v>
      </c>
      <c r="M28">
        <v>56066</v>
      </c>
      <c r="N28">
        <v>1384</v>
      </c>
      <c r="O28">
        <v>92276</v>
      </c>
      <c r="P28">
        <v>1516</v>
      </c>
      <c r="Q28">
        <v>82012</v>
      </c>
      <c r="R28">
        <v>832</v>
      </c>
      <c r="S28">
        <v>651</v>
      </c>
      <c r="T28">
        <v>477</v>
      </c>
      <c r="U28">
        <v>788</v>
      </c>
      <c r="V28">
        <v>211</v>
      </c>
      <c r="W28" t="s">
        <v>73</v>
      </c>
      <c r="X28" t="s">
        <v>73</v>
      </c>
      <c r="Y28" t="s">
        <v>73</v>
      </c>
      <c r="Z28" t="s">
        <v>73</v>
      </c>
      <c r="AA28">
        <v>204</v>
      </c>
      <c r="AB28">
        <v>12106</v>
      </c>
      <c r="AC28">
        <v>5642</v>
      </c>
      <c r="AD28">
        <v>87919</v>
      </c>
      <c r="AE28">
        <v>1001</v>
      </c>
      <c r="AF28">
        <v>97188</v>
      </c>
      <c r="AG28">
        <v>1103</v>
      </c>
      <c r="AH28">
        <v>3143</v>
      </c>
      <c r="AI28">
        <v>19852</v>
      </c>
      <c r="AJ28">
        <v>1073</v>
      </c>
      <c r="AK28">
        <v>21083</v>
      </c>
      <c r="AL28">
        <v>1108</v>
      </c>
      <c r="AM28">
        <v>28002</v>
      </c>
      <c r="AN28">
        <v>13118</v>
      </c>
      <c r="AO28">
        <v>924</v>
      </c>
      <c r="AP28">
        <v>11955</v>
      </c>
      <c r="AQ28">
        <v>1038</v>
      </c>
      <c r="AR28">
        <v>10698</v>
      </c>
      <c r="AS28">
        <v>10366</v>
      </c>
      <c r="AT28">
        <v>1403</v>
      </c>
      <c r="AU28">
        <v>10463</v>
      </c>
      <c r="AV28">
        <v>1415</v>
      </c>
      <c r="AW28">
        <v>0</v>
      </c>
      <c r="AX28">
        <v>31576</v>
      </c>
      <c r="AY28">
        <v>652</v>
      </c>
      <c r="AZ28">
        <v>32293</v>
      </c>
      <c r="BA28">
        <v>1153</v>
      </c>
      <c r="BB28">
        <v>84896</v>
      </c>
      <c r="BC28">
        <v>51376</v>
      </c>
      <c r="BD28">
        <v>1336</v>
      </c>
      <c r="BE28">
        <v>51973</v>
      </c>
      <c r="BF28">
        <v>1456</v>
      </c>
      <c r="BG28">
        <v>5584</v>
      </c>
      <c r="BH28">
        <v>912</v>
      </c>
      <c r="BI28">
        <v>1002</v>
      </c>
      <c r="BJ28">
        <v>912</v>
      </c>
      <c r="BK28">
        <v>1043</v>
      </c>
      <c r="BL28">
        <v>6</v>
      </c>
      <c r="BM28">
        <v>436</v>
      </c>
      <c r="BN28">
        <v>2429</v>
      </c>
      <c r="BO28">
        <v>436</v>
      </c>
      <c r="BP28">
        <v>2429</v>
      </c>
      <c r="BQ28">
        <v>1</v>
      </c>
      <c r="BR28">
        <v>271</v>
      </c>
      <c r="BS28">
        <v>596</v>
      </c>
      <c r="BT28">
        <v>653</v>
      </c>
      <c r="BU28">
        <v>642</v>
      </c>
      <c r="BV28">
        <v>677</v>
      </c>
      <c r="BW28">
        <v>1631</v>
      </c>
      <c r="BX28">
        <v>333643</v>
      </c>
      <c r="BY28">
        <v>2154</v>
      </c>
      <c r="BZ28">
        <v>332292</v>
      </c>
      <c r="CA28">
        <v>2798</v>
      </c>
      <c r="CB28">
        <v>145547</v>
      </c>
      <c r="CC28">
        <v>1158</v>
      </c>
      <c r="CD28">
        <v>4681</v>
      </c>
      <c r="CE28">
        <v>303</v>
      </c>
      <c r="CF28">
        <v>7599</v>
      </c>
      <c r="CG28">
        <v>968</v>
      </c>
      <c r="CH28">
        <v>3544</v>
      </c>
      <c r="CI28">
        <v>18</v>
      </c>
      <c r="CJ28">
        <v>986</v>
      </c>
      <c r="CK28">
        <v>437</v>
      </c>
      <c r="CL28">
        <v>145</v>
      </c>
      <c r="CM28">
        <v>347</v>
      </c>
      <c r="CN28">
        <v>242</v>
      </c>
      <c r="CO28">
        <v>1283</v>
      </c>
      <c r="CP28">
        <v>3504</v>
      </c>
      <c r="CQ28">
        <v>435</v>
      </c>
      <c r="CR28">
        <v>963</v>
      </c>
      <c r="CS28">
        <v>15998</v>
      </c>
      <c r="CT28">
        <v>2663</v>
      </c>
      <c r="CU28">
        <v>121</v>
      </c>
      <c r="CV28">
        <v>3921</v>
      </c>
      <c r="CW28">
        <v>86822</v>
      </c>
      <c r="CX28">
        <v>814</v>
      </c>
      <c r="CY28">
        <v>614025</v>
      </c>
      <c r="CZ28">
        <v>7328</v>
      </c>
      <c r="DA28">
        <v>35016</v>
      </c>
      <c r="DB28">
        <v>27726</v>
      </c>
    </row>
    <row r="29" spans="1:106" x14ac:dyDescent="0.4">
      <c r="A29" s="1" t="s">
        <v>46</v>
      </c>
      <c r="B29" s="1" t="s">
        <v>47</v>
      </c>
      <c r="C29">
        <v>52681</v>
      </c>
      <c r="D29">
        <v>265</v>
      </c>
      <c r="E29">
        <v>53364</v>
      </c>
      <c r="F29">
        <v>326</v>
      </c>
      <c r="G29">
        <v>11332</v>
      </c>
      <c r="H29">
        <v>998077</v>
      </c>
      <c r="I29">
        <v>5452</v>
      </c>
      <c r="J29">
        <v>942491</v>
      </c>
      <c r="K29">
        <v>5475</v>
      </c>
      <c r="L29">
        <v>879862</v>
      </c>
      <c r="M29">
        <v>60173</v>
      </c>
      <c r="N29">
        <v>1360</v>
      </c>
      <c r="O29">
        <v>98808</v>
      </c>
      <c r="P29">
        <v>1563</v>
      </c>
      <c r="Q29">
        <v>75471</v>
      </c>
      <c r="R29">
        <v>1252</v>
      </c>
      <c r="S29">
        <v>1029</v>
      </c>
      <c r="T29">
        <v>898</v>
      </c>
      <c r="U29">
        <v>2272</v>
      </c>
      <c r="V29">
        <v>145</v>
      </c>
      <c r="W29" t="s">
        <v>73</v>
      </c>
      <c r="X29" t="s">
        <v>73</v>
      </c>
      <c r="Y29" t="s">
        <v>73</v>
      </c>
      <c r="Z29" t="s">
        <v>73</v>
      </c>
      <c r="AA29">
        <v>264</v>
      </c>
      <c r="AB29">
        <v>15048</v>
      </c>
      <c r="AC29">
        <v>6188</v>
      </c>
      <c r="AD29">
        <v>84958</v>
      </c>
      <c r="AE29">
        <v>1162</v>
      </c>
      <c r="AF29">
        <v>100542</v>
      </c>
      <c r="AG29">
        <v>1317</v>
      </c>
      <c r="AH29">
        <v>1996</v>
      </c>
      <c r="AI29">
        <v>23996</v>
      </c>
      <c r="AJ29">
        <v>1314</v>
      </c>
      <c r="AK29">
        <v>26038</v>
      </c>
      <c r="AL29">
        <v>1365</v>
      </c>
      <c r="AM29">
        <v>27398</v>
      </c>
      <c r="AN29">
        <v>15210</v>
      </c>
      <c r="AO29">
        <v>990</v>
      </c>
      <c r="AP29">
        <v>15080</v>
      </c>
      <c r="AQ29">
        <v>1097</v>
      </c>
      <c r="AR29">
        <v>9747</v>
      </c>
      <c r="AS29">
        <v>11800</v>
      </c>
      <c r="AT29">
        <v>1551</v>
      </c>
      <c r="AU29">
        <v>11843</v>
      </c>
      <c r="AV29">
        <v>1556</v>
      </c>
      <c r="AW29">
        <v>0</v>
      </c>
      <c r="AX29">
        <v>33764</v>
      </c>
      <c r="AY29">
        <v>594</v>
      </c>
      <c r="AZ29">
        <v>34387</v>
      </c>
      <c r="BA29">
        <v>652</v>
      </c>
      <c r="BB29">
        <v>87928</v>
      </c>
      <c r="BC29">
        <v>50316</v>
      </c>
      <c r="BD29">
        <v>1325</v>
      </c>
      <c r="BE29">
        <v>49240</v>
      </c>
      <c r="BF29">
        <v>1411</v>
      </c>
      <c r="BG29">
        <v>6882</v>
      </c>
      <c r="BH29">
        <v>1041</v>
      </c>
      <c r="BI29">
        <v>1181</v>
      </c>
      <c r="BJ29">
        <v>1049</v>
      </c>
      <c r="BK29">
        <v>1230</v>
      </c>
      <c r="BL29">
        <v>6</v>
      </c>
      <c r="BM29">
        <v>492</v>
      </c>
      <c r="BN29">
        <v>3138</v>
      </c>
      <c r="BO29">
        <v>493</v>
      </c>
      <c r="BP29">
        <v>3146</v>
      </c>
      <c r="BQ29">
        <v>0</v>
      </c>
      <c r="BR29">
        <v>310</v>
      </c>
      <c r="BS29">
        <v>425</v>
      </c>
      <c r="BT29">
        <v>675</v>
      </c>
      <c r="BU29">
        <v>478</v>
      </c>
      <c r="BV29">
        <v>434</v>
      </c>
      <c r="BW29">
        <v>1684</v>
      </c>
      <c r="BX29">
        <v>391530</v>
      </c>
      <c r="BY29">
        <v>2272</v>
      </c>
      <c r="BZ29">
        <v>379888</v>
      </c>
      <c r="CA29">
        <v>2437</v>
      </c>
      <c r="CB29">
        <v>157781</v>
      </c>
      <c r="CC29">
        <v>1200</v>
      </c>
      <c r="CD29">
        <v>5858</v>
      </c>
      <c r="CE29">
        <v>348</v>
      </c>
      <c r="CF29">
        <v>8270</v>
      </c>
      <c r="CG29">
        <v>1823</v>
      </c>
      <c r="CH29">
        <v>6275</v>
      </c>
      <c r="CI29">
        <v>22</v>
      </c>
      <c r="CJ29">
        <v>1306</v>
      </c>
      <c r="CK29">
        <v>320</v>
      </c>
      <c r="CL29">
        <v>223</v>
      </c>
      <c r="CM29">
        <v>444</v>
      </c>
      <c r="CN29">
        <v>231</v>
      </c>
      <c r="CO29">
        <v>1517</v>
      </c>
      <c r="CP29">
        <v>4362</v>
      </c>
      <c r="CQ29">
        <v>379</v>
      </c>
      <c r="CR29">
        <v>918</v>
      </c>
      <c r="CS29">
        <v>15751</v>
      </c>
      <c r="CT29">
        <v>4059</v>
      </c>
      <c r="CU29">
        <v>147</v>
      </c>
      <c r="CV29">
        <v>5098</v>
      </c>
      <c r="CW29">
        <v>89373</v>
      </c>
      <c r="CX29">
        <v>1072</v>
      </c>
      <c r="CY29">
        <v>615635</v>
      </c>
      <c r="CZ29">
        <v>8548</v>
      </c>
      <c r="DA29">
        <v>37821</v>
      </c>
      <c r="DB29">
        <v>33252</v>
      </c>
    </row>
    <row r="30" spans="1:106" x14ac:dyDescent="0.4">
      <c r="A30" s="1" t="s">
        <v>48</v>
      </c>
      <c r="B30" s="1" t="s">
        <v>49</v>
      </c>
      <c r="C30">
        <v>55367</v>
      </c>
      <c r="D30">
        <v>261</v>
      </c>
      <c r="E30">
        <v>53854</v>
      </c>
      <c r="F30">
        <v>261</v>
      </c>
      <c r="G30">
        <v>12803</v>
      </c>
      <c r="H30">
        <v>1003643</v>
      </c>
      <c r="I30">
        <v>5732</v>
      </c>
      <c r="J30">
        <v>994224</v>
      </c>
      <c r="K30">
        <v>5860</v>
      </c>
      <c r="L30">
        <v>879120</v>
      </c>
      <c r="M30">
        <v>53434</v>
      </c>
      <c r="N30">
        <v>1437</v>
      </c>
      <c r="O30">
        <v>107224</v>
      </c>
      <c r="P30">
        <v>1690</v>
      </c>
      <c r="Q30">
        <v>60761</v>
      </c>
      <c r="R30">
        <v>836</v>
      </c>
      <c r="S30">
        <v>524</v>
      </c>
      <c r="T30">
        <v>565</v>
      </c>
      <c r="U30">
        <v>892</v>
      </c>
      <c r="V30">
        <v>147</v>
      </c>
      <c r="W30" t="s">
        <v>73</v>
      </c>
      <c r="X30" t="s">
        <v>73</v>
      </c>
      <c r="Y30" t="s">
        <v>73</v>
      </c>
      <c r="Z30" t="s">
        <v>73</v>
      </c>
      <c r="AA30">
        <v>121</v>
      </c>
      <c r="AB30">
        <v>13228</v>
      </c>
      <c r="AC30">
        <v>6418</v>
      </c>
      <c r="AD30">
        <v>85163</v>
      </c>
      <c r="AE30">
        <v>1164</v>
      </c>
      <c r="AF30">
        <v>97726</v>
      </c>
      <c r="AG30">
        <v>1248</v>
      </c>
      <c r="AH30">
        <v>2550</v>
      </c>
      <c r="AI30">
        <v>22312</v>
      </c>
      <c r="AJ30">
        <v>1186</v>
      </c>
      <c r="AK30">
        <v>24447</v>
      </c>
      <c r="AL30">
        <v>1247</v>
      </c>
      <c r="AM30">
        <v>27464</v>
      </c>
      <c r="AN30">
        <v>12889</v>
      </c>
      <c r="AO30">
        <v>1053</v>
      </c>
      <c r="AP30">
        <v>13063</v>
      </c>
      <c r="AQ30">
        <v>1193</v>
      </c>
      <c r="AR30">
        <v>9351</v>
      </c>
      <c r="AS30">
        <v>10515</v>
      </c>
      <c r="AT30">
        <v>1358</v>
      </c>
      <c r="AU30">
        <v>10635</v>
      </c>
      <c r="AV30">
        <v>1370</v>
      </c>
      <c r="AW30">
        <v>0</v>
      </c>
      <c r="AX30">
        <v>34654</v>
      </c>
      <c r="AY30">
        <v>782</v>
      </c>
      <c r="AZ30">
        <v>38628</v>
      </c>
      <c r="BA30">
        <v>1771</v>
      </c>
      <c r="BB30">
        <v>85415</v>
      </c>
      <c r="BC30">
        <v>57342</v>
      </c>
      <c r="BD30">
        <v>1489</v>
      </c>
      <c r="BE30">
        <v>55786</v>
      </c>
      <c r="BF30">
        <v>1595</v>
      </c>
      <c r="BG30">
        <v>7669</v>
      </c>
      <c r="BH30">
        <v>1177</v>
      </c>
      <c r="BI30">
        <v>1328</v>
      </c>
      <c r="BJ30">
        <v>1179</v>
      </c>
      <c r="BK30">
        <v>1369</v>
      </c>
      <c r="BL30">
        <v>8</v>
      </c>
      <c r="BM30">
        <v>263</v>
      </c>
      <c r="BN30">
        <v>2315</v>
      </c>
      <c r="BO30">
        <v>264</v>
      </c>
      <c r="BP30">
        <v>2315</v>
      </c>
      <c r="BQ30">
        <v>0</v>
      </c>
      <c r="BR30">
        <v>322</v>
      </c>
      <c r="BS30">
        <v>471</v>
      </c>
      <c r="BT30">
        <v>711</v>
      </c>
      <c r="BU30">
        <v>522</v>
      </c>
      <c r="BV30">
        <v>365</v>
      </c>
      <c r="BW30">
        <v>1797</v>
      </c>
      <c r="BX30">
        <v>377587</v>
      </c>
      <c r="BY30">
        <v>2507</v>
      </c>
      <c r="BZ30">
        <v>374418</v>
      </c>
      <c r="CA30">
        <v>2768</v>
      </c>
      <c r="CB30">
        <v>161150</v>
      </c>
      <c r="CC30">
        <v>932</v>
      </c>
      <c r="CD30">
        <v>4373</v>
      </c>
      <c r="CE30">
        <v>295</v>
      </c>
      <c r="CF30">
        <v>6851</v>
      </c>
      <c r="CG30">
        <v>918</v>
      </c>
      <c r="CH30">
        <v>3165</v>
      </c>
      <c r="CI30">
        <v>28</v>
      </c>
      <c r="CJ30">
        <v>1202</v>
      </c>
      <c r="CK30">
        <v>160</v>
      </c>
      <c r="CL30">
        <v>169</v>
      </c>
      <c r="CM30">
        <v>246</v>
      </c>
      <c r="CN30">
        <v>273</v>
      </c>
      <c r="CO30">
        <v>1376</v>
      </c>
      <c r="CP30">
        <v>3455</v>
      </c>
      <c r="CQ30">
        <v>524</v>
      </c>
      <c r="CR30">
        <v>926</v>
      </c>
      <c r="CS30">
        <v>7981</v>
      </c>
      <c r="CT30">
        <v>2624</v>
      </c>
      <c r="CU30">
        <v>214</v>
      </c>
      <c r="CV30">
        <v>4986</v>
      </c>
      <c r="CW30">
        <v>87811</v>
      </c>
      <c r="CX30">
        <v>955</v>
      </c>
      <c r="CY30">
        <v>578036</v>
      </c>
      <c r="CZ30">
        <v>8861</v>
      </c>
      <c r="DA30">
        <v>38453</v>
      </c>
      <c r="DB30">
        <v>30994</v>
      </c>
    </row>
    <row r="31" spans="1:106" x14ac:dyDescent="0.4">
      <c r="A31" s="1" t="s">
        <v>50</v>
      </c>
      <c r="B31" s="1" t="s">
        <v>51</v>
      </c>
      <c r="C31">
        <v>44255</v>
      </c>
      <c r="D31">
        <v>185</v>
      </c>
      <c r="E31">
        <v>46972</v>
      </c>
      <c r="F31">
        <v>226</v>
      </c>
      <c r="G31">
        <v>10046</v>
      </c>
      <c r="H31">
        <v>760020</v>
      </c>
      <c r="I31">
        <v>4076</v>
      </c>
      <c r="J31">
        <v>765962</v>
      </c>
      <c r="K31">
        <v>4309</v>
      </c>
      <c r="L31">
        <v>863158</v>
      </c>
      <c r="M31">
        <v>48860</v>
      </c>
      <c r="N31">
        <v>1183</v>
      </c>
      <c r="O31">
        <v>75311</v>
      </c>
      <c r="P31">
        <v>1278</v>
      </c>
      <c r="Q31">
        <v>58259</v>
      </c>
      <c r="R31">
        <v>677</v>
      </c>
      <c r="S31">
        <v>488</v>
      </c>
      <c r="T31">
        <v>337</v>
      </c>
      <c r="U31">
        <v>742</v>
      </c>
      <c r="V31">
        <v>170</v>
      </c>
      <c r="W31" t="s">
        <v>73</v>
      </c>
      <c r="X31" t="s">
        <v>73</v>
      </c>
      <c r="Y31" t="s">
        <v>73</v>
      </c>
      <c r="Z31" t="s">
        <v>73</v>
      </c>
      <c r="AA31">
        <v>364</v>
      </c>
      <c r="AB31">
        <v>10182</v>
      </c>
      <c r="AC31">
        <v>5644</v>
      </c>
      <c r="AD31">
        <v>86377</v>
      </c>
      <c r="AE31">
        <v>1006</v>
      </c>
      <c r="AF31">
        <v>97471</v>
      </c>
      <c r="AG31">
        <v>1138</v>
      </c>
      <c r="AH31">
        <v>2317</v>
      </c>
      <c r="AI31">
        <v>19795</v>
      </c>
      <c r="AJ31">
        <v>1093</v>
      </c>
      <c r="AK31">
        <v>21922</v>
      </c>
      <c r="AL31">
        <v>1141</v>
      </c>
      <c r="AM31">
        <v>26922</v>
      </c>
      <c r="AN31">
        <v>12601</v>
      </c>
      <c r="AO31">
        <v>910</v>
      </c>
      <c r="AP31">
        <v>15766</v>
      </c>
      <c r="AQ31">
        <v>1265</v>
      </c>
      <c r="AR31">
        <v>8111</v>
      </c>
      <c r="AS31">
        <v>11057</v>
      </c>
      <c r="AT31">
        <v>1488</v>
      </c>
      <c r="AU31">
        <v>11196</v>
      </c>
      <c r="AV31">
        <v>1503</v>
      </c>
      <c r="AW31">
        <v>0</v>
      </c>
      <c r="AX31">
        <v>26790</v>
      </c>
      <c r="AY31">
        <v>628</v>
      </c>
      <c r="AZ31">
        <v>28776</v>
      </c>
      <c r="BA31">
        <v>913</v>
      </c>
      <c r="BB31">
        <v>83447</v>
      </c>
      <c r="BC31">
        <v>44596</v>
      </c>
      <c r="BD31">
        <v>1162</v>
      </c>
      <c r="BE31">
        <v>43727</v>
      </c>
      <c r="BF31">
        <v>1302</v>
      </c>
      <c r="BG31">
        <v>8266</v>
      </c>
      <c r="BH31">
        <v>1092</v>
      </c>
      <c r="BI31">
        <v>863</v>
      </c>
      <c r="BJ31">
        <v>1108</v>
      </c>
      <c r="BK31">
        <v>912</v>
      </c>
      <c r="BL31">
        <v>6</v>
      </c>
      <c r="BM31">
        <v>429</v>
      </c>
      <c r="BN31">
        <v>3044</v>
      </c>
      <c r="BO31">
        <v>430</v>
      </c>
      <c r="BP31">
        <v>3045</v>
      </c>
      <c r="BQ31">
        <v>1</v>
      </c>
      <c r="BR31">
        <v>306</v>
      </c>
      <c r="BS31">
        <v>698</v>
      </c>
      <c r="BT31">
        <v>624</v>
      </c>
      <c r="BU31">
        <v>740</v>
      </c>
      <c r="BV31">
        <v>367</v>
      </c>
      <c r="BW31">
        <v>1391</v>
      </c>
      <c r="BX31">
        <v>339445</v>
      </c>
      <c r="BY31">
        <v>2651</v>
      </c>
      <c r="BZ31">
        <v>344384</v>
      </c>
      <c r="CA31">
        <v>2849</v>
      </c>
      <c r="CB31">
        <v>158211</v>
      </c>
      <c r="CC31">
        <v>1079</v>
      </c>
      <c r="CD31">
        <v>3865</v>
      </c>
      <c r="CE31">
        <v>264</v>
      </c>
      <c r="CF31">
        <v>5957</v>
      </c>
      <c r="CG31">
        <v>831</v>
      </c>
      <c r="CH31">
        <v>3057</v>
      </c>
      <c r="CI31">
        <v>25</v>
      </c>
      <c r="CJ31">
        <v>1272</v>
      </c>
      <c r="CK31">
        <v>1128</v>
      </c>
      <c r="CL31">
        <v>191</v>
      </c>
      <c r="CM31">
        <v>409</v>
      </c>
      <c r="CN31">
        <v>200</v>
      </c>
      <c r="CO31">
        <v>1443</v>
      </c>
      <c r="CP31">
        <v>3117</v>
      </c>
      <c r="CQ31">
        <v>248</v>
      </c>
      <c r="CR31">
        <v>578</v>
      </c>
      <c r="CS31">
        <v>4758</v>
      </c>
      <c r="CT31">
        <v>1059</v>
      </c>
      <c r="CU31">
        <v>160</v>
      </c>
      <c r="CV31">
        <v>5327</v>
      </c>
      <c r="CW31">
        <v>83285</v>
      </c>
      <c r="CX31">
        <v>864</v>
      </c>
      <c r="CY31">
        <v>648214</v>
      </c>
      <c r="CZ31">
        <v>7262</v>
      </c>
      <c r="DA31">
        <v>29306</v>
      </c>
      <c r="DB31">
        <v>24623</v>
      </c>
    </row>
    <row r="32" spans="1:106" x14ac:dyDescent="0.4">
      <c r="A32" s="1" t="s">
        <v>52</v>
      </c>
      <c r="B32" s="1" t="s">
        <v>53</v>
      </c>
      <c r="C32">
        <v>55200</v>
      </c>
      <c r="D32">
        <v>228</v>
      </c>
      <c r="E32">
        <v>53713</v>
      </c>
      <c r="F32">
        <v>294</v>
      </c>
      <c r="G32">
        <v>11425</v>
      </c>
      <c r="H32">
        <v>960665</v>
      </c>
      <c r="I32">
        <v>5159</v>
      </c>
      <c r="J32">
        <v>920810</v>
      </c>
      <c r="K32">
        <v>5236</v>
      </c>
      <c r="L32">
        <v>892845</v>
      </c>
      <c r="M32">
        <v>61020</v>
      </c>
      <c r="N32">
        <v>1281</v>
      </c>
      <c r="O32">
        <v>103333</v>
      </c>
      <c r="P32">
        <v>1438</v>
      </c>
      <c r="Q32">
        <v>53645</v>
      </c>
      <c r="R32">
        <v>1040</v>
      </c>
      <c r="S32">
        <v>1062</v>
      </c>
      <c r="T32">
        <v>586</v>
      </c>
      <c r="U32">
        <v>2514</v>
      </c>
      <c r="V32">
        <v>150</v>
      </c>
      <c r="W32" t="s">
        <v>73</v>
      </c>
      <c r="X32" t="s">
        <v>73</v>
      </c>
      <c r="Y32" t="s">
        <v>73</v>
      </c>
      <c r="Z32" t="s">
        <v>73</v>
      </c>
      <c r="AA32">
        <v>201</v>
      </c>
      <c r="AB32">
        <v>14306</v>
      </c>
      <c r="AC32">
        <v>6413</v>
      </c>
      <c r="AD32">
        <v>91410</v>
      </c>
      <c r="AE32">
        <v>1128</v>
      </c>
      <c r="AF32">
        <v>105560</v>
      </c>
      <c r="AG32">
        <v>1229</v>
      </c>
      <c r="AH32">
        <v>2508</v>
      </c>
      <c r="AI32">
        <v>21844</v>
      </c>
      <c r="AJ32">
        <v>1219</v>
      </c>
      <c r="AK32">
        <v>24791</v>
      </c>
      <c r="AL32">
        <v>1295</v>
      </c>
      <c r="AM32">
        <v>25542</v>
      </c>
      <c r="AN32">
        <v>16654</v>
      </c>
      <c r="AO32">
        <v>1332</v>
      </c>
      <c r="AP32">
        <v>15010</v>
      </c>
      <c r="AQ32">
        <v>1462</v>
      </c>
      <c r="AR32">
        <v>9194</v>
      </c>
      <c r="AS32">
        <v>10904</v>
      </c>
      <c r="AT32">
        <v>1540</v>
      </c>
      <c r="AU32">
        <v>11040</v>
      </c>
      <c r="AV32">
        <v>1556</v>
      </c>
      <c r="AW32">
        <v>0</v>
      </c>
      <c r="AX32">
        <v>31587</v>
      </c>
      <c r="AY32">
        <v>800</v>
      </c>
      <c r="AZ32">
        <v>35799</v>
      </c>
      <c r="BA32">
        <v>1159</v>
      </c>
      <c r="BB32">
        <v>79631</v>
      </c>
      <c r="BC32">
        <v>50449</v>
      </c>
      <c r="BD32">
        <v>1415</v>
      </c>
      <c r="BE32">
        <v>50516</v>
      </c>
      <c r="BF32">
        <v>1562</v>
      </c>
      <c r="BG32">
        <v>7905</v>
      </c>
      <c r="BH32">
        <v>1298</v>
      </c>
      <c r="BI32">
        <v>1313</v>
      </c>
      <c r="BJ32">
        <v>1318</v>
      </c>
      <c r="BK32">
        <v>1389</v>
      </c>
      <c r="BL32">
        <v>5</v>
      </c>
      <c r="BM32">
        <v>468</v>
      </c>
      <c r="BN32">
        <v>3143</v>
      </c>
      <c r="BO32">
        <v>471</v>
      </c>
      <c r="BP32">
        <v>3144</v>
      </c>
      <c r="BQ32">
        <v>0</v>
      </c>
      <c r="BR32">
        <v>293</v>
      </c>
      <c r="BS32">
        <v>498</v>
      </c>
      <c r="BT32">
        <v>629</v>
      </c>
      <c r="BU32">
        <v>555</v>
      </c>
      <c r="BV32">
        <v>424</v>
      </c>
      <c r="BW32">
        <v>2130</v>
      </c>
      <c r="BX32">
        <v>369086</v>
      </c>
      <c r="BY32">
        <v>2215</v>
      </c>
      <c r="BZ32">
        <v>354162</v>
      </c>
      <c r="CA32">
        <v>2335</v>
      </c>
      <c r="CB32">
        <v>175135</v>
      </c>
      <c r="CC32">
        <v>1113</v>
      </c>
      <c r="CD32">
        <v>4864</v>
      </c>
      <c r="CE32">
        <v>346</v>
      </c>
      <c r="CF32">
        <v>8078</v>
      </c>
      <c r="CG32">
        <v>1555</v>
      </c>
      <c r="CH32">
        <v>5469</v>
      </c>
      <c r="CI32">
        <v>31</v>
      </c>
      <c r="CJ32">
        <v>2012</v>
      </c>
      <c r="CK32">
        <v>2967</v>
      </c>
      <c r="CL32">
        <v>617</v>
      </c>
      <c r="CM32">
        <v>307</v>
      </c>
      <c r="CN32">
        <v>202</v>
      </c>
      <c r="CO32">
        <v>1840</v>
      </c>
      <c r="CP32">
        <v>4768</v>
      </c>
      <c r="CQ32">
        <v>762</v>
      </c>
      <c r="CR32">
        <v>795</v>
      </c>
      <c r="CS32">
        <v>7666</v>
      </c>
      <c r="CT32">
        <v>2756</v>
      </c>
      <c r="CU32">
        <v>174</v>
      </c>
      <c r="CV32">
        <v>5915</v>
      </c>
      <c r="CW32">
        <v>87298</v>
      </c>
      <c r="CX32">
        <v>1470</v>
      </c>
      <c r="CY32">
        <v>709384</v>
      </c>
      <c r="CZ32">
        <v>11354</v>
      </c>
      <c r="DA32">
        <v>37611</v>
      </c>
      <c r="DB32">
        <v>30464</v>
      </c>
    </row>
    <row r="33" spans="1:106" x14ac:dyDescent="0.4">
      <c r="A33" s="1" t="s">
        <v>54</v>
      </c>
      <c r="B33" s="1" t="s">
        <v>55</v>
      </c>
      <c r="C33">
        <v>64528</v>
      </c>
      <c r="D33">
        <v>276</v>
      </c>
      <c r="E33">
        <v>62115</v>
      </c>
      <c r="F33">
        <v>327</v>
      </c>
      <c r="G33">
        <v>13756</v>
      </c>
      <c r="H33">
        <v>1072500</v>
      </c>
      <c r="I33">
        <v>5778</v>
      </c>
      <c r="J33">
        <v>988394</v>
      </c>
      <c r="K33">
        <v>5747</v>
      </c>
      <c r="L33">
        <v>966950</v>
      </c>
      <c r="M33">
        <v>63694</v>
      </c>
      <c r="N33">
        <v>1569</v>
      </c>
      <c r="O33">
        <v>98065</v>
      </c>
      <c r="P33">
        <v>1678</v>
      </c>
      <c r="Q33">
        <v>51536</v>
      </c>
      <c r="R33">
        <v>723</v>
      </c>
      <c r="S33">
        <v>653</v>
      </c>
      <c r="T33">
        <v>411</v>
      </c>
      <c r="U33">
        <v>650</v>
      </c>
      <c r="V33">
        <v>213</v>
      </c>
      <c r="W33" t="s">
        <v>73</v>
      </c>
      <c r="X33" t="s">
        <v>73</v>
      </c>
      <c r="Y33" t="s">
        <v>73</v>
      </c>
      <c r="Z33" t="s">
        <v>73</v>
      </c>
      <c r="AA33">
        <v>392</v>
      </c>
      <c r="AB33">
        <v>13528</v>
      </c>
      <c r="AC33">
        <v>7018</v>
      </c>
      <c r="AD33">
        <v>95519</v>
      </c>
      <c r="AE33">
        <v>1247</v>
      </c>
      <c r="AF33">
        <v>109035</v>
      </c>
      <c r="AG33">
        <v>1374</v>
      </c>
      <c r="AH33">
        <v>3647</v>
      </c>
      <c r="AI33">
        <v>23547</v>
      </c>
      <c r="AJ33">
        <v>1323</v>
      </c>
      <c r="AK33">
        <v>26367</v>
      </c>
      <c r="AL33">
        <v>1385</v>
      </c>
      <c r="AM33">
        <v>25032</v>
      </c>
      <c r="AN33">
        <v>12267</v>
      </c>
      <c r="AO33">
        <v>1209</v>
      </c>
      <c r="AP33">
        <v>12044</v>
      </c>
      <c r="AQ33">
        <v>1525</v>
      </c>
      <c r="AR33">
        <v>9615</v>
      </c>
      <c r="AS33">
        <v>11553</v>
      </c>
      <c r="AT33">
        <v>1580</v>
      </c>
      <c r="AU33">
        <v>11657</v>
      </c>
      <c r="AV33">
        <v>1592</v>
      </c>
      <c r="AW33">
        <v>0</v>
      </c>
      <c r="AX33">
        <v>35598</v>
      </c>
      <c r="AY33">
        <v>781</v>
      </c>
      <c r="AZ33">
        <v>39385</v>
      </c>
      <c r="BA33">
        <v>2344</v>
      </c>
      <c r="BB33">
        <v>76493</v>
      </c>
      <c r="BC33">
        <v>60928</v>
      </c>
      <c r="BD33">
        <v>1634</v>
      </c>
      <c r="BE33">
        <v>58682</v>
      </c>
      <c r="BF33">
        <v>1707</v>
      </c>
      <c r="BG33">
        <v>9224</v>
      </c>
      <c r="BH33">
        <v>1346</v>
      </c>
      <c r="BI33">
        <v>1465</v>
      </c>
      <c r="BJ33">
        <v>1363</v>
      </c>
      <c r="BK33">
        <v>1524</v>
      </c>
      <c r="BL33">
        <v>5</v>
      </c>
      <c r="BM33">
        <v>360</v>
      </c>
      <c r="BN33">
        <v>2705</v>
      </c>
      <c r="BO33">
        <v>362</v>
      </c>
      <c r="BP33">
        <v>2707</v>
      </c>
      <c r="BQ33">
        <v>2</v>
      </c>
      <c r="BR33">
        <v>346</v>
      </c>
      <c r="BS33">
        <v>578</v>
      </c>
      <c r="BT33">
        <v>844</v>
      </c>
      <c r="BU33">
        <v>632</v>
      </c>
      <c r="BV33">
        <v>434</v>
      </c>
      <c r="BW33">
        <v>1792</v>
      </c>
      <c r="BX33">
        <v>333230</v>
      </c>
      <c r="BY33">
        <v>1918</v>
      </c>
      <c r="BZ33">
        <v>323513</v>
      </c>
      <c r="CA33">
        <v>2495</v>
      </c>
      <c r="CB33">
        <v>185852</v>
      </c>
      <c r="CC33">
        <v>1123</v>
      </c>
      <c r="CD33">
        <v>4669</v>
      </c>
      <c r="CE33">
        <v>286</v>
      </c>
      <c r="CF33">
        <v>7151</v>
      </c>
      <c r="CG33">
        <v>1234</v>
      </c>
      <c r="CH33">
        <v>4408</v>
      </c>
      <c r="CI33">
        <v>17</v>
      </c>
      <c r="CJ33">
        <v>960</v>
      </c>
      <c r="CK33">
        <v>155</v>
      </c>
      <c r="CL33">
        <v>208</v>
      </c>
      <c r="CM33">
        <v>253</v>
      </c>
      <c r="CN33">
        <v>217</v>
      </c>
      <c r="CO33">
        <v>1247</v>
      </c>
      <c r="CP33">
        <v>3639</v>
      </c>
      <c r="CQ33">
        <v>437</v>
      </c>
      <c r="CR33">
        <v>1308</v>
      </c>
      <c r="CS33">
        <v>8971</v>
      </c>
      <c r="CT33">
        <v>3890</v>
      </c>
      <c r="CU33">
        <v>175</v>
      </c>
      <c r="CV33">
        <v>5656</v>
      </c>
      <c r="CW33">
        <v>90343</v>
      </c>
      <c r="CX33">
        <v>1454</v>
      </c>
      <c r="CY33">
        <v>792006</v>
      </c>
      <c r="CZ33">
        <v>8071</v>
      </c>
      <c r="DA33">
        <v>35805</v>
      </c>
      <c r="DB33">
        <v>30090</v>
      </c>
    </row>
    <row r="34" spans="1:106" x14ac:dyDescent="0.4">
      <c r="A34" s="1" t="s">
        <v>56</v>
      </c>
      <c r="B34" s="1" t="s">
        <v>57</v>
      </c>
      <c r="C34">
        <v>54726</v>
      </c>
      <c r="D34">
        <v>222</v>
      </c>
      <c r="E34">
        <v>56997</v>
      </c>
      <c r="F34">
        <v>305</v>
      </c>
      <c r="G34">
        <v>11435</v>
      </c>
      <c r="H34">
        <v>920161</v>
      </c>
      <c r="I34">
        <v>5323</v>
      </c>
      <c r="J34">
        <v>897044</v>
      </c>
      <c r="K34">
        <v>5472</v>
      </c>
      <c r="L34">
        <v>979858</v>
      </c>
      <c r="M34">
        <v>58841</v>
      </c>
      <c r="N34">
        <v>1374</v>
      </c>
      <c r="O34">
        <v>99402</v>
      </c>
      <c r="P34">
        <v>1544</v>
      </c>
      <c r="Q34">
        <v>50149</v>
      </c>
      <c r="R34">
        <v>737</v>
      </c>
      <c r="S34">
        <v>632</v>
      </c>
      <c r="T34">
        <v>416</v>
      </c>
      <c r="U34">
        <v>630</v>
      </c>
      <c r="V34">
        <v>247</v>
      </c>
      <c r="W34" t="s">
        <v>73</v>
      </c>
      <c r="X34" t="s">
        <v>73</v>
      </c>
      <c r="Y34" t="s">
        <v>73</v>
      </c>
      <c r="Z34" t="s">
        <v>73</v>
      </c>
      <c r="AA34">
        <v>218</v>
      </c>
      <c r="AB34">
        <v>12679</v>
      </c>
      <c r="AC34">
        <v>5647</v>
      </c>
      <c r="AD34">
        <v>82796</v>
      </c>
      <c r="AE34">
        <v>1011</v>
      </c>
      <c r="AF34">
        <v>97764</v>
      </c>
      <c r="AG34">
        <v>1153</v>
      </c>
      <c r="AH34">
        <v>2303</v>
      </c>
      <c r="AI34">
        <v>20363</v>
      </c>
      <c r="AJ34">
        <v>1082</v>
      </c>
      <c r="AK34">
        <v>23111</v>
      </c>
      <c r="AL34">
        <v>1135</v>
      </c>
      <c r="AM34">
        <v>23571</v>
      </c>
      <c r="AN34">
        <v>13872</v>
      </c>
      <c r="AO34">
        <v>1164</v>
      </c>
      <c r="AP34">
        <v>13444</v>
      </c>
      <c r="AQ34">
        <v>1303</v>
      </c>
      <c r="AR34">
        <v>9910</v>
      </c>
      <c r="AS34">
        <v>9217</v>
      </c>
      <c r="AT34">
        <v>1338</v>
      </c>
      <c r="AU34">
        <v>9298</v>
      </c>
      <c r="AV34">
        <v>1347</v>
      </c>
      <c r="AW34">
        <v>0</v>
      </c>
      <c r="AX34">
        <v>27115</v>
      </c>
      <c r="AY34">
        <v>691</v>
      </c>
      <c r="AZ34">
        <v>32695</v>
      </c>
      <c r="BA34">
        <v>1165</v>
      </c>
      <c r="BB34">
        <v>71868</v>
      </c>
      <c r="BC34">
        <v>50370</v>
      </c>
      <c r="BD34">
        <v>1485</v>
      </c>
      <c r="BE34">
        <v>50442</v>
      </c>
      <c r="BF34">
        <v>1616</v>
      </c>
      <c r="BG34">
        <v>8121</v>
      </c>
      <c r="BH34">
        <v>1134</v>
      </c>
      <c r="BI34">
        <v>1283</v>
      </c>
      <c r="BJ34">
        <v>1155</v>
      </c>
      <c r="BK34">
        <v>1353</v>
      </c>
      <c r="BL34">
        <v>7</v>
      </c>
      <c r="BM34">
        <v>391</v>
      </c>
      <c r="BN34">
        <v>2001</v>
      </c>
      <c r="BO34">
        <v>393</v>
      </c>
      <c r="BP34">
        <v>2002</v>
      </c>
      <c r="BQ34">
        <v>0</v>
      </c>
      <c r="BR34">
        <v>245</v>
      </c>
      <c r="BS34">
        <v>412</v>
      </c>
      <c r="BT34">
        <v>614</v>
      </c>
      <c r="BU34">
        <v>470</v>
      </c>
      <c r="BV34">
        <v>504</v>
      </c>
      <c r="BW34">
        <v>1505</v>
      </c>
      <c r="BX34">
        <v>304417</v>
      </c>
      <c r="BY34">
        <v>2198</v>
      </c>
      <c r="BZ34">
        <v>313883</v>
      </c>
      <c r="CA34">
        <v>2656</v>
      </c>
      <c r="CB34">
        <v>176686</v>
      </c>
      <c r="CC34">
        <v>1084</v>
      </c>
      <c r="CD34">
        <v>6039</v>
      </c>
      <c r="CE34">
        <v>285</v>
      </c>
      <c r="CF34">
        <v>7012</v>
      </c>
      <c r="CG34">
        <v>975</v>
      </c>
      <c r="CH34">
        <v>3451</v>
      </c>
      <c r="CI34">
        <v>29</v>
      </c>
      <c r="CJ34">
        <v>1455</v>
      </c>
      <c r="CK34">
        <v>196</v>
      </c>
      <c r="CL34">
        <v>178</v>
      </c>
      <c r="CM34">
        <v>396</v>
      </c>
      <c r="CN34">
        <v>199</v>
      </c>
      <c r="CO34">
        <v>1453</v>
      </c>
      <c r="CP34">
        <v>4368</v>
      </c>
      <c r="CQ34">
        <v>446</v>
      </c>
      <c r="CR34">
        <v>923</v>
      </c>
      <c r="CS34">
        <v>8916</v>
      </c>
      <c r="CT34">
        <v>1645</v>
      </c>
      <c r="CU34">
        <v>152</v>
      </c>
      <c r="CV34">
        <v>5785</v>
      </c>
      <c r="CW34">
        <v>92602</v>
      </c>
      <c r="CX34">
        <v>1855</v>
      </c>
      <c r="CY34">
        <v>719217</v>
      </c>
      <c r="CZ34">
        <v>7134</v>
      </c>
      <c r="DA34">
        <v>34123</v>
      </c>
      <c r="DB34">
        <v>26864</v>
      </c>
    </row>
    <row r="35" spans="1:106" x14ac:dyDescent="0.4">
      <c r="A35" s="1" t="s">
        <v>58</v>
      </c>
      <c r="B35" s="1" t="s">
        <v>59</v>
      </c>
      <c r="C35">
        <v>59439</v>
      </c>
      <c r="D35">
        <v>243</v>
      </c>
      <c r="E35">
        <v>58687</v>
      </c>
      <c r="F35">
        <v>308</v>
      </c>
      <c r="G35">
        <v>12071</v>
      </c>
      <c r="H35">
        <v>919463</v>
      </c>
      <c r="I35">
        <v>5368</v>
      </c>
      <c r="J35">
        <v>1009220</v>
      </c>
      <c r="K35">
        <v>6383</v>
      </c>
      <c r="L35">
        <v>879255</v>
      </c>
      <c r="M35">
        <v>72231</v>
      </c>
      <c r="N35">
        <v>1598</v>
      </c>
      <c r="O35">
        <v>121510</v>
      </c>
      <c r="P35">
        <v>1871</v>
      </c>
      <c r="Q35">
        <v>39369</v>
      </c>
      <c r="R35">
        <v>1029</v>
      </c>
      <c r="S35">
        <v>1119</v>
      </c>
      <c r="T35">
        <v>558</v>
      </c>
      <c r="U35">
        <v>2279</v>
      </c>
      <c r="V35">
        <v>208</v>
      </c>
      <c r="W35" t="s">
        <v>73</v>
      </c>
      <c r="X35" t="s">
        <v>73</v>
      </c>
      <c r="Y35" t="s">
        <v>73</v>
      </c>
      <c r="Z35" t="s">
        <v>73</v>
      </c>
      <c r="AA35">
        <v>177</v>
      </c>
      <c r="AB35">
        <v>21640</v>
      </c>
      <c r="AC35">
        <v>8614</v>
      </c>
      <c r="AD35">
        <v>91744</v>
      </c>
      <c r="AE35">
        <v>1089</v>
      </c>
      <c r="AF35">
        <v>104556</v>
      </c>
      <c r="AG35">
        <v>1224</v>
      </c>
      <c r="AH35">
        <v>1733</v>
      </c>
      <c r="AI35">
        <v>21577</v>
      </c>
      <c r="AJ35">
        <v>1244</v>
      </c>
      <c r="AK35">
        <v>24499</v>
      </c>
      <c r="AL35">
        <v>1316</v>
      </c>
      <c r="AM35">
        <v>21893</v>
      </c>
      <c r="AN35">
        <v>14168</v>
      </c>
      <c r="AO35">
        <v>1283</v>
      </c>
      <c r="AP35">
        <v>12301</v>
      </c>
      <c r="AQ35">
        <v>1410</v>
      </c>
      <c r="AR35">
        <v>11371</v>
      </c>
      <c r="AS35">
        <v>10856</v>
      </c>
      <c r="AT35">
        <v>1530</v>
      </c>
      <c r="AU35">
        <v>10973</v>
      </c>
      <c r="AV35">
        <v>1542</v>
      </c>
      <c r="AW35">
        <v>0</v>
      </c>
      <c r="AX35">
        <v>27868</v>
      </c>
      <c r="AY35">
        <v>922</v>
      </c>
      <c r="AZ35">
        <v>32780</v>
      </c>
      <c r="BA35">
        <v>1205</v>
      </c>
      <c r="BB35">
        <v>68110</v>
      </c>
      <c r="BC35">
        <v>55023</v>
      </c>
      <c r="BD35">
        <v>1488</v>
      </c>
      <c r="BE35">
        <v>52268</v>
      </c>
      <c r="BF35">
        <v>1639</v>
      </c>
      <c r="BG35">
        <v>9364</v>
      </c>
      <c r="BH35">
        <v>1558</v>
      </c>
      <c r="BI35">
        <v>1401</v>
      </c>
      <c r="BJ35">
        <v>1585</v>
      </c>
      <c r="BK35">
        <v>1474</v>
      </c>
      <c r="BL35">
        <v>6</v>
      </c>
      <c r="BM35">
        <v>437</v>
      </c>
      <c r="BN35">
        <v>2233</v>
      </c>
      <c r="BO35">
        <v>441</v>
      </c>
      <c r="BP35">
        <v>2243</v>
      </c>
      <c r="BQ35">
        <v>0</v>
      </c>
      <c r="BR35">
        <v>296</v>
      </c>
      <c r="BS35">
        <v>760</v>
      </c>
      <c r="BT35">
        <v>664</v>
      </c>
      <c r="BU35">
        <v>816</v>
      </c>
      <c r="BV35">
        <v>596</v>
      </c>
      <c r="BW35">
        <v>1824</v>
      </c>
      <c r="BX35">
        <v>216607</v>
      </c>
      <c r="BY35">
        <v>2478</v>
      </c>
      <c r="BZ35">
        <v>238642</v>
      </c>
      <c r="CA35">
        <v>2295</v>
      </c>
      <c r="CB35">
        <v>154651</v>
      </c>
      <c r="CC35">
        <v>1304</v>
      </c>
      <c r="CD35">
        <v>6582</v>
      </c>
      <c r="CE35">
        <v>330</v>
      </c>
      <c r="CF35">
        <v>9731</v>
      </c>
      <c r="CG35">
        <v>2973</v>
      </c>
      <c r="CH35">
        <v>10377</v>
      </c>
      <c r="CI35">
        <v>32</v>
      </c>
      <c r="CJ35">
        <v>2169</v>
      </c>
      <c r="CK35">
        <v>378</v>
      </c>
      <c r="CL35">
        <v>241</v>
      </c>
      <c r="CM35">
        <v>539</v>
      </c>
      <c r="CN35">
        <v>207</v>
      </c>
      <c r="CO35">
        <v>1673</v>
      </c>
      <c r="CP35">
        <v>6136</v>
      </c>
      <c r="CQ35">
        <v>827</v>
      </c>
      <c r="CR35">
        <v>1754</v>
      </c>
      <c r="CS35">
        <v>9798</v>
      </c>
      <c r="CT35">
        <v>5292</v>
      </c>
      <c r="CU35">
        <v>178</v>
      </c>
      <c r="CV35">
        <v>7571</v>
      </c>
      <c r="CW35">
        <v>114256</v>
      </c>
      <c r="CX35">
        <v>1670</v>
      </c>
      <c r="CY35">
        <v>798571</v>
      </c>
      <c r="CZ35">
        <v>10025</v>
      </c>
      <c r="DA35">
        <v>37667</v>
      </c>
      <c r="DB35">
        <v>32747</v>
      </c>
    </row>
    <row r="36" spans="1:106" x14ac:dyDescent="0.4">
      <c r="A36" s="1" t="s">
        <v>60</v>
      </c>
      <c r="B36" s="1" t="s">
        <v>61</v>
      </c>
      <c r="C36">
        <v>52455</v>
      </c>
      <c r="D36">
        <v>199</v>
      </c>
      <c r="E36">
        <v>54003</v>
      </c>
      <c r="F36">
        <v>272</v>
      </c>
      <c r="G36">
        <v>10440</v>
      </c>
      <c r="H36">
        <v>746303</v>
      </c>
      <c r="I36">
        <v>5312</v>
      </c>
      <c r="J36">
        <v>846535</v>
      </c>
      <c r="K36">
        <v>6175</v>
      </c>
      <c r="L36">
        <v>768851</v>
      </c>
      <c r="M36">
        <v>72362</v>
      </c>
      <c r="N36">
        <v>1567</v>
      </c>
      <c r="O36">
        <v>91770</v>
      </c>
      <c r="P36">
        <v>1582</v>
      </c>
      <c r="Q36">
        <v>47727</v>
      </c>
      <c r="R36">
        <v>762</v>
      </c>
      <c r="S36">
        <v>691</v>
      </c>
      <c r="T36">
        <v>401</v>
      </c>
      <c r="U36">
        <v>641</v>
      </c>
      <c r="V36">
        <v>281</v>
      </c>
      <c r="W36" t="s">
        <v>73</v>
      </c>
      <c r="X36" t="s">
        <v>73</v>
      </c>
      <c r="Y36" t="s">
        <v>73</v>
      </c>
      <c r="Z36" t="s">
        <v>73</v>
      </c>
      <c r="AA36">
        <v>175</v>
      </c>
      <c r="AB36">
        <v>15517</v>
      </c>
      <c r="AC36">
        <v>6661</v>
      </c>
      <c r="AD36">
        <v>98504</v>
      </c>
      <c r="AE36">
        <v>1144</v>
      </c>
      <c r="AF36">
        <v>108882</v>
      </c>
      <c r="AG36">
        <v>1223</v>
      </c>
      <c r="AH36">
        <v>2565</v>
      </c>
      <c r="AI36">
        <v>19549</v>
      </c>
      <c r="AJ36">
        <v>1083</v>
      </c>
      <c r="AK36">
        <v>21446</v>
      </c>
      <c r="AL36">
        <v>1146</v>
      </c>
      <c r="AM36">
        <v>21883</v>
      </c>
      <c r="AN36">
        <v>15421</v>
      </c>
      <c r="AO36">
        <v>1318</v>
      </c>
      <c r="AP36">
        <v>13137</v>
      </c>
      <c r="AQ36">
        <v>1498</v>
      </c>
      <c r="AR36">
        <v>12832</v>
      </c>
      <c r="AS36">
        <v>8715</v>
      </c>
      <c r="AT36">
        <v>1441</v>
      </c>
      <c r="AU36">
        <v>8828</v>
      </c>
      <c r="AV36">
        <v>1454</v>
      </c>
      <c r="AW36">
        <v>0</v>
      </c>
      <c r="AX36">
        <v>29838</v>
      </c>
      <c r="AY36">
        <v>606</v>
      </c>
      <c r="AZ36">
        <v>32641</v>
      </c>
      <c r="BA36">
        <v>716</v>
      </c>
      <c r="BB36">
        <v>66861</v>
      </c>
      <c r="BC36">
        <v>54987</v>
      </c>
      <c r="BD36">
        <v>1616</v>
      </c>
      <c r="BE36">
        <v>53934</v>
      </c>
      <c r="BF36">
        <v>1745</v>
      </c>
      <c r="BG36">
        <v>9251</v>
      </c>
      <c r="BH36">
        <v>1264</v>
      </c>
      <c r="BI36">
        <v>1486</v>
      </c>
      <c r="BJ36">
        <v>1275</v>
      </c>
      <c r="BK36">
        <v>1548</v>
      </c>
      <c r="BL36">
        <v>7</v>
      </c>
      <c r="BM36">
        <v>595</v>
      </c>
      <c r="BN36">
        <v>2568</v>
      </c>
      <c r="BO36">
        <v>599</v>
      </c>
      <c r="BP36">
        <v>2570</v>
      </c>
      <c r="BQ36">
        <v>0</v>
      </c>
      <c r="BR36">
        <v>270</v>
      </c>
      <c r="BS36">
        <v>542</v>
      </c>
      <c r="BT36">
        <v>675</v>
      </c>
      <c r="BU36">
        <v>600</v>
      </c>
      <c r="BV36">
        <v>593</v>
      </c>
      <c r="BW36">
        <v>1844</v>
      </c>
      <c r="BX36">
        <v>374007</v>
      </c>
      <c r="BY36">
        <v>2149</v>
      </c>
      <c r="BZ36">
        <v>334902</v>
      </c>
      <c r="CA36">
        <v>2281</v>
      </c>
      <c r="CB36">
        <v>195816</v>
      </c>
      <c r="CC36">
        <v>995</v>
      </c>
      <c r="CD36">
        <v>3355</v>
      </c>
      <c r="CE36">
        <v>196</v>
      </c>
      <c r="CF36">
        <v>3954</v>
      </c>
      <c r="CG36">
        <v>1454</v>
      </c>
      <c r="CH36">
        <v>5138</v>
      </c>
      <c r="CI36">
        <v>24</v>
      </c>
      <c r="CJ36">
        <v>1297</v>
      </c>
      <c r="CK36">
        <v>1557</v>
      </c>
      <c r="CL36">
        <v>350</v>
      </c>
      <c r="CM36">
        <v>400</v>
      </c>
      <c r="CN36">
        <v>252</v>
      </c>
      <c r="CO36">
        <v>1422</v>
      </c>
      <c r="CP36">
        <v>3981</v>
      </c>
      <c r="CQ36">
        <v>526</v>
      </c>
      <c r="CR36">
        <v>1023</v>
      </c>
      <c r="CS36">
        <v>9103</v>
      </c>
      <c r="CT36">
        <v>2769</v>
      </c>
      <c r="CU36">
        <v>163</v>
      </c>
      <c r="CV36">
        <v>6295</v>
      </c>
      <c r="CW36">
        <v>127484</v>
      </c>
      <c r="CX36">
        <v>1505</v>
      </c>
      <c r="CY36">
        <v>757556</v>
      </c>
      <c r="CZ36">
        <v>8572</v>
      </c>
      <c r="DA36">
        <v>34947</v>
      </c>
      <c r="DB36">
        <v>28264</v>
      </c>
    </row>
    <row r="37" spans="1:106" x14ac:dyDescent="0.4">
      <c r="A37" s="1" t="s">
        <v>62</v>
      </c>
      <c r="B37" s="1" t="s">
        <v>63</v>
      </c>
      <c r="C37">
        <v>51357</v>
      </c>
      <c r="D37">
        <v>200</v>
      </c>
      <c r="E37">
        <v>51147</v>
      </c>
      <c r="F37">
        <v>256</v>
      </c>
      <c r="G37">
        <v>10639</v>
      </c>
      <c r="H37">
        <v>855799</v>
      </c>
      <c r="I37">
        <v>5622</v>
      </c>
      <c r="J37">
        <v>945938</v>
      </c>
      <c r="K37">
        <v>6551</v>
      </c>
      <c r="L37">
        <v>668565</v>
      </c>
      <c r="M37">
        <v>69457</v>
      </c>
      <c r="N37">
        <v>1505</v>
      </c>
      <c r="O37">
        <v>94241</v>
      </c>
      <c r="P37">
        <v>1590</v>
      </c>
      <c r="Q37">
        <v>48879</v>
      </c>
      <c r="R37">
        <v>862</v>
      </c>
      <c r="S37">
        <v>912</v>
      </c>
      <c r="T37">
        <v>579</v>
      </c>
      <c r="U37">
        <v>1223</v>
      </c>
      <c r="V37">
        <v>268</v>
      </c>
      <c r="W37" t="s">
        <v>73</v>
      </c>
      <c r="X37" t="s">
        <v>73</v>
      </c>
      <c r="Y37" t="s">
        <v>73</v>
      </c>
      <c r="Z37" t="s">
        <v>73</v>
      </c>
      <c r="AA37">
        <v>198</v>
      </c>
      <c r="AB37">
        <v>12780</v>
      </c>
      <c r="AC37">
        <v>7362</v>
      </c>
      <c r="AD37">
        <v>89487</v>
      </c>
      <c r="AE37">
        <v>1051</v>
      </c>
      <c r="AF37">
        <v>100896</v>
      </c>
      <c r="AG37">
        <v>1174</v>
      </c>
      <c r="AH37">
        <v>2694</v>
      </c>
      <c r="AI37">
        <v>20880</v>
      </c>
      <c r="AJ37">
        <v>1055</v>
      </c>
      <c r="AK37">
        <v>24626</v>
      </c>
      <c r="AL37">
        <v>1095</v>
      </c>
      <c r="AM37">
        <v>20086</v>
      </c>
      <c r="AN37">
        <v>14619</v>
      </c>
      <c r="AO37">
        <v>1438</v>
      </c>
      <c r="AP37">
        <v>14646</v>
      </c>
      <c r="AQ37">
        <v>1643</v>
      </c>
      <c r="AR37">
        <v>12175</v>
      </c>
      <c r="AS37">
        <v>9099</v>
      </c>
      <c r="AT37">
        <v>1458</v>
      </c>
      <c r="AU37">
        <v>9177</v>
      </c>
      <c r="AV37">
        <v>1468</v>
      </c>
      <c r="AW37">
        <v>0</v>
      </c>
      <c r="AX37">
        <v>29879</v>
      </c>
      <c r="AY37">
        <v>837</v>
      </c>
      <c r="AZ37">
        <v>41923</v>
      </c>
      <c r="BA37">
        <v>1263</v>
      </c>
      <c r="BB37">
        <v>60076</v>
      </c>
      <c r="BC37">
        <v>57553</v>
      </c>
      <c r="BD37">
        <v>1642</v>
      </c>
      <c r="BE37">
        <v>57353</v>
      </c>
      <c r="BF37">
        <v>1746</v>
      </c>
      <c r="BG37">
        <v>8104</v>
      </c>
      <c r="BH37">
        <v>1267</v>
      </c>
      <c r="BI37">
        <v>1296</v>
      </c>
      <c r="BJ37">
        <v>1294</v>
      </c>
      <c r="BK37">
        <v>1378</v>
      </c>
      <c r="BL37">
        <v>9</v>
      </c>
      <c r="BM37">
        <v>404</v>
      </c>
      <c r="BN37">
        <v>2389</v>
      </c>
      <c r="BO37">
        <v>404</v>
      </c>
      <c r="BP37">
        <v>2389</v>
      </c>
      <c r="BQ37">
        <v>0</v>
      </c>
      <c r="BR37">
        <v>355</v>
      </c>
      <c r="BS37">
        <v>932</v>
      </c>
      <c r="BT37">
        <v>691</v>
      </c>
      <c r="BU37">
        <v>992</v>
      </c>
      <c r="BV37">
        <v>595</v>
      </c>
      <c r="BW37">
        <v>1812</v>
      </c>
      <c r="BX37">
        <v>360613</v>
      </c>
      <c r="BY37">
        <v>2252</v>
      </c>
      <c r="BZ37">
        <v>347533</v>
      </c>
      <c r="CA37">
        <v>2506</v>
      </c>
      <c r="CB37">
        <v>209842</v>
      </c>
      <c r="CC37">
        <v>1082</v>
      </c>
      <c r="CD37">
        <v>5623</v>
      </c>
      <c r="CE37">
        <v>282</v>
      </c>
      <c r="CF37">
        <v>6239</v>
      </c>
      <c r="CG37">
        <v>944</v>
      </c>
      <c r="CH37">
        <v>3433</v>
      </c>
      <c r="CI37">
        <v>32</v>
      </c>
      <c r="CJ37">
        <v>1676</v>
      </c>
      <c r="CK37">
        <v>402</v>
      </c>
      <c r="CL37">
        <v>611</v>
      </c>
      <c r="CM37">
        <v>217</v>
      </c>
      <c r="CN37">
        <v>249</v>
      </c>
      <c r="CO37">
        <v>1649</v>
      </c>
      <c r="CP37">
        <v>3672</v>
      </c>
      <c r="CQ37">
        <v>337</v>
      </c>
      <c r="CR37">
        <v>973</v>
      </c>
      <c r="CS37">
        <v>10678</v>
      </c>
      <c r="CT37">
        <v>8717</v>
      </c>
      <c r="CU37">
        <v>194</v>
      </c>
      <c r="CV37">
        <v>6905</v>
      </c>
      <c r="CW37">
        <v>122718</v>
      </c>
      <c r="CX37">
        <v>1741</v>
      </c>
      <c r="CY37">
        <v>732453</v>
      </c>
      <c r="CZ37">
        <v>9222</v>
      </c>
      <c r="DA37">
        <v>36310</v>
      </c>
      <c r="DB37">
        <v>29572</v>
      </c>
    </row>
    <row r="38" spans="1:106" x14ac:dyDescent="0.4">
      <c r="A38" s="1" t="s">
        <v>64</v>
      </c>
      <c r="B38" s="1" t="s">
        <v>65</v>
      </c>
      <c r="C38">
        <v>49487</v>
      </c>
      <c r="D38">
        <v>232</v>
      </c>
      <c r="E38">
        <v>47486</v>
      </c>
      <c r="F38">
        <v>263</v>
      </c>
      <c r="G38">
        <v>12635</v>
      </c>
      <c r="H38">
        <v>989847</v>
      </c>
      <c r="I38">
        <v>6315</v>
      </c>
      <c r="J38">
        <v>1118923</v>
      </c>
      <c r="K38">
        <v>7224</v>
      </c>
      <c r="L38">
        <v>528975</v>
      </c>
      <c r="M38">
        <v>82766</v>
      </c>
      <c r="N38">
        <v>1526</v>
      </c>
      <c r="O38">
        <v>138396</v>
      </c>
      <c r="P38">
        <v>1869</v>
      </c>
      <c r="Q38">
        <v>44626</v>
      </c>
      <c r="R38">
        <v>1260</v>
      </c>
      <c r="S38">
        <v>1437</v>
      </c>
      <c r="T38">
        <v>854</v>
      </c>
      <c r="U38">
        <v>2599</v>
      </c>
      <c r="V38">
        <v>158</v>
      </c>
      <c r="W38" t="s">
        <v>73</v>
      </c>
      <c r="X38" t="s">
        <v>73</v>
      </c>
      <c r="Y38" t="s">
        <v>73</v>
      </c>
      <c r="Z38" t="s">
        <v>73</v>
      </c>
      <c r="AA38">
        <v>224</v>
      </c>
      <c r="AB38">
        <v>16251</v>
      </c>
      <c r="AC38">
        <v>8819</v>
      </c>
      <c r="AD38">
        <v>97896</v>
      </c>
      <c r="AE38">
        <v>1362</v>
      </c>
      <c r="AF38">
        <v>112516</v>
      </c>
      <c r="AG38">
        <v>1478</v>
      </c>
      <c r="AH38">
        <v>2762</v>
      </c>
      <c r="AI38">
        <v>22807</v>
      </c>
      <c r="AJ38">
        <v>1178</v>
      </c>
      <c r="AK38">
        <v>24558</v>
      </c>
      <c r="AL38">
        <v>1279</v>
      </c>
      <c r="AM38">
        <v>20315</v>
      </c>
      <c r="AN38">
        <v>16798</v>
      </c>
      <c r="AO38">
        <v>1643</v>
      </c>
      <c r="AP38">
        <v>19442</v>
      </c>
      <c r="AQ38">
        <v>1858</v>
      </c>
      <c r="AR38">
        <v>8376</v>
      </c>
      <c r="AS38">
        <v>10937</v>
      </c>
      <c r="AT38">
        <v>1791</v>
      </c>
      <c r="AU38">
        <v>11000</v>
      </c>
      <c r="AV38">
        <v>1736</v>
      </c>
      <c r="AW38">
        <v>0</v>
      </c>
      <c r="AX38">
        <v>35689</v>
      </c>
      <c r="AY38">
        <v>1046</v>
      </c>
      <c r="AZ38">
        <v>37207</v>
      </c>
      <c r="BA38">
        <v>1301</v>
      </c>
      <c r="BB38">
        <v>58501</v>
      </c>
      <c r="BC38">
        <v>67831</v>
      </c>
      <c r="BD38">
        <v>1944</v>
      </c>
      <c r="BE38">
        <v>66835</v>
      </c>
      <c r="BF38">
        <v>2215</v>
      </c>
      <c r="BG38">
        <v>8589</v>
      </c>
      <c r="BH38">
        <v>1438</v>
      </c>
      <c r="BI38">
        <v>1674</v>
      </c>
      <c r="BJ38">
        <v>1454</v>
      </c>
      <c r="BK38">
        <v>1739</v>
      </c>
      <c r="BL38">
        <v>6</v>
      </c>
      <c r="BM38">
        <v>648</v>
      </c>
      <c r="BN38">
        <v>4716</v>
      </c>
      <c r="BO38">
        <v>650</v>
      </c>
      <c r="BP38">
        <v>4717</v>
      </c>
      <c r="BQ38">
        <v>1</v>
      </c>
      <c r="BR38">
        <v>337</v>
      </c>
      <c r="BS38">
        <v>1194</v>
      </c>
      <c r="BT38">
        <v>727</v>
      </c>
      <c r="BU38">
        <v>1278</v>
      </c>
      <c r="BV38">
        <v>686</v>
      </c>
      <c r="BW38">
        <v>2464</v>
      </c>
      <c r="BX38">
        <v>357507</v>
      </c>
      <c r="BY38">
        <v>2308</v>
      </c>
      <c r="BZ38">
        <v>372802</v>
      </c>
      <c r="CA38">
        <v>2515</v>
      </c>
      <c r="CB38">
        <v>196107</v>
      </c>
      <c r="CC38">
        <v>1307</v>
      </c>
      <c r="CD38">
        <v>8366</v>
      </c>
      <c r="CE38">
        <v>342</v>
      </c>
      <c r="CF38">
        <v>9481</v>
      </c>
      <c r="CG38">
        <v>1165</v>
      </c>
      <c r="CH38">
        <v>4371</v>
      </c>
      <c r="CI38">
        <v>32</v>
      </c>
      <c r="CJ38">
        <v>1661</v>
      </c>
      <c r="CK38">
        <v>2117</v>
      </c>
      <c r="CL38">
        <v>934</v>
      </c>
      <c r="CM38">
        <v>291</v>
      </c>
      <c r="CN38">
        <v>314</v>
      </c>
      <c r="CO38">
        <v>1916</v>
      </c>
      <c r="CP38">
        <v>5666</v>
      </c>
      <c r="CQ38">
        <v>995</v>
      </c>
      <c r="CR38">
        <v>1936</v>
      </c>
      <c r="CS38">
        <v>6598</v>
      </c>
      <c r="CT38">
        <v>8555</v>
      </c>
      <c r="CU38">
        <v>296</v>
      </c>
      <c r="CV38">
        <v>12330</v>
      </c>
      <c r="CW38">
        <v>127596</v>
      </c>
      <c r="CX38">
        <v>4939</v>
      </c>
      <c r="CY38">
        <v>820839</v>
      </c>
      <c r="CZ38">
        <v>15177</v>
      </c>
      <c r="DA38">
        <v>46690</v>
      </c>
      <c r="DB38">
        <v>36341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95796-4F6E-4C6F-982C-866458CA56B0}">
  <dimension ref="A1:BM40"/>
  <sheetViews>
    <sheetView workbookViewId="0">
      <selection activeCell="C9" sqref="C9"/>
    </sheetView>
  </sheetViews>
  <sheetFormatPr defaultColWidth="15.625" defaultRowHeight="18.75" x14ac:dyDescent="0.4"/>
  <sheetData>
    <row r="1" spans="1:65" x14ac:dyDescent="0.4">
      <c r="A1" s="1" t="s">
        <v>66</v>
      </c>
      <c r="B1" s="1"/>
    </row>
    <row r="2" spans="1:65" x14ac:dyDescent="0.4">
      <c r="A2" s="4" t="str">
        <f>HYPERLINK("#'目次(Contents)'!A3","目次に戻る(Return to Contents)")</f>
        <v>目次に戻る(Return to Contents)</v>
      </c>
      <c r="B2" s="1"/>
    </row>
    <row r="3" spans="1:65" x14ac:dyDescent="0.4">
      <c r="A3" s="1"/>
      <c r="B3" s="2" t="s">
        <v>0</v>
      </c>
      <c r="C3" t="s">
        <v>1447</v>
      </c>
      <c r="D3" t="s">
        <v>1447</v>
      </c>
      <c r="E3" t="s">
        <v>1447</v>
      </c>
      <c r="F3" t="s">
        <v>1447</v>
      </c>
      <c r="G3" t="s">
        <v>1447</v>
      </c>
      <c r="H3" t="s">
        <v>1449</v>
      </c>
      <c r="I3" t="s">
        <v>1449</v>
      </c>
      <c r="J3" t="s">
        <v>1449</v>
      </c>
      <c r="K3" t="s">
        <v>1449</v>
      </c>
      <c r="L3" t="s">
        <v>1449</v>
      </c>
      <c r="M3" t="s">
        <v>1451</v>
      </c>
      <c r="N3" t="s">
        <v>1451</v>
      </c>
      <c r="O3" t="s">
        <v>1451</v>
      </c>
      <c r="P3" t="s">
        <v>1451</v>
      </c>
      <c r="Q3" t="s">
        <v>1451</v>
      </c>
      <c r="R3" t="s">
        <v>1453</v>
      </c>
      <c r="S3" t="s">
        <v>1453</v>
      </c>
      <c r="T3" t="s">
        <v>1453</v>
      </c>
      <c r="U3" t="s">
        <v>1453</v>
      </c>
      <c r="V3" t="s">
        <v>1453</v>
      </c>
      <c r="W3" t="s">
        <v>1453</v>
      </c>
      <c r="X3" t="s">
        <v>1453</v>
      </c>
      <c r="Y3" t="s">
        <v>1453</v>
      </c>
      <c r="Z3" t="s">
        <v>1457</v>
      </c>
      <c r="AA3" t="s">
        <v>1457</v>
      </c>
      <c r="AB3" t="s">
        <v>1457</v>
      </c>
      <c r="AC3" t="s">
        <v>1457</v>
      </c>
      <c r="AD3" t="s">
        <v>1457</v>
      </c>
      <c r="AE3" t="s">
        <v>1457</v>
      </c>
      <c r="AF3" t="s">
        <v>1457</v>
      </c>
      <c r="AG3" t="s">
        <v>1457</v>
      </c>
      <c r="AH3" t="s">
        <v>1459</v>
      </c>
      <c r="AI3" t="s">
        <v>1459</v>
      </c>
      <c r="AJ3" t="s">
        <v>1459</v>
      </c>
      <c r="AK3" t="s">
        <v>1459</v>
      </c>
      <c r="AL3" t="s">
        <v>1459</v>
      </c>
      <c r="AM3" t="s">
        <v>1459</v>
      </c>
      <c r="AN3" t="s">
        <v>1459</v>
      </c>
      <c r="AO3" t="s">
        <v>1459</v>
      </c>
      <c r="AP3" t="s">
        <v>1463</v>
      </c>
      <c r="AQ3" t="s">
        <v>1463</v>
      </c>
      <c r="AR3" t="s">
        <v>1463</v>
      </c>
      <c r="AS3" t="s">
        <v>1463</v>
      </c>
      <c r="AT3" t="s">
        <v>1463</v>
      </c>
      <c r="AU3" t="s">
        <v>1463</v>
      </c>
      <c r="AV3" t="s">
        <v>1463</v>
      </c>
      <c r="AW3" t="s">
        <v>1463</v>
      </c>
      <c r="AX3" t="s">
        <v>1465</v>
      </c>
      <c r="AY3" t="s">
        <v>1465</v>
      </c>
      <c r="AZ3" t="s">
        <v>1465</v>
      </c>
      <c r="BA3" t="s">
        <v>1465</v>
      </c>
      <c r="BB3" t="s">
        <v>1465</v>
      </c>
      <c r="BC3" t="s">
        <v>1465</v>
      </c>
      <c r="BD3" t="s">
        <v>1465</v>
      </c>
      <c r="BE3" t="s">
        <v>1465</v>
      </c>
      <c r="BF3" t="s">
        <v>1467</v>
      </c>
      <c r="BG3" t="s">
        <v>1467</v>
      </c>
      <c r="BH3" t="s">
        <v>1467</v>
      </c>
      <c r="BI3" t="s">
        <v>1467</v>
      </c>
      <c r="BJ3" t="s">
        <v>1467</v>
      </c>
      <c r="BK3" t="s">
        <v>1467</v>
      </c>
      <c r="BL3" t="s">
        <v>1467</v>
      </c>
      <c r="BM3" t="s">
        <v>1467</v>
      </c>
    </row>
    <row r="4" spans="1:65" x14ac:dyDescent="0.4">
      <c r="A4" s="1"/>
      <c r="B4" s="2" t="s">
        <v>1</v>
      </c>
      <c r="C4" t="s">
        <v>1448</v>
      </c>
      <c r="D4" t="s">
        <v>1448</v>
      </c>
      <c r="E4" t="s">
        <v>1448</v>
      </c>
      <c r="F4" t="s">
        <v>1448</v>
      </c>
      <c r="G4" t="s">
        <v>1448</v>
      </c>
      <c r="H4" t="s">
        <v>1450</v>
      </c>
      <c r="I4" t="s">
        <v>1450</v>
      </c>
      <c r="J4" t="s">
        <v>1450</v>
      </c>
      <c r="K4" t="s">
        <v>1450</v>
      </c>
      <c r="L4" t="s">
        <v>1450</v>
      </c>
      <c r="M4" t="s">
        <v>1452</v>
      </c>
      <c r="N4" t="s">
        <v>1452</v>
      </c>
      <c r="O4" t="s">
        <v>1452</v>
      </c>
      <c r="P4" t="s">
        <v>1452</v>
      </c>
      <c r="Q4" t="s">
        <v>1452</v>
      </c>
      <c r="R4" t="s">
        <v>1454</v>
      </c>
      <c r="S4" t="s">
        <v>1454</v>
      </c>
      <c r="T4" t="s">
        <v>1454</v>
      </c>
      <c r="U4" t="s">
        <v>1454</v>
      </c>
      <c r="V4" t="s">
        <v>1454</v>
      </c>
      <c r="W4" t="s">
        <v>1454</v>
      </c>
      <c r="X4" t="s">
        <v>1454</v>
      </c>
      <c r="Y4" t="s">
        <v>1454</v>
      </c>
      <c r="Z4" t="s">
        <v>1458</v>
      </c>
      <c r="AA4" t="s">
        <v>1458</v>
      </c>
      <c r="AB4" t="s">
        <v>1458</v>
      </c>
      <c r="AC4" t="s">
        <v>1458</v>
      </c>
      <c r="AD4" t="s">
        <v>1458</v>
      </c>
      <c r="AE4" t="s">
        <v>1458</v>
      </c>
      <c r="AF4" t="s">
        <v>1458</v>
      </c>
      <c r="AG4" t="s">
        <v>1458</v>
      </c>
      <c r="AH4" t="s">
        <v>1460</v>
      </c>
      <c r="AI4" t="s">
        <v>1460</v>
      </c>
      <c r="AJ4" t="s">
        <v>1460</v>
      </c>
      <c r="AK4" t="s">
        <v>1460</v>
      </c>
      <c r="AL4" t="s">
        <v>1460</v>
      </c>
      <c r="AM4" t="s">
        <v>1460</v>
      </c>
      <c r="AN4" t="s">
        <v>1460</v>
      </c>
      <c r="AO4" t="s">
        <v>1460</v>
      </c>
      <c r="AP4" t="s">
        <v>1464</v>
      </c>
      <c r="AQ4" t="s">
        <v>1464</v>
      </c>
      <c r="AR4" t="s">
        <v>1464</v>
      </c>
      <c r="AS4" t="s">
        <v>1464</v>
      </c>
      <c r="AT4" t="s">
        <v>1464</v>
      </c>
      <c r="AU4" t="s">
        <v>1464</v>
      </c>
      <c r="AV4" t="s">
        <v>1464</v>
      </c>
      <c r="AW4" t="s">
        <v>1464</v>
      </c>
      <c r="AX4" t="s">
        <v>1466</v>
      </c>
      <c r="AY4" t="s">
        <v>1466</v>
      </c>
      <c r="AZ4" t="s">
        <v>1466</v>
      </c>
      <c r="BA4" t="s">
        <v>1466</v>
      </c>
      <c r="BB4" t="s">
        <v>1466</v>
      </c>
      <c r="BC4" t="s">
        <v>1466</v>
      </c>
      <c r="BD4" t="s">
        <v>1466</v>
      </c>
      <c r="BE4" t="s">
        <v>1466</v>
      </c>
      <c r="BF4" t="s">
        <v>1468</v>
      </c>
      <c r="BG4" t="s">
        <v>1468</v>
      </c>
      <c r="BH4" t="s">
        <v>1468</v>
      </c>
      <c r="BI4" t="s">
        <v>1468</v>
      </c>
      <c r="BJ4" t="s">
        <v>1468</v>
      </c>
      <c r="BK4" t="s">
        <v>1468</v>
      </c>
      <c r="BL4" t="s">
        <v>1468</v>
      </c>
      <c r="BM4" t="s">
        <v>1468</v>
      </c>
    </row>
    <row r="5" spans="1:65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254</v>
      </c>
      <c r="T5" t="s">
        <v>257</v>
      </c>
      <c r="U5" t="s">
        <v>74</v>
      </c>
      <c r="V5" t="s">
        <v>261</v>
      </c>
      <c r="W5" t="s">
        <v>263</v>
      </c>
      <c r="X5" t="s">
        <v>76</v>
      </c>
      <c r="Y5" t="s">
        <v>265</v>
      </c>
      <c r="Z5" t="s">
        <v>69</v>
      </c>
      <c r="AA5" t="s">
        <v>254</v>
      </c>
      <c r="AB5" t="s">
        <v>257</v>
      </c>
      <c r="AC5" t="s">
        <v>74</v>
      </c>
      <c r="AD5" t="s">
        <v>261</v>
      </c>
      <c r="AE5" t="s">
        <v>263</v>
      </c>
      <c r="AF5" t="s">
        <v>76</v>
      </c>
      <c r="AG5" t="s">
        <v>265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265</v>
      </c>
      <c r="AP5" t="s">
        <v>69</v>
      </c>
      <c r="AQ5" t="s">
        <v>254</v>
      </c>
      <c r="AR5" t="s">
        <v>257</v>
      </c>
      <c r="AS5" t="s">
        <v>74</v>
      </c>
      <c r="AT5" t="s">
        <v>261</v>
      </c>
      <c r="AU5" t="s">
        <v>263</v>
      </c>
      <c r="AV5" t="s">
        <v>76</v>
      </c>
      <c r="AW5" t="s">
        <v>265</v>
      </c>
      <c r="AX5" t="s">
        <v>69</v>
      </c>
      <c r="AY5" t="s">
        <v>254</v>
      </c>
      <c r="AZ5" t="s">
        <v>257</v>
      </c>
      <c r="BA5" t="s">
        <v>74</v>
      </c>
      <c r="BB5" t="s">
        <v>261</v>
      </c>
      <c r="BC5" t="s">
        <v>263</v>
      </c>
      <c r="BD5" t="s">
        <v>76</v>
      </c>
      <c r="BE5" t="s">
        <v>265</v>
      </c>
      <c r="BF5" t="s">
        <v>69</v>
      </c>
      <c r="BG5" t="s">
        <v>254</v>
      </c>
      <c r="BH5" t="s">
        <v>257</v>
      </c>
      <c r="BI5" t="s">
        <v>74</v>
      </c>
      <c r="BJ5" t="s">
        <v>261</v>
      </c>
      <c r="BK5" t="s">
        <v>263</v>
      </c>
      <c r="BL5" t="s">
        <v>76</v>
      </c>
      <c r="BM5" t="s">
        <v>265</v>
      </c>
    </row>
    <row r="6" spans="1:65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256</v>
      </c>
      <c r="T6" t="s">
        <v>259</v>
      </c>
      <c r="U6" t="s">
        <v>75</v>
      </c>
      <c r="V6" t="s">
        <v>262</v>
      </c>
      <c r="W6" t="s">
        <v>264</v>
      </c>
      <c r="X6" t="s">
        <v>77</v>
      </c>
      <c r="Y6" t="s">
        <v>266</v>
      </c>
      <c r="Z6" t="s">
        <v>72</v>
      </c>
      <c r="AA6" t="s">
        <v>256</v>
      </c>
      <c r="AB6" t="s">
        <v>259</v>
      </c>
      <c r="AC6" t="s">
        <v>75</v>
      </c>
      <c r="AD6" t="s">
        <v>262</v>
      </c>
      <c r="AE6" t="s">
        <v>264</v>
      </c>
      <c r="AF6" t="s">
        <v>77</v>
      </c>
      <c r="AG6" t="s">
        <v>266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266</v>
      </c>
      <c r="AP6" t="s">
        <v>72</v>
      </c>
      <c r="AQ6" t="s">
        <v>256</v>
      </c>
      <c r="AR6" t="s">
        <v>259</v>
      </c>
      <c r="AS6" t="s">
        <v>75</v>
      </c>
      <c r="AT6" t="s">
        <v>262</v>
      </c>
      <c r="AU6" t="s">
        <v>264</v>
      </c>
      <c r="AV6" t="s">
        <v>77</v>
      </c>
      <c r="AW6" t="s">
        <v>266</v>
      </c>
      <c r="AX6" t="s">
        <v>72</v>
      </c>
      <c r="AY6" t="s">
        <v>256</v>
      </c>
      <c r="AZ6" t="s">
        <v>259</v>
      </c>
      <c r="BA6" t="s">
        <v>75</v>
      </c>
      <c r="BB6" t="s">
        <v>262</v>
      </c>
      <c r="BC6" t="s">
        <v>264</v>
      </c>
      <c r="BD6" t="s">
        <v>77</v>
      </c>
      <c r="BE6" t="s">
        <v>266</v>
      </c>
      <c r="BF6" t="s">
        <v>72</v>
      </c>
      <c r="BG6" t="s">
        <v>256</v>
      </c>
      <c r="BH6" t="s">
        <v>259</v>
      </c>
      <c r="BI6" t="s">
        <v>75</v>
      </c>
      <c r="BJ6" t="s">
        <v>262</v>
      </c>
      <c r="BK6" t="s">
        <v>264</v>
      </c>
      <c r="BL6" t="s">
        <v>77</v>
      </c>
      <c r="BM6" t="s">
        <v>266</v>
      </c>
    </row>
    <row r="7" spans="1:6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1455</v>
      </c>
      <c r="T7" t="s">
        <v>258</v>
      </c>
      <c r="U7" t="s">
        <v>743</v>
      </c>
      <c r="V7" t="s">
        <v>1455</v>
      </c>
      <c r="W7" t="s">
        <v>258</v>
      </c>
      <c r="X7" t="s">
        <v>743</v>
      </c>
      <c r="Y7" t="s">
        <v>1455</v>
      </c>
      <c r="Z7" t="s">
        <v>743</v>
      </c>
      <c r="AA7" t="s">
        <v>1455</v>
      </c>
      <c r="AB7" t="s">
        <v>258</v>
      </c>
      <c r="AC7" t="s">
        <v>743</v>
      </c>
      <c r="AD7" t="s">
        <v>1455</v>
      </c>
      <c r="AE7" t="s">
        <v>258</v>
      </c>
      <c r="AF7" t="s">
        <v>743</v>
      </c>
      <c r="AG7" t="s">
        <v>1455</v>
      </c>
      <c r="AH7" t="s">
        <v>743</v>
      </c>
      <c r="AI7" t="s">
        <v>1461</v>
      </c>
      <c r="AJ7" t="s">
        <v>258</v>
      </c>
      <c r="AK7" t="s">
        <v>743</v>
      </c>
      <c r="AL7" t="s">
        <v>1461</v>
      </c>
      <c r="AM7" t="s">
        <v>258</v>
      </c>
      <c r="AN7" t="s">
        <v>743</v>
      </c>
      <c r="AO7" t="s">
        <v>1461</v>
      </c>
      <c r="AP7" t="s">
        <v>743</v>
      </c>
      <c r="AQ7" t="s">
        <v>1461</v>
      </c>
      <c r="AR7" t="s">
        <v>258</v>
      </c>
      <c r="AS7" t="s">
        <v>743</v>
      </c>
      <c r="AT7" t="s">
        <v>1461</v>
      </c>
      <c r="AU7" t="s">
        <v>258</v>
      </c>
      <c r="AV7" t="s">
        <v>743</v>
      </c>
      <c r="AW7" t="s">
        <v>1461</v>
      </c>
      <c r="AX7" t="s">
        <v>743</v>
      </c>
      <c r="AY7" t="s">
        <v>1461</v>
      </c>
      <c r="AZ7" t="s">
        <v>258</v>
      </c>
      <c r="BA7" t="s">
        <v>743</v>
      </c>
      <c r="BB7" t="s">
        <v>1461</v>
      </c>
      <c r="BC7" t="s">
        <v>258</v>
      </c>
      <c r="BD7" t="s">
        <v>743</v>
      </c>
      <c r="BE7" t="s">
        <v>1461</v>
      </c>
      <c r="BF7" t="s">
        <v>743</v>
      </c>
      <c r="BG7" t="s">
        <v>1461</v>
      </c>
      <c r="BH7" t="s">
        <v>258</v>
      </c>
      <c r="BI7" t="s">
        <v>743</v>
      </c>
      <c r="BJ7" t="s">
        <v>1461</v>
      </c>
      <c r="BK7" t="s">
        <v>258</v>
      </c>
      <c r="BL7" t="s">
        <v>743</v>
      </c>
      <c r="BM7" t="s">
        <v>1461</v>
      </c>
    </row>
    <row r="8" spans="1:6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1456</v>
      </c>
      <c r="T8" t="s">
        <v>260</v>
      </c>
      <c r="U8" t="s">
        <v>745</v>
      </c>
      <c r="V8" t="s">
        <v>1456</v>
      </c>
      <c r="W8" t="s">
        <v>260</v>
      </c>
      <c r="X8" t="s">
        <v>745</v>
      </c>
      <c r="Y8" t="s">
        <v>1456</v>
      </c>
      <c r="Z8" t="s">
        <v>745</v>
      </c>
      <c r="AA8" t="s">
        <v>1456</v>
      </c>
      <c r="AB8" t="s">
        <v>260</v>
      </c>
      <c r="AC8" t="s">
        <v>745</v>
      </c>
      <c r="AD8" t="s">
        <v>1456</v>
      </c>
      <c r="AE8" t="s">
        <v>260</v>
      </c>
      <c r="AF8" t="s">
        <v>745</v>
      </c>
      <c r="AG8" t="s">
        <v>1456</v>
      </c>
      <c r="AH8" t="s">
        <v>745</v>
      </c>
      <c r="AI8" t="s">
        <v>1462</v>
      </c>
      <c r="AJ8" t="s">
        <v>260</v>
      </c>
      <c r="AK8" t="s">
        <v>745</v>
      </c>
      <c r="AL8" t="s">
        <v>1462</v>
      </c>
      <c r="AM8" t="s">
        <v>260</v>
      </c>
      <c r="AN8" t="s">
        <v>745</v>
      </c>
      <c r="AO8" t="s">
        <v>1462</v>
      </c>
      <c r="AP8" t="s">
        <v>745</v>
      </c>
      <c r="AQ8" t="s">
        <v>1462</v>
      </c>
      <c r="AR8" t="s">
        <v>260</v>
      </c>
      <c r="AS8" t="s">
        <v>745</v>
      </c>
      <c r="AT8" t="s">
        <v>1462</v>
      </c>
      <c r="AU8" t="s">
        <v>260</v>
      </c>
      <c r="AV8" t="s">
        <v>745</v>
      </c>
      <c r="AW8" t="s">
        <v>1462</v>
      </c>
      <c r="AX8" t="s">
        <v>745</v>
      </c>
      <c r="AY8" t="s">
        <v>1462</v>
      </c>
      <c r="AZ8" t="s">
        <v>260</v>
      </c>
      <c r="BA8" t="s">
        <v>745</v>
      </c>
      <c r="BB8" t="s">
        <v>1462</v>
      </c>
      <c r="BC8" t="s">
        <v>260</v>
      </c>
      <c r="BD8" t="s">
        <v>745</v>
      </c>
      <c r="BE8" t="s">
        <v>1462</v>
      </c>
      <c r="BF8" t="s">
        <v>745</v>
      </c>
      <c r="BG8" t="s">
        <v>1462</v>
      </c>
      <c r="BH8" t="s">
        <v>260</v>
      </c>
      <c r="BI8" t="s">
        <v>745</v>
      </c>
      <c r="BJ8" t="s">
        <v>1462</v>
      </c>
      <c r="BK8" t="s">
        <v>260</v>
      </c>
      <c r="BL8" t="s">
        <v>745</v>
      </c>
      <c r="BM8" t="s">
        <v>1462</v>
      </c>
    </row>
    <row r="9" spans="1:65" x14ac:dyDescent="0.4">
      <c r="A9" s="1" t="s">
        <v>6</v>
      </c>
      <c r="B9" s="3" t="s">
        <v>7</v>
      </c>
      <c r="C9">
        <v>702126</v>
      </c>
      <c r="D9">
        <v>12038</v>
      </c>
      <c r="E9">
        <v>687699</v>
      </c>
      <c r="F9">
        <v>13442</v>
      </c>
      <c r="G9">
        <v>74760</v>
      </c>
      <c r="H9">
        <v>1041669</v>
      </c>
      <c r="I9">
        <v>34229</v>
      </c>
      <c r="J9">
        <v>1269541</v>
      </c>
      <c r="K9">
        <v>49519</v>
      </c>
      <c r="L9">
        <v>126500</v>
      </c>
      <c r="M9">
        <v>833947</v>
      </c>
      <c r="N9">
        <v>24674</v>
      </c>
      <c r="O9">
        <v>898717</v>
      </c>
      <c r="P9">
        <v>39232</v>
      </c>
      <c r="Q9">
        <v>108600</v>
      </c>
      <c r="R9">
        <v>22271</v>
      </c>
      <c r="S9">
        <v>181105</v>
      </c>
      <c r="T9">
        <v>94093</v>
      </c>
      <c r="U9">
        <v>22752</v>
      </c>
      <c r="V9">
        <v>180002</v>
      </c>
      <c r="W9">
        <v>122435</v>
      </c>
      <c r="X9">
        <v>3036</v>
      </c>
      <c r="Y9">
        <v>23661</v>
      </c>
      <c r="Z9">
        <v>6675</v>
      </c>
      <c r="AA9">
        <v>81385</v>
      </c>
      <c r="AB9">
        <v>60466</v>
      </c>
      <c r="AC9">
        <v>7136</v>
      </c>
      <c r="AD9">
        <v>81494</v>
      </c>
      <c r="AE9">
        <v>65846</v>
      </c>
      <c r="AF9">
        <v>1828</v>
      </c>
      <c r="AG9">
        <v>9108</v>
      </c>
      <c r="AH9">
        <v>453894</v>
      </c>
      <c r="AI9">
        <v>1953604</v>
      </c>
      <c r="AJ9">
        <v>209770</v>
      </c>
      <c r="AK9">
        <v>482349</v>
      </c>
      <c r="AL9">
        <v>1983402</v>
      </c>
      <c r="AM9">
        <v>225401</v>
      </c>
      <c r="AN9">
        <v>16363</v>
      </c>
      <c r="AO9">
        <v>41321</v>
      </c>
      <c r="AP9">
        <v>24652</v>
      </c>
      <c r="AQ9">
        <v>35229</v>
      </c>
      <c r="AR9">
        <v>6366</v>
      </c>
      <c r="AS9">
        <v>31143</v>
      </c>
      <c r="AT9">
        <v>42607</v>
      </c>
      <c r="AU9">
        <v>6854</v>
      </c>
      <c r="AV9">
        <v>1046</v>
      </c>
      <c r="AW9">
        <v>2394</v>
      </c>
      <c r="AX9">
        <v>896174</v>
      </c>
      <c r="AY9">
        <v>4140383</v>
      </c>
      <c r="AZ9">
        <v>436481</v>
      </c>
      <c r="BA9">
        <v>894094</v>
      </c>
      <c r="BB9">
        <v>4159825</v>
      </c>
      <c r="BC9">
        <v>425103</v>
      </c>
      <c r="BD9">
        <v>37104</v>
      </c>
      <c r="BE9">
        <v>187339</v>
      </c>
      <c r="BF9">
        <v>332648</v>
      </c>
      <c r="BG9">
        <v>944325</v>
      </c>
      <c r="BH9">
        <v>134500</v>
      </c>
      <c r="BI9">
        <v>377850</v>
      </c>
      <c r="BJ9">
        <v>984042</v>
      </c>
      <c r="BK9">
        <v>144034</v>
      </c>
      <c r="BL9">
        <v>25465</v>
      </c>
      <c r="BM9">
        <v>68152</v>
      </c>
    </row>
    <row r="10" spans="1:65" x14ac:dyDescent="0.4">
      <c r="A10" s="1" t="s">
        <v>8</v>
      </c>
      <c r="B10" s="3" t="s">
        <v>9</v>
      </c>
      <c r="C10">
        <v>764616</v>
      </c>
      <c r="D10">
        <v>15123</v>
      </c>
      <c r="E10">
        <v>770443</v>
      </c>
      <c r="F10">
        <v>17491</v>
      </c>
      <c r="G10">
        <v>66730</v>
      </c>
      <c r="H10">
        <v>1023885</v>
      </c>
      <c r="I10">
        <v>36821</v>
      </c>
      <c r="J10">
        <v>1248993</v>
      </c>
      <c r="K10">
        <v>50263</v>
      </c>
      <c r="L10">
        <v>287726</v>
      </c>
      <c r="M10">
        <v>701376</v>
      </c>
      <c r="N10">
        <v>21549</v>
      </c>
      <c r="O10">
        <v>805200</v>
      </c>
      <c r="P10">
        <v>39959</v>
      </c>
      <c r="Q10">
        <v>84568</v>
      </c>
      <c r="R10">
        <v>20972</v>
      </c>
      <c r="S10">
        <v>172508</v>
      </c>
      <c r="T10">
        <v>96003</v>
      </c>
      <c r="U10">
        <v>22106</v>
      </c>
      <c r="V10">
        <v>175884</v>
      </c>
      <c r="W10">
        <v>130658</v>
      </c>
      <c r="X10">
        <v>2747</v>
      </c>
      <c r="Y10">
        <v>22270</v>
      </c>
      <c r="Z10">
        <v>6677</v>
      </c>
      <c r="AA10">
        <v>80204</v>
      </c>
      <c r="AB10">
        <v>70132</v>
      </c>
      <c r="AC10">
        <v>6817</v>
      </c>
      <c r="AD10">
        <v>75582</v>
      </c>
      <c r="AE10">
        <v>66738</v>
      </c>
      <c r="AF10">
        <v>1808</v>
      </c>
      <c r="AG10">
        <v>13173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X10">
        <v>905654</v>
      </c>
      <c r="AY10">
        <v>4464154</v>
      </c>
      <c r="AZ10">
        <v>570757</v>
      </c>
      <c r="BA10">
        <v>898212</v>
      </c>
      <c r="BB10">
        <v>4351103</v>
      </c>
      <c r="BC10">
        <v>543419</v>
      </c>
      <c r="BD10">
        <v>41043</v>
      </c>
      <c r="BE10">
        <v>276652</v>
      </c>
      <c r="BF10">
        <v>259844</v>
      </c>
      <c r="BG10">
        <v>699129</v>
      </c>
      <c r="BH10">
        <v>126345</v>
      </c>
      <c r="BI10">
        <v>293378</v>
      </c>
      <c r="BJ10">
        <v>725177</v>
      </c>
      <c r="BK10">
        <v>134812</v>
      </c>
      <c r="BL10">
        <v>19894</v>
      </c>
      <c r="BM10">
        <v>63181</v>
      </c>
    </row>
    <row r="11" spans="1:65" x14ac:dyDescent="0.4">
      <c r="A11" s="1" t="s">
        <v>10</v>
      </c>
      <c r="B11" s="3" t="s">
        <v>11</v>
      </c>
      <c r="C11">
        <v>624497</v>
      </c>
      <c r="D11">
        <v>15835</v>
      </c>
      <c r="E11">
        <v>635909</v>
      </c>
      <c r="F11">
        <v>18183</v>
      </c>
      <c r="G11">
        <v>60406</v>
      </c>
      <c r="H11">
        <v>682239</v>
      </c>
      <c r="I11">
        <v>18214</v>
      </c>
      <c r="J11">
        <v>1154023</v>
      </c>
      <c r="K11">
        <v>47128</v>
      </c>
      <c r="L11">
        <v>97126</v>
      </c>
      <c r="M11">
        <v>605753</v>
      </c>
      <c r="N11">
        <v>20645</v>
      </c>
      <c r="O11">
        <v>759930</v>
      </c>
      <c r="P11">
        <v>43971</v>
      </c>
      <c r="Q11">
        <v>65566</v>
      </c>
      <c r="R11">
        <v>21991</v>
      </c>
      <c r="S11">
        <v>179373</v>
      </c>
      <c r="T11">
        <v>107034</v>
      </c>
      <c r="U11">
        <v>22670</v>
      </c>
      <c r="V11">
        <v>181623</v>
      </c>
      <c r="W11">
        <v>142610</v>
      </c>
      <c r="X11">
        <v>2913</v>
      </c>
      <c r="Y11">
        <v>22045</v>
      </c>
      <c r="Z11">
        <v>6283</v>
      </c>
      <c r="AA11">
        <v>79208</v>
      </c>
      <c r="AB11">
        <v>79946</v>
      </c>
      <c r="AC11">
        <v>6634</v>
      </c>
      <c r="AD11">
        <v>76593</v>
      </c>
      <c r="AE11">
        <v>73114</v>
      </c>
      <c r="AF11">
        <v>1603</v>
      </c>
      <c r="AG11">
        <v>16246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X11">
        <v>855815</v>
      </c>
      <c r="AY11">
        <v>5433293</v>
      </c>
      <c r="AZ11">
        <v>782235</v>
      </c>
      <c r="BA11">
        <v>857532</v>
      </c>
      <c r="BB11">
        <v>5465393</v>
      </c>
      <c r="BC11">
        <v>779531</v>
      </c>
      <c r="BD11">
        <v>32724</v>
      </c>
      <c r="BE11">
        <v>200843</v>
      </c>
      <c r="BF11">
        <v>187806</v>
      </c>
      <c r="BG11">
        <v>576438</v>
      </c>
      <c r="BH11">
        <v>109041</v>
      </c>
      <c r="BI11">
        <v>211619</v>
      </c>
      <c r="BJ11">
        <v>603145</v>
      </c>
      <c r="BK11">
        <v>120160</v>
      </c>
      <c r="BL11">
        <v>18544</v>
      </c>
      <c r="BM11">
        <v>59185</v>
      </c>
    </row>
    <row r="12" spans="1:65" x14ac:dyDescent="0.4">
      <c r="A12" s="1" t="s">
        <v>12</v>
      </c>
      <c r="B12" s="3" t="s">
        <v>13</v>
      </c>
      <c r="C12">
        <v>673534</v>
      </c>
      <c r="D12">
        <v>18391</v>
      </c>
      <c r="E12">
        <v>657049</v>
      </c>
      <c r="F12">
        <v>20400</v>
      </c>
      <c r="G12">
        <v>45429</v>
      </c>
      <c r="H12">
        <v>860540</v>
      </c>
      <c r="I12">
        <v>29184</v>
      </c>
      <c r="J12">
        <v>1160304</v>
      </c>
      <c r="K12">
        <v>47582</v>
      </c>
      <c r="L12">
        <v>69641</v>
      </c>
      <c r="M12">
        <v>699220</v>
      </c>
      <c r="N12">
        <v>21970</v>
      </c>
      <c r="O12">
        <v>841227</v>
      </c>
      <c r="P12">
        <v>46115</v>
      </c>
      <c r="Q12">
        <v>71897</v>
      </c>
      <c r="R12">
        <v>21552</v>
      </c>
      <c r="S12">
        <v>173706</v>
      </c>
      <c r="T12">
        <v>107998</v>
      </c>
      <c r="U12">
        <v>22490</v>
      </c>
      <c r="V12">
        <v>179006</v>
      </c>
      <c r="W12">
        <v>150966</v>
      </c>
      <c r="X12">
        <v>2621</v>
      </c>
      <c r="Y12">
        <v>20280</v>
      </c>
      <c r="Z12">
        <v>6196</v>
      </c>
      <c r="AA12">
        <v>76257</v>
      </c>
      <c r="AB12">
        <v>78012</v>
      </c>
      <c r="AC12">
        <v>6466</v>
      </c>
      <c r="AD12">
        <v>77002</v>
      </c>
      <c r="AE12">
        <v>80042</v>
      </c>
      <c r="AF12">
        <v>1075</v>
      </c>
      <c r="AG12">
        <v>15601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X12">
        <v>585448</v>
      </c>
      <c r="AY12">
        <v>4334353</v>
      </c>
      <c r="AZ12">
        <v>733253</v>
      </c>
      <c r="BA12">
        <v>575225</v>
      </c>
      <c r="BB12">
        <v>3916753</v>
      </c>
      <c r="BC12">
        <v>701249</v>
      </c>
      <c r="BD12">
        <v>33735</v>
      </c>
      <c r="BE12">
        <v>570347</v>
      </c>
      <c r="BF12">
        <v>255169</v>
      </c>
      <c r="BG12">
        <v>801958</v>
      </c>
      <c r="BH12">
        <v>160264</v>
      </c>
      <c r="BI12">
        <v>268783</v>
      </c>
      <c r="BJ12">
        <v>834111</v>
      </c>
      <c r="BK12">
        <v>168428</v>
      </c>
      <c r="BL12">
        <v>15051</v>
      </c>
      <c r="BM12">
        <v>47999</v>
      </c>
    </row>
    <row r="13" spans="1:65" x14ac:dyDescent="0.4">
      <c r="A13" s="1" t="s">
        <v>14</v>
      </c>
      <c r="B13" s="3" t="s">
        <v>15</v>
      </c>
      <c r="C13">
        <v>766897</v>
      </c>
      <c r="D13">
        <v>21606</v>
      </c>
      <c r="E13">
        <v>766686</v>
      </c>
      <c r="F13">
        <v>24947</v>
      </c>
      <c r="G13">
        <v>45081</v>
      </c>
      <c r="H13">
        <v>859450</v>
      </c>
      <c r="I13">
        <v>30106</v>
      </c>
      <c r="J13">
        <v>1126329</v>
      </c>
      <c r="K13">
        <v>45532</v>
      </c>
      <c r="L13">
        <v>107986</v>
      </c>
      <c r="M13">
        <v>776712</v>
      </c>
      <c r="N13">
        <v>24626</v>
      </c>
      <c r="O13">
        <v>932268</v>
      </c>
      <c r="P13">
        <v>49708</v>
      </c>
      <c r="Q13">
        <v>76437</v>
      </c>
      <c r="R13">
        <v>22240</v>
      </c>
      <c r="S13">
        <v>179803</v>
      </c>
      <c r="T13">
        <v>114955</v>
      </c>
      <c r="U13">
        <v>23380</v>
      </c>
      <c r="V13">
        <v>187064</v>
      </c>
      <c r="W13">
        <v>161998</v>
      </c>
      <c r="X13">
        <v>2412</v>
      </c>
      <c r="Y13">
        <v>14711</v>
      </c>
      <c r="Z13">
        <v>6455</v>
      </c>
      <c r="AA13">
        <v>76773</v>
      </c>
      <c r="AB13">
        <v>80648</v>
      </c>
      <c r="AC13">
        <v>6489</v>
      </c>
      <c r="AD13">
        <v>76775</v>
      </c>
      <c r="AE13">
        <v>82858</v>
      </c>
      <c r="AF13">
        <v>1015</v>
      </c>
      <c r="AG13">
        <v>14478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X13">
        <v>457392</v>
      </c>
      <c r="AY13">
        <v>4244524</v>
      </c>
      <c r="AZ13">
        <v>691949</v>
      </c>
      <c r="BA13">
        <v>467749</v>
      </c>
      <c r="BB13">
        <v>4437356</v>
      </c>
      <c r="BC13">
        <v>705921</v>
      </c>
      <c r="BD13">
        <v>17647</v>
      </c>
      <c r="BE13">
        <v>353006</v>
      </c>
      <c r="BF13">
        <v>330657</v>
      </c>
      <c r="BG13">
        <v>1031289</v>
      </c>
      <c r="BH13">
        <v>240651</v>
      </c>
      <c r="BI13">
        <v>318325</v>
      </c>
      <c r="BJ13">
        <v>974574</v>
      </c>
      <c r="BK13">
        <v>229449</v>
      </c>
      <c r="BL13">
        <v>34493</v>
      </c>
      <c r="BM13">
        <v>116121</v>
      </c>
    </row>
    <row r="14" spans="1:65" x14ac:dyDescent="0.4">
      <c r="A14" s="1" t="s">
        <v>16</v>
      </c>
      <c r="B14" s="1" t="s">
        <v>17</v>
      </c>
      <c r="C14">
        <v>47997</v>
      </c>
      <c r="D14">
        <v>1366</v>
      </c>
      <c r="E14">
        <v>50731</v>
      </c>
      <c r="F14">
        <v>1506</v>
      </c>
      <c r="G14">
        <v>62307</v>
      </c>
      <c r="H14">
        <v>60222</v>
      </c>
      <c r="I14">
        <v>2045</v>
      </c>
      <c r="J14">
        <v>78391</v>
      </c>
      <c r="K14">
        <v>3155</v>
      </c>
      <c r="L14">
        <v>81463</v>
      </c>
      <c r="M14">
        <v>54262</v>
      </c>
      <c r="N14">
        <v>1795</v>
      </c>
      <c r="O14">
        <v>74696</v>
      </c>
      <c r="P14">
        <v>4295</v>
      </c>
      <c r="Q14">
        <v>64458</v>
      </c>
      <c r="R14">
        <v>1658</v>
      </c>
      <c r="S14">
        <v>13038</v>
      </c>
      <c r="T14">
        <v>7403</v>
      </c>
      <c r="U14">
        <v>2109</v>
      </c>
      <c r="V14">
        <v>16733</v>
      </c>
      <c r="W14">
        <v>14057</v>
      </c>
      <c r="X14">
        <v>2352</v>
      </c>
      <c r="Y14">
        <v>20625</v>
      </c>
      <c r="Z14">
        <v>514</v>
      </c>
      <c r="AA14">
        <v>6355</v>
      </c>
      <c r="AB14">
        <v>6691</v>
      </c>
      <c r="AC14">
        <v>570</v>
      </c>
      <c r="AD14">
        <v>7359</v>
      </c>
      <c r="AE14">
        <v>8073</v>
      </c>
      <c r="AF14">
        <v>904</v>
      </c>
      <c r="AG14">
        <v>12135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X14">
        <v>44238</v>
      </c>
      <c r="AY14">
        <v>340790</v>
      </c>
      <c r="AZ14">
        <v>72628</v>
      </c>
      <c r="BA14">
        <v>48649</v>
      </c>
      <c r="BB14">
        <v>317285</v>
      </c>
      <c r="BC14">
        <v>69112</v>
      </c>
      <c r="BD14">
        <v>23193</v>
      </c>
      <c r="BE14">
        <v>194453</v>
      </c>
      <c r="BF14">
        <v>19233</v>
      </c>
      <c r="BG14">
        <v>78970</v>
      </c>
      <c r="BH14">
        <v>14502</v>
      </c>
      <c r="BI14">
        <v>21448</v>
      </c>
      <c r="BJ14">
        <v>84953</v>
      </c>
      <c r="BK14">
        <v>15542</v>
      </c>
      <c r="BL14">
        <v>17641</v>
      </c>
      <c r="BM14">
        <v>56960</v>
      </c>
    </row>
    <row r="15" spans="1:65" x14ac:dyDescent="0.4">
      <c r="A15" s="1" t="s">
        <v>18</v>
      </c>
      <c r="B15" s="1" t="s">
        <v>19</v>
      </c>
      <c r="C15">
        <v>51361</v>
      </c>
      <c r="D15">
        <v>1434</v>
      </c>
      <c r="E15">
        <v>50826</v>
      </c>
      <c r="F15">
        <v>1648</v>
      </c>
      <c r="G15">
        <v>63902</v>
      </c>
      <c r="H15">
        <v>77816</v>
      </c>
      <c r="I15">
        <v>2614</v>
      </c>
      <c r="J15">
        <v>94564</v>
      </c>
      <c r="K15">
        <v>3798</v>
      </c>
      <c r="L15">
        <v>87076</v>
      </c>
      <c r="M15">
        <v>54983</v>
      </c>
      <c r="N15">
        <v>1672</v>
      </c>
      <c r="O15">
        <v>65940</v>
      </c>
      <c r="P15">
        <v>3695</v>
      </c>
      <c r="Q15">
        <v>65127</v>
      </c>
      <c r="R15">
        <v>1716</v>
      </c>
      <c r="S15">
        <v>13833</v>
      </c>
      <c r="T15">
        <v>8636</v>
      </c>
      <c r="U15">
        <v>1586</v>
      </c>
      <c r="V15">
        <v>12626</v>
      </c>
      <c r="W15">
        <v>10284</v>
      </c>
      <c r="X15">
        <v>2518</v>
      </c>
      <c r="Y15">
        <v>21686</v>
      </c>
      <c r="Z15">
        <v>480</v>
      </c>
      <c r="AA15">
        <v>5988</v>
      </c>
      <c r="AB15">
        <v>5629</v>
      </c>
      <c r="AC15">
        <v>473</v>
      </c>
      <c r="AD15">
        <v>5313</v>
      </c>
      <c r="AE15">
        <v>4848</v>
      </c>
      <c r="AF15">
        <v>1145</v>
      </c>
      <c r="AG15">
        <v>13322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X15">
        <v>54489</v>
      </c>
      <c r="AY15">
        <v>365193</v>
      </c>
      <c r="AZ15">
        <v>59283</v>
      </c>
      <c r="BA15">
        <v>35126</v>
      </c>
      <c r="BB15">
        <v>245326</v>
      </c>
      <c r="BC15">
        <v>47705</v>
      </c>
      <c r="BD15">
        <v>41543</v>
      </c>
      <c r="BE15">
        <v>307550</v>
      </c>
      <c r="BF15">
        <v>19577</v>
      </c>
      <c r="BG15">
        <v>57682</v>
      </c>
      <c r="BH15">
        <v>11593</v>
      </c>
      <c r="BI15">
        <v>20510</v>
      </c>
      <c r="BJ15">
        <v>60323</v>
      </c>
      <c r="BK15">
        <v>12656</v>
      </c>
      <c r="BL15">
        <v>17475</v>
      </c>
      <c r="BM15">
        <v>56715</v>
      </c>
    </row>
    <row r="16" spans="1:65" x14ac:dyDescent="0.4">
      <c r="A16" s="1" t="s">
        <v>20</v>
      </c>
      <c r="B16" s="1" t="s">
        <v>21</v>
      </c>
      <c r="C16">
        <v>51830</v>
      </c>
      <c r="D16">
        <v>1456</v>
      </c>
      <c r="E16">
        <v>53600</v>
      </c>
      <c r="F16">
        <v>1770</v>
      </c>
      <c r="G16">
        <v>62363</v>
      </c>
      <c r="H16">
        <v>66233</v>
      </c>
      <c r="I16">
        <v>2256</v>
      </c>
      <c r="J16">
        <v>70446</v>
      </c>
      <c r="K16">
        <v>2706</v>
      </c>
      <c r="L16">
        <v>98702</v>
      </c>
      <c r="M16">
        <v>58019</v>
      </c>
      <c r="N16">
        <v>1837</v>
      </c>
      <c r="O16">
        <v>63577</v>
      </c>
      <c r="P16">
        <v>3563</v>
      </c>
      <c r="Q16">
        <v>70179</v>
      </c>
      <c r="R16">
        <v>1534</v>
      </c>
      <c r="S16">
        <v>12459</v>
      </c>
      <c r="T16">
        <v>8027</v>
      </c>
      <c r="U16">
        <v>1529</v>
      </c>
      <c r="V16">
        <v>12242</v>
      </c>
      <c r="W16">
        <v>10007</v>
      </c>
      <c r="X16">
        <v>2544</v>
      </c>
      <c r="Y16">
        <v>21867</v>
      </c>
      <c r="Z16">
        <v>476</v>
      </c>
      <c r="AA16">
        <v>5960</v>
      </c>
      <c r="AB16">
        <v>5803</v>
      </c>
      <c r="AC16">
        <v>491</v>
      </c>
      <c r="AD16">
        <v>5427</v>
      </c>
      <c r="AE16">
        <v>5235</v>
      </c>
      <c r="AF16">
        <v>1150</v>
      </c>
      <c r="AG16">
        <v>13912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X16">
        <v>40254</v>
      </c>
      <c r="AY16">
        <v>306742</v>
      </c>
      <c r="AZ16">
        <v>54356</v>
      </c>
      <c r="BA16">
        <v>51140</v>
      </c>
      <c r="BB16">
        <v>323472</v>
      </c>
      <c r="BC16">
        <v>54526</v>
      </c>
      <c r="BD16">
        <v>30335</v>
      </c>
      <c r="BE16">
        <v>288809</v>
      </c>
      <c r="BF16">
        <v>19113</v>
      </c>
      <c r="BG16">
        <v>51062</v>
      </c>
      <c r="BH16">
        <v>11549</v>
      </c>
      <c r="BI16">
        <v>20143</v>
      </c>
      <c r="BJ16">
        <v>54856</v>
      </c>
      <c r="BK16">
        <v>11476</v>
      </c>
      <c r="BL16">
        <v>17063</v>
      </c>
      <c r="BM16">
        <v>55088</v>
      </c>
    </row>
    <row r="17" spans="1:65" x14ac:dyDescent="0.4">
      <c r="A17" s="1" t="s">
        <v>22</v>
      </c>
      <c r="B17" s="1" t="s">
        <v>23</v>
      </c>
      <c r="C17">
        <v>55602</v>
      </c>
      <c r="D17">
        <v>1376</v>
      </c>
      <c r="E17">
        <v>49245</v>
      </c>
      <c r="F17">
        <v>1417</v>
      </c>
      <c r="G17">
        <v>69966</v>
      </c>
      <c r="H17">
        <v>72719</v>
      </c>
      <c r="I17">
        <v>2637</v>
      </c>
      <c r="J17">
        <v>88670</v>
      </c>
      <c r="K17">
        <v>3694</v>
      </c>
      <c r="L17">
        <v>106312</v>
      </c>
      <c r="M17">
        <v>62705</v>
      </c>
      <c r="N17">
        <v>1893</v>
      </c>
      <c r="O17">
        <v>77834</v>
      </c>
      <c r="P17">
        <v>3911</v>
      </c>
      <c r="Q17">
        <v>60255</v>
      </c>
      <c r="R17">
        <v>1859</v>
      </c>
      <c r="S17">
        <v>14632</v>
      </c>
      <c r="T17">
        <v>9279</v>
      </c>
      <c r="U17">
        <v>1673</v>
      </c>
      <c r="V17">
        <v>13304</v>
      </c>
      <c r="W17">
        <v>11061</v>
      </c>
      <c r="X17">
        <v>2820</v>
      </c>
      <c r="Y17">
        <v>23939</v>
      </c>
      <c r="Z17">
        <v>488</v>
      </c>
      <c r="AA17">
        <v>6061</v>
      </c>
      <c r="AB17">
        <v>5791</v>
      </c>
      <c r="AC17">
        <v>508</v>
      </c>
      <c r="AD17">
        <v>5798</v>
      </c>
      <c r="AE17">
        <v>5416</v>
      </c>
      <c r="AF17">
        <v>1148</v>
      </c>
      <c r="AG17">
        <v>14226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X17">
        <v>49702</v>
      </c>
      <c r="AY17">
        <v>372276</v>
      </c>
      <c r="AZ17">
        <v>59363</v>
      </c>
      <c r="BA17">
        <v>42604</v>
      </c>
      <c r="BB17">
        <v>289006</v>
      </c>
      <c r="BC17">
        <v>51893</v>
      </c>
      <c r="BD17">
        <v>36109</v>
      </c>
      <c r="BE17">
        <v>365030</v>
      </c>
      <c r="BF17">
        <v>22105</v>
      </c>
      <c r="BG17">
        <v>63999</v>
      </c>
      <c r="BH17">
        <v>13826</v>
      </c>
      <c r="BI17">
        <v>23219</v>
      </c>
      <c r="BJ17">
        <v>68285</v>
      </c>
      <c r="BK17">
        <v>14428</v>
      </c>
      <c r="BL17">
        <v>16948</v>
      </c>
      <c r="BM17">
        <v>53347</v>
      </c>
    </row>
    <row r="18" spans="1:65" x14ac:dyDescent="0.4">
      <c r="A18" s="1" t="s">
        <v>24</v>
      </c>
      <c r="B18" s="1" t="s">
        <v>25</v>
      </c>
      <c r="C18">
        <v>64134</v>
      </c>
      <c r="D18">
        <v>1682</v>
      </c>
      <c r="E18">
        <v>60195</v>
      </c>
      <c r="F18">
        <v>1800</v>
      </c>
      <c r="G18">
        <v>44404</v>
      </c>
      <c r="H18">
        <v>82584</v>
      </c>
      <c r="I18">
        <v>2853</v>
      </c>
      <c r="J18">
        <v>102354</v>
      </c>
      <c r="K18">
        <v>4236</v>
      </c>
      <c r="L18">
        <v>110218</v>
      </c>
      <c r="M18">
        <v>70043</v>
      </c>
      <c r="N18">
        <v>2180</v>
      </c>
      <c r="O18">
        <v>75078</v>
      </c>
      <c r="P18">
        <v>4101</v>
      </c>
      <c r="Q18">
        <v>76785</v>
      </c>
      <c r="R18">
        <v>2023</v>
      </c>
      <c r="S18">
        <v>16626</v>
      </c>
      <c r="T18">
        <v>10592</v>
      </c>
      <c r="U18">
        <v>1798</v>
      </c>
      <c r="V18">
        <v>14315</v>
      </c>
      <c r="W18">
        <v>11811</v>
      </c>
      <c r="X18">
        <v>3136</v>
      </c>
      <c r="Y18">
        <v>26351</v>
      </c>
      <c r="Z18">
        <v>540</v>
      </c>
      <c r="AA18">
        <v>6853</v>
      </c>
      <c r="AB18">
        <v>6792</v>
      </c>
      <c r="AC18">
        <v>578</v>
      </c>
      <c r="AD18">
        <v>6507</v>
      </c>
      <c r="AE18">
        <v>6414</v>
      </c>
      <c r="AF18">
        <v>1130</v>
      </c>
      <c r="AG18">
        <v>14624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X18">
        <v>62248</v>
      </c>
      <c r="AY18">
        <v>447577</v>
      </c>
      <c r="AZ18">
        <v>66649</v>
      </c>
      <c r="BA18">
        <v>56799</v>
      </c>
      <c r="BB18">
        <v>376904</v>
      </c>
      <c r="BC18">
        <v>63052</v>
      </c>
      <c r="BD18">
        <v>41054</v>
      </c>
      <c r="BE18">
        <v>433353</v>
      </c>
      <c r="BF18">
        <v>25182</v>
      </c>
      <c r="BG18">
        <v>77681</v>
      </c>
      <c r="BH18">
        <v>16008</v>
      </c>
      <c r="BI18">
        <v>24988</v>
      </c>
      <c r="BJ18">
        <v>76589</v>
      </c>
      <c r="BK18">
        <v>15209</v>
      </c>
      <c r="BL18">
        <v>18391</v>
      </c>
      <c r="BM18">
        <v>57300</v>
      </c>
    </row>
    <row r="19" spans="1:65" x14ac:dyDescent="0.4">
      <c r="A19" s="1" t="s">
        <v>26</v>
      </c>
      <c r="B19" s="1" t="s">
        <v>27</v>
      </c>
      <c r="C19">
        <v>53807</v>
      </c>
      <c r="D19">
        <v>1443</v>
      </c>
      <c r="E19">
        <v>56254</v>
      </c>
      <c r="F19">
        <v>1759</v>
      </c>
      <c r="G19">
        <v>43661</v>
      </c>
      <c r="H19">
        <v>67378</v>
      </c>
      <c r="I19">
        <v>1972</v>
      </c>
      <c r="J19">
        <v>132598</v>
      </c>
      <c r="K19">
        <v>5700</v>
      </c>
      <c r="L19">
        <v>61576</v>
      </c>
      <c r="M19">
        <v>50246</v>
      </c>
      <c r="N19">
        <v>1620</v>
      </c>
      <c r="O19">
        <v>58047</v>
      </c>
      <c r="P19">
        <v>3324</v>
      </c>
      <c r="Q19">
        <v>83240</v>
      </c>
      <c r="R19">
        <v>1413</v>
      </c>
      <c r="S19">
        <v>11640</v>
      </c>
      <c r="T19">
        <v>7208</v>
      </c>
      <c r="U19">
        <v>1515</v>
      </c>
      <c r="V19">
        <v>12053</v>
      </c>
      <c r="W19">
        <v>10272</v>
      </c>
      <c r="X19">
        <v>3115</v>
      </c>
      <c r="Y19">
        <v>26180</v>
      </c>
      <c r="Z19">
        <v>410</v>
      </c>
      <c r="AA19">
        <v>5012</v>
      </c>
      <c r="AB19">
        <v>5321</v>
      </c>
      <c r="AC19">
        <v>467</v>
      </c>
      <c r="AD19">
        <v>5332</v>
      </c>
      <c r="AE19">
        <v>5835</v>
      </c>
      <c r="AF19">
        <v>1084</v>
      </c>
      <c r="AG19">
        <v>14333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X19">
        <v>55547</v>
      </c>
      <c r="AY19">
        <v>358812</v>
      </c>
      <c r="AZ19">
        <v>53320</v>
      </c>
      <c r="BA19">
        <v>36690</v>
      </c>
      <c r="BB19">
        <v>264231</v>
      </c>
      <c r="BC19">
        <v>47958</v>
      </c>
      <c r="BD19">
        <v>59450</v>
      </c>
      <c r="BE19">
        <v>525602</v>
      </c>
      <c r="BF19">
        <v>21173</v>
      </c>
      <c r="BG19">
        <v>65008</v>
      </c>
      <c r="BH19">
        <v>13595</v>
      </c>
      <c r="BI19">
        <v>18354</v>
      </c>
      <c r="BJ19">
        <v>61016</v>
      </c>
      <c r="BK19">
        <v>12388</v>
      </c>
      <c r="BL19">
        <v>22123</v>
      </c>
      <c r="BM19">
        <v>62662</v>
      </c>
    </row>
    <row r="20" spans="1:65" x14ac:dyDescent="0.4">
      <c r="A20" s="1" t="s">
        <v>28</v>
      </c>
      <c r="B20" s="1" t="s">
        <v>29</v>
      </c>
      <c r="C20">
        <v>62243</v>
      </c>
      <c r="D20">
        <v>1585</v>
      </c>
      <c r="E20">
        <v>63780</v>
      </c>
      <c r="F20">
        <v>1818</v>
      </c>
      <c r="G20">
        <v>41135</v>
      </c>
      <c r="H20">
        <v>82716</v>
      </c>
      <c r="I20">
        <v>2735</v>
      </c>
      <c r="J20">
        <v>99540</v>
      </c>
      <c r="K20">
        <v>3839</v>
      </c>
      <c r="L20">
        <v>64583</v>
      </c>
      <c r="M20">
        <v>63488</v>
      </c>
      <c r="N20">
        <v>1901</v>
      </c>
      <c r="O20">
        <v>76579</v>
      </c>
      <c r="P20">
        <v>4033</v>
      </c>
      <c r="Q20">
        <v>84853</v>
      </c>
      <c r="R20">
        <v>1769</v>
      </c>
      <c r="S20">
        <v>14468</v>
      </c>
      <c r="T20">
        <v>9048</v>
      </c>
      <c r="U20">
        <v>1905</v>
      </c>
      <c r="V20">
        <v>15231</v>
      </c>
      <c r="W20">
        <v>12934</v>
      </c>
      <c r="X20">
        <v>3039</v>
      </c>
      <c r="Y20">
        <v>25182</v>
      </c>
      <c r="Z20">
        <v>499</v>
      </c>
      <c r="AA20">
        <v>6122</v>
      </c>
      <c r="AB20">
        <v>6614</v>
      </c>
      <c r="AC20">
        <v>553</v>
      </c>
      <c r="AD20">
        <v>7073</v>
      </c>
      <c r="AE20">
        <v>7625</v>
      </c>
      <c r="AF20">
        <v>942</v>
      </c>
      <c r="AG20">
        <v>14715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X20">
        <v>58543</v>
      </c>
      <c r="AY20">
        <v>398461</v>
      </c>
      <c r="AZ20">
        <v>65474</v>
      </c>
      <c r="BA20">
        <v>82279</v>
      </c>
      <c r="BB20">
        <v>471023</v>
      </c>
      <c r="BC20">
        <v>72235</v>
      </c>
      <c r="BD20">
        <v>35058</v>
      </c>
      <c r="BE20">
        <v>449954</v>
      </c>
      <c r="BF20">
        <v>23535</v>
      </c>
      <c r="BG20">
        <v>77890</v>
      </c>
      <c r="BH20">
        <v>14092</v>
      </c>
      <c r="BI20">
        <v>26809</v>
      </c>
      <c r="BJ20">
        <v>81900</v>
      </c>
      <c r="BK20">
        <v>15497</v>
      </c>
      <c r="BL20">
        <v>19722</v>
      </c>
      <c r="BM20">
        <v>59182</v>
      </c>
    </row>
    <row r="21" spans="1:65" x14ac:dyDescent="0.4">
      <c r="A21" s="1" t="s">
        <v>30</v>
      </c>
      <c r="B21" s="1" t="s">
        <v>31</v>
      </c>
      <c r="C21">
        <v>72639</v>
      </c>
      <c r="D21">
        <v>2014</v>
      </c>
      <c r="E21">
        <v>61706</v>
      </c>
      <c r="F21">
        <v>1900</v>
      </c>
      <c r="G21">
        <v>50852</v>
      </c>
      <c r="H21">
        <v>90442</v>
      </c>
      <c r="I21">
        <v>3142</v>
      </c>
      <c r="J21">
        <v>95760</v>
      </c>
      <c r="K21">
        <v>3720</v>
      </c>
      <c r="L21">
        <v>86179</v>
      </c>
      <c r="M21">
        <v>68633</v>
      </c>
      <c r="N21">
        <v>2084</v>
      </c>
      <c r="O21">
        <v>81547</v>
      </c>
      <c r="P21">
        <v>4089</v>
      </c>
      <c r="Q21">
        <v>81882</v>
      </c>
      <c r="R21">
        <v>2106</v>
      </c>
      <c r="S21">
        <v>17029</v>
      </c>
      <c r="T21">
        <v>10665</v>
      </c>
      <c r="U21">
        <v>2063</v>
      </c>
      <c r="V21">
        <v>16645</v>
      </c>
      <c r="W21">
        <v>14083</v>
      </c>
      <c r="X21">
        <v>3195</v>
      </c>
      <c r="Y21">
        <v>25791</v>
      </c>
      <c r="Z21">
        <v>624</v>
      </c>
      <c r="AA21">
        <v>7349</v>
      </c>
      <c r="AB21">
        <v>7770</v>
      </c>
      <c r="AC21">
        <v>581</v>
      </c>
      <c r="AD21">
        <v>6954</v>
      </c>
      <c r="AE21">
        <v>7512</v>
      </c>
      <c r="AF21">
        <v>1014</v>
      </c>
      <c r="AG21">
        <v>15213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X21">
        <v>40065</v>
      </c>
      <c r="AY21">
        <v>366152</v>
      </c>
      <c r="AZ21">
        <v>63874</v>
      </c>
      <c r="BA21">
        <v>47532</v>
      </c>
      <c r="BB21">
        <v>354816</v>
      </c>
      <c r="BC21">
        <v>63203</v>
      </c>
      <c r="BD21">
        <v>26910</v>
      </c>
      <c r="BE21">
        <v>457823</v>
      </c>
      <c r="BF21">
        <v>24028</v>
      </c>
      <c r="BG21">
        <v>71043</v>
      </c>
      <c r="BH21">
        <v>14469</v>
      </c>
      <c r="BI21">
        <v>27756</v>
      </c>
      <c r="BJ21">
        <v>79720</v>
      </c>
      <c r="BK21">
        <v>17017</v>
      </c>
      <c r="BL21">
        <v>16740</v>
      </c>
      <c r="BM21">
        <v>51316</v>
      </c>
    </row>
    <row r="22" spans="1:65" x14ac:dyDescent="0.4">
      <c r="A22" s="1" t="s">
        <v>32</v>
      </c>
      <c r="B22" s="1" t="s">
        <v>33</v>
      </c>
      <c r="C22">
        <v>60721</v>
      </c>
      <c r="D22">
        <v>1743</v>
      </c>
      <c r="E22">
        <v>55553</v>
      </c>
      <c r="F22">
        <v>1825</v>
      </c>
      <c r="G22">
        <v>57256</v>
      </c>
      <c r="H22">
        <v>87042</v>
      </c>
      <c r="I22">
        <v>3179</v>
      </c>
      <c r="J22">
        <v>112500</v>
      </c>
      <c r="K22">
        <v>4768</v>
      </c>
      <c r="L22">
        <v>86500</v>
      </c>
      <c r="M22">
        <v>63775</v>
      </c>
      <c r="N22">
        <v>1990</v>
      </c>
      <c r="O22">
        <v>71784</v>
      </c>
      <c r="P22">
        <v>3819</v>
      </c>
      <c r="Q22">
        <v>94055</v>
      </c>
      <c r="R22">
        <v>1982</v>
      </c>
      <c r="S22">
        <v>16084</v>
      </c>
      <c r="T22">
        <v>10248</v>
      </c>
      <c r="U22">
        <v>2227</v>
      </c>
      <c r="V22">
        <v>17647</v>
      </c>
      <c r="W22">
        <v>15342</v>
      </c>
      <c r="X22">
        <v>3031</v>
      </c>
      <c r="Y22">
        <v>24034</v>
      </c>
      <c r="Z22">
        <v>607</v>
      </c>
      <c r="AA22">
        <v>7485</v>
      </c>
      <c r="AB22">
        <v>8126</v>
      </c>
      <c r="AC22">
        <v>601</v>
      </c>
      <c r="AD22">
        <v>7186</v>
      </c>
      <c r="AE22">
        <v>7887</v>
      </c>
      <c r="AF22">
        <v>1028</v>
      </c>
      <c r="AG22">
        <v>15537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 t="s">
        <v>73</v>
      </c>
      <c r="AW22" t="s">
        <v>73</v>
      </c>
      <c r="AX22">
        <v>41969</v>
      </c>
      <c r="AY22">
        <v>370930</v>
      </c>
      <c r="AZ22">
        <v>61135</v>
      </c>
      <c r="BA22">
        <v>30755</v>
      </c>
      <c r="BB22">
        <v>289524</v>
      </c>
      <c r="BC22">
        <v>56493</v>
      </c>
      <c r="BD22">
        <v>37458</v>
      </c>
      <c r="BE22">
        <v>536570</v>
      </c>
      <c r="BF22">
        <v>22904</v>
      </c>
      <c r="BG22">
        <v>74608</v>
      </c>
      <c r="BH22">
        <v>15101</v>
      </c>
      <c r="BI22">
        <v>21906</v>
      </c>
      <c r="BJ22">
        <v>68368</v>
      </c>
      <c r="BK22">
        <v>14157</v>
      </c>
      <c r="BL22">
        <v>18454</v>
      </c>
      <c r="BM22">
        <v>57990</v>
      </c>
    </row>
    <row r="23" spans="1:65" x14ac:dyDescent="0.4">
      <c r="A23" s="1" t="s">
        <v>34</v>
      </c>
      <c r="B23" s="1" t="s">
        <v>35</v>
      </c>
      <c r="C23">
        <v>53751</v>
      </c>
      <c r="D23">
        <v>1471</v>
      </c>
      <c r="E23">
        <v>57918</v>
      </c>
      <c r="F23">
        <v>1801</v>
      </c>
      <c r="G23">
        <v>45429</v>
      </c>
      <c r="H23">
        <v>68021</v>
      </c>
      <c r="I23">
        <v>2544</v>
      </c>
      <c r="J23">
        <v>119786</v>
      </c>
      <c r="K23">
        <v>5364</v>
      </c>
      <c r="L23">
        <v>69641</v>
      </c>
      <c r="M23">
        <v>61009</v>
      </c>
      <c r="N23">
        <v>1904</v>
      </c>
      <c r="O23">
        <v>85543</v>
      </c>
      <c r="P23">
        <v>4276</v>
      </c>
      <c r="Q23">
        <v>71897</v>
      </c>
      <c r="R23">
        <v>1904</v>
      </c>
      <c r="S23">
        <v>15087</v>
      </c>
      <c r="T23">
        <v>9377</v>
      </c>
      <c r="U23">
        <v>2371</v>
      </c>
      <c r="V23">
        <v>18678</v>
      </c>
      <c r="W23">
        <v>16506</v>
      </c>
      <c r="X23">
        <v>2621</v>
      </c>
      <c r="Y23">
        <v>20280</v>
      </c>
      <c r="Z23">
        <v>559</v>
      </c>
      <c r="AA23">
        <v>6588</v>
      </c>
      <c r="AB23">
        <v>6850</v>
      </c>
      <c r="AC23">
        <v>539</v>
      </c>
      <c r="AD23">
        <v>6586</v>
      </c>
      <c r="AE23">
        <v>7050</v>
      </c>
      <c r="AF23">
        <v>1075</v>
      </c>
      <c r="AG23">
        <v>15601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 t="s">
        <v>73</v>
      </c>
      <c r="AW23" t="s">
        <v>73</v>
      </c>
      <c r="AX23">
        <v>50882</v>
      </c>
      <c r="AY23">
        <v>396093</v>
      </c>
      <c r="AZ23">
        <v>65718</v>
      </c>
      <c r="BA23">
        <v>54049</v>
      </c>
      <c r="BB23">
        <v>359434</v>
      </c>
      <c r="BC23">
        <v>63688</v>
      </c>
      <c r="BD23">
        <v>33735</v>
      </c>
      <c r="BE23">
        <v>570347</v>
      </c>
      <c r="BF23">
        <v>22522</v>
      </c>
      <c r="BG23">
        <v>68587</v>
      </c>
      <c r="BH23">
        <v>14236</v>
      </c>
      <c r="BI23">
        <v>26818</v>
      </c>
      <c r="BJ23">
        <v>80363</v>
      </c>
      <c r="BK23">
        <v>16914</v>
      </c>
      <c r="BL23">
        <v>15051</v>
      </c>
      <c r="BM23">
        <v>47999</v>
      </c>
    </row>
    <row r="24" spans="1:65" x14ac:dyDescent="0.4">
      <c r="A24" s="1" t="s">
        <v>36</v>
      </c>
      <c r="B24" s="1" t="s">
        <v>37</v>
      </c>
      <c r="C24">
        <v>62528</v>
      </c>
      <c r="D24">
        <v>1763</v>
      </c>
      <c r="E24">
        <v>54847</v>
      </c>
      <c r="F24">
        <v>1795</v>
      </c>
      <c r="G24">
        <v>58123</v>
      </c>
      <c r="H24">
        <v>57830</v>
      </c>
      <c r="I24">
        <v>1933</v>
      </c>
      <c r="J24">
        <v>79061</v>
      </c>
      <c r="K24">
        <v>3123</v>
      </c>
      <c r="L24">
        <v>64656</v>
      </c>
      <c r="M24">
        <v>54004</v>
      </c>
      <c r="N24">
        <v>1693</v>
      </c>
      <c r="O24">
        <v>62091</v>
      </c>
      <c r="P24">
        <v>3454</v>
      </c>
      <c r="Q24">
        <v>75221</v>
      </c>
      <c r="R24">
        <v>1843</v>
      </c>
      <c r="S24">
        <v>14701</v>
      </c>
      <c r="T24">
        <v>9266</v>
      </c>
      <c r="U24">
        <v>2036</v>
      </c>
      <c r="V24">
        <v>16163</v>
      </c>
      <c r="W24">
        <v>13938</v>
      </c>
      <c r="X24">
        <v>2442</v>
      </c>
      <c r="Y24">
        <v>18363</v>
      </c>
      <c r="Z24">
        <v>534</v>
      </c>
      <c r="AA24">
        <v>6494</v>
      </c>
      <c r="AB24">
        <v>6935</v>
      </c>
      <c r="AC24">
        <v>556</v>
      </c>
      <c r="AD24">
        <v>6774</v>
      </c>
      <c r="AE24">
        <v>7398</v>
      </c>
      <c r="AF24">
        <v>1251</v>
      </c>
      <c r="AG24">
        <v>15731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 t="s">
        <v>73</v>
      </c>
      <c r="AW24" t="s">
        <v>73</v>
      </c>
      <c r="AX24">
        <v>40325</v>
      </c>
      <c r="AY24">
        <v>321807</v>
      </c>
      <c r="AZ24">
        <v>56153</v>
      </c>
      <c r="BA24">
        <v>42069</v>
      </c>
      <c r="BB24">
        <v>355646</v>
      </c>
      <c r="BC24">
        <v>61383</v>
      </c>
      <c r="BD24">
        <v>31459</v>
      </c>
      <c r="BE24">
        <v>533828</v>
      </c>
      <c r="BF24">
        <v>23190</v>
      </c>
      <c r="BG24">
        <v>72778</v>
      </c>
      <c r="BH24">
        <v>14031</v>
      </c>
      <c r="BI24">
        <v>19971</v>
      </c>
      <c r="BJ24">
        <v>62249</v>
      </c>
      <c r="BK24">
        <v>12108</v>
      </c>
      <c r="BL24">
        <v>19057</v>
      </c>
      <c r="BM24">
        <v>59880</v>
      </c>
    </row>
    <row r="25" spans="1:65" x14ac:dyDescent="0.4">
      <c r="A25" s="1" t="s">
        <v>38</v>
      </c>
      <c r="B25" s="1" t="s">
        <v>39</v>
      </c>
      <c r="C25">
        <v>62308</v>
      </c>
      <c r="D25">
        <v>1681</v>
      </c>
      <c r="E25">
        <v>63735</v>
      </c>
      <c r="F25">
        <v>2062</v>
      </c>
      <c r="G25">
        <v>57402</v>
      </c>
      <c r="H25">
        <v>56219</v>
      </c>
      <c r="I25">
        <v>1782</v>
      </c>
      <c r="J25">
        <v>82043</v>
      </c>
      <c r="K25">
        <v>3347</v>
      </c>
      <c r="L25">
        <v>63445</v>
      </c>
      <c r="M25">
        <v>59418</v>
      </c>
      <c r="N25">
        <v>1784</v>
      </c>
      <c r="O25">
        <v>70542</v>
      </c>
      <c r="P25">
        <v>3814</v>
      </c>
      <c r="Q25">
        <v>74939</v>
      </c>
      <c r="R25">
        <v>1922</v>
      </c>
      <c r="S25">
        <v>14537</v>
      </c>
      <c r="T25">
        <v>8827</v>
      </c>
      <c r="U25">
        <v>2036</v>
      </c>
      <c r="V25">
        <v>16096</v>
      </c>
      <c r="W25">
        <v>13722</v>
      </c>
      <c r="X25">
        <v>2381</v>
      </c>
      <c r="Y25">
        <v>17484</v>
      </c>
      <c r="Z25">
        <v>532</v>
      </c>
      <c r="AA25">
        <v>6384</v>
      </c>
      <c r="AB25">
        <v>6982</v>
      </c>
      <c r="AC25">
        <v>536</v>
      </c>
      <c r="AD25">
        <v>6948</v>
      </c>
      <c r="AE25">
        <v>7824</v>
      </c>
      <c r="AF25">
        <v>1274</v>
      </c>
      <c r="AG25">
        <v>15226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 t="s">
        <v>73</v>
      </c>
      <c r="AW25" t="s">
        <v>73</v>
      </c>
      <c r="AX25">
        <v>40313</v>
      </c>
      <c r="AY25">
        <v>315075</v>
      </c>
      <c r="AZ25">
        <v>54183</v>
      </c>
      <c r="BA25">
        <v>46918</v>
      </c>
      <c r="BB25">
        <v>375715</v>
      </c>
      <c r="BC25">
        <v>59837</v>
      </c>
      <c r="BD25">
        <v>24352</v>
      </c>
      <c r="BE25">
        <v>470502</v>
      </c>
      <c r="BF25">
        <v>20418</v>
      </c>
      <c r="BG25">
        <v>66744</v>
      </c>
      <c r="BH25">
        <v>14106</v>
      </c>
      <c r="BI25">
        <v>23479</v>
      </c>
      <c r="BJ25">
        <v>73911</v>
      </c>
      <c r="BK25">
        <v>15254</v>
      </c>
      <c r="BL25">
        <v>16654</v>
      </c>
      <c r="BM25">
        <v>53901</v>
      </c>
    </row>
    <row r="26" spans="1:65" x14ac:dyDescent="0.4">
      <c r="A26" s="1" t="s">
        <v>40</v>
      </c>
      <c r="B26" s="1" t="s">
        <v>41</v>
      </c>
      <c r="C26">
        <v>66519</v>
      </c>
      <c r="D26">
        <v>2191</v>
      </c>
      <c r="E26">
        <v>60243</v>
      </c>
      <c r="F26">
        <v>2089</v>
      </c>
      <c r="G26">
        <v>58398</v>
      </c>
      <c r="H26">
        <v>66907</v>
      </c>
      <c r="I26">
        <v>2182</v>
      </c>
      <c r="J26">
        <v>80650</v>
      </c>
      <c r="K26">
        <v>3041</v>
      </c>
      <c r="L26">
        <v>70303</v>
      </c>
      <c r="M26">
        <v>68396</v>
      </c>
      <c r="N26">
        <v>2171</v>
      </c>
      <c r="O26">
        <v>74078</v>
      </c>
      <c r="P26">
        <v>3866</v>
      </c>
      <c r="Q26">
        <v>81225</v>
      </c>
      <c r="R26">
        <v>1909</v>
      </c>
      <c r="S26">
        <v>14461</v>
      </c>
      <c r="T26">
        <v>9425</v>
      </c>
      <c r="U26">
        <v>2084</v>
      </c>
      <c r="V26">
        <v>16162</v>
      </c>
      <c r="W26">
        <v>14079</v>
      </c>
      <c r="X26">
        <v>2275</v>
      </c>
      <c r="Y26">
        <v>15743</v>
      </c>
      <c r="Z26">
        <v>546</v>
      </c>
      <c r="AA26">
        <v>6502</v>
      </c>
      <c r="AB26">
        <v>7484</v>
      </c>
      <c r="AC26">
        <v>577</v>
      </c>
      <c r="AD26">
        <v>7082</v>
      </c>
      <c r="AE26">
        <v>8288</v>
      </c>
      <c r="AF26">
        <v>974</v>
      </c>
      <c r="AG26">
        <v>13765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 t="s">
        <v>73</v>
      </c>
      <c r="AW26" t="s">
        <v>73</v>
      </c>
      <c r="AX26">
        <v>52692</v>
      </c>
      <c r="AY26">
        <v>338136</v>
      </c>
      <c r="AZ26">
        <v>61887</v>
      </c>
      <c r="BA26">
        <v>43288</v>
      </c>
      <c r="BB26">
        <v>389402</v>
      </c>
      <c r="BC26">
        <v>67037</v>
      </c>
      <c r="BD26">
        <v>33278</v>
      </c>
      <c r="BE26">
        <v>417014</v>
      </c>
      <c r="BF26">
        <v>23153</v>
      </c>
      <c r="BG26">
        <v>82623</v>
      </c>
      <c r="BH26">
        <v>16108</v>
      </c>
      <c r="BI26">
        <v>21921</v>
      </c>
      <c r="BJ26">
        <v>78792</v>
      </c>
      <c r="BK26">
        <v>14716</v>
      </c>
      <c r="BL26">
        <v>22076</v>
      </c>
      <c r="BM26">
        <v>68742</v>
      </c>
    </row>
    <row r="27" spans="1:65" x14ac:dyDescent="0.4">
      <c r="A27" s="1" t="s">
        <v>42</v>
      </c>
      <c r="B27" s="1" t="s">
        <v>43</v>
      </c>
      <c r="C27">
        <v>69154</v>
      </c>
      <c r="D27">
        <v>2097</v>
      </c>
      <c r="E27">
        <v>63043</v>
      </c>
      <c r="F27">
        <v>2152</v>
      </c>
      <c r="G27">
        <v>64604</v>
      </c>
      <c r="H27">
        <v>66920</v>
      </c>
      <c r="I27">
        <v>2221</v>
      </c>
      <c r="J27">
        <v>92277</v>
      </c>
      <c r="K27">
        <v>3784</v>
      </c>
      <c r="L27">
        <v>74609</v>
      </c>
      <c r="M27">
        <v>65908</v>
      </c>
      <c r="N27">
        <v>1880</v>
      </c>
      <c r="O27">
        <v>77914</v>
      </c>
      <c r="P27">
        <v>4083</v>
      </c>
      <c r="Q27">
        <v>84283</v>
      </c>
      <c r="R27">
        <v>1855</v>
      </c>
      <c r="S27">
        <v>15156</v>
      </c>
      <c r="T27">
        <v>9600</v>
      </c>
      <c r="U27">
        <v>1673</v>
      </c>
      <c r="V27">
        <v>13255</v>
      </c>
      <c r="W27">
        <v>11238</v>
      </c>
      <c r="X27">
        <v>2553</v>
      </c>
      <c r="Y27">
        <v>18660</v>
      </c>
      <c r="Z27">
        <v>586</v>
      </c>
      <c r="AA27">
        <v>6830</v>
      </c>
      <c r="AB27">
        <v>7369</v>
      </c>
      <c r="AC27">
        <v>537</v>
      </c>
      <c r="AD27">
        <v>5882</v>
      </c>
      <c r="AE27">
        <v>6491</v>
      </c>
      <c r="AF27">
        <v>1058</v>
      </c>
      <c r="AG27">
        <v>14838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 t="s">
        <v>73</v>
      </c>
      <c r="AW27" t="s">
        <v>73</v>
      </c>
      <c r="AX27">
        <v>43879</v>
      </c>
      <c r="AY27">
        <v>284211</v>
      </c>
      <c r="AZ27">
        <v>51935</v>
      </c>
      <c r="BA27">
        <v>46546</v>
      </c>
      <c r="BB27">
        <v>377442</v>
      </c>
      <c r="BC27">
        <v>58780</v>
      </c>
      <c r="BD27">
        <v>30151</v>
      </c>
      <c r="BE27">
        <v>321602</v>
      </c>
      <c r="BF27">
        <v>25161</v>
      </c>
      <c r="BG27">
        <v>81868</v>
      </c>
      <c r="BH27">
        <v>15933</v>
      </c>
      <c r="BI27">
        <v>25852</v>
      </c>
      <c r="BJ27">
        <v>80114</v>
      </c>
      <c r="BK27">
        <v>18097</v>
      </c>
      <c r="BL27">
        <v>22211</v>
      </c>
      <c r="BM27">
        <v>73613</v>
      </c>
    </row>
    <row r="28" spans="1:65" x14ac:dyDescent="0.4">
      <c r="A28" s="1" t="s">
        <v>44</v>
      </c>
      <c r="B28" s="1" t="s">
        <v>45</v>
      </c>
      <c r="C28">
        <v>58568</v>
      </c>
      <c r="D28">
        <v>1489</v>
      </c>
      <c r="E28">
        <v>66848</v>
      </c>
      <c r="F28">
        <v>1957</v>
      </c>
      <c r="G28">
        <v>59184</v>
      </c>
      <c r="H28">
        <v>67322</v>
      </c>
      <c r="I28">
        <v>2319</v>
      </c>
      <c r="J28">
        <v>75572</v>
      </c>
      <c r="K28">
        <v>2755</v>
      </c>
      <c r="L28">
        <v>81856</v>
      </c>
      <c r="M28">
        <v>59460</v>
      </c>
      <c r="N28">
        <v>1896</v>
      </c>
      <c r="O28">
        <v>76915</v>
      </c>
      <c r="P28">
        <v>3945</v>
      </c>
      <c r="Q28">
        <v>71210</v>
      </c>
      <c r="R28">
        <v>1546</v>
      </c>
      <c r="S28">
        <v>12955</v>
      </c>
      <c r="T28">
        <v>8290</v>
      </c>
      <c r="U28">
        <v>1492</v>
      </c>
      <c r="V28">
        <v>12009</v>
      </c>
      <c r="W28">
        <v>10155</v>
      </c>
      <c r="X28">
        <v>2759</v>
      </c>
      <c r="Y28">
        <v>20206</v>
      </c>
      <c r="Z28">
        <v>487</v>
      </c>
      <c r="AA28">
        <v>5725</v>
      </c>
      <c r="AB28">
        <v>5994</v>
      </c>
      <c r="AC28">
        <v>475</v>
      </c>
      <c r="AD28">
        <v>5344</v>
      </c>
      <c r="AE28">
        <v>5735</v>
      </c>
      <c r="AF28">
        <v>1100</v>
      </c>
      <c r="AG28">
        <v>15287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 t="s">
        <v>73</v>
      </c>
      <c r="AW28" t="s">
        <v>73</v>
      </c>
      <c r="AX28">
        <v>29219</v>
      </c>
      <c r="AY28">
        <v>231515</v>
      </c>
      <c r="AZ28">
        <v>47035</v>
      </c>
      <c r="BA28">
        <v>38094</v>
      </c>
      <c r="BB28">
        <v>346026</v>
      </c>
      <c r="BC28">
        <v>54292</v>
      </c>
      <c r="BD28">
        <v>20870</v>
      </c>
      <c r="BE28">
        <v>205369</v>
      </c>
      <c r="BF28">
        <v>29450</v>
      </c>
      <c r="BG28">
        <v>82914</v>
      </c>
      <c r="BH28">
        <v>19147</v>
      </c>
      <c r="BI28">
        <v>29855</v>
      </c>
      <c r="BJ28">
        <v>83087</v>
      </c>
      <c r="BK28">
        <v>17788</v>
      </c>
      <c r="BL28">
        <v>22272</v>
      </c>
      <c r="BM28">
        <v>71725</v>
      </c>
    </row>
    <row r="29" spans="1:65" x14ac:dyDescent="0.4">
      <c r="A29" s="1" t="s">
        <v>46</v>
      </c>
      <c r="B29" s="1" t="s">
        <v>47</v>
      </c>
      <c r="C29">
        <v>65760</v>
      </c>
      <c r="D29">
        <v>1899</v>
      </c>
      <c r="E29">
        <v>69844</v>
      </c>
      <c r="F29">
        <v>2309</v>
      </c>
      <c r="G29">
        <v>50054</v>
      </c>
      <c r="H29">
        <v>78386</v>
      </c>
      <c r="I29">
        <v>2688</v>
      </c>
      <c r="J29">
        <v>92778</v>
      </c>
      <c r="K29">
        <v>3827</v>
      </c>
      <c r="L29">
        <v>97504</v>
      </c>
      <c r="M29">
        <v>75211</v>
      </c>
      <c r="N29">
        <v>2398</v>
      </c>
      <c r="O29">
        <v>81535</v>
      </c>
      <c r="P29">
        <v>4321</v>
      </c>
      <c r="Q29">
        <v>84063</v>
      </c>
      <c r="R29">
        <v>1858</v>
      </c>
      <c r="S29">
        <v>15430</v>
      </c>
      <c r="T29">
        <v>9902</v>
      </c>
      <c r="U29">
        <v>1644</v>
      </c>
      <c r="V29">
        <v>12991</v>
      </c>
      <c r="W29">
        <v>11170</v>
      </c>
      <c r="X29">
        <v>3095</v>
      </c>
      <c r="Y29">
        <v>22910</v>
      </c>
      <c r="Z29">
        <v>617</v>
      </c>
      <c r="AA29">
        <v>7547</v>
      </c>
      <c r="AB29">
        <v>7204</v>
      </c>
      <c r="AC29">
        <v>551</v>
      </c>
      <c r="AD29">
        <v>6564</v>
      </c>
      <c r="AE29">
        <v>6325</v>
      </c>
      <c r="AF29">
        <v>1199</v>
      </c>
      <c r="AG29">
        <v>16344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 t="s">
        <v>73</v>
      </c>
      <c r="AW29" t="s">
        <v>73</v>
      </c>
      <c r="AX29">
        <v>30665</v>
      </c>
      <c r="AY29">
        <v>341950</v>
      </c>
      <c r="AZ29">
        <v>58493</v>
      </c>
      <c r="BA29">
        <v>32855</v>
      </c>
      <c r="BB29">
        <v>274106</v>
      </c>
      <c r="BC29">
        <v>53025</v>
      </c>
      <c r="BD29">
        <v>18064</v>
      </c>
      <c r="BE29">
        <v>270023</v>
      </c>
      <c r="BF29">
        <v>28439</v>
      </c>
      <c r="BG29">
        <v>80559</v>
      </c>
      <c r="BH29">
        <v>20946</v>
      </c>
      <c r="BI29">
        <v>27133</v>
      </c>
      <c r="BJ29">
        <v>80421</v>
      </c>
      <c r="BK29">
        <v>19775</v>
      </c>
      <c r="BL29">
        <v>23525</v>
      </c>
      <c r="BM29">
        <v>70053</v>
      </c>
    </row>
    <row r="30" spans="1:65" x14ac:dyDescent="0.4">
      <c r="A30" s="1" t="s">
        <v>48</v>
      </c>
      <c r="B30" s="1" t="s">
        <v>49</v>
      </c>
      <c r="C30">
        <v>69059</v>
      </c>
      <c r="D30">
        <v>1882</v>
      </c>
      <c r="E30">
        <v>70039</v>
      </c>
      <c r="F30">
        <v>2253</v>
      </c>
      <c r="G30">
        <v>54605</v>
      </c>
      <c r="H30">
        <v>90821</v>
      </c>
      <c r="I30">
        <v>3235</v>
      </c>
      <c r="J30">
        <v>109604</v>
      </c>
      <c r="K30">
        <v>4401</v>
      </c>
      <c r="L30">
        <v>113951</v>
      </c>
      <c r="M30">
        <v>74341</v>
      </c>
      <c r="N30">
        <v>2259</v>
      </c>
      <c r="O30">
        <v>87331</v>
      </c>
      <c r="P30">
        <v>4335</v>
      </c>
      <c r="Q30">
        <v>85820</v>
      </c>
      <c r="R30">
        <v>1938</v>
      </c>
      <c r="S30">
        <v>16045</v>
      </c>
      <c r="T30">
        <v>10289</v>
      </c>
      <c r="U30">
        <v>1840</v>
      </c>
      <c r="V30">
        <v>14766</v>
      </c>
      <c r="W30">
        <v>12553</v>
      </c>
      <c r="X30">
        <v>3265</v>
      </c>
      <c r="Y30">
        <v>24206</v>
      </c>
      <c r="Z30">
        <v>572</v>
      </c>
      <c r="AA30">
        <v>6275</v>
      </c>
      <c r="AB30">
        <v>6464</v>
      </c>
      <c r="AC30">
        <v>542</v>
      </c>
      <c r="AD30">
        <v>6204</v>
      </c>
      <c r="AE30">
        <v>6614</v>
      </c>
      <c r="AF30">
        <v>1260</v>
      </c>
      <c r="AG30">
        <v>16487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 t="s">
        <v>73</v>
      </c>
      <c r="AW30" t="s">
        <v>73</v>
      </c>
      <c r="AX30">
        <v>36098</v>
      </c>
      <c r="AY30">
        <v>378664</v>
      </c>
      <c r="AZ30">
        <v>60385</v>
      </c>
      <c r="BA30">
        <v>30395</v>
      </c>
      <c r="BB30">
        <v>234632</v>
      </c>
      <c r="BC30">
        <v>52021</v>
      </c>
      <c r="BD30">
        <v>23347</v>
      </c>
      <c r="BE30">
        <v>411886</v>
      </c>
      <c r="BF30">
        <v>28583</v>
      </c>
      <c r="BG30">
        <v>93830</v>
      </c>
      <c r="BH30">
        <v>23369</v>
      </c>
      <c r="BI30">
        <v>26608</v>
      </c>
      <c r="BJ30">
        <v>79860</v>
      </c>
      <c r="BK30">
        <v>21367</v>
      </c>
      <c r="BL30">
        <v>25426</v>
      </c>
      <c r="BM30">
        <v>83436</v>
      </c>
    </row>
    <row r="31" spans="1:65" x14ac:dyDescent="0.4">
      <c r="A31" s="1" t="s">
        <v>50</v>
      </c>
      <c r="B31" s="1" t="s">
        <v>51</v>
      </c>
      <c r="C31">
        <v>56582</v>
      </c>
      <c r="D31">
        <v>1540</v>
      </c>
      <c r="E31">
        <v>58992</v>
      </c>
      <c r="F31">
        <v>1853</v>
      </c>
      <c r="G31">
        <v>57458</v>
      </c>
      <c r="H31">
        <v>63272</v>
      </c>
      <c r="I31">
        <v>2070</v>
      </c>
      <c r="J31">
        <v>107349</v>
      </c>
      <c r="K31">
        <v>4269</v>
      </c>
      <c r="L31">
        <v>90464</v>
      </c>
      <c r="M31">
        <v>54933</v>
      </c>
      <c r="N31">
        <v>1724</v>
      </c>
      <c r="O31">
        <v>73141</v>
      </c>
      <c r="P31">
        <v>3999</v>
      </c>
      <c r="Q31">
        <v>79014</v>
      </c>
      <c r="R31">
        <v>1328</v>
      </c>
      <c r="S31">
        <v>10886</v>
      </c>
      <c r="T31">
        <v>7137</v>
      </c>
      <c r="U31">
        <v>1513</v>
      </c>
      <c r="V31">
        <v>12393</v>
      </c>
      <c r="W31">
        <v>10645</v>
      </c>
      <c r="X31">
        <v>3153</v>
      </c>
      <c r="Y31">
        <v>22831</v>
      </c>
      <c r="Z31">
        <v>425</v>
      </c>
      <c r="AA31">
        <v>4901</v>
      </c>
      <c r="AB31">
        <v>4880</v>
      </c>
      <c r="AC31">
        <v>443</v>
      </c>
      <c r="AD31">
        <v>5278</v>
      </c>
      <c r="AE31">
        <v>5372</v>
      </c>
      <c r="AF31">
        <v>1275</v>
      </c>
      <c r="AG31">
        <v>16204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 t="s">
        <v>73</v>
      </c>
      <c r="AW31" t="s">
        <v>73</v>
      </c>
      <c r="AX31">
        <v>29087</v>
      </c>
      <c r="AY31">
        <v>277382</v>
      </c>
      <c r="AZ31">
        <v>45834</v>
      </c>
      <c r="BA31">
        <v>22754</v>
      </c>
      <c r="BB31">
        <v>184383</v>
      </c>
      <c r="BC31">
        <v>39914</v>
      </c>
      <c r="BD31">
        <v>29176</v>
      </c>
      <c r="BE31">
        <v>502389</v>
      </c>
      <c r="BF31">
        <v>28932</v>
      </c>
      <c r="BG31">
        <v>85609</v>
      </c>
      <c r="BH31">
        <v>21788</v>
      </c>
      <c r="BI31">
        <v>23566</v>
      </c>
      <c r="BJ31">
        <v>70459</v>
      </c>
      <c r="BK31">
        <v>18842</v>
      </c>
      <c r="BL31">
        <v>30805</v>
      </c>
      <c r="BM31">
        <v>98274</v>
      </c>
    </row>
    <row r="32" spans="1:65" x14ac:dyDescent="0.4">
      <c r="A32" s="1" t="s">
        <v>52</v>
      </c>
      <c r="B32" s="1" t="s">
        <v>53</v>
      </c>
      <c r="C32">
        <v>62965</v>
      </c>
      <c r="D32">
        <v>1713</v>
      </c>
      <c r="E32">
        <v>65032</v>
      </c>
      <c r="F32">
        <v>2051</v>
      </c>
      <c r="G32">
        <v>40403</v>
      </c>
      <c r="H32">
        <v>79275</v>
      </c>
      <c r="I32">
        <v>2842</v>
      </c>
      <c r="J32">
        <v>93105</v>
      </c>
      <c r="K32">
        <v>3580</v>
      </c>
      <c r="L32">
        <v>101387</v>
      </c>
      <c r="M32">
        <v>71524</v>
      </c>
      <c r="N32">
        <v>2428</v>
      </c>
      <c r="O32">
        <v>85576</v>
      </c>
      <c r="P32">
        <v>4769</v>
      </c>
      <c r="Q32">
        <v>83981</v>
      </c>
      <c r="R32">
        <v>1932</v>
      </c>
      <c r="S32">
        <v>15796</v>
      </c>
      <c r="T32">
        <v>10251</v>
      </c>
      <c r="U32">
        <v>2057</v>
      </c>
      <c r="V32">
        <v>16662</v>
      </c>
      <c r="W32">
        <v>14480</v>
      </c>
      <c r="X32">
        <v>3119</v>
      </c>
      <c r="Y32">
        <v>22073</v>
      </c>
      <c r="Z32">
        <v>554</v>
      </c>
      <c r="AA32">
        <v>6583</v>
      </c>
      <c r="AB32">
        <v>7083</v>
      </c>
      <c r="AC32">
        <v>553</v>
      </c>
      <c r="AD32">
        <v>6589</v>
      </c>
      <c r="AE32">
        <v>6597</v>
      </c>
      <c r="AF32">
        <v>1049</v>
      </c>
      <c r="AG32">
        <v>14837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 t="s">
        <v>73</v>
      </c>
      <c r="AW32" t="s">
        <v>73</v>
      </c>
      <c r="AX32">
        <v>46767</v>
      </c>
      <c r="AY32">
        <v>449660</v>
      </c>
      <c r="AZ32">
        <v>64874</v>
      </c>
      <c r="BA32">
        <v>50790</v>
      </c>
      <c r="BB32">
        <v>408708</v>
      </c>
      <c r="BC32">
        <v>59956</v>
      </c>
      <c r="BD32">
        <v>24596</v>
      </c>
      <c r="BE32">
        <v>540779</v>
      </c>
      <c r="BF32">
        <v>33246</v>
      </c>
      <c r="BG32">
        <v>102379</v>
      </c>
      <c r="BH32">
        <v>24257</v>
      </c>
      <c r="BI32">
        <v>32277</v>
      </c>
      <c r="BJ32">
        <v>96852</v>
      </c>
      <c r="BK32">
        <v>23374</v>
      </c>
      <c r="BL32">
        <v>31581</v>
      </c>
      <c r="BM32">
        <v>101659</v>
      </c>
    </row>
    <row r="33" spans="1:65" x14ac:dyDescent="0.4">
      <c r="A33" s="1" t="s">
        <v>54</v>
      </c>
      <c r="B33" s="1" t="s">
        <v>55</v>
      </c>
      <c r="C33">
        <v>66915</v>
      </c>
      <c r="D33">
        <v>1885</v>
      </c>
      <c r="E33">
        <v>66717</v>
      </c>
      <c r="F33">
        <v>2237</v>
      </c>
      <c r="G33">
        <v>45947</v>
      </c>
      <c r="H33">
        <v>87771</v>
      </c>
      <c r="I33">
        <v>3416</v>
      </c>
      <c r="J33">
        <v>85985</v>
      </c>
      <c r="K33">
        <v>3360</v>
      </c>
      <c r="L33">
        <v>130169</v>
      </c>
      <c r="M33">
        <v>66363</v>
      </c>
      <c r="N33">
        <v>2044</v>
      </c>
      <c r="O33">
        <v>82157</v>
      </c>
      <c r="P33">
        <v>4338</v>
      </c>
      <c r="Q33">
        <v>89505</v>
      </c>
      <c r="R33">
        <v>2120</v>
      </c>
      <c r="S33">
        <v>17270</v>
      </c>
      <c r="T33">
        <v>11008</v>
      </c>
      <c r="U33">
        <v>2279</v>
      </c>
      <c r="V33">
        <v>18549</v>
      </c>
      <c r="W33">
        <v>16093</v>
      </c>
      <c r="X33">
        <v>3006</v>
      </c>
      <c r="Y33">
        <v>20391</v>
      </c>
      <c r="Z33">
        <v>618</v>
      </c>
      <c r="AA33">
        <v>7364</v>
      </c>
      <c r="AB33">
        <v>7514</v>
      </c>
      <c r="AC33">
        <v>614</v>
      </c>
      <c r="AD33">
        <v>7206</v>
      </c>
      <c r="AE33">
        <v>7531</v>
      </c>
      <c r="AF33">
        <v>1076</v>
      </c>
      <c r="AG33">
        <v>15062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 t="s">
        <v>73</v>
      </c>
      <c r="AW33" t="s">
        <v>73</v>
      </c>
      <c r="AX33">
        <v>47511</v>
      </c>
      <c r="AY33">
        <v>529835</v>
      </c>
      <c r="AZ33">
        <v>67919</v>
      </c>
      <c r="BA33">
        <v>36570</v>
      </c>
      <c r="BB33">
        <v>518184</v>
      </c>
      <c r="BC33">
        <v>66783</v>
      </c>
      <c r="BD33">
        <v>35100</v>
      </c>
      <c r="BE33">
        <v>550362</v>
      </c>
      <c r="BF33">
        <v>32530</v>
      </c>
      <c r="BG33">
        <v>98507</v>
      </c>
      <c r="BH33">
        <v>25276</v>
      </c>
      <c r="BI33">
        <v>27535</v>
      </c>
      <c r="BJ33">
        <v>81666</v>
      </c>
      <c r="BK33">
        <v>21475</v>
      </c>
      <c r="BL33">
        <v>36724</v>
      </c>
      <c r="BM33">
        <v>119693</v>
      </c>
    </row>
    <row r="34" spans="1:65" x14ac:dyDescent="0.4">
      <c r="A34" s="1" t="s">
        <v>56</v>
      </c>
      <c r="B34" s="1" t="s">
        <v>57</v>
      </c>
      <c r="C34">
        <v>63902</v>
      </c>
      <c r="D34">
        <v>1743</v>
      </c>
      <c r="E34">
        <v>63238</v>
      </c>
      <c r="F34">
        <v>2088</v>
      </c>
      <c r="G34">
        <v>50206</v>
      </c>
      <c r="H34">
        <v>72768</v>
      </c>
      <c r="I34">
        <v>2779</v>
      </c>
      <c r="J34">
        <v>109504</v>
      </c>
      <c r="K34">
        <v>4606</v>
      </c>
      <c r="L34">
        <v>123953</v>
      </c>
      <c r="M34">
        <v>62211</v>
      </c>
      <c r="N34">
        <v>2047</v>
      </c>
      <c r="O34">
        <v>78956</v>
      </c>
      <c r="P34">
        <v>4258</v>
      </c>
      <c r="Q34">
        <v>94016</v>
      </c>
      <c r="R34">
        <v>1985</v>
      </c>
      <c r="S34">
        <v>16197</v>
      </c>
      <c r="T34">
        <v>10495</v>
      </c>
      <c r="U34">
        <v>2294</v>
      </c>
      <c r="V34">
        <v>18416</v>
      </c>
      <c r="W34">
        <v>16467</v>
      </c>
      <c r="X34">
        <v>2781</v>
      </c>
      <c r="Y34">
        <v>18259</v>
      </c>
      <c r="Z34">
        <v>434</v>
      </c>
      <c r="AA34">
        <v>5936</v>
      </c>
      <c r="AB34">
        <v>6322</v>
      </c>
      <c r="AC34">
        <v>553</v>
      </c>
      <c r="AD34">
        <v>6449</v>
      </c>
      <c r="AE34">
        <v>7112</v>
      </c>
      <c r="AF34">
        <v>971</v>
      </c>
      <c r="AG34">
        <v>14595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 t="s">
        <v>73</v>
      </c>
      <c r="AW34" t="s">
        <v>73</v>
      </c>
      <c r="AX34">
        <v>26709</v>
      </c>
      <c r="AY34">
        <v>390018</v>
      </c>
      <c r="AZ34">
        <v>61516</v>
      </c>
      <c r="BA34">
        <v>41401</v>
      </c>
      <c r="BB34">
        <v>516673</v>
      </c>
      <c r="BC34">
        <v>67795</v>
      </c>
      <c r="BD34">
        <v>20029</v>
      </c>
      <c r="BE34">
        <v>421791</v>
      </c>
      <c r="BF34">
        <v>28926</v>
      </c>
      <c r="BG34">
        <v>89217</v>
      </c>
      <c r="BH34">
        <v>22060</v>
      </c>
      <c r="BI34">
        <v>29301</v>
      </c>
      <c r="BJ34">
        <v>86951</v>
      </c>
      <c r="BK34">
        <v>20876</v>
      </c>
      <c r="BL34">
        <v>36429</v>
      </c>
      <c r="BM34">
        <v>121392</v>
      </c>
    </row>
    <row r="35" spans="1:65" x14ac:dyDescent="0.4">
      <c r="A35" s="1" t="s">
        <v>58</v>
      </c>
      <c r="B35" s="1" t="s">
        <v>59</v>
      </c>
      <c r="C35">
        <v>62637</v>
      </c>
      <c r="D35">
        <v>1723</v>
      </c>
      <c r="E35">
        <v>64108</v>
      </c>
      <c r="F35">
        <v>2101</v>
      </c>
      <c r="G35">
        <v>45081</v>
      </c>
      <c r="H35">
        <v>71959</v>
      </c>
      <c r="I35">
        <v>2639</v>
      </c>
      <c r="J35">
        <v>118401</v>
      </c>
      <c r="K35">
        <v>5439</v>
      </c>
      <c r="L35">
        <v>107986</v>
      </c>
      <c r="M35">
        <v>64943</v>
      </c>
      <c r="N35">
        <v>2302</v>
      </c>
      <c r="O35">
        <v>82032</v>
      </c>
      <c r="P35">
        <v>4526</v>
      </c>
      <c r="Q35">
        <v>76437</v>
      </c>
      <c r="R35">
        <v>2004</v>
      </c>
      <c r="S35">
        <v>16369</v>
      </c>
      <c r="T35">
        <v>10465</v>
      </c>
      <c r="U35">
        <v>2432</v>
      </c>
      <c r="V35">
        <v>19602</v>
      </c>
      <c r="W35">
        <v>17458</v>
      </c>
      <c r="X35">
        <v>2412</v>
      </c>
      <c r="Y35">
        <v>14711</v>
      </c>
      <c r="Z35">
        <v>550</v>
      </c>
      <c r="AA35">
        <v>6232</v>
      </c>
      <c r="AB35">
        <v>6417</v>
      </c>
      <c r="AC35">
        <v>552</v>
      </c>
      <c r="AD35">
        <v>6455</v>
      </c>
      <c r="AE35">
        <v>7571</v>
      </c>
      <c r="AF35">
        <v>1015</v>
      </c>
      <c r="AG35">
        <v>14478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 t="s">
        <v>73</v>
      </c>
      <c r="AW35" t="s">
        <v>73</v>
      </c>
      <c r="AX35">
        <v>34127</v>
      </c>
      <c r="AY35">
        <v>386271</v>
      </c>
      <c r="AZ35">
        <v>61735</v>
      </c>
      <c r="BA35">
        <v>36069</v>
      </c>
      <c r="BB35">
        <v>456439</v>
      </c>
      <c r="BC35">
        <v>65098</v>
      </c>
      <c r="BD35">
        <v>17647</v>
      </c>
      <c r="BE35">
        <v>353006</v>
      </c>
      <c r="BF35">
        <v>28629</v>
      </c>
      <c r="BG35">
        <v>94261</v>
      </c>
      <c r="BH35">
        <v>23630</v>
      </c>
      <c r="BI35">
        <v>30827</v>
      </c>
      <c r="BJ35">
        <v>100212</v>
      </c>
      <c r="BK35">
        <v>25777</v>
      </c>
      <c r="BL35">
        <v>34493</v>
      </c>
      <c r="BM35">
        <v>116121</v>
      </c>
    </row>
    <row r="36" spans="1:65" x14ac:dyDescent="0.4">
      <c r="A36" s="1" t="s">
        <v>60</v>
      </c>
      <c r="B36" s="1" t="s">
        <v>61</v>
      </c>
      <c r="C36">
        <v>68081</v>
      </c>
      <c r="D36">
        <v>2173</v>
      </c>
      <c r="E36">
        <v>63093</v>
      </c>
      <c r="F36">
        <v>2401</v>
      </c>
      <c r="G36">
        <v>52734</v>
      </c>
      <c r="H36">
        <v>64895</v>
      </c>
      <c r="I36">
        <v>2160</v>
      </c>
      <c r="J36">
        <v>76558</v>
      </c>
      <c r="K36">
        <v>2859</v>
      </c>
      <c r="L36">
        <v>105578</v>
      </c>
      <c r="M36">
        <v>62978</v>
      </c>
      <c r="N36">
        <v>2195</v>
      </c>
      <c r="O36">
        <v>66096</v>
      </c>
      <c r="P36">
        <v>3721</v>
      </c>
      <c r="Q36">
        <v>88841</v>
      </c>
      <c r="R36">
        <v>1834</v>
      </c>
      <c r="S36">
        <v>15078</v>
      </c>
      <c r="T36">
        <v>10004</v>
      </c>
      <c r="U36">
        <v>2008</v>
      </c>
      <c r="V36">
        <v>16192</v>
      </c>
      <c r="W36">
        <v>14617</v>
      </c>
      <c r="X36">
        <v>2376</v>
      </c>
      <c r="Y36">
        <v>13974</v>
      </c>
      <c r="Z36">
        <v>536</v>
      </c>
      <c r="AA36">
        <v>5935</v>
      </c>
      <c r="AB36">
        <v>6815</v>
      </c>
      <c r="AC36">
        <v>535</v>
      </c>
      <c r="AD36">
        <v>6156</v>
      </c>
      <c r="AE36">
        <v>7307</v>
      </c>
      <c r="AF36">
        <v>1039</v>
      </c>
      <c r="AG36">
        <v>14307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 t="s">
        <v>73</v>
      </c>
      <c r="AW36" t="s">
        <v>73</v>
      </c>
      <c r="AX36">
        <v>35115</v>
      </c>
      <c r="AY36">
        <v>352206</v>
      </c>
      <c r="AZ36">
        <v>58238</v>
      </c>
      <c r="BA36">
        <v>25233</v>
      </c>
      <c r="BB36">
        <v>438506</v>
      </c>
      <c r="BC36">
        <v>63814</v>
      </c>
      <c r="BD36">
        <v>27120</v>
      </c>
      <c r="BE36">
        <v>267910</v>
      </c>
      <c r="BF36">
        <v>31772</v>
      </c>
      <c r="BG36">
        <v>96235</v>
      </c>
      <c r="BH36">
        <v>22042</v>
      </c>
      <c r="BI36">
        <v>24759</v>
      </c>
      <c r="BJ36">
        <v>84275</v>
      </c>
      <c r="BK36">
        <v>15305</v>
      </c>
      <c r="BL36">
        <v>41731</v>
      </c>
      <c r="BM36">
        <v>128961</v>
      </c>
    </row>
    <row r="37" spans="1:65" x14ac:dyDescent="0.4">
      <c r="A37" s="1" t="s">
        <v>62</v>
      </c>
      <c r="B37" s="1" t="s">
        <v>63</v>
      </c>
      <c r="C37">
        <v>66670</v>
      </c>
      <c r="D37">
        <v>2416</v>
      </c>
      <c r="E37">
        <v>65510</v>
      </c>
      <c r="F37">
        <v>2742</v>
      </c>
      <c r="G37">
        <v>51002</v>
      </c>
      <c r="H37">
        <v>57304</v>
      </c>
      <c r="I37">
        <v>1698</v>
      </c>
      <c r="J37">
        <v>84772</v>
      </c>
      <c r="K37">
        <v>3419</v>
      </c>
      <c r="L37">
        <v>90495</v>
      </c>
      <c r="M37">
        <v>63029</v>
      </c>
      <c r="N37">
        <v>2122</v>
      </c>
      <c r="O37">
        <v>71963</v>
      </c>
      <c r="P37">
        <v>3830</v>
      </c>
      <c r="Q37">
        <v>87126</v>
      </c>
      <c r="R37">
        <v>1882</v>
      </c>
      <c r="S37">
        <v>15428</v>
      </c>
      <c r="T37">
        <v>9872</v>
      </c>
      <c r="U37">
        <v>1994</v>
      </c>
      <c r="V37">
        <v>15242</v>
      </c>
      <c r="W37">
        <v>14125</v>
      </c>
      <c r="X37">
        <v>2419</v>
      </c>
      <c r="Y37">
        <v>13692</v>
      </c>
      <c r="Z37">
        <v>662</v>
      </c>
      <c r="AA37">
        <v>6638</v>
      </c>
      <c r="AB37">
        <v>7538</v>
      </c>
      <c r="AC37">
        <v>550</v>
      </c>
      <c r="AD37">
        <v>6438</v>
      </c>
      <c r="AE37">
        <v>7455</v>
      </c>
      <c r="AF37">
        <v>1099</v>
      </c>
      <c r="AG37">
        <v>14648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 t="s">
        <v>73</v>
      </c>
      <c r="AW37" t="s">
        <v>73</v>
      </c>
      <c r="AX37">
        <v>43944</v>
      </c>
      <c r="AY37">
        <v>383130</v>
      </c>
      <c r="AZ37">
        <v>60743</v>
      </c>
      <c r="BA37">
        <v>40366</v>
      </c>
      <c r="BB37">
        <v>479546</v>
      </c>
      <c r="BC37">
        <v>67135</v>
      </c>
      <c r="BD37">
        <v>30230</v>
      </c>
      <c r="BE37">
        <v>185472</v>
      </c>
      <c r="BF37">
        <v>28936</v>
      </c>
      <c r="BG37">
        <v>90369</v>
      </c>
      <c r="BH37">
        <v>22888</v>
      </c>
      <c r="BI37">
        <v>32694</v>
      </c>
      <c r="BJ37">
        <v>107417</v>
      </c>
      <c r="BK37">
        <v>23737</v>
      </c>
      <c r="BL37">
        <v>38231</v>
      </c>
      <c r="BM37">
        <v>112900</v>
      </c>
    </row>
    <row r="38" spans="1:65" x14ac:dyDescent="0.4">
      <c r="A38" s="1" t="s">
        <v>64</v>
      </c>
      <c r="B38" s="1" t="s">
        <v>65</v>
      </c>
      <c r="C38">
        <v>68720</v>
      </c>
      <c r="D38">
        <v>2316</v>
      </c>
      <c r="E38">
        <v>52751</v>
      </c>
      <c r="F38">
        <v>1968</v>
      </c>
      <c r="G38">
        <v>59079</v>
      </c>
      <c r="H38">
        <v>68359</v>
      </c>
      <c r="I38">
        <v>1700</v>
      </c>
      <c r="J38">
        <v>91146</v>
      </c>
      <c r="K38">
        <v>3094</v>
      </c>
      <c r="L38">
        <v>86077</v>
      </c>
      <c r="M38">
        <v>65162</v>
      </c>
      <c r="N38">
        <v>2269</v>
      </c>
      <c r="O38">
        <v>70822</v>
      </c>
      <c r="P38">
        <v>3878</v>
      </c>
      <c r="Q38">
        <v>88351</v>
      </c>
      <c r="R38">
        <v>1979</v>
      </c>
      <c r="S38">
        <v>16182</v>
      </c>
      <c r="T38">
        <v>10041</v>
      </c>
      <c r="U38">
        <v>2137</v>
      </c>
      <c r="V38">
        <v>17144</v>
      </c>
      <c r="W38">
        <v>14865</v>
      </c>
      <c r="X38">
        <v>2355</v>
      </c>
      <c r="Y38">
        <v>12878</v>
      </c>
      <c r="Z38">
        <v>543</v>
      </c>
      <c r="AA38">
        <v>6459</v>
      </c>
      <c r="AB38">
        <v>7961</v>
      </c>
      <c r="AC38">
        <v>589</v>
      </c>
      <c r="AD38">
        <v>7169</v>
      </c>
      <c r="AE38">
        <v>9130</v>
      </c>
      <c r="AF38">
        <v>854</v>
      </c>
      <c r="AG38">
        <v>13614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 t="s">
        <v>73</v>
      </c>
      <c r="AW38" t="s">
        <v>73</v>
      </c>
      <c r="AX38">
        <v>75879</v>
      </c>
      <c r="AY38">
        <v>613769</v>
      </c>
      <c r="AZ38">
        <v>85891</v>
      </c>
      <c r="BA38">
        <v>79143</v>
      </c>
      <c r="BB38">
        <v>631714</v>
      </c>
      <c r="BC38">
        <v>86977</v>
      </c>
      <c r="BD38">
        <v>26520</v>
      </c>
      <c r="BE38">
        <v>183424</v>
      </c>
      <c r="BF38">
        <v>35047</v>
      </c>
      <c r="BG38">
        <v>106122</v>
      </c>
      <c r="BH38">
        <v>27269</v>
      </c>
      <c r="BI38">
        <v>37682</v>
      </c>
      <c r="BJ38">
        <v>122347</v>
      </c>
      <c r="BK38">
        <v>28855</v>
      </c>
      <c r="BL38">
        <v>35807</v>
      </c>
      <c r="BM38">
        <v>97478</v>
      </c>
    </row>
    <row r="39" spans="1:65" x14ac:dyDescent="0.4">
      <c r="A39" s="1"/>
      <c r="B39" s="1"/>
    </row>
    <row r="40" spans="1:65" x14ac:dyDescent="0.4">
      <c r="A40" s="1"/>
      <c r="B40" s="1"/>
    </row>
  </sheetData>
  <phoneticPr fontId="2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91939-2989-45A2-8194-07C1479EF26F}">
  <dimension ref="A1:CM40"/>
  <sheetViews>
    <sheetView workbookViewId="0">
      <selection activeCell="C9" sqref="C9"/>
    </sheetView>
  </sheetViews>
  <sheetFormatPr defaultColWidth="15.625" defaultRowHeight="18.75" x14ac:dyDescent="0.4"/>
  <sheetData>
    <row r="1" spans="1:91" x14ac:dyDescent="0.4">
      <c r="A1" s="1" t="s">
        <v>66</v>
      </c>
      <c r="B1" s="1"/>
    </row>
    <row r="2" spans="1:91" x14ac:dyDescent="0.4">
      <c r="A2" s="4" t="str">
        <f>HYPERLINK("#'目次(Contents)'!A3","目次に戻る(Return to Contents)")</f>
        <v>目次に戻る(Return to Contents)</v>
      </c>
      <c r="B2" s="1"/>
    </row>
    <row r="3" spans="1:91" x14ac:dyDescent="0.4">
      <c r="A3" s="1"/>
      <c r="B3" s="2" t="s">
        <v>0</v>
      </c>
      <c r="C3" t="s">
        <v>1469</v>
      </c>
      <c r="D3" t="s">
        <v>1469</v>
      </c>
      <c r="E3" t="s">
        <v>1469</v>
      </c>
      <c r="F3" t="s">
        <v>1469</v>
      </c>
      <c r="G3" t="s">
        <v>1469</v>
      </c>
      <c r="H3" t="s">
        <v>1471</v>
      </c>
      <c r="I3" t="s">
        <v>1471</v>
      </c>
      <c r="J3" t="s">
        <v>1471</v>
      </c>
      <c r="K3" t="s">
        <v>1471</v>
      </c>
      <c r="L3" t="s">
        <v>1471</v>
      </c>
      <c r="M3" t="s">
        <v>1473</v>
      </c>
      <c r="N3" t="s">
        <v>1473</v>
      </c>
      <c r="O3" t="s">
        <v>1473</v>
      </c>
      <c r="P3" t="s">
        <v>1473</v>
      </c>
      <c r="Q3" t="s">
        <v>1473</v>
      </c>
      <c r="R3" t="s">
        <v>1475</v>
      </c>
      <c r="S3" t="s">
        <v>1475</v>
      </c>
      <c r="T3" t="s">
        <v>1475</v>
      </c>
      <c r="U3" t="s">
        <v>1475</v>
      </c>
      <c r="V3" t="s">
        <v>1475</v>
      </c>
      <c r="W3" t="s">
        <v>1477</v>
      </c>
      <c r="X3" t="s">
        <v>1477</v>
      </c>
      <c r="Y3" t="s">
        <v>1477</v>
      </c>
      <c r="Z3" t="s">
        <v>1477</v>
      </c>
      <c r="AA3" t="s">
        <v>1477</v>
      </c>
      <c r="AB3" t="s">
        <v>1479</v>
      </c>
      <c r="AC3" t="s">
        <v>1479</v>
      </c>
      <c r="AD3" t="s">
        <v>1479</v>
      </c>
      <c r="AE3" t="s">
        <v>1479</v>
      </c>
      <c r="AF3" t="s">
        <v>1479</v>
      </c>
      <c r="AG3" t="s">
        <v>1481</v>
      </c>
      <c r="AH3" t="s">
        <v>1481</v>
      </c>
      <c r="AI3" t="s">
        <v>1481</v>
      </c>
      <c r="AJ3" t="s">
        <v>1481</v>
      </c>
      <c r="AK3" t="s">
        <v>1481</v>
      </c>
      <c r="AL3" t="s">
        <v>1483</v>
      </c>
      <c r="AM3" t="s">
        <v>1483</v>
      </c>
      <c r="AN3" t="s">
        <v>1483</v>
      </c>
      <c r="AO3" t="s">
        <v>1483</v>
      </c>
      <c r="AP3" t="s">
        <v>1483</v>
      </c>
      <c r="AQ3" t="s">
        <v>1485</v>
      </c>
      <c r="AR3" t="s">
        <v>1485</v>
      </c>
      <c r="AS3" t="s">
        <v>1485</v>
      </c>
      <c r="AT3" t="s">
        <v>1485</v>
      </c>
      <c r="AU3" t="s">
        <v>1485</v>
      </c>
      <c r="AV3" t="s">
        <v>1487</v>
      </c>
      <c r="AW3" t="s">
        <v>1487</v>
      </c>
      <c r="AX3" t="s">
        <v>1487</v>
      </c>
      <c r="AY3" t="s">
        <v>1487</v>
      </c>
      <c r="AZ3" t="s">
        <v>1487</v>
      </c>
      <c r="BA3" t="s">
        <v>1489</v>
      </c>
      <c r="BB3" t="s">
        <v>1489</v>
      </c>
      <c r="BC3" t="s">
        <v>1489</v>
      </c>
      <c r="BD3" t="s">
        <v>1489</v>
      </c>
      <c r="BE3" t="s">
        <v>1489</v>
      </c>
      <c r="BF3" t="s">
        <v>1491</v>
      </c>
      <c r="BG3" t="s">
        <v>1491</v>
      </c>
      <c r="BH3" t="s">
        <v>1491</v>
      </c>
      <c r="BI3" t="s">
        <v>1491</v>
      </c>
      <c r="BJ3" t="s">
        <v>1491</v>
      </c>
      <c r="BK3" t="s">
        <v>1493</v>
      </c>
      <c r="BL3" t="s">
        <v>1493</v>
      </c>
      <c r="BM3" t="s">
        <v>1493</v>
      </c>
      <c r="BN3" t="s">
        <v>1493</v>
      </c>
      <c r="BO3" t="s">
        <v>1493</v>
      </c>
      <c r="BP3" t="s">
        <v>1495</v>
      </c>
      <c r="BQ3" t="s">
        <v>1495</v>
      </c>
      <c r="BR3" t="s">
        <v>1495</v>
      </c>
      <c r="BS3" t="s">
        <v>1495</v>
      </c>
      <c r="BT3" t="s">
        <v>1495</v>
      </c>
      <c r="BU3" t="s">
        <v>1497</v>
      </c>
      <c r="BV3" t="s">
        <v>1497</v>
      </c>
      <c r="BW3" t="s">
        <v>1497</v>
      </c>
      <c r="BX3" t="s">
        <v>1497</v>
      </c>
      <c r="BY3" t="s">
        <v>1497</v>
      </c>
      <c r="BZ3" t="s">
        <v>1499</v>
      </c>
      <c r="CA3" t="s">
        <v>1499</v>
      </c>
      <c r="CB3" t="s">
        <v>1501</v>
      </c>
      <c r="CC3" t="s">
        <v>1501</v>
      </c>
      <c r="CD3" t="s">
        <v>1503</v>
      </c>
      <c r="CE3" t="s">
        <v>1503</v>
      </c>
      <c r="CF3" t="s">
        <v>1505</v>
      </c>
      <c r="CG3" t="s">
        <v>1505</v>
      </c>
      <c r="CH3" t="s">
        <v>1507</v>
      </c>
      <c r="CI3" t="s">
        <v>1507</v>
      </c>
      <c r="CJ3" t="s">
        <v>1509</v>
      </c>
      <c r="CK3" t="s">
        <v>1509</v>
      </c>
      <c r="CL3" t="s">
        <v>1511</v>
      </c>
      <c r="CM3" t="s">
        <v>1511</v>
      </c>
    </row>
    <row r="4" spans="1:91" x14ac:dyDescent="0.4">
      <c r="A4" s="1"/>
      <c r="B4" s="2" t="s">
        <v>1</v>
      </c>
      <c r="C4" t="s">
        <v>1470</v>
      </c>
      <c r="D4" t="s">
        <v>1470</v>
      </c>
      <c r="E4" t="s">
        <v>1470</v>
      </c>
      <c r="F4" t="s">
        <v>1470</v>
      </c>
      <c r="G4" t="s">
        <v>1470</v>
      </c>
      <c r="H4" t="s">
        <v>1472</v>
      </c>
      <c r="I4" t="s">
        <v>1472</v>
      </c>
      <c r="J4" t="s">
        <v>1472</v>
      </c>
      <c r="K4" t="s">
        <v>1472</v>
      </c>
      <c r="L4" t="s">
        <v>1472</v>
      </c>
      <c r="M4" t="s">
        <v>1474</v>
      </c>
      <c r="N4" t="s">
        <v>1474</v>
      </c>
      <c r="O4" t="s">
        <v>1474</v>
      </c>
      <c r="P4" t="s">
        <v>1474</v>
      </c>
      <c r="Q4" t="s">
        <v>1474</v>
      </c>
      <c r="R4" t="s">
        <v>1476</v>
      </c>
      <c r="S4" t="s">
        <v>1476</v>
      </c>
      <c r="T4" t="s">
        <v>1476</v>
      </c>
      <c r="U4" t="s">
        <v>1476</v>
      </c>
      <c r="V4" t="s">
        <v>1476</v>
      </c>
      <c r="W4" t="s">
        <v>1478</v>
      </c>
      <c r="X4" t="s">
        <v>1478</v>
      </c>
      <c r="Y4" t="s">
        <v>1478</v>
      </c>
      <c r="Z4" t="s">
        <v>1478</v>
      </c>
      <c r="AA4" t="s">
        <v>1478</v>
      </c>
      <c r="AB4" t="s">
        <v>1480</v>
      </c>
      <c r="AC4" t="s">
        <v>1480</v>
      </c>
      <c r="AD4" t="s">
        <v>1480</v>
      </c>
      <c r="AE4" t="s">
        <v>1480</v>
      </c>
      <c r="AF4" t="s">
        <v>1480</v>
      </c>
      <c r="AG4" t="s">
        <v>1482</v>
      </c>
      <c r="AH4" t="s">
        <v>1482</v>
      </c>
      <c r="AI4" t="s">
        <v>1482</v>
      </c>
      <c r="AJ4" t="s">
        <v>1482</v>
      </c>
      <c r="AK4" t="s">
        <v>1482</v>
      </c>
      <c r="AL4" t="s">
        <v>1484</v>
      </c>
      <c r="AM4" t="s">
        <v>1484</v>
      </c>
      <c r="AN4" t="s">
        <v>1484</v>
      </c>
      <c r="AO4" t="s">
        <v>1484</v>
      </c>
      <c r="AP4" t="s">
        <v>1484</v>
      </c>
      <c r="AQ4" t="s">
        <v>1486</v>
      </c>
      <c r="AR4" t="s">
        <v>1486</v>
      </c>
      <c r="AS4" t="s">
        <v>1486</v>
      </c>
      <c r="AT4" t="s">
        <v>1486</v>
      </c>
      <c r="AU4" t="s">
        <v>1486</v>
      </c>
      <c r="AV4" t="s">
        <v>1488</v>
      </c>
      <c r="AW4" t="s">
        <v>1488</v>
      </c>
      <c r="AX4" t="s">
        <v>1488</v>
      </c>
      <c r="AY4" t="s">
        <v>1488</v>
      </c>
      <c r="AZ4" t="s">
        <v>1488</v>
      </c>
      <c r="BA4" t="s">
        <v>1490</v>
      </c>
      <c r="BB4" t="s">
        <v>1490</v>
      </c>
      <c r="BC4" t="s">
        <v>1490</v>
      </c>
      <c r="BD4" t="s">
        <v>1490</v>
      </c>
      <c r="BE4" t="s">
        <v>1490</v>
      </c>
      <c r="BF4" t="s">
        <v>1492</v>
      </c>
      <c r="BG4" t="s">
        <v>1492</v>
      </c>
      <c r="BH4" t="s">
        <v>1492</v>
      </c>
      <c r="BI4" t="s">
        <v>1492</v>
      </c>
      <c r="BJ4" t="s">
        <v>1492</v>
      </c>
      <c r="BK4" t="s">
        <v>1494</v>
      </c>
      <c r="BL4" t="s">
        <v>1494</v>
      </c>
      <c r="BM4" t="s">
        <v>1494</v>
      </c>
      <c r="BN4" t="s">
        <v>1494</v>
      </c>
      <c r="BO4" t="s">
        <v>1494</v>
      </c>
      <c r="BP4" t="s">
        <v>1496</v>
      </c>
      <c r="BQ4" t="s">
        <v>1496</v>
      </c>
      <c r="BR4" t="s">
        <v>1496</v>
      </c>
      <c r="BS4" t="s">
        <v>1496</v>
      </c>
      <c r="BT4" t="s">
        <v>1496</v>
      </c>
      <c r="BU4" t="s">
        <v>1498</v>
      </c>
      <c r="BV4" t="s">
        <v>1498</v>
      </c>
      <c r="BW4" t="s">
        <v>1498</v>
      </c>
      <c r="BX4" t="s">
        <v>1498</v>
      </c>
      <c r="BY4" t="s">
        <v>1498</v>
      </c>
      <c r="BZ4" t="s">
        <v>1500</v>
      </c>
      <c r="CA4" t="s">
        <v>1500</v>
      </c>
      <c r="CB4" t="s">
        <v>1502</v>
      </c>
      <c r="CC4" t="s">
        <v>1502</v>
      </c>
      <c r="CD4" t="s">
        <v>1504</v>
      </c>
      <c r="CE4" t="s">
        <v>1504</v>
      </c>
      <c r="CF4" t="s">
        <v>1506</v>
      </c>
      <c r="CG4" t="s">
        <v>1506</v>
      </c>
      <c r="CH4" t="s">
        <v>1508</v>
      </c>
      <c r="CI4" t="s">
        <v>1508</v>
      </c>
      <c r="CJ4" t="s">
        <v>1510</v>
      </c>
      <c r="CK4" t="s">
        <v>1510</v>
      </c>
      <c r="CL4" t="s">
        <v>1512</v>
      </c>
      <c r="CM4" t="s">
        <v>1512</v>
      </c>
    </row>
    <row r="5" spans="1:9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69</v>
      </c>
      <c r="CC5" t="s">
        <v>257</v>
      </c>
      <c r="CD5" t="s">
        <v>69</v>
      </c>
      <c r="CE5" t="s">
        <v>257</v>
      </c>
      <c r="CF5" t="s">
        <v>69</v>
      </c>
      <c r="CG5" t="s">
        <v>257</v>
      </c>
      <c r="CH5" t="s">
        <v>69</v>
      </c>
      <c r="CI5" t="s">
        <v>257</v>
      </c>
      <c r="CJ5" t="s">
        <v>69</v>
      </c>
      <c r="CK5" t="s">
        <v>257</v>
      </c>
      <c r="CL5" t="s">
        <v>69</v>
      </c>
      <c r="CM5" t="s">
        <v>257</v>
      </c>
    </row>
    <row r="6" spans="1:9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72</v>
      </c>
      <c r="CC6" t="s">
        <v>259</v>
      </c>
      <c r="CD6" t="s">
        <v>72</v>
      </c>
      <c r="CE6" t="s">
        <v>259</v>
      </c>
      <c r="CF6" t="s">
        <v>72</v>
      </c>
      <c r="CG6" t="s">
        <v>259</v>
      </c>
      <c r="CH6" t="s">
        <v>72</v>
      </c>
      <c r="CI6" t="s">
        <v>259</v>
      </c>
      <c r="CJ6" t="s">
        <v>72</v>
      </c>
      <c r="CK6" t="s">
        <v>259</v>
      </c>
      <c r="CL6" t="s">
        <v>72</v>
      </c>
      <c r="CM6" t="s">
        <v>259</v>
      </c>
    </row>
    <row r="7" spans="1:9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258</v>
      </c>
      <c r="CJ7" t="s">
        <v>251</v>
      </c>
      <c r="CK7" t="s">
        <v>258</v>
      </c>
      <c r="CL7" t="s">
        <v>251</v>
      </c>
      <c r="CM7" t="s">
        <v>258</v>
      </c>
    </row>
    <row r="8" spans="1:9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260</v>
      </c>
      <c r="CJ8" t="s">
        <v>253</v>
      </c>
      <c r="CK8" t="s">
        <v>260</v>
      </c>
      <c r="CL8" t="s">
        <v>253</v>
      </c>
      <c r="CM8" t="s">
        <v>260</v>
      </c>
    </row>
    <row r="9" spans="1:91" x14ac:dyDescent="0.4">
      <c r="A9" s="1" t="s">
        <v>6</v>
      </c>
      <c r="B9" s="3" t="s">
        <v>7</v>
      </c>
      <c r="C9">
        <v>1284330</v>
      </c>
      <c r="D9">
        <v>1379294</v>
      </c>
      <c r="E9">
        <v>1313994</v>
      </c>
      <c r="F9">
        <v>1550215</v>
      </c>
      <c r="G9">
        <v>12534</v>
      </c>
      <c r="H9">
        <v>1169226</v>
      </c>
      <c r="I9">
        <v>1799635</v>
      </c>
      <c r="J9">
        <v>1181052</v>
      </c>
      <c r="K9">
        <v>2027517</v>
      </c>
      <c r="L9">
        <v>19933</v>
      </c>
      <c r="M9">
        <v>4165689</v>
      </c>
      <c r="N9">
        <v>11304450</v>
      </c>
      <c r="O9">
        <v>4171738</v>
      </c>
      <c r="P9">
        <v>11545528</v>
      </c>
      <c r="Q9">
        <v>63887</v>
      </c>
      <c r="R9">
        <v>71458</v>
      </c>
      <c r="S9">
        <v>153578</v>
      </c>
      <c r="T9">
        <v>71741</v>
      </c>
      <c r="U9">
        <v>157185</v>
      </c>
      <c r="V9">
        <v>2360</v>
      </c>
      <c r="W9">
        <v>2201</v>
      </c>
      <c r="X9">
        <v>32029</v>
      </c>
      <c r="Y9">
        <v>2307</v>
      </c>
      <c r="Z9">
        <v>33956</v>
      </c>
      <c r="AA9">
        <v>104</v>
      </c>
      <c r="AB9">
        <v>375351</v>
      </c>
      <c r="AC9">
        <v>346123</v>
      </c>
      <c r="AD9">
        <v>376557</v>
      </c>
      <c r="AE9">
        <v>350379</v>
      </c>
      <c r="AF9">
        <v>4022</v>
      </c>
      <c r="AG9">
        <v>261715</v>
      </c>
      <c r="AH9">
        <v>514462</v>
      </c>
      <c r="AI9">
        <v>261257</v>
      </c>
      <c r="AJ9">
        <v>521009</v>
      </c>
      <c r="AK9">
        <v>3770</v>
      </c>
      <c r="AL9">
        <v>506938</v>
      </c>
      <c r="AM9">
        <v>2016676</v>
      </c>
      <c r="AN9">
        <v>497144</v>
      </c>
      <c r="AO9">
        <v>1986471</v>
      </c>
      <c r="AP9">
        <v>23581</v>
      </c>
      <c r="AQ9">
        <v>10050</v>
      </c>
      <c r="AR9">
        <v>105486</v>
      </c>
      <c r="AS9">
        <v>10270</v>
      </c>
      <c r="AT9">
        <v>106839</v>
      </c>
      <c r="AU9">
        <v>250</v>
      </c>
      <c r="AV9">
        <v>93281</v>
      </c>
      <c r="AW9">
        <v>42363</v>
      </c>
      <c r="AX9">
        <v>89089</v>
      </c>
      <c r="AY9">
        <v>41420</v>
      </c>
      <c r="AZ9">
        <v>6265</v>
      </c>
      <c r="BA9">
        <v>8081</v>
      </c>
      <c r="BB9">
        <v>52197</v>
      </c>
      <c r="BC9">
        <v>8112</v>
      </c>
      <c r="BD9">
        <v>52645</v>
      </c>
      <c r="BE9">
        <v>237</v>
      </c>
      <c r="BF9">
        <v>142369</v>
      </c>
      <c r="BG9">
        <v>23116</v>
      </c>
      <c r="BH9">
        <v>197353</v>
      </c>
      <c r="BI9">
        <v>30257</v>
      </c>
      <c r="BJ9">
        <v>10926</v>
      </c>
      <c r="BK9">
        <v>54280</v>
      </c>
      <c r="BL9">
        <v>13101</v>
      </c>
      <c r="BM9">
        <v>160786</v>
      </c>
      <c r="BN9">
        <v>35459</v>
      </c>
      <c r="BO9">
        <v>13752</v>
      </c>
      <c r="BP9">
        <v>58001</v>
      </c>
      <c r="BQ9">
        <v>27379</v>
      </c>
      <c r="BR9">
        <v>120025</v>
      </c>
      <c r="BS9">
        <v>57342</v>
      </c>
      <c r="BT9">
        <v>9007</v>
      </c>
      <c r="BU9">
        <v>392261</v>
      </c>
      <c r="BV9">
        <v>308437</v>
      </c>
      <c r="BW9">
        <v>384716</v>
      </c>
      <c r="BX9">
        <v>298998</v>
      </c>
      <c r="BY9">
        <v>36571</v>
      </c>
      <c r="BZ9">
        <v>29359</v>
      </c>
      <c r="CA9">
        <v>11119</v>
      </c>
      <c r="CB9">
        <v>12201</v>
      </c>
      <c r="CC9">
        <v>32265</v>
      </c>
      <c r="CD9">
        <v>79536</v>
      </c>
      <c r="CE9">
        <v>83784</v>
      </c>
      <c r="CF9">
        <v>54092</v>
      </c>
      <c r="CG9">
        <v>193684</v>
      </c>
      <c r="CH9" t="s">
        <v>3282</v>
      </c>
      <c r="CI9" t="s">
        <v>3282</v>
      </c>
      <c r="CJ9" t="s">
        <v>3282</v>
      </c>
      <c r="CK9" t="s">
        <v>3282</v>
      </c>
      <c r="CL9" t="s">
        <v>3282</v>
      </c>
      <c r="CM9" t="s">
        <v>3282</v>
      </c>
    </row>
    <row r="10" spans="1:91" x14ac:dyDescent="0.4">
      <c r="A10" s="1" t="s">
        <v>8</v>
      </c>
      <c r="B10" s="3" t="s">
        <v>9</v>
      </c>
      <c r="C10">
        <v>1301128</v>
      </c>
      <c r="D10">
        <v>1468754</v>
      </c>
      <c r="E10">
        <v>1303517</v>
      </c>
      <c r="F10">
        <v>1659371</v>
      </c>
      <c r="G10">
        <v>10074</v>
      </c>
      <c r="H10">
        <v>1201978</v>
      </c>
      <c r="I10">
        <v>1980042</v>
      </c>
      <c r="J10">
        <v>1190139</v>
      </c>
      <c r="K10">
        <v>2219060</v>
      </c>
      <c r="L10">
        <v>31690</v>
      </c>
      <c r="M10">
        <v>4063250</v>
      </c>
      <c r="N10">
        <v>12636491</v>
      </c>
      <c r="O10">
        <v>4054549</v>
      </c>
      <c r="P10">
        <v>12724632</v>
      </c>
      <c r="Q10">
        <v>70179</v>
      </c>
      <c r="R10">
        <v>81031</v>
      </c>
      <c r="S10">
        <v>183529</v>
      </c>
      <c r="T10">
        <v>81145</v>
      </c>
      <c r="U10">
        <v>185027</v>
      </c>
      <c r="V10">
        <v>2471</v>
      </c>
      <c r="W10">
        <v>3580</v>
      </c>
      <c r="X10">
        <v>42710</v>
      </c>
      <c r="Y10">
        <v>3401</v>
      </c>
      <c r="Z10">
        <v>41521</v>
      </c>
      <c r="AA10">
        <v>283</v>
      </c>
      <c r="AB10">
        <v>433182</v>
      </c>
      <c r="AC10">
        <v>462032</v>
      </c>
      <c r="AD10">
        <v>432090</v>
      </c>
      <c r="AE10">
        <v>453376</v>
      </c>
      <c r="AF10">
        <v>5018</v>
      </c>
      <c r="AG10">
        <v>238561</v>
      </c>
      <c r="AH10">
        <v>458523</v>
      </c>
      <c r="AI10">
        <v>237808</v>
      </c>
      <c r="AJ10">
        <v>455524</v>
      </c>
      <c r="AK10">
        <v>4498</v>
      </c>
      <c r="AL10">
        <v>503537</v>
      </c>
      <c r="AM10">
        <v>1969687</v>
      </c>
      <c r="AN10">
        <v>508865</v>
      </c>
      <c r="AO10">
        <v>1990015</v>
      </c>
      <c r="AP10">
        <v>18148</v>
      </c>
      <c r="AQ10">
        <v>9292</v>
      </c>
      <c r="AR10">
        <v>85670</v>
      </c>
      <c r="AS10">
        <v>9541</v>
      </c>
      <c r="AT10">
        <v>88031</v>
      </c>
      <c r="AU10">
        <v>216</v>
      </c>
      <c r="AV10">
        <v>98172</v>
      </c>
      <c r="AW10">
        <v>44102</v>
      </c>
      <c r="AX10">
        <v>97998</v>
      </c>
      <c r="AY10">
        <v>47053</v>
      </c>
      <c r="AZ10">
        <v>6422</v>
      </c>
      <c r="BA10">
        <v>7948</v>
      </c>
      <c r="BB10">
        <v>50193</v>
      </c>
      <c r="BC10">
        <v>7974</v>
      </c>
      <c r="BD10">
        <v>50534</v>
      </c>
      <c r="BE10">
        <v>211</v>
      </c>
      <c r="BF10">
        <v>152505</v>
      </c>
      <c r="BG10">
        <v>25078</v>
      </c>
      <c r="BH10">
        <v>208878</v>
      </c>
      <c r="BI10">
        <v>32137</v>
      </c>
      <c r="BJ10">
        <v>20192</v>
      </c>
      <c r="BK10">
        <v>54703</v>
      </c>
      <c r="BL10">
        <v>16986</v>
      </c>
      <c r="BM10">
        <v>139893</v>
      </c>
      <c r="BN10">
        <v>35165</v>
      </c>
      <c r="BO10">
        <v>10623</v>
      </c>
      <c r="BP10">
        <v>53564</v>
      </c>
      <c r="BQ10">
        <v>27585</v>
      </c>
      <c r="BR10">
        <v>108661</v>
      </c>
      <c r="BS10">
        <v>54077</v>
      </c>
      <c r="BT10">
        <v>11443</v>
      </c>
      <c r="BU10">
        <v>434154</v>
      </c>
      <c r="BV10">
        <v>372623</v>
      </c>
      <c r="BW10">
        <v>448293</v>
      </c>
      <c r="BX10">
        <v>380225</v>
      </c>
      <c r="BY10">
        <v>29655</v>
      </c>
      <c r="BZ10">
        <v>27179</v>
      </c>
      <c r="CA10">
        <v>8733</v>
      </c>
      <c r="CB10">
        <v>9018</v>
      </c>
      <c r="CC10">
        <v>24983</v>
      </c>
      <c r="CD10">
        <v>69474</v>
      </c>
      <c r="CE10">
        <v>75468</v>
      </c>
      <c r="CF10">
        <v>40166</v>
      </c>
      <c r="CG10">
        <v>149581</v>
      </c>
      <c r="CH10" t="s">
        <v>3282</v>
      </c>
      <c r="CI10" t="s">
        <v>3282</v>
      </c>
      <c r="CJ10" t="s">
        <v>3282</v>
      </c>
      <c r="CK10" t="s">
        <v>3282</v>
      </c>
      <c r="CL10" t="s">
        <v>3282</v>
      </c>
      <c r="CM10" t="s">
        <v>3282</v>
      </c>
    </row>
    <row r="11" spans="1:91" x14ac:dyDescent="0.4">
      <c r="A11" s="1" t="s">
        <v>10</v>
      </c>
      <c r="B11" s="3" t="s">
        <v>11</v>
      </c>
      <c r="C11">
        <v>1409622</v>
      </c>
      <c r="D11">
        <v>1706941</v>
      </c>
      <c r="E11">
        <v>1398777</v>
      </c>
      <c r="F11">
        <v>1900549</v>
      </c>
      <c r="G11">
        <v>20865</v>
      </c>
      <c r="H11">
        <v>1330329</v>
      </c>
      <c r="I11">
        <v>2409069</v>
      </c>
      <c r="J11">
        <v>1324895</v>
      </c>
      <c r="K11">
        <v>2614966</v>
      </c>
      <c r="L11">
        <v>37074</v>
      </c>
      <c r="M11">
        <v>5027107</v>
      </c>
      <c r="N11">
        <v>18124513</v>
      </c>
      <c r="O11">
        <v>5015032</v>
      </c>
      <c r="P11">
        <v>18071527</v>
      </c>
      <c r="Q11">
        <v>84127</v>
      </c>
      <c r="R11">
        <v>98809</v>
      </c>
      <c r="S11">
        <v>244310</v>
      </c>
      <c r="T11">
        <v>99765</v>
      </c>
      <c r="U11">
        <v>248012</v>
      </c>
      <c r="V11">
        <v>3089</v>
      </c>
      <c r="W11">
        <v>5201</v>
      </c>
      <c r="X11">
        <v>67738</v>
      </c>
      <c r="Y11">
        <v>5217</v>
      </c>
      <c r="Z11">
        <v>67106</v>
      </c>
      <c r="AA11">
        <v>267</v>
      </c>
      <c r="AB11">
        <v>401802</v>
      </c>
      <c r="AC11">
        <v>435492</v>
      </c>
      <c r="AD11">
        <v>402616</v>
      </c>
      <c r="AE11">
        <v>437521</v>
      </c>
      <c r="AF11">
        <v>4183</v>
      </c>
      <c r="AG11">
        <v>232845</v>
      </c>
      <c r="AH11">
        <v>474698</v>
      </c>
      <c r="AI11">
        <v>231609</v>
      </c>
      <c r="AJ11">
        <v>473077</v>
      </c>
      <c r="AK11">
        <v>5600</v>
      </c>
      <c r="AL11">
        <v>483237</v>
      </c>
      <c r="AM11">
        <v>2075627</v>
      </c>
      <c r="AN11">
        <v>486073</v>
      </c>
      <c r="AO11">
        <v>2087347</v>
      </c>
      <c r="AP11">
        <v>15275</v>
      </c>
      <c r="AQ11">
        <v>9586</v>
      </c>
      <c r="AR11">
        <v>98169</v>
      </c>
      <c r="AS11">
        <v>9620</v>
      </c>
      <c r="AT11">
        <v>97874</v>
      </c>
      <c r="AU11">
        <v>222</v>
      </c>
      <c r="AV11">
        <v>83554</v>
      </c>
      <c r="AW11">
        <v>43969</v>
      </c>
      <c r="AX11">
        <v>84217</v>
      </c>
      <c r="AY11">
        <v>46234</v>
      </c>
      <c r="AZ11">
        <v>4168</v>
      </c>
      <c r="BA11">
        <v>7387</v>
      </c>
      <c r="BB11">
        <v>50985</v>
      </c>
      <c r="BC11">
        <v>7388</v>
      </c>
      <c r="BD11">
        <v>51225</v>
      </c>
      <c r="BE11">
        <v>210</v>
      </c>
      <c r="BF11">
        <v>93201</v>
      </c>
      <c r="BG11">
        <v>16806</v>
      </c>
      <c r="BH11">
        <v>137377</v>
      </c>
      <c r="BI11">
        <v>23160</v>
      </c>
      <c r="BJ11">
        <v>11287</v>
      </c>
      <c r="BK11">
        <v>52342</v>
      </c>
      <c r="BL11">
        <v>15875</v>
      </c>
      <c r="BM11">
        <v>177819</v>
      </c>
      <c r="BN11">
        <v>47369</v>
      </c>
      <c r="BO11">
        <v>16963</v>
      </c>
      <c r="BP11">
        <v>54087</v>
      </c>
      <c r="BQ11">
        <v>29298</v>
      </c>
      <c r="BR11">
        <v>115689</v>
      </c>
      <c r="BS11">
        <v>61993</v>
      </c>
      <c r="BT11">
        <v>10112</v>
      </c>
      <c r="BU11">
        <v>481177</v>
      </c>
      <c r="BV11">
        <v>442922</v>
      </c>
      <c r="BW11">
        <v>492080</v>
      </c>
      <c r="BX11">
        <v>445134</v>
      </c>
      <c r="BY11">
        <v>31618</v>
      </c>
      <c r="BZ11">
        <v>30002</v>
      </c>
      <c r="CA11">
        <v>10173</v>
      </c>
      <c r="CB11">
        <v>11244</v>
      </c>
      <c r="CC11">
        <v>31129</v>
      </c>
      <c r="CD11">
        <v>77986</v>
      </c>
      <c r="CE11">
        <v>90249</v>
      </c>
      <c r="CF11">
        <v>49549</v>
      </c>
      <c r="CG11">
        <v>193100</v>
      </c>
      <c r="CH11">
        <v>3294262</v>
      </c>
      <c r="CI11">
        <v>9789991</v>
      </c>
      <c r="CJ11">
        <v>210851</v>
      </c>
      <c r="CK11">
        <v>978826</v>
      </c>
      <c r="CL11">
        <v>36132</v>
      </c>
      <c r="CM11">
        <v>80964</v>
      </c>
    </row>
    <row r="12" spans="1:91" x14ac:dyDescent="0.4">
      <c r="A12" s="1" t="s">
        <v>12</v>
      </c>
      <c r="B12" s="3" t="s">
        <v>13</v>
      </c>
      <c r="C12">
        <v>1254962</v>
      </c>
      <c r="D12">
        <v>1666213</v>
      </c>
      <c r="E12">
        <v>1247217</v>
      </c>
      <c r="F12">
        <v>1779651</v>
      </c>
      <c r="G12">
        <v>28931</v>
      </c>
      <c r="H12">
        <v>1132544</v>
      </c>
      <c r="I12">
        <v>2227300</v>
      </c>
      <c r="J12">
        <v>1137207</v>
      </c>
      <c r="K12">
        <v>2412371</v>
      </c>
      <c r="L12">
        <v>32524</v>
      </c>
      <c r="M12">
        <v>4751682</v>
      </c>
      <c r="N12">
        <v>18437345</v>
      </c>
      <c r="O12">
        <v>4828405</v>
      </c>
      <c r="P12">
        <v>18745949</v>
      </c>
      <c r="Q12">
        <v>66286</v>
      </c>
      <c r="R12">
        <v>94601</v>
      </c>
      <c r="S12">
        <v>275490</v>
      </c>
      <c r="T12">
        <v>96628</v>
      </c>
      <c r="U12">
        <v>283276</v>
      </c>
      <c r="V12">
        <v>1518</v>
      </c>
      <c r="W12">
        <v>6239</v>
      </c>
      <c r="X12">
        <v>105834</v>
      </c>
      <c r="Y12">
        <v>6257</v>
      </c>
      <c r="Z12">
        <v>104315</v>
      </c>
      <c r="AA12">
        <v>249</v>
      </c>
      <c r="AB12">
        <v>345355</v>
      </c>
      <c r="AC12">
        <v>399301</v>
      </c>
      <c r="AD12">
        <v>345532</v>
      </c>
      <c r="AE12">
        <v>404809</v>
      </c>
      <c r="AF12">
        <v>3992</v>
      </c>
      <c r="AG12">
        <v>189167</v>
      </c>
      <c r="AH12">
        <v>382309</v>
      </c>
      <c r="AI12">
        <v>190174</v>
      </c>
      <c r="AJ12">
        <v>389742</v>
      </c>
      <c r="AK12">
        <v>4549</v>
      </c>
      <c r="AL12">
        <v>451133</v>
      </c>
      <c r="AM12">
        <v>2049634</v>
      </c>
      <c r="AN12">
        <v>451345</v>
      </c>
      <c r="AO12">
        <v>2051046</v>
      </c>
      <c r="AP12">
        <v>14951</v>
      </c>
      <c r="AQ12">
        <v>8962</v>
      </c>
      <c r="AR12">
        <v>98725</v>
      </c>
      <c r="AS12">
        <v>9158</v>
      </c>
      <c r="AT12">
        <v>100767</v>
      </c>
      <c r="AU12">
        <v>178</v>
      </c>
      <c r="AV12">
        <v>90458</v>
      </c>
      <c r="AW12">
        <v>51022</v>
      </c>
      <c r="AX12">
        <v>90540</v>
      </c>
      <c r="AY12">
        <v>54167</v>
      </c>
      <c r="AZ12">
        <v>4071</v>
      </c>
      <c r="BA12">
        <v>6786</v>
      </c>
      <c r="BB12">
        <v>51602</v>
      </c>
      <c r="BC12">
        <v>6857</v>
      </c>
      <c r="BD12">
        <v>52330</v>
      </c>
      <c r="BE12">
        <v>139</v>
      </c>
      <c r="BF12">
        <v>108670</v>
      </c>
      <c r="BG12">
        <v>19647</v>
      </c>
      <c r="BH12">
        <v>154988</v>
      </c>
      <c r="BI12">
        <v>26640</v>
      </c>
      <c r="BJ12">
        <v>11474</v>
      </c>
      <c r="BK12">
        <v>49926</v>
      </c>
      <c r="BL12">
        <v>16025</v>
      </c>
      <c r="BM12">
        <v>144840</v>
      </c>
      <c r="BN12">
        <v>39884</v>
      </c>
      <c r="BO12">
        <v>12595</v>
      </c>
      <c r="BP12">
        <v>53558</v>
      </c>
      <c r="BQ12">
        <v>30278</v>
      </c>
      <c r="BR12">
        <v>95375</v>
      </c>
      <c r="BS12">
        <v>54397</v>
      </c>
      <c r="BT12">
        <v>5862</v>
      </c>
      <c r="BU12">
        <v>427229</v>
      </c>
      <c r="BV12">
        <v>410058</v>
      </c>
      <c r="BW12">
        <v>441349</v>
      </c>
      <c r="BX12">
        <v>416839</v>
      </c>
      <c r="BY12">
        <v>26590</v>
      </c>
      <c r="BZ12">
        <v>32874</v>
      </c>
      <c r="CA12">
        <v>12686</v>
      </c>
      <c r="CB12">
        <v>11946</v>
      </c>
      <c r="CC12">
        <v>35354</v>
      </c>
      <c r="CD12">
        <v>77788</v>
      </c>
      <c r="CE12">
        <v>104145</v>
      </c>
      <c r="CF12">
        <v>50919</v>
      </c>
      <c r="CG12">
        <v>211799</v>
      </c>
      <c r="CH12">
        <v>3452064</v>
      </c>
      <c r="CI12">
        <v>10961296</v>
      </c>
      <c r="CJ12">
        <v>171695</v>
      </c>
      <c r="CK12">
        <v>846583</v>
      </c>
      <c r="CL12">
        <v>44967</v>
      </c>
      <c r="CM12">
        <v>103303</v>
      </c>
    </row>
    <row r="13" spans="1:91" x14ac:dyDescent="0.4">
      <c r="A13" s="1" t="s">
        <v>14</v>
      </c>
      <c r="B13" s="3" t="s">
        <v>15</v>
      </c>
      <c r="C13">
        <v>1377423</v>
      </c>
      <c r="D13">
        <v>1787346</v>
      </c>
      <c r="E13">
        <v>1384873</v>
      </c>
      <c r="F13">
        <v>1925431</v>
      </c>
      <c r="G13">
        <v>21534</v>
      </c>
      <c r="H13">
        <v>1127613</v>
      </c>
      <c r="I13">
        <v>2202370</v>
      </c>
      <c r="J13">
        <v>1133976</v>
      </c>
      <c r="K13">
        <v>2423258</v>
      </c>
      <c r="L13">
        <v>26088</v>
      </c>
      <c r="M13">
        <v>4702091</v>
      </c>
      <c r="N13">
        <v>18471161</v>
      </c>
      <c r="O13">
        <v>4782301</v>
      </c>
      <c r="P13">
        <v>18969207</v>
      </c>
      <c r="Q13">
        <v>66771</v>
      </c>
      <c r="R13">
        <v>112920</v>
      </c>
      <c r="S13">
        <v>389187</v>
      </c>
      <c r="T13">
        <v>111791</v>
      </c>
      <c r="U13">
        <v>386928</v>
      </c>
      <c r="V13">
        <v>2904</v>
      </c>
      <c r="W13">
        <v>6465</v>
      </c>
      <c r="X13">
        <v>121803</v>
      </c>
      <c r="Y13">
        <v>6468</v>
      </c>
      <c r="Z13">
        <v>121247</v>
      </c>
      <c r="AA13">
        <v>243</v>
      </c>
      <c r="AB13">
        <v>366738</v>
      </c>
      <c r="AC13">
        <v>414424</v>
      </c>
      <c r="AD13">
        <v>362141</v>
      </c>
      <c r="AE13">
        <v>413659</v>
      </c>
      <c r="AF13">
        <v>8584</v>
      </c>
      <c r="AG13">
        <v>225416</v>
      </c>
      <c r="AH13">
        <v>480318</v>
      </c>
      <c r="AI13">
        <v>226977</v>
      </c>
      <c r="AJ13">
        <v>473076</v>
      </c>
      <c r="AK13">
        <v>3088</v>
      </c>
      <c r="AL13">
        <v>481775</v>
      </c>
      <c r="AM13">
        <v>2153971</v>
      </c>
      <c r="AN13">
        <v>483135</v>
      </c>
      <c r="AO13">
        <v>2165560</v>
      </c>
      <c r="AP13">
        <v>13532</v>
      </c>
      <c r="AQ13">
        <v>9893</v>
      </c>
      <c r="AR13">
        <v>115756</v>
      </c>
      <c r="AS13">
        <v>9883</v>
      </c>
      <c r="AT13">
        <v>114735</v>
      </c>
      <c r="AU13">
        <v>236</v>
      </c>
      <c r="AV13">
        <v>87641</v>
      </c>
      <c r="AW13">
        <v>46584</v>
      </c>
      <c r="AX13">
        <v>88903</v>
      </c>
      <c r="AY13">
        <v>50642</v>
      </c>
      <c r="AZ13">
        <v>2679</v>
      </c>
      <c r="BA13">
        <v>7159</v>
      </c>
      <c r="BB13">
        <v>60828</v>
      </c>
      <c r="BC13">
        <v>7192</v>
      </c>
      <c r="BD13">
        <v>61381</v>
      </c>
      <c r="BE13">
        <v>106</v>
      </c>
      <c r="BF13">
        <v>103320</v>
      </c>
      <c r="BG13">
        <v>20775</v>
      </c>
      <c r="BH13">
        <v>148122</v>
      </c>
      <c r="BI13">
        <v>32277</v>
      </c>
      <c r="BJ13">
        <v>8135</v>
      </c>
      <c r="BK13">
        <v>44658</v>
      </c>
      <c r="BL13">
        <v>14759</v>
      </c>
      <c r="BM13">
        <v>134732</v>
      </c>
      <c r="BN13">
        <v>37750</v>
      </c>
      <c r="BO13">
        <v>14767</v>
      </c>
      <c r="BP13">
        <v>50946</v>
      </c>
      <c r="BQ13">
        <v>30617</v>
      </c>
      <c r="BR13">
        <v>113194</v>
      </c>
      <c r="BS13">
        <v>64935</v>
      </c>
      <c r="BT13">
        <v>8411</v>
      </c>
      <c r="BU13">
        <v>484167</v>
      </c>
      <c r="BV13">
        <v>503605</v>
      </c>
      <c r="BW13">
        <v>499388</v>
      </c>
      <c r="BX13">
        <v>508960</v>
      </c>
      <c r="BY13">
        <v>27173</v>
      </c>
      <c r="BZ13">
        <v>34542</v>
      </c>
      <c r="CA13">
        <v>13762</v>
      </c>
      <c r="CB13">
        <v>12060</v>
      </c>
      <c r="CC13">
        <v>37116</v>
      </c>
      <c r="CD13">
        <v>72792</v>
      </c>
      <c r="CE13">
        <v>108609</v>
      </c>
      <c r="CF13">
        <v>49870</v>
      </c>
      <c r="CG13">
        <v>230752</v>
      </c>
      <c r="CH13">
        <v>3354839</v>
      </c>
      <c r="CI13">
        <v>10992446</v>
      </c>
      <c r="CJ13">
        <v>140853</v>
      </c>
      <c r="CK13">
        <v>651739</v>
      </c>
      <c r="CL13">
        <v>55597</v>
      </c>
      <c r="CM13">
        <v>117104</v>
      </c>
    </row>
    <row r="14" spans="1:91" x14ac:dyDescent="0.4">
      <c r="A14" s="1" t="s">
        <v>16</v>
      </c>
      <c r="B14" s="1" t="s">
        <v>17</v>
      </c>
      <c r="C14">
        <v>94827</v>
      </c>
      <c r="D14">
        <v>130839</v>
      </c>
      <c r="E14">
        <v>95131</v>
      </c>
      <c r="F14">
        <v>137545</v>
      </c>
      <c r="G14">
        <v>14761</v>
      </c>
      <c r="H14">
        <v>94235</v>
      </c>
      <c r="I14">
        <v>186318</v>
      </c>
      <c r="J14">
        <v>94690</v>
      </c>
      <c r="K14">
        <v>202666</v>
      </c>
      <c r="L14">
        <v>33913</v>
      </c>
      <c r="M14">
        <v>419062</v>
      </c>
      <c r="N14">
        <v>1585437</v>
      </c>
      <c r="O14">
        <v>425417</v>
      </c>
      <c r="P14">
        <v>1620176</v>
      </c>
      <c r="Q14">
        <v>95654</v>
      </c>
      <c r="R14">
        <v>8035</v>
      </c>
      <c r="S14">
        <v>20850</v>
      </c>
      <c r="T14">
        <v>6865</v>
      </c>
      <c r="U14">
        <v>19902</v>
      </c>
      <c r="V14">
        <v>2635</v>
      </c>
      <c r="W14">
        <v>464</v>
      </c>
      <c r="X14">
        <v>7122</v>
      </c>
      <c r="Y14">
        <v>497</v>
      </c>
      <c r="Z14">
        <v>9106</v>
      </c>
      <c r="AA14">
        <v>239</v>
      </c>
      <c r="AB14">
        <v>37704</v>
      </c>
      <c r="AC14">
        <v>41667</v>
      </c>
      <c r="AD14">
        <v>37930</v>
      </c>
      <c r="AE14">
        <v>42215</v>
      </c>
      <c r="AF14">
        <v>1827</v>
      </c>
      <c r="AG14">
        <v>18431</v>
      </c>
      <c r="AH14">
        <v>37993</v>
      </c>
      <c r="AI14">
        <v>17834</v>
      </c>
      <c r="AJ14">
        <v>36705</v>
      </c>
      <c r="AK14">
        <v>2357</v>
      </c>
      <c r="AL14">
        <v>36719</v>
      </c>
      <c r="AM14">
        <v>179668</v>
      </c>
      <c r="AN14">
        <v>37215</v>
      </c>
      <c r="AO14">
        <v>179070</v>
      </c>
      <c r="AP14">
        <v>15347</v>
      </c>
      <c r="AQ14">
        <v>912</v>
      </c>
      <c r="AR14">
        <v>10659</v>
      </c>
      <c r="AS14">
        <v>959</v>
      </c>
      <c r="AT14">
        <v>11083</v>
      </c>
      <c r="AU14">
        <v>148</v>
      </c>
      <c r="AV14">
        <v>10572</v>
      </c>
      <c r="AW14">
        <v>6515</v>
      </c>
      <c r="AX14">
        <v>9807</v>
      </c>
      <c r="AY14">
        <v>6735</v>
      </c>
      <c r="AZ14">
        <v>5325</v>
      </c>
      <c r="BA14">
        <v>761</v>
      </c>
      <c r="BB14">
        <v>5863</v>
      </c>
      <c r="BC14">
        <v>863</v>
      </c>
      <c r="BD14">
        <v>6723</v>
      </c>
      <c r="BE14">
        <v>109</v>
      </c>
      <c r="BF14">
        <v>8945</v>
      </c>
      <c r="BG14">
        <v>1563</v>
      </c>
      <c r="BH14">
        <v>16635</v>
      </c>
      <c r="BI14">
        <v>2707</v>
      </c>
      <c r="BJ14">
        <v>7922</v>
      </c>
      <c r="BK14">
        <v>3382</v>
      </c>
      <c r="BL14">
        <v>1013</v>
      </c>
      <c r="BM14">
        <v>13239</v>
      </c>
      <c r="BN14">
        <v>3457</v>
      </c>
      <c r="BO14">
        <v>14459</v>
      </c>
      <c r="BP14">
        <v>4171</v>
      </c>
      <c r="BQ14">
        <v>2281</v>
      </c>
      <c r="BR14">
        <v>6790</v>
      </c>
      <c r="BS14">
        <v>3591</v>
      </c>
      <c r="BT14">
        <v>10548</v>
      </c>
      <c r="BU14">
        <v>39637</v>
      </c>
      <c r="BV14">
        <v>37907</v>
      </c>
      <c r="BW14">
        <v>46339</v>
      </c>
      <c r="BX14">
        <v>43095</v>
      </c>
      <c r="BY14">
        <v>30066</v>
      </c>
      <c r="BZ14">
        <v>2147</v>
      </c>
      <c r="CA14">
        <v>888</v>
      </c>
      <c r="CB14">
        <v>1149</v>
      </c>
      <c r="CC14">
        <v>3562</v>
      </c>
      <c r="CD14">
        <v>6027</v>
      </c>
      <c r="CE14">
        <v>8516</v>
      </c>
      <c r="CF14">
        <v>4797</v>
      </c>
      <c r="CG14">
        <v>24829</v>
      </c>
      <c r="CH14">
        <v>313693</v>
      </c>
      <c r="CI14">
        <v>945794</v>
      </c>
      <c r="CJ14">
        <v>16339</v>
      </c>
      <c r="CK14">
        <v>80071</v>
      </c>
      <c r="CL14">
        <v>3932</v>
      </c>
      <c r="CM14">
        <v>7522</v>
      </c>
    </row>
    <row r="15" spans="1:91" x14ac:dyDescent="0.4">
      <c r="A15" s="1" t="s">
        <v>18</v>
      </c>
      <c r="B15" s="1" t="s">
        <v>19</v>
      </c>
      <c r="C15">
        <v>82311</v>
      </c>
      <c r="D15">
        <v>109653</v>
      </c>
      <c r="E15">
        <v>80174</v>
      </c>
      <c r="F15">
        <v>112517</v>
      </c>
      <c r="G15">
        <v>16972</v>
      </c>
      <c r="H15">
        <v>95801</v>
      </c>
      <c r="I15">
        <v>182251</v>
      </c>
      <c r="J15">
        <v>95510</v>
      </c>
      <c r="K15">
        <v>196619</v>
      </c>
      <c r="L15">
        <v>34204</v>
      </c>
      <c r="M15">
        <v>374202</v>
      </c>
      <c r="N15">
        <v>1487389</v>
      </c>
      <c r="O15">
        <v>397269</v>
      </c>
      <c r="P15">
        <v>1589348</v>
      </c>
      <c r="Q15">
        <v>76722</v>
      </c>
      <c r="R15">
        <v>8667</v>
      </c>
      <c r="S15">
        <v>23767</v>
      </c>
      <c r="T15">
        <v>8727</v>
      </c>
      <c r="U15">
        <v>24069</v>
      </c>
      <c r="V15">
        <v>2618</v>
      </c>
      <c r="W15">
        <v>497</v>
      </c>
      <c r="X15">
        <v>7124</v>
      </c>
      <c r="Y15">
        <v>533</v>
      </c>
      <c r="Z15">
        <v>6874</v>
      </c>
      <c r="AA15">
        <v>203</v>
      </c>
      <c r="AB15">
        <v>24899</v>
      </c>
      <c r="AC15">
        <v>29088</v>
      </c>
      <c r="AD15">
        <v>23868</v>
      </c>
      <c r="AE15">
        <v>28322</v>
      </c>
      <c r="AF15">
        <v>2858</v>
      </c>
      <c r="AG15">
        <v>18867</v>
      </c>
      <c r="AH15">
        <v>41226</v>
      </c>
      <c r="AI15">
        <v>17997</v>
      </c>
      <c r="AJ15">
        <v>39352</v>
      </c>
      <c r="AK15">
        <v>3223</v>
      </c>
      <c r="AL15">
        <v>40602</v>
      </c>
      <c r="AM15">
        <v>181772</v>
      </c>
      <c r="AN15">
        <v>39991</v>
      </c>
      <c r="AO15">
        <v>176248</v>
      </c>
      <c r="AP15">
        <v>15984</v>
      </c>
      <c r="AQ15">
        <v>558</v>
      </c>
      <c r="AR15">
        <v>6630</v>
      </c>
      <c r="AS15">
        <v>593</v>
      </c>
      <c r="AT15">
        <v>6951</v>
      </c>
      <c r="AU15">
        <v>113</v>
      </c>
      <c r="AV15">
        <v>7865</v>
      </c>
      <c r="AW15">
        <v>4220</v>
      </c>
      <c r="AX15">
        <v>9388</v>
      </c>
      <c r="AY15">
        <v>4978</v>
      </c>
      <c r="AZ15">
        <v>3801</v>
      </c>
      <c r="BA15">
        <v>483</v>
      </c>
      <c r="BB15">
        <v>3480</v>
      </c>
      <c r="BC15">
        <v>422</v>
      </c>
      <c r="BD15">
        <v>3015</v>
      </c>
      <c r="BE15">
        <v>170</v>
      </c>
      <c r="BF15">
        <v>9289</v>
      </c>
      <c r="BG15">
        <v>1704</v>
      </c>
      <c r="BH15">
        <v>12684</v>
      </c>
      <c r="BI15">
        <v>2246</v>
      </c>
      <c r="BJ15">
        <v>8258</v>
      </c>
      <c r="BK15">
        <v>4256</v>
      </c>
      <c r="BL15">
        <v>1410</v>
      </c>
      <c r="BM15">
        <v>11266</v>
      </c>
      <c r="BN15">
        <v>3036</v>
      </c>
      <c r="BO15">
        <v>15827</v>
      </c>
      <c r="BP15">
        <v>4008</v>
      </c>
      <c r="BQ15">
        <v>2051</v>
      </c>
      <c r="BR15">
        <v>8100</v>
      </c>
      <c r="BS15">
        <v>4242</v>
      </c>
      <c r="BT15">
        <v>9556</v>
      </c>
      <c r="BU15">
        <v>34998</v>
      </c>
      <c r="BV15">
        <v>33603</v>
      </c>
      <c r="BW15">
        <v>36361</v>
      </c>
      <c r="BX15">
        <v>34595</v>
      </c>
      <c r="BY15">
        <v>30444</v>
      </c>
      <c r="BZ15">
        <v>2551</v>
      </c>
      <c r="CA15">
        <v>958</v>
      </c>
      <c r="CB15">
        <v>1004</v>
      </c>
      <c r="CC15">
        <v>2814</v>
      </c>
      <c r="CD15">
        <v>6038</v>
      </c>
      <c r="CE15">
        <v>7197</v>
      </c>
      <c r="CF15">
        <v>4142</v>
      </c>
      <c r="CG15">
        <v>15156</v>
      </c>
      <c r="CH15">
        <v>272261</v>
      </c>
      <c r="CI15">
        <v>881005</v>
      </c>
      <c r="CJ15">
        <v>11770</v>
      </c>
      <c r="CK15">
        <v>65694</v>
      </c>
      <c r="CL15">
        <v>3229</v>
      </c>
      <c r="CM15">
        <v>7053</v>
      </c>
    </row>
    <row r="16" spans="1:91" x14ac:dyDescent="0.4">
      <c r="A16" s="1" t="s">
        <v>20</v>
      </c>
      <c r="B16" s="1" t="s">
        <v>21</v>
      </c>
      <c r="C16">
        <v>95261</v>
      </c>
      <c r="D16">
        <v>126983</v>
      </c>
      <c r="E16">
        <v>91910</v>
      </c>
      <c r="F16">
        <v>134037</v>
      </c>
      <c r="G16">
        <v>20373</v>
      </c>
      <c r="H16">
        <v>91119</v>
      </c>
      <c r="I16">
        <v>180159</v>
      </c>
      <c r="J16">
        <v>86814</v>
      </c>
      <c r="K16">
        <v>176715</v>
      </c>
      <c r="L16">
        <v>38514</v>
      </c>
      <c r="M16">
        <v>373346</v>
      </c>
      <c r="N16">
        <v>1473553</v>
      </c>
      <c r="O16">
        <v>347773</v>
      </c>
      <c r="P16">
        <v>1366768</v>
      </c>
      <c r="Q16">
        <v>107295</v>
      </c>
      <c r="R16">
        <v>8870</v>
      </c>
      <c r="S16">
        <v>25682</v>
      </c>
      <c r="T16">
        <v>8096</v>
      </c>
      <c r="U16">
        <v>23235</v>
      </c>
      <c r="V16">
        <v>3453</v>
      </c>
      <c r="W16">
        <v>385</v>
      </c>
      <c r="X16">
        <v>6234</v>
      </c>
      <c r="Y16">
        <v>399</v>
      </c>
      <c r="Z16">
        <v>5844</v>
      </c>
      <c r="AA16">
        <v>189</v>
      </c>
      <c r="AB16">
        <v>26256</v>
      </c>
      <c r="AC16">
        <v>30454</v>
      </c>
      <c r="AD16">
        <v>25784</v>
      </c>
      <c r="AE16">
        <v>30207</v>
      </c>
      <c r="AF16">
        <v>3320</v>
      </c>
      <c r="AG16">
        <v>16436</v>
      </c>
      <c r="AH16">
        <v>33977</v>
      </c>
      <c r="AI16">
        <v>16536</v>
      </c>
      <c r="AJ16">
        <v>34330</v>
      </c>
      <c r="AK16">
        <v>3127</v>
      </c>
      <c r="AL16">
        <v>39086</v>
      </c>
      <c r="AM16">
        <v>170547</v>
      </c>
      <c r="AN16">
        <v>33501</v>
      </c>
      <c r="AO16">
        <v>148945</v>
      </c>
      <c r="AP16">
        <v>21605</v>
      </c>
      <c r="AQ16">
        <v>526</v>
      </c>
      <c r="AR16">
        <v>5480</v>
      </c>
      <c r="AS16">
        <v>517</v>
      </c>
      <c r="AT16">
        <v>5343</v>
      </c>
      <c r="AU16">
        <v>122</v>
      </c>
      <c r="AV16">
        <v>8072</v>
      </c>
      <c r="AW16">
        <v>4094</v>
      </c>
      <c r="AX16">
        <v>7928</v>
      </c>
      <c r="AY16">
        <v>4129</v>
      </c>
      <c r="AZ16">
        <v>3945</v>
      </c>
      <c r="BA16">
        <v>505</v>
      </c>
      <c r="BB16">
        <v>3869</v>
      </c>
      <c r="BC16">
        <v>483</v>
      </c>
      <c r="BD16">
        <v>3693</v>
      </c>
      <c r="BE16">
        <v>192</v>
      </c>
      <c r="BF16">
        <v>7975</v>
      </c>
      <c r="BG16">
        <v>1443</v>
      </c>
      <c r="BH16">
        <v>12132</v>
      </c>
      <c r="BI16">
        <v>2070</v>
      </c>
      <c r="BJ16">
        <v>6692</v>
      </c>
      <c r="BK16">
        <v>4195</v>
      </c>
      <c r="BL16">
        <v>1298</v>
      </c>
      <c r="BM16">
        <v>11130</v>
      </c>
      <c r="BN16">
        <v>3041</v>
      </c>
      <c r="BO16">
        <v>15819</v>
      </c>
      <c r="BP16">
        <v>3399</v>
      </c>
      <c r="BQ16">
        <v>1971</v>
      </c>
      <c r="BR16">
        <v>6941</v>
      </c>
      <c r="BS16">
        <v>4133</v>
      </c>
      <c r="BT16">
        <v>9746</v>
      </c>
      <c r="BU16">
        <v>28371</v>
      </c>
      <c r="BV16">
        <v>27460</v>
      </c>
      <c r="BW16">
        <v>29625</v>
      </c>
      <c r="BX16">
        <v>28594</v>
      </c>
      <c r="BY16">
        <v>29594</v>
      </c>
      <c r="BZ16">
        <v>2640</v>
      </c>
      <c r="CA16">
        <v>1030</v>
      </c>
      <c r="CB16">
        <v>896</v>
      </c>
      <c r="CC16">
        <v>2512</v>
      </c>
      <c r="CD16">
        <v>6186</v>
      </c>
      <c r="CE16">
        <v>7687</v>
      </c>
      <c r="CF16">
        <v>4143</v>
      </c>
      <c r="CG16">
        <v>15764</v>
      </c>
      <c r="CH16">
        <v>257585</v>
      </c>
      <c r="CI16">
        <v>843321</v>
      </c>
      <c r="CJ16">
        <v>15723</v>
      </c>
      <c r="CK16">
        <v>72123</v>
      </c>
      <c r="CL16">
        <v>3009</v>
      </c>
      <c r="CM16">
        <v>6591</v>
      </c>
    </row>
    <row r="17" spans="1:91" x14ac:dyDescent="0.4">
      <c r="A17" s="1" t="s">
        <v>22</v>
      </c>
      <c r="B17" s="1" t="s">
        <v>23</v>
      </c>
      <c r="C17">
        <v>106283</v>
      </c>
      <c r="D17">
        <v>138494</v>
      </c>
      <c r="E17">
        <v>105166</v>
      </c>
      <c r="F17">
        <v>150208</v>
      </c>
      <c r="G17">
        <v>21490</v>
      </c>
      <c r="H17">
        <v>92567</v>
      </c>
      <c r="I17">
        <v>188223</v>
      </c>
      <c r="J17">
        <v>95268</v>
      </c>
      <c r="K17">
        <v>205010</v>
      </c>
      <c r="L17">
        <v>35813</v>
      </c>
      <c r="M17">
        <v>394149</v>
      </c>
      <c r="N17">
        <v>1561894</v>
      </c>
      <c r="O17">
        <v>407525</v>
      </c>
      <c r="P17">
        <v>1604202</v>
      </c>
      <c r="Q17">
        <v>99419</v>
      </c>
      <c r="R17">
        <v>8614</v>
      </c>
      <c r="S17">
        <v>25330</v>
      </c>
      <c r="T17">
        <v>9444</v>
      </c>
      <c r="U17">
        <v>28541</v>
      </c>
      <c r="V17">
        <v>2676</v>
      </c>
      <c r="W17">
        <v>463</v>
      </c>
      <c r="X17">
        <v>8534</v>
      </c>
      <c r="Y17">
        <v>417</v>
      </c>
      <c r="Z17">
        <v>7671</v>
      </c>
      <c r="AA17">
        <v>235</v>
      </c>
      <c r="AB17">
        <v>30880</v>
      </c>
      <c r="AC17">
        <v>35543</v>
      </c>
      <c r="AD17">
        <v>30104</v>
      </c>
      <c r="AE17">
        <v>34726</v>
      </c>
      <c r="AF17">
        <v>4096</v>
      </c>
      <c r="AG17">
        <v>18939</v>
      </c>
      <c r="AH17">
        <v>39680</v>
      </c>
      <c r="AI17">
        <v>19689</v>
      </c>
      <c r="AJ17">
        <v>42090</v>
      </c>
      <c r="AK17">
        <v>2377</v>
      </c>
      <c r="AL17">
        <v>38793</v>
      </c>
      <c r="AM17">
        <v>167289</v>
      </c>
      <c r="AN17">
        <v>40697</v>
      </c>
      <c r="AO17">
        <v>180461</v>
      </c>
      <c r="AP17">
        <v>19702</v>
      </c>
      <c r="AQ17">
        <v>598</v>
      </c>
      <c r="AR17">
        <v>6072</v>
      </c>
      <c r="AS17">
        <v>524</v>
      </c>
      <c r="AT17">
        <v>5566</v>
      </c>
      <c r="AU17">
        <v>196</v>
      </c>
      <c r="AV17">
        <v>8721</v>
      </c>
      <c r="AW17">
        <v>4177</v>
      </c>
      <c r="AX17">
        <v>8194</v>
      </c>
      <c r="AY17">
        <v>4235</v>
      </c>
      <c r="AZ17">
        <v>4470</v>
      </c>
      <c r="BA17">
        <v>583</v>
      </c>
      <c r="BB17">
        <v>4460</v>
      </c>
      <c r="BC17">
        <v>542</v>
      </c>
      <c r="BD17">
        <v>4128</v>
      </c>
      <c r="BE17">
        <v>233</v>
      </c>
      <c r="BF17">
        <v>6809</v>
      </c>
      <c r="BG17">
        <v>1193</v>
      </c>
      <c r="BH17">
        <v>10543</v>
      </c>
      <c r="BI17">
        <v>1731</v>
      </c>
      <c r="BJ17">
        <v>6135</v>
      </c>
      <c r="BK17">
        <v>4110</v>
      </c>
      <c r="BL17">
        <v>1195</v>
      </c>
      <c r="BM17">
        <v>10585</v>
      </c>
      <c r="BN17">
        <v>2871</v>
      </c>
      <c r="BO17">
        <v>16427</v>
      </c>
      <c r="BP17">
        <v>5992</v>
      </c>
      <c r="BQ17">
        <v>3484</v>
      </c>
      <c r="BR17">
        <v>6881</v>
      </c>
      <c r="BS17">
        <v>3801</v>
      </c>
      <c r="BT17">
        <v>11650</v>
      </c>
      <c r="BU17">
        <v>24699</v>
      </c>
      <c r="BV17">
        <v>24298</v>
      </c>
      <c r="BW17">
        <v>29089</v>
      </c>
      <c r="BX17">
        <v>28196</v>
      </c>
      <c r="BY17">
        <v>25541</v>
      </c>
      <c r="BZ17">
        <v>2979</v>
      </c>
      <c r="CA17">
        <v>1094</v>
      </c>
      <c r="CB17">
        <v>1072</v>
      </c>
      <c r="CC17">
        <v>3148</v>
      </c>
      <c r="CD17">
        <v>6364</v>
      </c>
      <c r="CE17">
        <v>8268</v>
      </c>
      <c r="CF17">
        <v>4378</v>
      </c>
      <c r="CG17">
        <v>17083</v>
      </c>
      <c r="CH17">
        <v>263012</v>
      </c>
      <c r="CI17">
        <v>851854</v>
      </c>
      <c r="CJ17">
        <v>13305</v>
      </c>
      <c r="CK17">
        <v>64178</v>
      </c>
      <c r="CL17">
        <v>3891</v>
      </c>
      <c r="CM17">
        <v>9048</v>
      </c>
    </row>
    <row r="18" spans="1:91" x14ac:dyDescent="0.4">
      <c r="A18" s="1" t="s">
        <v>24</v>
      </c>
      <c r="B18" s="1" t="s">
        <v>25</v>
      </c>
      <c r="C18">
        <v>121927</v>
      </c>
      <c r="D18">
        <v>158732</v>
      </c>
      <c r="E18">
        <v>123298</v>
      </c>
      <c r="F18">
        <v>172416</v>
      </c>
      <c r="G18">
        <v>20132</v>
      </c>
      <c r="H18">
        <v>109934</v>
      </c>
      <c r="I18">
        <v>214971</v>
      </c>
      <c r="J18">
        <v>106586</v>
      </c>
      <c r="K18">
        <v>228519</v>
      </c>
      <c r="L18">
        <v>39161</v>
      </c>
      <c r="M18">
        <v>459791</v>
      </c>
      <c r="N18">
        <v>1842671</v>
      </c>
      <c r="O18">
        <v>443678</v>
      </c>
      <c r="P18">
        <v>1785551</v>
      </c>
      <c r="Q18">
        <v>121423</v>
      </c>
      <c r="R18">
        <v>9304</v>
      </c>
      <c r="S18">
        <v>27797</v>
      </c>
      <c r="T18">
        <v>9017</v>
      </c>
      <c r="U18">
        <v>27743</v>
      </c>
      <c r="V18">
        <v>3031</v>
      </c>
      <c r="W18">
        <v>559</v>
      </c>
      <c r="X18">
        <v>10802</v>
      </c>
      <c r="Y18">
        <v>539</v>
      </c>
      <c r="Z18">
        <v>9209</v>
      </c>
      <c r="AA18">
        <v>255</v>
      </c>
      <c r="AB18">
        <v>36385</v>
      </c>
      <c r="AC18">
        <v>41849</v>
      </c>
      <c r="AD18">
        <v>35242</v>
      </c>
      <c r="AE18">
        <v>40151</v>
      </c>
      <c r="AF18">
        <v>5239</v>
      </c>
      <c r="AG18">
        <v>21975</v>
      </c>
      <c r="AH18">
        <v>46069</v>
      </c>
      <c r="AI18">
        <v>21137</v>
      </c>
      <c r="AJ18">
        <v>44181</v>
      </c>
      <c r="AK18">
        <v>3215</v>
      </c>
      <c r="AL18">
        <v>43511</v>
      </c>
      <c r="AM18">
        <v>202625</v>
      </c>
      <c r="AN18">
        <v>41282</v>
      </c>
      <c r="AO18">
        <v>191286</v>
      </c>
      <c r="AP18">
        <v>21930</v>
      </c>
      <c r="AQ18">
        <v>694</v>
      </c>
      <c r="AR18">
        <v>7720</v>
      </c>
      <c r="AS18">
        <v>733</v>
      </c>
      <c r="AT18">
        <v>7918</v>
      </c>
      <c r="AU18">
        <v>157</v>
      </c>
      <c r="AV18">
        <v>7307</v>
      </c>
      <c r="AW18">
        <v>3865</v>
      </c>
      <c r="AX18">
        <v>7911</v>
      </c>
      <c r="AY18">
        <v>4023</v>
      </c>
      <c r="AZ18">
        <v>3866</v>
      </c>
      <c r="BA18">
        <v>594</v>
      </c>
      <c r="BB18">
        <v>4507</v>
      </c>
      <c r="BC18">
        <v>632</v>
      </c>
      <c r="BD18">
        <v>4796</v>
      </c>
      <c r="BE18">
        <v>195</v>
      </c>
      <c r="BF18">
        <v>8213</v>
      </c>
      <c r="BG18">
        <v>1579</v>
      </c>
      <c r="BH18">
        <v>11372</v>
      </c>
      <c r="BI18">
        <v>2018</v>
      </c>
      <c r="BJ18">
        <v>6601</v>
      </c>
      <c r="BK18">
        <v>6001</v>
      </c>
      <c r="BL18">
        <v>2235</v>
      </c>
      <c r="BM18">
        <v>12803</v>
      </c>
      <c r="BN18">
        <v>3419</v>
      </c>
      <c r="BO18">
        <v>17841</v>
      </c>
      <c r="BP18">
        <v>4573</v>
      </c>
      <c r="BQ18">
        <v>2639</v>
      </c>
      <c r="BR18">
        <v>9668</v>
      </c>
      <c r="BS18">
        <v>6080</v>
      </c>
      <c r="BT18">
        <v>9959</v>
      </c>
      <c r="BU18">
        <v>26687</v>
      </c>
      <c r="BV18">
        <v>27306</v>
      </c>
      <c r="BW18">
        <v>29357</v>
      </c>
      <c r="BX18">
        <v>28121</v>
      </c>
      <c r="BY18">
        <v>24141</v>
      </c>
      <c r="BZ18">
        <v>3065</v>
      </c>
      <c r="CA18">
        <v>1205</v>
      </c>
      <c r="CB18">
        <v>1081</v>
      </c>
      <c r="CC18">
        <v>3211</v>
      </c>
      <c r="CD18">
        <v>7377</v>
      </c>
      <c r="CE18">
        <v>9670</v>
      </c>
      <c r="CF18">
        <v>4693</v>
      </c>
      <c r="CG18">
        <v>17836</v>
      </c>
      <c r="CH18">
        <v>320528</v>
      </c>
      <c r="CI18">
        <v>1059733</v>
      </c>
      <c r="CJ18">
        <v>13346</v>
      </c>
      <c r="CK18">
        <v>67388</v>
      </c>
      <c r="CL18">
        <v>4827</v>
      </c>
      <c r="CM18">
        <v>11521</v>
      </c>
    </row>
    <row r="19" spans="1:91" x14ac:dyDescent="0.4">
      <c r="A19" s="1" t="s">
        <v>26</v>
      </c>
      <c r="B19" s="1" t="s">
        <v>27</v>
      </c>
      <c r="C19">
        <v>91991</v>
      </c>
      <c r="D19">
        <v>119655</v>
      </c>
      <c r="E19">
        <v>89493</v>
      </c>
      <c r="F19">
        <v>125386</v>
      </c>
      <c r="G19">
        <v>22630</v>
      </c>
      <c r="H19">
        <v>83200</v>
      </c>
      <c r="I19">
        <v>154674</v>
      </c>
      <c r="J19">
        <v>80053</v>
      </c>
      <c r="K19">
        <v>168288</v>
      </c>
      <c r="L19">
        <v>42308</v>
      </c>
      <c r="M19">
        <v>287158</v>
      </c>
      <c r="N19">
        <v>1118082</v>
      </c>
      <c r="O19">
        <v>322456</v>
      </c>
      <c r="P19">
        <v>1259509</v>
      </c>
      <c r="Q19">
        <v>90284</v>
      </c>
      <c r="R19">
        <v>5704</v>
      </c>
      <c r="S19">
        <v>16379</v>
      </c>
      <c r="T19">
        <v>6498</v>
      </c>
      <c r="U19">
        <v>17999</v>
      </c>
      <c r="V19">
        <v>2276</v>
      </c>
      <c r="W19">
        <v>467</v>
      </c>
      <c r="X19">
        <v>8047</v>
      </c>
      <c r="Y19">
        <v>417</v>
      </c>
      <c r="Z19">
        <v>7551</v>
      </c>
      <c r="AA19">
        <v>305</v>
      </c>
      <c r="AB19">
        <v>27619</v>
      </c>
      <c r="AC19">
        <v>32092</v>
      </c>
      <c r="AD19">
        <v>27927</v>
      </c>
      <c r="AE19">
        <v>32436</v>
      </c>
      <c r="AF19">
        <v>4931</v>
      </c>
      <c r="AG19">
        <v>13435</v>
      </c>
      <c r="AH19">
        <v>27940</v>
      </c>
      <c r="AI19">
        <v>13839</v>
      </c>
      <c r="AJ19">
        <v>28508</v>
      </c>
      <c r="AK19">
        <v>2811</v>
      </c>
      <c r="AL19">
        <v>30733</v>
      </c>
      <c r="AM19">
        <v>142626</v>
      </c>
      <c r="AN19">
        <v>33411</v>
      </c>
      <c r="AO19">
        <v>153512</v>
      </c>
      <c r="AP19">
        <v>19249</v>
      </c>
      <c r="AQ19">
        <v>574</v>
      </c>
      <c r="AR19">
        <v>6578</v>
      </c>
      <c r="AS19">
        <v>592</v>
      </c>
      <c r="AT19">
        <v>6752</v>
      </c>
      <c r="AU19">
        <v>139</v>
      </c>
      <c r="AV19">
        <v>6475</v>
      </c>
      <c r="AW19">
        <v>3720</v>
      </c>
      <c r="AX19">
        <v>6352</v>
      </c>
      <c r="AY19">
        <v>3985</v>
      </c>
      <c r="AZ19">
        <v>3987</v>
      </c>
      <c r="BA19">
        <v>465</v>
      </c>
      <c r="BB19">
        <v>3618</v>
      </c>
      <c r="BC19">
        <v>480</v>
      </c>
      <c r="BD19">
        <v>3743</v>
      </c>
      <c r="BE19">
        <v>180</v>
      </c>
      <c r="BF19">
        <v>8987</v>
      </c>
      <c r="BG19">
        <v>1588</v>
      </c>
      <c r="BH19">
        <v>10628</v>
      </c>
      <c r="BI19">
        <v>1803</v>
      </c>
      <c r="BJ19">
        <v>8500</v>
      </c>
      <c r="BK19">
        <v>3247</v>
      </c>
      <c r="BL19">
        <v>1028</v>
      </c>
      <c r="BM19">
        <v>11386</v>
      </c>
      <c r="BN19">
        <v>3474</v>
      </c>
      <c r="BO19">
        <v>15671</v>
      </c>
      <c r="BP19">
        <v>6914</v>
      </c>
      <c r="BQ19">
        <v>3912</v>
      </c>
      <c r="BR19">
        <v>7498</v>
      </c>
      <c r="BS19">
        <v>4440</v>
      </c>
      <c r="BT19">
        <v>11972</v>
      </c>
      <c r="BU19">
        <v>21471</v>
      </c>
      <c r="BV19">
        <v>22164</v>
      </c>
      <c r="BW19">
        <v>20821</v>
      </c>
      <c r="BX19">
        <v>21042</v>
      </c>
      <c r="BY19">
        <v>26292</v>
      </c>
      <c r="BZ19">
        <v>2335</v>
      </c>
      <c r="CA19">
        <v>1035</v>
      </c>
      <c r="CB19">
        <v>785</v>
      </c>
      <c r="CC19">
        <v>2425</v>
      </c>
      <c r="CD19">
        <v>5644</v>
      </c>
      <c r="CE19">
        <v>7526</v>
      </c>
      <c r="CF19">
        <v>3555</v>
      </c>
      <c r="CG19">
        <v>13889</v>
      </c>
      <c r="CH19">
        <v>215768</v>
      </c>
      <c r="CI19">
        <v>670419</v>
      </c>
      <c r="CJ19">
        <v>9381</v>
      </c>
      <c r="CK19">
        <v>46486</v>
      </c>
      <c r="CL19">
        <v>2680</v>
      </c>
      <c r="CM19">
        <v>6993</v>
      </c>
    </row>
    <row r="20" spans="1:91" x14ac:dyDescent="0.4">
      <c r="A20" s="1" t="s">
        <v>28</v>
      </c>
      <c r="B20" s="1" t="s">
        <v>29</v>
      </c>
      <c r="C20">
        <v>122965</v>
      </c>
      <c r="D20">
        <v>161159</v>
      </c>
      <c r="E20">
        <v>122986</v>
      </c>
      <c r="F20">
        <v>169657</v>
      </c>
      <c r="G20">
        <v>22629</v>
      </c>
      <c r="H20">
        <v>111091</v>
      </c>
      <c r="I20">
        <v>208412</v>
      </c>
      <c r="J20">
        <v>117782</v>
      </c>
      <c r="K20">
        <v>240481</v>
      </c>
      <c r="L20">
        <v>35718</v>
      </c>
      <c r="M20">
        <v>422520</v>
      </c>
      <c r="N20">
        <v>1611311</v>
      </c>
      <c r="O20">
        <v>419689</v>
      </c>
      <c r="P20">
        <v>1589483</v>
      </c>
      <c r="Q20">
        <v>99093</v>
      </c>
      <c r="R20">
        <v>8833</v>
      </c>
      <c r="S20">
        <v>23309</v>
      </c>
      <c r="T20">
        <v>7854</v>
      </c>
      <c r="U20">
        <v>20751</v>
      </c>
      <c r="V20">
        <v>3304</v>
      </c>
      <c r="W20">
        <v>584</v>
      </c>
      <c r="X20">
        <v>10981</v>
      </c>
      <c r="Y20">
        <v>631</v>
      </c>
      <c r="Z20">
        <v>11622</v>
      </c>
      <c r="AA20">
        <v>258</v>
      </c>
      <c r="AB20">
        <v>38433</v>
      </c>
      <c r="AC20">
        <v>44009</v>
      </c>
      <c r="AD20">
        <v>38269</v>
      </c>
      <c r="AE20">
        <v>43419</v>
      </c>
      <c r="AF20">
        <v>5095</v>
      </c>
      <c r="AG20">
        <v>15380</v>
      </c>
      <c r="AH20">
        <v>28408</v>
      </c>
      <c r="AI20">
        <v>14352</v>
      </c>
      <c r="AJ20">
        <v>27025</v>
      </c>
      <c r="AK20">
        <v>3845</v>
      </c>
      <c r="AL20">
        <v>41025</v>
      </c>
      <c r="AM20">
        <v>182173</v>
      </c>
      <c r="AN20">
        <v>42766</v>
      </c>
      <c r="AO20">
        <v>188037</v>
      </c>
      <c r="AP20">
        <v>17554</v>
      </c>
      <c r="AQ20">
        <v>864</v>
      </c>
      <c r="AR20">
        <v>9820</v>
      </c>
      <c r="AS20">
        <v>816</v>
      </c>
      <c r="AT20">
        <v>9270</v>
      </c>
      <c r="AU20">
        <v>187</v>
      </c>
      <c r="AV20">
        <v>5844</v>
      </c>
      <c r="AW20">
        <v>3521</v>
      </c>
      <c r="AX20">
        <v>6521</v>
      </c>
      <c r="AY20">
        <v>4027</v>
      </c>
      <c r="AZ20">
        <v>3310</v>
      </c>
      <c r="BA20">
        <v>574</v>
      </c>
      <c r="BB20">
        <v>4536</v>
      </c>
      <c r="BC20">
        <v>645</v>
      </c>
      <c r="BD20">
        <v>5125</v>
      </c>
      <c r="BE20">
        <v>109</v>
      </c>
      <c r="BF20">
        <v>12289</v>
      </c>
      <c r="BG20">
        <v>2177</v>
      </c>
      <c r="BH20">
        <v>14266</v>
      </c>
      <c r="BI20">
        <v>2414</v>
      </c>
      <c r="BJ20">
        <v>10675</v>
      </c>
      <c r="BK20">
        <v>6338</v>
      </c>
      <c r="BL20">
        <v>2137</v>
      </c>
      <c r="BM20">
        <v>12798</v>
      </c>
      <c r="BN20">
        <v>3560</v>
      </c>
      <c r="BO20">
        <v>17118</v>
      </c>
      <c r="BP20">
        <v>5209</v>
      </c>
      <c r="BQ20">
        <v>3086</v>
      </c>
      <c r="BR20">
        <v>10293</v>
      </c>
      <c r="BS20">
        <v>6087</v>
      </c>
      <c r="BT20">
        <v>9975</v>
      </c>
      <c r="BU20">
        <v>32873</v>
      </c>
      <c r="BV20">
        <v>32017</v>
      </c>
      <c r="BW20">
        <v>32072</v>
      </c>
      <c r="BX20">
        <v>31270</v>
      </c>
      <c r="BY20">
        <v>27517</v>
      </c>
      <c r="BZ20">
        <v>3244</v>
      </c>
      <c r="CA20">
        <v>1160</v>
      </c>
      <c r="CB20">
        <v>931</v>
      </c>
      <c r="CC20">
        <v>2844</v>
      </c>
      <c r="CD20">
        <v>7219</v>
      </c>
      <c r="CE20">
        <v>9798</v>
      </c>
      <c r="CF20">
        <v>4219</v>
      </c>
      <c r="CG20">
        <v>17534</v>
      </c>
      <c r="CH20">
        <v>301468</v>
      </c>
      <c r="CI20">
        <v>949267</v>
      </c>
      <c r="CJ20">
        <v>14688</v>
      </c>
      <c r="CK20">
        <v>71244</v>
      </c>
      <c r="CL20">
        <v>4764</v>
      </c>
      <c r="CM20">
        <v>11119</v>
      </c>
    </row>
    <row r="21" spans="1:91" x14ac:dyDescent="0.4">
      <c r="A21" s="1" t="s">
        <v>30</v>
      </c>
      <c r="B21" s="1" t="s">
        <v>31</v>
      </c>
      <c r="C21">
        <v>131013</v>
      </c>
      <c r="D21">
        <v>172042</v>
      </c>
      <c r="E21">
        <v>126689</v>
      </c>
      <c r="F21">
        <v>181152</v>
      </c>
      <c r="G21">
        <v>26975</v>
      </c>
      <c r="H21">
        <v>114105</v>
      </c>
      <c r="I21">
        <v>217962</v>
      </c>
      <c r="J21">
        <v>114213</v>
      </c>
      <c r="K21">
        <v>236940</v>
      </c>
      <c r="L21">
        <v>35610</v>
      </c>
      <c r="M21">
        <v>462258</v>
      </c>
      <c r="N21">
        <v>1796704</v>
      </c>
      <c r="O21">
        <v>461418</v>
      </c>
      <c r="P21">
        <v>1781527</v>
      </c>
      <c r="Q21">
        <v>108557</v>
      </c>
      <c r="R21">
        <v>10475</v>
      </c>
      <c r="S21">
        <v>31214</v>
      </c>
      <c r="T21">
        <v>10540</v>
      </c>
      <c r="U21">
        <v>31199</v>
      </c>
      <c r="V21">
        <v>3252</v>
      </c>
      <c r="W21">
        <v>636</v>
      </c>
      <c r="X21">
        <v>10204</v>
      </c>
      <c r="Y21">
        <v>586</v>
      </c>
      <c r="Z21">
        <v>9695</v>
      </c>
      <c r="AA21">
        <v>308</v>
      </c>
      <c r="AB21">
        <v>37523</v>
      </c>
      <c r="AC21">
        <v>43206</v>
      </c>
      <c r="AD21">
        <v>38522</v>
      </c>
      <c r="AE21">
        <v>46086</v>
      </c>
      <c r="AF21">
        <v>4096</v>
      </c>
      <c r="AG21">
        <v>16400</v>
      </c>
      <c r="AH21">
        <v>29996</v>
      </c>
      <c r="AI21">
        <v>15655</v>
      </c>
      <c r="AJ21">
        <v>30028</v>
      </c>
      <c r="AK21">
        <v>4590</v>
      </c>
      <c r="AL21">
        <v>43474</v>
      </c>
      <c r="AM21">
        <v>194034</v>
      </c>
      <c r="AN21">
        <v>40925</v>
      </c>
      <c r="AO21">
        <v>187074</v>
      </c>
      <c r="AP21">
        <v>20103</v>
      </c>
      <c r="AQ21">
        <v>952</v>
      </c>
      <c r="AR21">
        <v>10389</v>
      </c>
      <c r="AS21">
        <v>1031</v>
      </c>
      <c r="AT21">
        <v>11414</v>
      </c>
      <c r="AU21">
        <v>168</v>
      </c>
      <c r="AV21">
        <v>6780</v>
      </c>
      <c r="AW21">
        <v>3960</v>
      </c>
      <c r="AX21">
        <v>6355</v>
      </c>
      <c r="AY21">
        <v>4157</v>
      </c>
      <c r="AZ21">
        <v>3735</v>
      </c>
      <c r="BA21">
        <v>566</v>
      </c>
      <c r="BB21">
        <v>4225</v>
      </c>
      <c r="BC21">
        <v>481</v>
      </c>
      <c r="BD21">
        <v>3582</v>
      </c>
      <c r="BE21">
        <v>194</v>
      </c>
      <c r="BF21">
        <v>9544</v>
      </c>
      <c r="BG21">
        <v>1712</v>
      </c>
      <c r="BH21">
        <v>15656</v>
      </c>
      <c r="BI21">
        <v>2691</v>
      </c>
      <c r="BJ21">
        <v>8215</v>
      </c>
      <c r="BK21">
        <v>4840</v>
      </c>
      <c r="BL21">
        <v>1546</v>
      </c>
      <c r="BM21">
        <v>14023</v>
      </c>
      <c r="BN21">
        <v>4094</v>
      </c>
      <c r="BO21">
        <v>14386</v>
      </c>
      <c r="BP21">
        <v>6195</v>
      </c>
      <c r="BQ21">
        <v>3393</v>
      </c>
      <c r="BR21">
        <v>9846</v>
      </c>
      <c r="BS21">
        <v>5571</v>
      </c>
      <c r="BT21">
        <v>8917</v>
      </c>
      <c r="BU21">
        <v>43941</v>
      </c>
      <c r="BV21">
        <v>39544</v>
      </c>
      <c r="BW21">
        <v>38867</v>
      </c>
      <c r="BX21">
        <v>34060</v>
      </c>
      <c r="BY21">
        <v>32986</v>
      </c>
      <c r="BZ21">
        <v>3050</v>
      </c>
      <c r="CA21">
        <v>1199</v>
      </c>
      <c r="CB21">
        <v>964</v>
      </c>
      <c r="CC21">
        <v>2952</v>
      </c>
      <c r="CD21">
        <v>6831</v>
      </c>
      <c r="CE21">
        <v>9690</v>
      </c>
      <c r="CF21">
        <v>4294</v>
      </c>
      <c r="CG21">
        <v>16675</v>
      </c>
      <c r="CH21">
        <v>335767</v>
      </c>
      <c r="CI21">
        <v>1079119</v>
      </c>
      <c r="CJ21">
        <v>15957</v>
      </c>
      <c r="CK21">
        <v>77974</v>
      </c>
      <c r="CL21">
        <v>4771</v>
      </c>
      <c r="CM21">
        <v>11297</v>
      </c>
    </row>
    <row r="22" spans="1:91" x14ac:dyDescent="0.4">
      <c r="A22" s="1" t="s">
        <v>32</v>
      </c>
      <c r="B22" s="1" t="s">
        <v>33</v>
      </c>
      <c r="C22">
        <v>131866</v>
      </c>
      <c r="D22">
        <v>170871</v>
      </c>
      <c r="E22">
        <v>130129</v>
      </c>
      <c r="F22">
        <v>182990</v>
      </c>
      <c r="G22">
        <v>28718</v>
      </c>
      <c r="H22">
        <v>87199</v>
      </c>
      <c r="I22">
        <v>179033</v>
      </c>
      <c r="J22">
        <v>87728</v>
      </c>
      <c r="K22">
        <v>197882</v>
      </c>
      <c r="L22">
        <v>35081</v>
      </c>
      <c r="M22">
        <v>429786</v>
      </c>
      <c r="N22">
        <v>1680474</v>
      </c>
      <c r="O22">
        <v>439928</v>
      </c>
      <c r="P22">
        <v>1715580</v>
      </c>
      <c r="Q22">
        <v>105445</v>
      </c>
      <c r="R22">
        <v>9218</v>
      </c>
      <c r="S22">
        <v>27831</v>
      </c>
      <c r="T22">
        <v>9795</v>
      </c>
      <c r="U22">
        <v>29626</v>
      </c>
      <c r="V22">
        <v>2687</v>
      </c>
      <c r="W22">
        <v>561</v>
      </c>
      <c r="X22">
        <v>9449</v>
      </c>
      <c r="Y22">
        <v>597</v>
      </c>
      <c r="Z22">
        <v>9548</v>
      </c>
      <c r="AA22">
        <v>272</v>
      </c>
      <c r="AB22">
        <v>25825</v>
      </c>
      <c r="AC22">
        <v>31144</v>
      </c>
      <c r="AD22">
        <v>26270</v>
      </c>
      <c r="AE22">
        <v>33283</v>
      </c>
      <c r="AF22">
        <v>3651</v>
      </c>
      <c r="AG22">
        <v>14913</v>
      </c>
      <c r="AH22">
        <v>27020</v>
      </c>
      <c r="AI22">
        <v>15888</v>
      </c>
      <c r="AJ22">
        <v>30824</v>
      </c>
      <c r="AK22">
        <v>3615</v>
      </c>
      <c r="AL22">
        <v>38723</v>
      </c>
      <c r="AM22">
        <v>171476</v>
      </c>
      <c r="AN22">
        <v>39377</v>
      </c>
      <c r="AO22">
        <v>176088</v>
      </c>
      <c r="AP22">
        <v>19584</v>
      </c>
      <c r="AQ22">
        <v>806</v>
      </c>
      <c r="AR22">
        <v>8632</v>
      </c>
      <c r="AS22">
        <v>859</v>
      </c>
      <c r="AT22">
        <v>9101</v>
      </c>
      <c r="AU22">
        <v>207</v>
      </c>
      <c r="AV22">
        <v>6660</v>
      </c>
      <c r="AW22">
        <v>4078</v>
      </c>
      <c r="AX22">
        <v>6490</v>
      </c>
      <c r="AY22">
        <v>4224</v>
      </c>
      <c r="AZ22">
        <v>3903</v>
      </c>
      <c r="BA22">
        <v>565</v>
      </c>
      <c r="BB22">
        <v>4436</v>
      </c>
      <c r="BC22">
        <v>585</v>
      </c>
      <c r="BD22">
        <v>4615</v>
      </c>
      <c r="BE22">
        <v>174</v>
      </c>
      <c r="BF22">
        <v>9863</v>
      </c>
      <c r="BG22">
        <v>1793</v>
      </c>
      <c r="BH22">
        <v>12364</v>
      </c>
      <c r="BI22">
        <v>2146</v>
      </c>
      <c r="BJ22">
        <v>9872</v>
      </c>
      <c r="BK22">
        <v>2849</v>
      </c>
      <c r="BL22">
        <v>954</v>
      </c>
      <c r="BM22">
        <v>13191</v>
      </c>
      <c r="BN22">
        <v>3778</v>
      </c>
      <c r="BO22">
        <v>11212</v>
      </c>
      <c r="BP22">
        <v>3976</v>
      </c>
      <c r="BQ22">
        <v>2416</v>
      </c>
      <c r="BR22">
        <v>9199</v>
      </c>
      <c r="BS22">
        <v>4834</v>
      </c>
      <c r="BT22">
        <v>7200</v>
      </c>
      <c r="BU22">
        <v>47779</v>
      </c>
      <c r="BV22">
        <v>44538</v>
      </c>
      <c r="BW22">
        <v>43286</v>
      </c>
      <c r="BX22">
        <v>39202</v>
      </c>
      <c r="BY22">
        <v>37826</v>
      </c>
      <c r="BZ22">
        <v>3198</v>
      </c>
      <c r="CA22">
        <v>1181</v>
      </c>
      <c r="CB22">
        <v>1090</v>
      </c>
      <c r="CC22">
        <v>3259</v>
      </c>
      <c r="CD22">
        <v>6383</v>
      </c>
      <c r="CE22">
        <v>9222</v>
      </c>
      <c r="CF22">
        <v>4001</v>
      </c>
      <c r="CG22">
        <v>17326</v>
      </c>
      <c r="CH22">
        <v>311625</v>
      </c>
      <c r="CI22">
        <v>1007057</v>
      </c>
      <c r="CJ22">
        <v>15780</v>
      </c>
      <c r="CK22">
        <v>78568</v>
      </c>
      <c r="CL22">
        <v>5613</v>
      </c>
      <c r="CM22">
        <v>11139</v>
      </c>
    </row>
    <row r="23" spans="1:91" x14ac:dyDescent="0.4">
      <c r="A23" s="1" t="s">
        <v>34</v>
      </c>
      <c r="B23" s="1" t="s">
        <v>35</v>
      </c>
      <c r="C23">
        <v>116423</v>
      </c>
      <c r="D23">
        <v>149985</v>
      </c>
      <c r="E23">
        <v>116234</v>
      </c>
      <c r="F23">
        <v>162347</v>
      </c>
      <c r="G23">
        <v>28931</v>
      </c>
      <c r="H23">
        <v>89160</v>
      </c>
      <c r="I23">
        <v>177165</v>
      </c>
      <c r="J23">
        <v>91717</v>
      </c>
      <c r="K23">
        <v>200564</v>
      </c>
      <c r="L23">
        <v>32524</v>
      </c>
      <c r="M23">
        <v>386870</v>
      </c>
      <c r="N23">
        <v>1512046</v>
      </c>
      <c r="O23">
        <v>432479</v>
      </c>
      <c r="P23">
        <v>1693032</v>
      </c>
      <c r="Q23">
        <v>66286</v>
      </c>
      <c r="R23">
        <v>6374</v>
      </c>
      <c r="S23">
        <v>22399</v>
      </c>
      <c r="T23">
        <v>7553</v>
      </c>
      <c r="U23">
        <v>24480</v>
      </c>
      <c r="V23">
        <v>1518</v>
      </c>
      <c r="W23">
        <v>631</v>
      </c>
      <c r="X23">
        <v>11616</v>
      </c>
      <c r="Y23">
        <v>654</v>
      </c>
      <c r="Z23">
        <v>11476</v>
      </c>
      <c r="AA23">
        <v>249</v>
      </c>
      <c r="AB23">
        <v>25407</v>
      </c>
      <c r="AC23">
        <v>31385</v>
      </c>
      <c r="AD23">
        <v>25065</v>
      </c>
      <c r="AE23">
        <v>31946</v>
      </c>
      <c r="AF23">
        <v>3992</v>
      </c>
      <c r="AG23">
        <v>15013</v>
      </c>
      <c r="AH23">
        <v>26950</v>
      </c>
      <c r="AI23">
        <v>14079</v>
      </c>
      <c r="AJ23">
        <v>25775</v>
      </c>
      <c r="AK23">
        <v>4549</v>
      </c>
      <c r="AL23">
        <v>37376</v>
      </c>
      <c r="AM23">
        <v>165129</v>
      </c>
      <c r="AN23">
        <v>41735</v>
      </c>
      <c r="AO23">
        <v>183487</v>
      </c>
      <c r="AP23">
        <v>14951</v>
      </c>
      <c r="AQ23">
        <v>755</v>
      </c>
      <c r="AR23">
        <v>7971</v>
      </c>
      <c r="AS23">
        <v>784</v>
      </c>
      <c r="AT23">
        <v>8300</v>
      </c>
      <c r="AU23">
        <v>178</v>
      </c>
      <c r="AV23">
        <v>7613</v>
      </c>
      <c r="AW23">
        <v>4448</v>
      </c>
      <c r="AX23">
        <v>7445</v>
      </c>
      <c r="AY23">
        <v>4918</v>
      </c>
      <c r="AZ23">
        <v>4071</v>
      </c>
      <c r="BA23">
        <v>642</v>
      </c>
      <c r="BB23">
        <v>5043</v>
      </c>
      <c r="BC23">
        <v>677</v>
      </c>
      <c r="BD23">
        <v>5343</v>
      </c>
      <c r="BE23">
        <v>139</v>
      </c>
      <c r="BF23">
        <v>10993</v>
      </c>
      <c r="BG23">
        <v>1872</v>
      </c>
      <c r="BH23">
        <v>13868</v>
      </c>
      <c r="BI23">
        <v>2306</v>
      </c>
      <c r="BJ23">
        <v>11474</v>
      </c>
      <c r="BK23">
        <v>4045</v>
      </c>
      <c r="BL23">
        <v>1088</v>
      </c>
      <c r="BM23">
        <v>10260</v>
      </c>
      <c r="BN23">
        <v>2689</v>
      </c>
      <c r="BO23">
        <v>12595</v>
      </c>
      <c r="BP23">
        <v>2552</v>
      </c>
      <c r="BQ23">
        <v>1434</v>
      </c>
      <c r="BR23">
        <v>7509</v>
      </c>
      <c r="BS23">
        <v>4601</v>
      </c>
      <c r="BT23">
        <v>5862</v>
      </c>
      <c r="BU23">
        <v>44615</v>
      </c>
      <c r="BV23">
        <v>42704</v>
      </c>
      <c r="BW23">
        <v>55888</v>
      </c>
      <c r="BX23">
        <v>52974</v>
      </c>
      <c r="BY23">
        <v>26590</v>
      </c>
      <c r="BZ23">
        <v>3053</v>
      </c>
      <c r="CA23">
        <v>1132</v>
      </c>
      <c r="CB23">
        <v>1055</v>
      </c>
      <c r="CC23">
        <v>3122</v>
      </c>
      <c r="CD23">
        <v>6153</v>
      </c>
      <c r="CE23">
        <v>8930</v>
      </c>
      <c r="CF23">
        <v>3961</v>
      </c>
      <c r="CG23">
        <v>18989</v>
      </c>
      <c r="CH23">
        <v>296953</v>
      </c>
      <c r="CI23">
        <v>958221</v>
      </c>
      <c r="CJ23">
        <v>10981</v>
      </c>
      <c r="CK23">
        <v>55536</v>
      </c>
      <c r="CL23">
        <v>4838</v>
      </c>
      <c r="CM23">
        <v>12175</v>
      </c>
    </row>
    <row r="24" spans="1:91" x14ac:dyDescent="0.4">
      <c r="A24" s="1" t="s">
        <v>36</v>
      </c>
      <c r="B24" s="1" t="s">
        <v>37</v>
      </c>
      <c r="C24">
        <v>108108</v>
      </c>
      <c r="D24">
        <v>141723</v>
      </c>
      <c r="E24">
        <v>115474</v>
      </c>
      <c r="F24">
        <v>160255</v>
      </c>
      <c r="G24">
        <v>21586</v>
      </c>
      <c r="H24">
        <v>96717</v>
      </c>
      <c r="I24">
        <v>189264</v>
      </c>
      <c r="J24">
        <v>97277</v>
      </c>
      <c r="K24">
        <v>209240</v>
      </c>
      <c r="L24">
        <v>31964</v>
      </c>
      <c r="M24">
        <v>390459</v>
      </c>
      <c r="N24">
        <v>1573254</v>
      </c>
      <c r="O24">
        <v>367028</v>
      </c>
      <c r="P24">
        <v>1488015</v>
      </c>
      <c r="Q24">
        <v>96046</v>
      </c>
      <c r="R24">
        <v>10281</v>
      </c>
      <c r="S24">
        <v>37143</v>
      </c>
      <c r="T24">
        <v>8463</v>
      </c>
      <c r="U24">
        <v>32514</v>
      </c>
      <c r="V24">
        <v>3427</v>
      </c>
      <c r="W24">
        <v>661</v>
      </c>
      <c r="X24">
        <v>9870</v>
      </c>
      <c r="Y24">
        <v>571</v>
      </c>
      <c r="Z24">
        <v>10074</v>
      </c>
      <c r="AA24">
        <v>339</v>
      </c>
      <c r="AB24">
        <v>22868</v>
      </c>
      <c r="AC24">
        <v>27470</v>
      </c>
      <c r="AD24">
        <v>23906</v>
      </c>
      <c r="AE24">
        <v>30180</v>
      </c>
      <c r="AF24">
        <v>2954</v>
      </c>
      <c r="AG24">
        <v>15168</v>
      </c>
      <c r="AH24">
        <v>27493</v>
      </c>
      <c r="AI24">
        <v>14029</v>
      </c>
      <c r="AJ24">
        <v>26040</v>
      </c>
      <c r="AK24">
        <v>5688</v>
      </c>
      <c r="AL24">
        <v>36674</v>
      </c>
      <c r="AM24">
        <v>163572</v>
      </c>
      <c r="AN24">
        <v>30243</v>
      </c>
      <c r="AO24">
        <v>140382</v>
      </c>
      <c r="AP24">
        <v>21378</v>
      </c>
      <c r="AQ24">
        <v>808</v>
      </c>
      <c r="AR24">
        <v>9172</v>
      </c>
      <c r="AS24">
        <v>824</v>
      </c>
      <c r="AT24">
        <v>8722</v>
      </c>
      <c r="AU24">
        <v>210</v>
      </c>
      <c r="AV24">
        <v>8513</v>
      </c>
      <c r="AW24">
        <v>4345</v>
      </c>
      <c r="AX24">
        <v>7804</v>
      </c>
      <c r="AY24">
        <v>4075</v>
      </c>
      <c r="AZ24">
        <v>4703</v>
      </c>
      <c r="BA24">
        <v>533</v>
      </c>
      <c r="BB24">
        <v>4245</v>
      </c>
      <c r="BC24">
        <v>534</v>
      </c>
      <c r="BD24">
        <v>4262</v>
      </c>
      <c r="BE24">
        <v>138</v>
      </c>
      <c r="BF24">
        <v>9370</v>
      </c>
      <c r="BG24">
        <v>1812</v>
      </c>
      <c r="BH24">
        <v>14057</v>
      </c>
      <c r="BI24">
        <v>2549</v>
      </c>
      <c r="BJ24">
        <v>12617</v>
      </c>
      <c r="BK24">
        <v>3214</v>
      </c>
      <c r="BL24">
        <v>939</v>
      </c>
      <c r="BM24">
        <v>9828</v>
      </c>
      <c r="BN24">
        <v>2536</v>
      </c>
      <c r="BO24">
        <v>12640</v>
      </c>
      <c r="BP24">
        <v>2238</v>
      </c>
      <c r="BQ24">
        <v>1255</v>
      </c>
      <c r="BR24">
        <v>5855</v>
      </c>
      <c r="BS24">
        <v>3370</v>
      </c>
      <c r="BT24">
        <v>6639</v>
      </c>
      <c r="BU24">
        <v>46863</v>
      </c>
      <c r="BV24">
        <v>49922</v>
      </c>
      <c r="BW24">
        <v>33421</v>
      </c>
      <c r="BX24">
        <v>34624</v>
      </c>
      <c r="BY24">
        <v>40354</v>
      </c>
      <c r="BZ24">
        <v>3223</v>
      </c>
      <c r="CA24">
        <v>1108</v>
      </c>
      <c r="CB24">
        <v>989</v>
      </c>
      <c r="CC24">
        <v>2821</v>
      </c>
      <c r="CD24">
        <v>6544</v>
      </c>
      <c r="CE24">
        <v>9195</v>
      </c>
      <c r="CF24">
        <v>4065</v>
      </c>
      <c r="CG24">
        <v>17851</v>
      </c>
      <c r="CH24">
        <v>283662</v>
      </c>
      <c r="CI24">
        <v>948018</v>
      </c>
      <c r="CJ24">
        <v>11022</v>
      </c>
      <c r="CK24">
        <v>54818</v>
      </c>
      <c r="CL24">
        <v>4106</v>
      </c>
      <c r="CM24">
        <v>8260</v>
      </c>
    </row>
    <row r="25" spans="1:91" x14ac:dyDescent="0.4">
      <c r="A25" s="1" t="s">
        <v>38</v>
      </c>
      <c r="B25" s="1" t="s">
        <v>39</v>
      </c>
      <c r="C25">
        <v>123399</v>
      </c>
      <c r="D25">
        <v>157365</v>
      </c>
      <c r="E25">
        <v>121268</v>
      </c>
      <c r="F25">
        <v>166472</v>
      </c>
      <c r="G25">
        <v>23735</v>
      </c>
      <c r="H25">
        <v>104641</v>
      </c>
      <c r="I25">
        <v>203948</v>
      </c>
      <c r="J25">
        <v>107320</v>
      </c>
      <c r="K25">
        <v>231963</v>
      </c>
      <c r="L25">
        <v>29285</v>
      </c>
      <c r="M25">
        <v>409410</v>
      </c>
      <c r="N25">
        <v>1628720</v>
      </c>
      <c r="O25">
        <v>420682</v>
      </c>
      <c r="P25">
        <v>1704382</v>
      </c>
      <c r="Q25">
        <v>92821</v>
      </c>
      <c r="R25">
        <v>7822</v>
      </c>
      <c r="S25">
        <v>29043</v>
      </c>
      <c r="T25">
        <v>8622</v>
      </c>
      <c r="U25">
        <v>32494</v>
      </c>
      <c r="V25">
        <v>2715</v>
      </c>
      <c r="W25">
        <v>538</v>
      </c>
      <c r="X25">
        <v>9915</v>
      </c>
      <c r="Y25">
        <v>600</v>
      </c>
      <c r="Z25">
        <v>10451</v>
      </c>
      <c r="AA25">
        <v>277</v>
      </c>
      <c r="AB25">
        <v>27004</v>
      </c>
      <c r="AC25">
        <v>33041</v>
      </c>
      <c r="AD25">
        <v>26465</v>
      </c>
      <c r="AE25">
        <v>32685</v>
      </c>
      <c r="AF25">
        <v>3493</v>
      </c>
      <c r="AG25">
        <v>20153</v>
      </c>
      <c r="AH25">
        <v>44044</v>
      </c>
      <c r="AI25">
        <v>21752</v>
      </c>
      <c r="AJ25">
        <v>47596</v>
      </c>
      <c r="AK25">
        <v>4089</v>
      </c>
      <c r="AL25">
        <v>39039</v>
      </c>
      <c r="AM25">
        <v>171422</v>
      </c>
      <c r="AN25">
        <v>41740</v>
      </c>
      <c r="AO25">
        <v>178981</v>
      </c>
      <c r="AP25">
        <v>18676</v>
      </c>
      <c r="AQ25">
        <v>792</v>
      </c>
      <c r="AR25">
        <v>8912</v>
      </c>
      <c r="AS25">
        <v>806</v>
      </c>
      <c r="AT25">
        <v>9167</v>
      </c>
      <c r="AU25">
        <v>196</v>
      </c>
      <c r="AV25">
        <v>8384</v>
      </c>
      <c r="AW25">
        <v>3948</v>
      </c>
      <c r="AX25">
        <v>8224</v>
      </c>
      <c r="AY25">
        <v>4105</v>
      </c>
      <c r="AZ25">
        <v>4862</v>
      </c>
      <c r="BA25">
        <v>616</v>
      </c>
      <c r="BB25">
        <v>4801</v>
      </c>
      <c r="BC25">
        <v>601</v>
      </c>
      <c r="BD25">
        <v>4691</v>
      </c>
      <c r="BE25">
        <v>153</v>
      </c>
      <c r="BF25">
        <v>10340</v>
      </c>
      <c r="BG25">
        <v>2078</v>
      </c>
      <c r="BH25">
        <v>16231</v>
      </c>
      <c r="BI25">
        <v>3073</v>
      </c>
      <c r="BJ25">
        <v>13878</v>
      </c>
      <c r="BK25">
        <v>2297</v>
      </c>
      <c r="BL25">
        <v>644</v>
      </c>
      <c r="BM25">
        <v>11535</v>
      </c>
      <c r="BN25">
        <v>2962</v>
      </c>
      <c r="BO25">
        <v>13029</v>
      </c>
      <c r="BP25">
        <v>2214</v>
      </c>
      <c r="BQ25">
        <v>1213</v>
      </c>
      <c r="BR25">
        <v>8987</v>
      </c>
      <c r="BS25">
        <v>4280</v>
      </c>
      <c r="BT25">
        <v>7147</v>
      </c>
      <c r="BU25">
        <v>45670</v>
      </c>
      <c r="BV25">
        <v>49507</v>
      </c>
      <c r="BW25">
        <v>49205</v>
      </c>
      <c r="BX25">
        <v>53490</v>
      </c>
      <c r="BY25">
        <v>37095</v>
      </c>
      <c r="BZ25">
        <v>3209</v>
      </c>
      <c r="CA25">
        <v>1257</v>
      </c>
      <c r="CB25">
        <v>1025</v>
      </c>
      <c r="CC25">
        <v>3091</v>
      </c>
      <c r="CD25">
        <v>6449</v>
      </c>
      <c r="CE25">
        <v>9411</v>
      </c>
      <c r="CF25">
        <v>4263</v>
      </c>
      <c r="CG25">
        <v>22502</v>
      </c>
      <c r="CH25">
        <v>296230</v>
      </c>
      <c r="CI25">
        <v>965271</v>
      </c>
      <c r="CJ25">
        <v>10239</v>
      </c>
      <c r="CK25">
        <v>48004</v>
      </c>
      <c r="CL25">
        <v>5310</v>
      </c>
      <c r="CM25">
        <v>10242</v>
      </c>
    </row>
    <row r="26" spans="1:91" x14ac:dyDescent="0.4">
      <c r="A26" s="1" t="s">
        <v>40</v>
      </c>
      <c r="B26" s="1" t="s">
        <v>41</v>
      </c>
      <c r="C26">
        <v>107997</v>
      </c>
      <c r="D26">
        <v>137107</v>
      </c>
      <c r="E26">
        <v>112829</v>
      </c>
      <c r="F26">
        <v>152923</v>
      </c>
      <c r="G26">
        <v>18901</v>
      </c>
      <c r="H26">
        <v>89504</v>
      </c>
      <c r="I26">
        <v>181137</v>
      </c>
      <c r="J26">
        <v>93540</v>
      </c>
      <c r="K26">
        <v>214750</v>
      </c>
      <c r="L26">
        <v>24589</v>
      </c>
      <c r="M26">
        <v>420873</v>
      </c>
      <c r="N26">
        <v>1698809</v>
      </c>
      <c r="O26">
        <v>437072</v>
      </c>
      <c r="P26">
        <v>1777321</v>
      </c>
      <c r="Q26">
        <v>85116</v>
      </c>
      <c r="R26">
        <v>9123</v>
      </c>
      <c r="S26">
        <v>32836</v>
      </c>
      <c r="T26">
        <v>9113</v>
      </c>
      <c r="U26">
        <v>34296</v>
      </c>
      <c r="V26">
        <v>2800</v>
      </c>
      <c r="W26">
        <v>463</v>
      </c>
      <c r="X26">
        <v>7927</v>
      </c>
      <c r="Y26">
        <v>503</v>
      </c>
      <c r="Z26">
        <v>8742</v>
      </c>
      <c r="AA26">
        <v>237</v>
      </c>
      <c r="AB26">
        <v>34356</v>
      </c>
      <c r="AC26">
        <v>39353</v>
      </c>
      <c r="AD26">
        <v>34780</v>
      </c>
      <c r="AE26">
        <v>40720</v>
      </c>
      <c r="AF26">
        <v>3067</v>
      </c>
      <c r="AG26">
        <v>19107</v>
      </c>
      <c r="AH26">
        <v>43150</v>
      </c>
      <c r="AI26">
        <v>19827</v>
      </c>
      <c r="AJ26">
        <v>44567</v>
      </c>
      <c r="AK26">
        <v>3321</v>
      </c>
      <c r="AL26">
        <v>42161</v>
      </c>
      <c r="AM26">
        <v>184789</v>
      </c>
      <c r="AN26">
        <v>44158</v>
      </c>
      <c r="AO26">
        <v>193132</v>
      </c>
      <c r="AP26">
        <v>16652</v>
      </c>
      <c r="AQ26">
        <v>752</v>
      </c>
      <c r="AR26">
        <v>8309</v>
      </c>
      <c r="AS26">
        <v>788</v>
      </c>
      <c r="AT26">
        <v>8580</v>
      </c>
      <c r="AU26">
        <v>160</v>
      </c>
      <c r="AV26">
        <v>8142</v>
      </c>
      <c r="AW26">
        <v>4910</v>
      </c>
      <c r="AX26">
        <v>8449</v>
      </c>
      <c r="AY26">
        <v>5646</v>
      </c>
      <c r="AZ26">
        <v>4537</v>
      </c>
      <c r="BA26">
        <v>714</v>
      </c>
      <c r="BB26">
        <v>6348</v>
      </c>
      <c r="BC26">
        <v>768</v>
      </c>
      <c r="BD26">
        <v>6926</v>
      </c>
      <c r="BE26">
        <v>99</v>
      </c>
      <c r="BF26">
        <v>11533</v>
      </c>
      <c r="BG26">
        <v>2168</v>
      </c>
      <c r="BH26">
        <v>17185</v>
      </c>
      <c r="BI26">
        <v>2973</v>
      </c>
      <c r="BJ26">
        <v>16496</v>
      </c>
      <c r="BK26">
        <v>1810</v>
      </c>
      <c r="BL26">
        <v>463</v>
      </c>
      <c r="BM26">
        <v>12728</v>
      </c>
      <c r="BN26">
        <v>3245</v>
      </c>
      <c r="BO26">
        <v>10987</v>
      </c>
      <c r="BP26">
        <v>1604</v>
      </c>
      <c r="BQ26">
        <v>815</v>
      </c>
      <c r="BR26">
        <v>7327</v>
      </c>
      <c r="BS26">
        <v>4246</v>
      </c>
      <c r="BT26">
        <v>7228</v>
      </c>
      <c r="BU26">
        <v>45287</v>
      </c>
      <c r="BV26">
        <v>49322</v>
      </c>
      <c r="BW26">
        <v>51113</v>
      </c>
      <c r="BX26">
        <v>55853</v>
      </c>
      <c r="BY26">
        <v>32753</v>
      </c>
      <c r="BZ26">
        <v>3063</v>
      </c>
      <c r="CA26">
        <v>1192</v>
      </c>
      <c r="CB26">
        <v>1022</v>
      </c>
      <c r="CC26">
        <v>3219</v>
      </c>
      <c r="CD26">
        <v>6528</v>
      </c>
      <c r="CE26">
        <v>9671</v>
      </c>
      <c r="CF26">
        <v>4555</v>
      </c>
      <c r="CG26">
        <v>28440</v>
      </c>
      <c r="CH26">
        <v>303083</v>
      </c>
      <c r="CI26">
        <v>968327</v>
      </c>
      <c r="CJ26">
        <v>11456</v>
      </c>
      <c r="CK26">
        <v>57281</v>
      </c>
      <c r="CL26">
        <v>4333</v>
      </c>
      <c r="CM26">
        <v>9312</v>
      </c>
    </row>
    <row r="27" spans="1:91" x14ac:dyDescent="0.4">
      <c r="A27" s="1" t="s">
        <v>42</v>
      </c>
      <c r="B27" s="1" t="s">
        <v>43</v>
      </c>
      <c r="C27">
        <v>101313</v>
      </c>
      <c r="D27">
        <v>131696</v>
      </c>
      <c r="E27">
        <v>106902</v>
      </c>
      <c r="F27">
        <v>149326</v>
      </c>
      <c r="G27">
        <v>13316</v>
      </c>
      <c r="H27">
        <v>87497</v>
      </c>
      <c r="I27">
        <v>175932</v>
      </c>
      <c r="J27">
        <v>88780</v>
      </c>
      <c r="K27">
        <v>191577</v>
      </c>
      <c r="L27">
        <v>23306</v>
      </c>
      <c r="M27">
        <v>384627</v>
      </c>
      <c r="N27">
        <v>1511273</v>
      </c>
      <c r="O27">
        <v>397373</v>
      </c>
      <c r="P27">
        <v>1576300</v>
      </c>
      <c r="Q27">
        <v>78575</v>
      </c>
      <c r="R27">
        <v>8781</v>
      </c>
      <c r="S27">
        <v>30499</v>
      </c>
      <c r="T27">
        <v>9002</v>
      </c>
      <c r="U27">
        <v>31200</v>
      </c>
      <c r="V27">
        <v>2580</v>
      </c>
      <c r="W27">
        <v>480</v>
      </c>
      <c r="X27">
        <v>8312</v>
      </c>
      <c r="Y27">
        <v>501</v>
      </c>
      <c r="Z27">
        <v>8506</v>
      </c>
      <c r="AA27">
        <v>216</v>
      </c>
      <c r="AB27">
        <v>30265</v>
      </c>
      <c r="AC27">
        <v>34662</v>
      </c>
      <c r="AD27">
        <v>28429</v>
      </c>
      <c r="AE27">
        <v>32246</v>
      </c>
      <c r="AF27">
        <v>4903</v>
      </c>
      <c r="AG27">
        <v>15938</v>
      </c>
      <c r="AH27">
        <v>35435</v>
      </c>
      <c r="AI27">
        <v>16730</v>
      </c>
      <c r="AJ27">
        <v>36534</v>
      </c>
      <c r="AK27">
        <v>2529</v>
      </c>
      <c r="AL27">
        <v>39370</v>
      </c>
      <c r="AM27">
        <v>174446</v>
      </c>
      <c r="AN27">
        <v>38914</v>
      </c>
      <c r="AO27">
        <v>173592</v>
      </c>
      <c r="AP27">
        <v>17107</v>
      </c>
      <c r="AQ27">
        <v>514</v>
      </c>
      <c r="AR27">
        <v>5574</v>
      </c>
      <c r="AS27">
        <v>473</v>
      </c>
      <c r="AT27">
        <v>5126</v>
      </c>
      <c r="AU27">
        <v>201</v>
      </c>
      <c r="AV27">
        <v>8982</v>
      </c>
      <c r="AW27">
        <v>4302</v>
      </c>
      <c r="AX27">
        <v>9344</v>
      </c>
      <c r="AY27">
        <v>4516</v>
      </c>
      <c r="AZ27">
        <v>4175</v>
      </c>
      <c r="BA27">
        <v>555</v>
      </c>
      <c r="BB27">
        <v>4520</v>
      </c>
      <c r="BC27">
        <v>504</v>
      </c>
      <c r="BD27">
        <v>4125</v>
      </c>
      <c r="BE27">
        <v>150</v>
      </c>
      <c r="BF27">
        <v>12786</v>
      </c>
      <c r="BG27">
        <v>2371</v>
      </c>
      <c r="BH27">
        <v>14714</v>
      </c>
      <c r="BI27">
        <v>2562</v>
      </c>
      <c r="BJ27">
        <v>19125</v>
      </c>
      <c r="BK27">
        <v>1690</v>
      </c>
      <c r="BL27">
        <v>591</v>
      </c>
      <c r="BM27">
        <v>8084</v>
      </c>
      <c r="BN27">
        <v>2134</v>
      </c>
      <c r="BO27">
        <v>11708</v>
      </c>
      <c r="BP27">
        <v>3856</v>
      </c>
      <c r="BQ27">
        <v>2061</v>
      </c>
      <c r="BR27">
        <v>9226</v>
      </c>
      <c r="BS27">
        <v>4937</v>
      </c>
      <c r="BT27">
        <v>7607</v>
      </c>
      <c r="BU27">
        <v>37734</v>
      </c>
      <c r="BV27">
        <v>37754</v>
      </c>
      <c r="BW27">
        <v>47329</v>
      </c>
      <c r="BX27">
        <v>47422</v>
      </c>
      <c r="BY27">
        <v>24807</v>
      </c>
      <c r="BZ27">
        <v>2520</v>
      </c>
      <c r="CA27">
        <v>1051</v>
      </c>
      <c r="CB27">
        <v>961</v>
      </c>
      <c r="CC27">
        <v>3037</v>
      </c>
      <c r="CD27">
        <v>5791</v>
      </c>
      <c r="CE27">
        <v>7777</v>
      </c>
      <c r="CF27">
        <v>3803</v>
      </c>
      <c r="CG27">
        <v>14143</v>
      </c>
      <c r="CH27">
        <v>278917</v>
      </c>
      <c r="CI27">
        <v>918095</v>
      </c>
      <c r="CJ27">
        <v>9915</v>
      </c>
      <c r="CK27">
        <v>48958</v>
      </c>
      <c r="CL27">
        <v>4686</v>
      </c>
      <c r="CM27">
        <v>9280</v>
      </c>
    </row>
    <row r="28" spans="1:91" x14ac:dyDescent="0.4">
      <c r="A28" s="1" t="s">
        <v>44</v>
      </c>
      <c r="B28" s="1" t="s">
        <v>45</v>
      </c>
      <c r="C28">
        <v>101635</v>
      </c>
      <c r="D28">
        <v>129910</v>
      </c>
      <c r="E28">
        <v>100925</v>
      </c>
      <c r="F28">
        <v>141866</v>
      </c>
      <c r="G28">
        <v>14031</v>
      </c>
      <c r="H28">
        <v>87815</v>
      </c>
      <c r="I28">
        <v>169095</v>
      </c>
      <c r="J28">
        <v>87612</v>
      </c>
      <c r="K28">
        <v>182809</v>
      </c>
      <c r="L28">
        <v>23509</v>
      </c>
      <c r="M28">
        <v>353413</v>
      </c>
      <c r="N28">
        <v>1374300</v>
      </c>
      <c r="O28">
        <v>344814</v>
      </c>
      <c r="P28">
        <v>1338152</v>
      </c>
      <c r="Q28">
        <v>93650</v>
      </c>
      <c r="R28">
        <v>8660</v>
      </c>
      <c r="S28">
        <v>29466</v>
      </c>
      <c r="T28">
        <v>7855</v>
      </c>
      <c r="U28">
        <v>26921</v>
      </c>
      <c r="V28">
        <v>3385</v>
      </c>
      <c r="W28">
        <v>483</v>
      </c>
      <c r="X28">
        <v>8630</v>
      </c>
      <c r="Y28">
        <v>418</v>
      </c>
      <c r="Z28">
        <v>7123</v>
      </c>
      <c r="AA28">
        <v>281</v>
      </c>
      <c r="AB28">
        <v>29609</v>
      </c>
      <c r="AC28">
        <v>32910</v>
      </c>
      <c r="AD28">
        <v>30340</v>
      </c>
      <c r="AE28">
        <v>33967</v>
      </c>
      <c r="AF28">
        <v>4172</v>
      </c>
      <c r="AG28">
        <v>16161</v>
      </c>
      <c r="AH28">
        <v>34263</v>
      </c>
      <c r="AI28">
        <v>15829</v>
      </c>
      <c r="AJ28">
        <v>32493</v>
      </c>
      <c r="AK28">
        <v>2861</v>
      </c>
      <c r="AL28">
        <v>39282</v>
      </c>
      <c r="AM28">
        <v>171934</v>
      </c>
      <c r="AN28">
        <v>35933</v>
      </c>
      <c r="AO28">
        <v>161333</v>
      </c>
      <c r="AP28">
        <v>20456</v>
      </c>
      <c r="AQ28">
        <v>860</v>
      </c>
      <c r="AR28">
        <v>10353</v>
      </c>
      <c r="AS28">
        <v>848</v>
      </c>
      <c r="AT28">
        <v>10047</v>
      </c>
      <c r="AU28">
        <v>213</v>
      </c>
      <c r="AV28">
        <v>7646</v>
      </c>
      <c r="AW28">
        <v>3478</v>
      </c>
      <c r="AX28">
        <v>6812</v>
      </c>
      <c r="AY28">
        <v>3217</v>
      </c>
      <c r="AZ28">
        <v>4997</v>
      </c>
      <c r="BA28">
        <v>535</v>
      </c>
      <c r="BB28">
        <v>4583</v>
      </c>
      <c r="BC28">
        <v>481</v>
      </c>
      <c r="BD28">
        <v>4101</v>
      </c>
      <c r="BE28">
        <v>204</v>
      </c>
      <c r="BF28">
        <v>11523</v>
      </c>
      <c r="BG28">
        <v>2292</v>
      </c>
      <c r="BH28">
        <v>13750</v>
      </c>
      <c r="BI28">
        <v>2537</v>
      </c>
      <c r="BJ28">
        <v>21265</v>
      </c>
      <c r="BK28">
        <v>2357</v>
      </c>
      <c r="BL28">
        <v>803</v>
      </c>
      <c r="BM28">
        <v>9825</v>
      </c>
      <c r="BN28">
        <v>2611</v>
      </c>
      <c r="BO28">
        <v>11530</v>
      </c>
      <c r="BP28">
        <v>3743</v>
      </c>
      <c r="BQ28">
        <v>2220</v>
      </c>
      <c r="BR28">
        <v>9133</v>
      </c>
      <c r="BS28">
        <v>5309</v>
      </c>
      <c r="BT28">
        <v>7513</v>
      </c>
      <c r="BU28">
        <v>36730</v>
      </c>
      <c r="BV28">
        <v>36761</v>
      </c>
      <c r="BW28">
        <v>34029</v>
      </c>
      <c r="BX28">
        <v>33628</v>
      </c>
      <c r="BY28">
        <v>27921</v>
      </c>
      <c r="BZ28">
        <v>2369</v>
      </c>
      <c r="CA28">
        <v>1027</v>
      </c>
      <c r="CB28">
        <v>890</v>
      </c>
      <c r="CC28">
        <v>2630</v>
      </c>
      <c r="CD28">
        <v>5262</v>
      </c>
      <c r="CE28">
        <v>7451</v>
      </c>
      <c r="CF28">
        <v>3861</v>
      </c>
      <c r="CG28">
        <v>15562</v>
      </c>
      <c r="CH28">
        <v>250884</v>
      </c>
      <c r="CI28">
        <v>817044</v>
      </c>
      <c r="CJ28">
        <v>8237</v>
      </c>
      <c r="CK28">
        <v>37096</v>
      </c>
      <c r="CL28">
        <v>4233</v>
      </c>
      <c r="CM28">
        <v>8083</v>
      </c>
    </row>
    <row r="29" spans="1:91" x14ac:dyDescent="0.4">
      <c r="A29" s="1" t="s">
        <v>46</v>
      </c>
      <c r="B29" s="1" t="s">
        <v>47</v>
      </c>
      <c r="C29">
        <v>118341</v>
      </c>
      <c r="D29">
        <v>150375</v>
      </c>
      <c r="E29">
        <v>116068</v>
      </c>
      <c r="F29">
        <v>160503</v>
      </c>
      <c r="G29">
        <v>16305</v>
      </c>
      <c r="H29">
        <v>95656</v>
      </c>
      <c r="I29">
        <v>183676</v>
      </c>
      <c r="J29">
        <v>97254</v>
      </c>
      <c r="K29">
        <v>203241</v>
      </c>
      <c r="L29">
        <v>21911</v>
      </c>
      <c r="M29">
        <v>403409</v>
      </c>
      <c r="N29">
        <v>1540480</v>
      </c>
      <c r="O29">
        <v>412600</v>
      </c>
      <c r="P29">
        <v>1597649</v>
      </c>
      <c r="Q29">
        <v>91640</v>
      </c>
      <c r="R29">
        <v>10336</v>
      </c>
      <c r="S29">
        <v>34541</v>
      </c>
      <c r="T29">
        <v>10061</v>
      </c>
      <c r="U29">
        <v>33980</v>
      </c>
      <c r="V29">
        <v>3662</v>
      </c>
      <c r="W29">
        <v>537</v>
      </c>
      <c r="X29">
        <v>10293</v>
      </c>
      <c r="Y29">
        <v>550</v>
      </c>
      <c r="Z29">
        <v>10296</v>
      </c>
      <c r="AA29">
        <v>268</v>
      </c>
      <c r="AB29">
        <v>35262</v>
      </c>
      <c r="AC29">
        <v>39963</v>
      </c>
      <c r="AD29">
        <v>33648</v>
      </c>
      <c r="AE29">
        <v>36900</v>
      </c>
      <c r="AF29">
        <v>5786</v>
      </c>
      <c r="AG29">
        <v>19579</v>
      </c>
      <c r="AH29">
        <v>40916</v>
      </c>
      <c r="AI29">
        <v>20126</v>
      </c>
      <c r="AJ29">
        <v>40576</v>
      </c>
      <c r="AK29">
        <v>2314</v>
      </c>
      <c r="AL29">
        <v>42009</v>
      </c>
      <c r="AM29">
        <v>189870</v>
      </c>
      <c r="AN29">
        <v>46055</v>
      </c>
      <c r="AO29">
        <v>206164</v>
      </c>
      <c r="AP29">
        <v>16409</v>
      </c>
      <c r="AQ29">
        <v>943</v>
      </c>
      <c r="AR29">
        <v>11479</v>
      </c>
      <c r="AS29">
        <v>929</v>
      </c>
      <c r="AT29">
        <v>11094</v>
      </c>
      <c r="AU29">
        <v>227</v>
      </c>
      <c r="AV29">
        <v>7728</v>
      </c>
      <c r="AW29">
        <v>3948</v>
      </c>
      <c r="AX29">
        <v>7823</v>
      </c>
      <c r="AY29">
        <v>4146</v>
      </c>
      <c r="AZ29">
        <v>4902</v>
      </c>
      <c r="BA29">
        <v>611</v>
      </c>
      <c r="BB29">
        <v>5341</v>
      </c>
      <c r="BC29">
        <v>642</v>
      </c>
      <c r="BD29">
        <v>5611</v>
      </c>
      <c r="BE29">
        <v>173</v>
      </c>
      <c r="BF29">
        <v>12763</v>
      </c>
      <c r="BG29">
        <v>2481</v>
      </c>
      <c r="BH29">
        <v>13737</v>
      </c>
      <c r="BI29">
        <v>2493</v>
      </c>
      <c r="BJ29">
        <v>23449</v>
      </c>
      <c r="BK29">
        <v>2828</v>
      </c>
      <c r="BL29">
        <v>957</v>
      </c>
      <c r="BM29">
        <v>10340</v>
      </c>
      <c r="BN29">
        <v>2894</v>
      </c>
      <c r="BO29">
        <v>11301</v>
      </c>
      <c r="BP29">
        <v>5177</v>
      </c>
      <c r="BQ29">
        <v>2876</v>
      </c>
      <c r="BR29">
        <v>10247</v>
      </c>
      <c r="BS29">
        <v>5606</v>
      </c>
      <c r="BT29">
        <v>7681</v>
      </c>
      <c r="BU29">
        <v>37793</v>
      </c>
      <c r="BV29">
        <v>36988</v>
      </c>
      <c r="BW29">
        <v>37565</v>
      </c>
      <c r="BX29">
        <v>35825</v>
      </c>
      <c r="BY29">
        <v>29035</v>
      </c>
      <c r="BZ29">
        <v>2687</v>
      </c>
      <c r="CA29">
        <v>1162</v>
      </c>
      <c r="CB29">
        <v>1050</v>
      </c>
      <c r="CC29">
        <v>3123</v>
      </c>
      <c r="CD29">
        <v>6005</v>
      </c>
      <c r="CE29">
        <v>8207</v>
      </c>
      <c r="CF29">
        <v>4350</v>
      </c>
      <c r="CG29">
        <v>18179</v>
      </c>
      <c r="CH29">
        <v>296377</v>
      </c>
      <c r="CI29">
        <v>951712</v>
      </c>
      <c r="CJ29">
        <v>5433</v>
      </c>
      <c r="CK29">
        <v>25594</v>
      </c>
      <c r="CL29">
        <v>6518</v>
      </c>
      <c r="CM29">
        <v>11710</v>
      </c>
    </row>
    <row r="30" spans="1:91" x14ac:dyDescent="0.4">
      <c r="A30" s="1" t="s">
        <v>48</v>
      </c>
      <c r="B30" s="1" t="s">
        <v>49</v>
      </c>
      <c r="C30">
        <v>115236</v>
      </c>
      <c r="D30">
        <v>151218</v>
      </c>
      <c r="E30">
        <v>112441</v>
      </c>
      <c r="F30">
        <v>155837</v>
      </c>
      <c r="G30">
        <v>19101</v>
      </c>
      <c r="H30">
        <v>97864</v>
      </c>
      <c r="I30">
        <v>188632</v>
      </c>
      <c r="J30">
        <v>98834</v>
      </c>
      <c r="K30">
        <v>208909</v>
      </c>
      <c r="L30">
        <v>20941</v>
      </c>
      <c r="M30">
        <v>418659</v>
      </c>
      <c r="N30">
        <v>1610839</v>
      </c>
      <c r="O30">
        <v>411923</v>
      </c>
      <c r="P30">
        <v>1599715</v>
      </c>
      <c r="Q30">
        <v>103050</v>
      </c>
      <c r="R30">
        <v>11009</v>
      </c>
      <c r="S30">
        <v>36851</v>
      </c>
      <c r="T30">
        <v>10783</v>
      </c>
      <c r="U30">
        <v>35214</v>
      </c>
      <c r="V30">
        <v>3896</v>
      </c>
      <c r="W30">
        <v>582</v>
      </c>
      <c r="X30">
        <v>12991</v>
      </c>
      <c r="Y30">
        <v>601</v>
      </c>
      <c r="Z30">
        <v>13496</v>
      </c>
      <c r="AA30">
        <v>249</v>
      </c>
      <c r="AB30">
        <v>32117</v>
      </c>
      <c r="AC30">
        <v>35659</v>
      </c>
      <c r="AD30">
        <v>30648</v>
      </c>
      <c r="AE30">
        <v>33571</v>
      </c>
      <c r="AF30">
        <v>7253</v>
      </c>
      <c r="AG30">
        <v>21921</v>
      </c>
      <c r="AH30">
        <v>45233</v>
      </c>
      <c r="AI30">
        <v>20847</v>
      </c>
      <c r="AJ30">
        <v>41943</v>
      </c>
      <c r="AK30">
        <v>3388</v>
      </c>
      <c r="AL30">
        <v>45299</v>
      </c>
      <c r="AM30">
        <v>202397</v>
      </c>
      <c r="AN30">
        <v>40118</v>
      </c>
      <c r="AO30">
        <v>182675</v>
      </c>
      <c r="AP30">
        <v>21588</v>
      </c>
      <c r="AQ30">
        <v>834</v>
      </c>
      <c r="AR30">
        <v>9900</v>
      </c>
      <c r="AS30">
        <v>844</v>
      </c>
      <c r="AT30">
        <v>10212</v>
      </c>
      <c r="AU30">
        <v>217</v>
      </c>
      <c r="AV30">
        <v>6445</v>
      </c>
      <c r="AW30">
        <v>3342</v>
      </c>
      <c r="AX30">
        <v>6406</v>
      </c>
      <c r="AY30">
        <v>3520</v>
      </c>
      <c r="AZ30">
        <v>4941</v>
      </c>
      <c r="BA30">
        <v>646</v>
      </c>
      <c r="BB30">
        <v>5271</v>
      </c>
      <c r="BC30">
        <v>635</v>
      </c>
      <c r="BD30">
        <v>5161</v>
      </c>
      <c r="BE30">
        <v>184</v>
      </c>
      <c r="BF30">
        <v>13460</v>
      </c>
      <c r="BG30">
        <v>2664</v>
      </c>
      <c r="BH30">
        <v>12368</v>
      </c>
      <c r="BI30">
        <v>2190</v>
      </c>
      <c r="BJ30">
        <v>27032</v>
      </c>
      <c r="BK30">
        <v>4637</v>
      </c>
      <c r="BL30">
        <v>1884</v>
      </c>
      <c r="BM30">
        <v>10779</v>
      </c>
      <c r="BN30">
        <v>3018</v>
      </c>
      <c r="BO30">
        <v>12355</v>
      </c>
      <c r="BP30">
        <v>5308</v>
      </c>
      <c r="BQ30">
        <v>3548</v>
      </c>
      <c r="BR30">
        <v>10875</v>
      </c>
      <c r="BS30">
        <v>6192</v>
      </c>
      <c r="BT30">
        <v>7973</v>
      </c>
      <c r="BU30">
        <v>35616</v>
      </c>
      <c r="BV30">
        <v>37164</v>
      </c>
      <c r="BW30">
        <v>37319</v>
      </c>
      <c r="BX30">
        <v>37357</v>
      </c>
      <c r="BY30">
        <v>29004</v>
      </c>
      <c r="BZ30">
        <v>2909</v>
      </c>
      <c r="CA30">
        <v>1186</v>
      </c>
      <c r="CB30">
        <v>1075</v>
      </c>
      <c r="CC30">
        <v>3275</v>
      </c>
      <c r="CD30">
        <v>6651</v>
      </c>
      <c r="CE30">
        <v>9342</v>
      </c>
      <c r="CF30">
        <v>4557</v>
      </c>
      <c r="CG30">
        <v>18674</v>
      </c>
      <c r="CH30">
        <v>296357</v>
      </c>
      <c r="CI30">
        <v>960080</v>
      </c>
      <c r="CJ30">
        <v>2700</v>
      </c>
      <c r="CK30">
        <v>9195</v>
      </c>
      <c r="CL30">
        <v>5533</v>
      </c>
      <c r="CM30">
        <v>10777</v>
      </c>
    </row>
    <row r="31" spans="1:91" x14ac:dyDescent="0.4">
      <c r="A31" s="1" t="s">
        <v>50</v>
      </c>
      <c r="B31" s="1" t="s">
        <v>51</v>
      </c>
      <c r="C31">
        <v>96557</v>
      </c>
      <c r="D31">
        <v>120705</v>
      </c>
      <c r="E31">
        <v>100080</v>
      </c>
      <c r="F31">
        <v>136131</v>
      </c>
      <c r="G31">
        <v>15581</v>
      </c>
      <c r="H31">
        <v>74671</v>
      </c>
      <c r="I31">
        <v>144361</v>
      </c>
      <c r="J31">
        <v>76561</v>
      </c>
      <c r="K31">
        <v>160851</v>
      </c>
      <c r="L31">
        <v>19045</v>
      </c>
      <c r="M31">
        <v>292763</v>
      </c>
      <c r="N31">
        <v>1137256</v>
      </c>
      <c r="O31">
        <v>316150</v>
      </c>
      <c r="P31">
        <v>1238061</v>
      </c>
      <c r="Q31">
        <v>83809</v>
      </c>
      <c r="R31">
        <v>7824</v>
      </c>
      <c r="S31">
        <v>25206</v>
      </c>
      <c r="T31">
        <v>8534</v>
      </c>
      <c r="U31">
        <v>27895</v>
      </c>
      <c r="V31">
        <v>3186</v>
      </c>
      <c r="W31">
        <v>449</v>
      </c>
      <c r="X31">
        <v>8799</v>
      </c>
      <c r="Y31">
        <v>470</v>
      </c>
      <c r="Z31">
        <v>9210</v>
      </c>
      <c r="AA31">
        <v>228</v>
      </c>
      <c r="AB31">
        <v>24893</v>
      </c>
      <c r="AC31">
        <v>27908</v>
      </c>
      <c r="AD31">
        <v>25308</v>
      </c>
      <c r="AE31">
        <v>29014</v>
      </c>
      <c r="AF31">
        <v>6838</v>
      </c>
      <c r="AG31">
        <v>15596</v>
      </c>
      <c r="AH31">
        <v>31376</v>
      </c>
      <c r="AI31">
        <v>16376</v>
      </c>
      <c r="AJ31">
        <v>32038</v>
      </c>
      <c r="AK31">
        <v>2608</v>
      </c>
      <c r="AL31">
        <v>29971</v>
      </c>
      <c r="AM31">
        <v>131351</v>
      </c>
      <c r="AN31">
        <v>34630</v>
      </c>
      <c r="AO31">
        <v>151835</v>
      </c>
      <c r="AP31">
        <v>16929</v>
      </c>
      <c r="AQ31">
        <v>488</v>
      </c>
      <c r="AR31">
        <v>5719</v>
      </c>
      <c r="AS31">
        <v>560</v>
      </c>
      <c r="AT31">
        <v>6722</v>
      </c>
      <c r="AU31">
        <v>145</v>
      </c>
      <c r="AV31">
        <v>5417</v>
      </c>
      <c r="AW31">
        <v>2669</v>
      </c>
      <c r="AX31">
        <v>6241</v>
      </c>
      <c r="AY31">
        <v>3313</v>
      </c>
      <c r="AZ31">
        <v>4117</v>
      </c>
      <c r="BA31">
        <v>513</v>
      </c>
      <c r="BB31">
        <v>4447</v>
      </c>
      <c r="BC31">
        <v>529</v>
      </c>
      <c r="BD31">
        <v>4600</v>
      </c>
      <c r="BE31">
        <v>168</v>
      </c>
      <c r="BF31">
        <v>8451</v>
      </c>
      <c r="BG31">
        <v>1723</v>
      </c>
      <c r="BH31">
        <v>11733</v>
      </c>
      <c r="BI31">
        <v>2146</v>
      </c>
      <c r="BJ31">
        <v>25994</v>
      </c>
      <c r="BK31">
        <v>2557</v>
      </c>
      <c r="BL31">
        <v>924</v>
      </c>
      <c r="BM31">
        <v>8853</v>
      </c>
      <c r="BN31">
        <v>2884</v>
      </c>
      <c r="BO31">
        <v>11572</v>
      </c>
      <c r="BP31">
        <v>4617</v>
      </c>
      <c r="BQ31">
        <v>3126</v>
      </c>
      <c r="BR31">
        <v>8160</v>
      </c>
      <c r="BS31">
        <v>5056</v>
      </c>
      <c r="BT31">
        <v>8293</v>
      </c>
      <c r="BU31">
        <v>26766</v>
      </c>
      <c r="BV31">
        <v>27536</v>
      </c>
      <c r="BW31">
        <v>35749</v>
      </c>
      <c r="BX31">
        <v>35398</v>
      </c>
      <c r="BY31">
        <v>22259</v>
      </c>
      <c r="BZ31">
        <v>2038</v>
      </c>
      <c r="CA31">
        <v>923</v>
      </c>
      <c r="CB31">
        <v>798</v>
      </c>
      <c r="CC31">
        <v>2615</v>
      </c>
      <c r="CD31">
        <v>4845</v>
      </c>
      <c r="CE31">
        <v>7529</v>
      </c>
      <c r="CF31">
        <v>3527</v>
      </c>
      <c r="CG31">
        <v>15816</v>
      </c>
      <c r="CH31">
        <v>222168</v>
      </c>
      <c r="CI31">
        <v>725028</v>
      </c>
      <c r="CJ31">
        <v>3791</v>
      </c>
      <c r="CK31">
        <v>13265</v>
      </c>
      <c r="CL31">
        <v>3675</v>
      </c>
      <c r="CM31">
        <v>7251</v>
      </c>
    </row>
    <row r="32" spans="1:91" x14ac:dyDescent="0.4">
      <c r="A32" s="1" t="s">
        <v>52</v>
      </c>
      <c r="B32" s="1" t="s">
        <v>53</v>
      </c>
      <c r="C32">
        <v>125493</v>
      </c>
      <c r="D32">
        <v>157869</v>
      </c>
      <c r="E32">
        <v>126811</v>
      </c>
      <c r="F32">
        <v>174848</v>
      </c>
      <c r="G32">
        <v>14270</v>
      </c>
      <c r="H32">
        <v>101738</v>
      </c>
      <c r="I32">
        <v>194747</v>
      </c>
      <c r="J32">
        <v>98389</v>
      </c>
      <c r="K32">
        <v>207105</v>
      </c>
      <c r="L32">
        <v>22987</v>
      </c>
      <c r="M32">
        <v>422093</v>
      </c>
      <c r="N32">
        <v>1621385</v>
      </c>
      <c r="O32">
        <v>422040</v>
      </c>
      <c r="P32">
        <v>1637819</v>
      </c>
      <c r="Q32">
        <v>91096</v>
      </c>
      <c r="R32">
        <v>10992</v>
      </c>
      <c r="S32">
        <v>35690</v>
      </c>
      <c r="T32">
        <v>10602</v>
      </c>
      <c r="U32">
        <v>34258</v>
      </c>
      <c r="V32">
        <v>3568</v>
      </c>
      <c r="W32">
        <v>599</v>
      </c>
      <c r="X32">
        <v>11906</v>
      </c>
      <c r="Y32">
        <v>609</v>
      </c>
      <c r="Z32">
        <v>11858</v>
      </c>
      <c r="AA32">
        <v>218</v>
      </c>
      <c r="AB32">
        <v>34012</v>
      </c>
      <c r="AC32">
        <v>37946</v>
      </c>
      <c r="AD32">
        <v>33327</v>
      </c>
      <c r="AE32">
        <v>37485</v>
      </c>
      <c r="AF32">
        <v>7523</v>
      </c>
      <c r="AG32">
        <v>21247</v>
      </c>
      <c r="AH32">
        <v>44669</v>
      </c>
      <c r="AI32">
        <v>21208</v>
      </c>
      <c r="AJ32">
        <v>43024</v>
      </c>
      <c r="AK32">
        <v>2795</v>
      </c>
      <c r="AL32">
        <v>43517</v>
      </c>
      <c r="AM32">
        <v>196566</v>
      </c>
      <c r="AN32">
        <v>43441</v>
      </c>
      <c r="AO32">
        <v>193383</v>
      </c>
      <c r="AP32">
        <v>16982</v>
      </c>
      <c r="AQ32">
        <v>1081</v>
      </c>
      <c r="AR32">
        <v>12044</v>
      </c>
      <c r="AS32">
        <v>988</v>
      </c>
      <c r="AT32">
        <v>11386</v>
      </c>
      <c r="AU32">
        <v>238</v>
      </c>
      <c r="AV32">
        <v>6653</v>
      </c>
      <c r="AW32">
        <v>3359</v>
      </c>
      <c r="AX32">
        <v>6654</v>
      </c>
      <c r="AY32">
        <v>3833</v>
      </c>
      <c r="AZ32">
        <v>4110</v>
      </c>
      <c r="BA32">
        <v>655</v>
      </c>
      <c r="BB32">
        <v>6086</v>
      </c>
      <c r="BC32">
        <v>701</v>
      </c>
      <c r="BD32">
        <v>6537</v>
      </c>
      <c r="BE32">
        <v>122</v>
      </c>
      <c r="BF32">
        <v>8756</v>
      </c>
      <c r="BG32">
        <v>1873</v>
      </c>
      <c r="BH32">
        <v>14322</v>
      </c>
      <c r="BI32">
        <v>2804</v>
      </c>
      <c r="BJ32">
        <v>22274</v>
      </c>
      <c r="BK32">
        <v>5407</v>
      </c>
      <c r="BL32">
        <v>1795</v>
      </c>
      <c r="BM32">
        <v>12792</v>
      </c>
      <c r="BN32">
        <v>3658</v>
      </c>
      <c r="BO32">
        <v>12778</v>
      </c>
      <c r="BP32">
        <v>4504</v>
      </c>
      <c r="BQ32">
        <v>2806</v>
      </c>
      <c r="BR32">
        <v>10763</v>
      </c>
      <c r="BS32">
        <v>6616</v>
      </c>
      <c r="BT32">
        <v>7080</v>
      </c>
      <c r="BU32">
        <v>35111</v>
      </c>
      <c r="BV32">
        <v>36323</v>
      </c>
      <c r="BW32">
        <v>33563</v>
      </c>
      <c r="BX32">
        <v>33664</v>
      </c>
      <c r="BY32">
        <v>25734</v>
      </c>
      <c r="BZ32">
        <v>2952</v>
      </c>
      <c r="CA32">
        <v>1215</v>
      </c>
      <c r="CB32">
        <v>1053</v>
      </c>
      <c r="CC32">
        <v>3509</v>
      </c>
      <c r="CD32">
        <v>6261</v>
      </c>
      <c r="CE32">
        <v>10440</v>
      </c>
      <c r="CF32">
        <v>4351</v>
      </c>
      <c r="CG32">
        <v>21399</v>
      </c>
      <c r="CH32">
        <v>301630</v>
      </c>
      <c r="CI32">
        <v>1005555</v>
      </c>
      <c r="CJ32">
        <v>7552</v>
      </c>
      <c r="CK32">
        <v>27272</v>
      </c>
      <c r="CL32">
        <v>5206</v>
      </c>
      <c r="CM32">
        <v>11776</v>
      </c>
    </row>
    <row r="33" spans="1:91" x14ac:dyDescent="0.4">
      <c r="A33" s="1" t="s">
        <v>54</v>
      </c>
      <c r="B33" s="1" t="s">
        <v>55</v>
      </c>
      <c r="C33">
        <v>139754</v>
      </c>
      <c r="D33">
        <v>186444</v>
      </c>
      <c r="E33">
        <v>135418</v>
      </c>
      <c r="F33">
        <v>190234</v>
      </c>
      <c r="G33">
        <v>18594</v>
      </c>
      <c r="H33">
        <v>101275</v>
      </c>
      <c r="I33">
        <v>198116</v>
      </c>
      <c r="J33">
        <v>102223</v>
      </c>
      <c r="K33">
        <v>215314</v>
      </c>
      <c r="L33">
        <v>22039</v>
      </c>
      <c r="M33">
        <v>458052</v>
      </c>
      <c r="N33">
        <v>1799959</v>
      </c>
      <c r="O33">
        <v>445954</v>
      </c>
      <c r="P33">
        <v>1767008</v>
      </c>
      <c r="Q33">
        <v>110854</v>
      </c>
      <c r="R33">
        <v>10135</v>
      </c>
      <c r="S33">
        <v>34511</v>
      </c>
      <c r="T33">
        <v>10162</v>
      </c>
      <c r="U33">
        <v>33969</v>
      </c>
      <c r="V33">
        <v>3541</v>
      </c>
      <c r="W33">
        <v>603</v>
      </c>
      <c r="X33">
        <v>11832</v>
      </c>
      <c r="Y33">
        <v>620</v>
      </c>
      <c r="Z33">
        <v>12244</v>
      </c>
      <c r="AA33">
        <v>198</v>
      </c>
      <c r="AB33">
        <v>35198</v>
      </c>
      <c r="AC33">
        <v>38712</v>
      </c>
      <c r="AD33">
        <v>35149</v>
      </c>
      <c r="AE33">
        <v>39346</v>
      </c>
      <c r="AF33">
        <v>7571</v>
      </c>
      <c r="AG33">
        <v>23546</v>
      </c>
      <c r="AH33">
        <v>50457</v>
      </c>
      <c r="AI33">
        <v>22905</v>
      </c>
      <c r="AJ33">
        <v>47028</v>
      </c>
      <c r="AK33">
        <v>3436</v>
      </c>
      <c r="AL33">
        <v>44528</v>
      </c>
      <c r="AM33">
        <v>204129</v>
      </c>
      <c r="AN33">
        <v>41989</v>
      </c>
      <c r="AO33">
        <v>197351</v>
      </c>
      <c r="AP33">
        <v>19521</v>
      </c>
      <c r="AQ33">
        <v>1116</v>
      </c>
      <c r="AR33">
        <v>13697</v>
      </c>
      <c r="AS33">
        <v>1097</v>
      </c>
      <c r="AT33">
        <v>12965</v>
      </c>
      <c r="AU33">
        <v>257</v>
      </c>
      <c r="AV33">
        <v>7323</v>
      </c>
      <c r="AW33">
        <v>4631</v>
      </c>
      <c r="AX33">
        <v>7843</v>
      </c>
      <c r="AY33">
        <v>5298</v>
      </c>
      <c r="AZ33">
        <v>3579</v>
      </c>
      <c r="BA33">
        <v>608</v>
      </c>
      <c r="BB33">
        <v>4972</v>
      </c>
      <c r="BC33">
        <v>607</v>
      </c>
      <c r="BD33">
        <v>4989</v>
      </c>
      <c r="BE33">
        <v>123</v>
      </c>
      <c r="BF33">
        <v>1599</v>
      </c>
      <c r="BG33">
        <v>474</v>
      </c>
      <c r="BH33">
        <v>8969</v>
      </c>
      <c r="BI33">
        <v>3879</v>
      </c>
      <c r="BJ33">
        <v>15098</v>
      </c>
      <c r="BK33">
        <v>5956</v>
      </c>
      <c r="BL33">
        <v>1959</v>
      </c>
      <c r="BM33">
        <v>14627</v>
      </c>
      <c r="BN33">
        <v>4277</v>
      </c>
      <c r="BO33">
        <v>11705</v>
      </c>
      <c r="BP33">
        <v>5972</v>
      </c>
      <c r="BQ33">
        <v>3611</v>
      </c>
      <c r="BR33">
        <v>11806</v>
      </c>
      <c r="BS33">
        <v>7044</v>
      </c>
      <c r="BT33">
        <v>7682</v>
      </c>
      <c r="BU33">
        <v>45752</v>
      </c>
      <c r="BV33">
        <v>47069</v>
      </c>
      <c r="BW33">
        <v>43506</v>
      </c>
      <c r="BX33">
        <v>43380</v>
      </c>
      <c r="BY33">
        <v>29750</v>
      </c>
      <c r="BZ33">
        <v>3315</v>
      </c>
      <c r="CA33">
        <v>1201</v>
      </c>
      <c r="CB33">
        <v>1103</v>
      </c>
      <c r="CC33">
        <v>3405</v>
      </c>
      <c r="CD33">
        <v>6148</v>
      </c>
      <c r="CE33">
        <v>9934</v>
      </c>
      <c r="CF33">
        <v>4336</v>
      </c>
      <c r="CG33">
        <v>18859</v>
      </c>
      <c r="CH33">
        <v>312997</v>
      </c>
      <c r="CI33">
        <v>1046956</v>
      </c>
      <c r="CJ33">
        <v>23727</v>
      </c>
      <c r="CK33">
        <v>108000</v>
      </c>
      <c r="CL33">
        <v>5327</v>
      </c>
      <c r="CM33">
        <v>12739</v>
      </c>
    </row>
    <row r="34" spans="1:91" x14ac:dyDescent="0.4">
      <c r="A34" s="1" t="s">
        <v>56</v>
      </c>
      <c r="B34" s="1" t="s">
        <v>57</v>
      </c>
      <c r="C34">
        <v>120187</v>
      </c>
      <c r="D34">
        <v>162116</v>
      </c>
      <c r="E34">
        <v>120548</v>
      </c>
      <c r="F34">
        <v>173136</v>
      </c>
      <c r="G34">
        <v>18238</v>
      </c>
      <c r="H34">
        <v>93541</v>
      </c>
      <c r="I34">
        <v>183503</v>
      </c>
      <c r="J34">
        <v>91291</v>
      </c>
      <c r="K34">
        <v>195630</v>
      </c>
      <c r="L34">
        <v>24289</v>
      </c>
      <c r="M34">
        <v>373620</v>
      </c>
      <c r="N34">
        <v>1468381</v>
      </c>
      <c r="O34">
        <v>403650</v>
      </c>
      <c r="P34">
        <v>1619295</v>
      </c>
      <c r="Q34">
        <v>86398</v>
      </c>
      <c r="R34">
        <v>9004</v>
      </c>
      <c r="S34">
        <v>32256</v>
      </c>
      <c r="T34">
        <v>8920</v>
      </c>
      <c r="U34">
        <v>30019</v>
      </c>
      <c r="V34">
        <v>3625</v>
      </c>
      <c r="W34">
        <v>507</v>
      </c>
      <c r="X34">
        <v>9947</v>
      </c>
      <c r="Y34">
        <v>524</v>
      </c>
      <c r="Z34">
        <v>10053</v>
      </c>
      <c r="AA34">
        <v>181</v>
      </c>
      <c r="AB34">
        <v>30539</v>
      </c>
      <c r="AC34">
        <v>33503</v>
      </c>
      <c r="AD34">
        <v>30269</v>
      </c>
      <c r="AE34">
        <v>34132</v>
      </c>
      <c r="AF34">
        <v>7841</v>
      </c>
      <c r="AG34">
        <v>17297</v>
      </c>
      <c r="AH34">
        <v>38877</v>
      </c>
      <c r="AI34">
        <v>18546</v>
      </c>
      <c r="AJ34">
        <v>40394</v>
      </c>
      <c r="AK34">
        <v>2187</v>
      </c>
      <c r="AL34">
        <v>40343</v>
      </c>
      <c r="AM34">
        <v>185242</v>
      </c>
      <c r="AN34">
        <v>41430</v>
      </c>
      <c r="AO34">
        <v>188854</v>
      </c>
      <c r="AP34">
        <v>18435</v>
      </c>
      <c r="AQ34">
        <v>775</v>
      </c>
      <c r="AR34">
        <v>9434</v>
      </c>
      <c r="AS34">
        <v>855</v>
      </c>
      <c r="AT34">
        <v>10237</v>
      </c>
      <c r="AU34">
        <v>177</v>
      </c>
      <c r="AV34">
        <v>5867</v>
      </c>
      <c r="AW34">
        <v>3942</v>
      </c>
      <c r="AX34">
        <v>6285</v>
      </c>
      <c r="AY34">
        <v>4552</v>
      </c>
      <c r="AZ34">
        <v>3156</v>
      </c>
      <c r="BA34">
        <v>543</v>
      </c>
      <c r="BB34">
        <v>4721</v>
      </c>
      <c r="BC34">
        <v>524</v>
      </c>
      <c r="BD34">
        <v>4548</v>
      </c>
      <c r="BE34">
        <v>142</v>
      </c>
      <c r="BF34">
        <v>1524</v>
      </c>
      <c r="BG34">
        <v>444</v>
      </c>
      <c r="BH34">
        <v>6824</v>
      </c>
      <c r="BI34">
        <v>3325</v>
      </c>
      <c r="BJ34">
        <v>10428</v>
      </c>
      <c r="BK34">
        <v>5382</v>
      </c>
      <c r="BL34">
        <v>1724</v>
      </c>
      <c r="BM34">
        <v>11922</v>
      </c>
      <c r="BN34">
        <v>3572</v>
      </c>
      <c r="BO34">
        <v>13292</v>
      </c>
      <c r="BP34">
        <v>6790</v>
      </c>
      <c r="BQ34">
        <v>4050</v>
      </c>
      <c r="BR34">
        <v>10067</v>
      </c>
      <c r="BS34">
        <v>5769</v>
      </c>
      <c r="BT34">
        <v>9207</v>
      </c>
      <c r="BU34">
        <v>45703</v>
      </c>
      <c r="BV34">
        <v>48088</v>
      </c>
      <c r="BW34">
        <v>45515</v>
      </c>
      <c r="BX34">
        <v>46759</v>
      </c>
      <c r="BY34">
        <v>31361</v>
      </c>
      <c r="BZ34">
        <v>2973</v>
      </c>
      <c r="CA34">
        <v>1174</v>
      </c>
      <c r="CB34">
        <v>1035</v>
      </c>
      <c r="CC34">
        <v>3201</v>
      </c>
      <c r="CD34">
        <v>6083</v>
      </c>
      <c r="CE34">
        <v>9600</v>
      </c>
      <c r="CF34">
        <v>4049</v>
      </c>
      <c r="CG34">
        <v>18874</v>
      </c>
      <c r="CH34">
        <v>259399</v>
      </c>
      <c r="CI34">
        <v>841487</v>
      </c>
      <c r="CJ34">
        <v>23940</v>
      </c>
      <c r="CK34">
        <v>113894</v>
      </c>
      <c r="CL34">
        <v>3169</v>
      </c>
      <c r="CM34">
        <v>9621</v>
      </c>
    </row>
    <row r="35" spans="1:91" x14ac:dyDescent="0.4">
      <c r="A35" s="1" t="s">
        <v>58</v>
      </c>
      <c r="B35" s="1" t="s">
        <v>59</v>
      </c>
      <c r="C35">
        <v>119403</v>
      </c>
      <c r="D35">
        <v>160818</v>
      </c>
      <c r="E35">
        <v>116109</v>
      </c>
      <c r="F35">
        <v>163900</v>
      </c>
      <c r="G35">
        <v>21534</v>
      </c>
      <c r="H35">
        <v>96694</v>
      </c>
      <c r="I35">
        <v>189959</v>
      </c>
      <c r="J35">
        <v>94895</v>
      </c>
      <c r="K35">
        <v>201869</v>
      </c>
      <c r="L35">
        <v>26088</v>
      </c>
      <c r="M35">
        <v>374713</v>
      </c>
      <c r="N35">
        <v>1506505</v>
      </c>
      <c r="O35">
        <v>403015</v>
      </c>
      <c r="P35">
        <v>1625490</v>
      </c>
      <c r="Q35">
        <v>66771</v>
      </c>
      <c r="R35">
        <v>8953</v>
      </c>
      <c r="S35">
        <v>31145</v>
      </c>
      <c r="T35">
        <v>9674</v>
      </c>
      <c r="U35">
        <v>34168</v>
      </c>
      <c r="V35">
        <v>2904</v>
      </c>
      <c r="W35">
        <v>563</v>
      </c>
      <c r="X35">
        <v>11381</v>
      </c>
      <c r="Y35">
        <v>501</v>
      </c>
      <c r="Z35">
        <v>9194</v>
      </c>
      <c r="AA35">
        <v>243</v>
      </c>
      <c r="AB35">
        <v>30615</v>
      </c>
      <c r="AC35">
        <v>33297</v>
      </c>
      <c r="AD35">
        <v>29872</v>
      </c>
      <c r="AE35">
        <v>33413</v>
      </c>
      <c r="AF35">
        <v>8584</v>
      </c>
      <c r="AG35">
        <v>19703</v>
      </c>
      <c r="AH35">
        <v>44405</v>
      </c>
      <c r="AI35">
        <v>18802</v>
      </c>
      <c r="AJ35">
        <v>40843</v>
      </c>
      <c r="AK35">
        <v>3088</v>
      </c>
      <c r="AL35">
        <v>39582</v>
      </c>
      <c r="AM35">
        <v>178253</v>
      </c>
      <c r="AN35">
        <v>44484</v>
      </c>
      <c r="AO35">
        <v>197878</v>
      </c>
      <c r="AP35">
        <v>13532</v>
      </c>
      <c r="AQ35">
        <v>930</v>
      </c>
      <c r="AR35">
        <v>11163</v>
      </c>
      <c r="AS35">
        <v>871</v>
      </c>
      <c r="AT35">
        <v>10477</v>
      </c>
      <c r="AU35">
        <v>236</v>
      </c>
      <c r="AV35">
        <v>6541</v>
      </c>
      <c r="AW35">
        <v>3710</v>
      </c>
      <c r="AX35">
        <v>7018</v>
      </c>
      <c r="AY35">
        <v>4421</v>
      </c>
      <c r="AZ35">
        <v>2679</v>
      </c>
      <c r="BA35">
        <v>630</v>
      </c>
      <c r="BB35">
        <v>5493</v>
      </c>
      <c r="BC35">
        <v>666</v>
      </c>
      <c r="BD35">
        <v>5830</v>
      </c>
      <c r="BE35">
        <v>106</v>
      </c>
      <c r="BF35">
        <v>1215</v>
      </c>
      <c r="BG35">
        <v>395</v>
      </c>
      <c r="BH35">
        <v>4232</v>
      </c>
      <c r="BI35">
        <v>1746</v>
      </c>
      <c r="BJ35">
        <v>8135</v>
      </c>
      <c r="BK35">
        <v>6523</v>
      </c>
      <c r="BL35">
        <v>2076</v>
      </c>
      <c r="BM35">
        <v>13419</v>
      </c>
      <c r="BN35">
        <v>3959</v>
      </c>
      <c r="BO35">
        <v>14767</v>
      </c>
      <c r="BP35">
        <v>4923</v>
      </c>
      <c r="BQ35">
        <v>3036</v>
      </c>
      <c r="BR35">
        <v>10748</v>
      </c>
      <c r="BS35">
        <v>6510</v>
      </c>
      <c r="BT35">
        <v>8411</v>
      </c>
      <c r="BU35">
        <v>45142</v>
      </c>
      <c r="BV35">
        <v>47171</v>
      </c>
      <c r="BW35">
        <v>51074</v>
      </c>
      <c r="BX35">
        <v>51560</v>
      </c>
      <c r="BY35">
        <v>27173</v>
      </c>
      <c r="BZ35">
        <v>3284</v>
      </c>
      <c r="CA35">
        <v>1266</v>
      </c>
      <c r="CB35">
        <v>1059</v>
      </c>
      <c r="CC35">
        <v>3190</v>
      </c>
      <c r="CD35">
        <v>6225</v>
      </c>
      <c r="CE35">
        <v>10052</v>
      </c>
      <c r="CF35">
        <v>4153</v>
      </c>
      <c r="CG35">
        <v>20453</v>
      </c>
      <c r="CH35">
        <v>253135</v>
      </c>
      <c r="CI35">
        <v>844873</v>
      </c>
      <c r="CJ35">
        <v>22841</v>
      </c>
      <c r="CK35">
        <v>108362</v>
      </c>
      <c r="CL35">
        <v>3501</v>
      </c>
      <c r="CM35">
        <v>8053</v>
      </c>
    </row>
    <row r="36" spans="1:91" x14ac:dyDescent="0.4">
      <c r="A36" s="1" t="s">
        <v>60</v>
      </c>
      <c r="B36" s="1" t="s">
        <v>61</v>
      </c>
      <c r="C36">
        <v>114492</v>
      </c>
      <c r="D36">
        <v>153600</v>
      </c>
      <c r="E36">
        <v>114847</v>
      </c>
      <c r="F36">
        <v>160643</v>
      </c>
      <c r="G36">
        <v>21191</v>
      </c>
      <c r="H36">
        <v>87619</v>
      </c>
      <c r="I36">
        <v>175523</v>
      </c>
      <c r="J36">
        <v>86907</v>
      </c>
      <c r="K36">
        <v>188430</v>
      </c>
      <c r="L36">
        <v>26800</v>
      </c>
      <c r="M36">
        <v>373982</v>
      </c>
      <c r="N36">
        <v>1486638</v>
      </c>
      <c r="O36">
        <v>355646</v>
      </c>
      <c r="P36">
        <v>1411756</v>
      </c>
      <c r="Q36">
        <v>93746</v>
      </c>
      <c r="R36">
        <v>9042</v>
      </c>
      <c r="S36">
        <v>31998</v>
      </c>
      <c r="T36">
        <v>8210</v>
      </c>
      <c r="U36">
        <v>30380</v>
      </c>
      <c r="V36">
        <v>3736</v>
      </c>
      <c r="W36">
        <v>579</v>
      </c>
      <c r="X36">
        <v>10538</v>
      </c>
      <c r="Y36">
        <v>590</v>
      </c>
      <c r="Z36">
        <v>11491</v>
      </c>
      <c r="AA36">
        <v>232</v>
      </c>
      <c r="AB36">
        <v>32326</v>
      </c>
      <c r="AC36">
        <v>35737</v>
      </c>
      <c r="AD36">
        <v>31891</v>
      </c>
      <c r="AE36">
        <v>35829</v>
      </c>
      <c r="AF36">
        <v>9019</v>
      </c>
      <c r="AG36">
        <v>19212</v>
      </c>
      <c r="AH36">
        <v>43323</v>
      </c>
      <c r="AI36">
        <v>19166</v>
      </c>
      <c r="AJ36">
        <v>42593</v>
      </c>
      <c r="AK36">
        <v>3134</v>
      </c>
      <c r="AL36">
        <v>39030</v>
      </c>
      <c r="AM36">
        <v>175363</v>
      </c>
      <c r="AN36">
        <v>33194</v>
      </c>
      <c r="AO36">
        <v>152328</v>
      </c>
      <c r="AP36">
        <v>19368</v>
      </c>
      <c r="AQ36">
        <v>1178</v>
      </c>
      <c r="AR36">
        <v>15261</v>
      </c>
      <c r="AS36">
        <v>1120</v>
      </c>
      <c r="AT36">
        <v>14310</v>
      </c>
      <c r="AU36">
        <v>294</v>
      </c>
      <c r="AV36">
        <v>8144</v>
      </c>
      <c r="AW36">
        <v>4054</v>
      </c>
      <c r="AX36">
        <v>7194</v>
      </c>
      <c r="AY36">
        <v>4002</v>
      </c>
      <c r="AZ36">
        <v>3627</v>
      </c>
      <c r="BA36">
        <v>581</v>
      </c>
      <c r="BB36">
        <v>4927</v>
      </c>
      <c r="BC36">
        <v>542</v>
      </c>
      <c r="BD36">
        <v>4616</v>
      </c>
      <c r="BE36">
        <v>145</v>
      </c>
      <c r="BF36">
        <v>997</v>
      </c>
      <c r="BG36">
        <v>345</v>
      </c>
      <c r="BH36">
        <v>3771</v>
      </c>
      <c r="BI36">
        <v>1415</v>
      </c>
      <c r="BJ36">
        <v>7947</v>
      </c>
      <c r="BK36">
        <v>3628</v>
      </c>
      <c r="BL36">
        <v>1251</v>
      </c>
      <c r="BM36">
        <v>13181</v>
      </c>
      <c r="BN36">
        <v>4291</v>
      </c>
      <c r="BO36">
        <v>11627</v>
      </c>
      <c r="BP36">
        <v>3032</v>
      </c>
      <c r="BQ36">
        <v>1700</v>
      </c>
      <c r="BR36">
        <v>5779</v>
      </c>
      <c r="BS36">
        <v>3140</v>
      </c>
      <c r="BT36">
        <v>8748</v>
      </c>
      <c r="BU36">
        <v>47104</v>
      </c>
      <c r="BV36">
        <v>49974</v>
      </c>
      <c r="BW36">
        <v>38551</v>
      </c>
      <c r="BX36">
        <v>41096</v>
      </c>
      <c r="BY36">
        <v>36682</v>
      </c>
      <c r="BZ36">
        <v>3236</v>
      </c>
      <c r="CA36">
        <v>1264</v>
      </c>
      <c r="CB36">
        <v>1045</v>
      </c>
      <c r="CC36">
        <v>3224</v>
      </c>
      <c r="CD36">
        <v>6529</v>
      </c>
      <c r="CE36">
        <v>10156</v>
      </c>
      <c r="CF36">
        <v>4070</v>
      </c>
      <c r="CG36">
        <v>17988</v>
      </c>
      <c r="CH36">
        <v>247842</v>
      </c>
      <c r="CI36">
        <v>825137</v>
      </c>
      <c r="CJ36">
        <v>22919</v>
      </c>
      <c r="CK36">
        <v>107154</v>
      </c>
      <c r="CL36">
        <v>3989</v>
      </c>
      <c r="CM36">
        <v>7876</v>
      </c>
    </row>
    <row r="37" spans="1:91" x14ac:dyDescent="0.4">
      <c r="A37" s="1" t="s">
        <v>62</v>
      </c>
      <c r="B37" s="1" t="s">
        <v>63</v>
      </c>
      <c r="C37">
        <v>124739</v>
      </c>
      <c r="D37">
        <v>165740</v>
      </c>
      <c r="E37">
        <v>121964</v>
      </c>
      <c r="F37">
        <v>172417</v>
      </c>
      <c r="G37">
        <v>23976</v>
      </c>
      <c r="H37">
        <v>101067</v>
      </c>
      <c r="I37">
        <v>202188</v>
      </c>
      <c r="J37">
        <v>98117</v>
      </c>
      <c r="K37">
        <v>215558</v>
      </c>
      <c r="L37">
        <v>29750</v>
      </c>
      <c r="M37">
        <v>407906</v>
      </c>
      <c r="N37">
        <v>1611503</v>
      </c>
      <c r="O37">
        <v>435294</v>
      </c>
      <c r="P37">
        <v>1727196</v>
      </c>
      <c r="Q37">
        <v>74759</v>
      </c>
      <c r="R37">
        <v>8458</v>
      </c>
      <c r="S37">
        <v>30231</v>
      </c>
      <c r="T37">
        <v>9539</v>
      </c>
      <c r="U37">
        <v>33731</v>
      </c>
      <c r="V37">
        <v>2817</v>
      </c>
      <c r="W37">
        <v>564</v>
      </c>
      <c r="X37">
        <v>10729</v>
      </c>
      <c r="Y37">
        <v>559</v>
      </c>
      <c r="Z37">
        <v>11592</v>
      </c>
      <c r="AA37">
        <v>237</v>
      </c>
      <c r="AB37">
        <v>33476</v>
      </c>
      <c r="AC37">
        <v>40631</v>
      </c>
      <c r="AD37">
        <v>33963</v>
      </c>
      <c r="AE37">
        <v>42024</v>
      </c>
      <c r="AF37">
        <v>8532</v>
      </c>
      <c r="AG37">
        <v>19034</v>
      </c>
      <c r="AH37">
        <v>45402</v>
      </c>
      <c r="AI37">
        <v>19436</v>
      </c>
      <c r="AJ37">
        <v>44662</v>
      </c>
      <c r="AK37">
        <v>2732</v>
      </c>
      <c r="AL37">
        <v>43453</v>
      </c>
      <c r="AM37">
        <v>193115</v>
      </c>
      <c r="AN37">
        <v>41983</v>
      </c>
      <c r="AO37">
        <v>188008</v>
      </c>
      <c r="AP37">
        <v>20838</v>
      </c>
      <c r="AQ37">
        <v>1010</v>
      </c>
      <c r="AR37">
        <v>12872</v>
      </c>
      <c r="AS37">
        <v>1064</v>
      </c>
      <c r="AT37">
        <v>13820</v>
      </c>
      <c r="AU37">
        <v>240</v>
      </c>
      <c r="AV37">
        <v>7127</v>
      </c>
      <c r="AW37">
        <v>3886</v>
      </c>
      <c r="AX37">
        <v>6511</v>
      </c>
      <c r="AY37">
        <v>3838</v>
      </c>
      <c r="AZ37">
        <v>4243</v>
      </c>
      <c r="BA37">
        <v>669</v>
      </c>
      <c r="BB37">
        <v>5670</v>
      </c>
      <c r="BC37">
        <v>593</v>
      </c>
      <c r="BD37">
        <v>5007</v>
      </c>
      <c r="BE37">
        <v>221</v>
      </c>
      <c r="BF37">
        <v>1180</v>
      </c>
      <c r="BG37">
        <v>460</v>
      </c>
      <c r="BH37">
        <v>4937</v>
      </c>
      <c r="BI37">
        <v>1557</v>
      </c>
      <c r="BJ37">
        <v>5943</v>
      </c>
      <c r="BK37">
        <v>4007</v>
      </c>
      <c r="BL37">
        <v>1183</v>
      </c>
      <c r="BM37">
        <v>13137</v>
      </c>
      <c r="BN37">
        <v>3830</v>
      </c>
      <c r="BO37">
        <v>12623</v>
      </c>
      <c r="BP37">
        <v>2420</v>
      </c>
      <c r="BQ37">
        <v>1399</v>
      </c>
      <c r="BR37">
        <v>7179</v>
      </c>
      <c r="BS37">
        <v>3710</v>
      </c>
      <c r="BT37">
        <v>6954</v>
      </c>
      <c r="BU37">
        <v>43146</v>
      </c>
      <c r="BV37">
        <v>47982</v>
      </c>
      <c r="BW37">
        <v>47389</v>
      </c>
      <c r="BX37">
        <v>50399</v>
      </c>
      <c r="BY37">
        <v>33332</v>
      </c>
      <c r="BZ37">
        <v>3239</v>
      </c>
      <c r="CA37">
        <v>1297</v>
      </c>
      <c r="CB37">
        <v>1016</v>
      </c>
      <c r="CC37">
        <v>3240</v>
      </c>
      <c r="CD37">
        <v>6674</v>
      </c>
      <c r="CE37">
        <v>11005</v>
      </c>
      <c r="CF37">
        <v>4261</v>
      </c>
      <c r="CG37">
        <v>23086</v>
      </c>
      <c r="CH37">
        <v>269649</v>
      </c>
      <c r="CI37">
        <v>896100</v>
      </c>
      <c r="CJ37">
        <v>27837</v>
      </c>
      <c r="CK37">
        <v>128368</v>
      </c>
      <c r="CL37">
        <v>4426</v>
      </c>
      <c r="CM37">
        <v>8629</v>
      </c>
    </row>
    <row r="38" spans="1:91" x14ac:dyDescent="0.4">
      <c r="A38" s="1" t="s">
        <v>64</v>
      </c>
      <c r="B38" s="1" t="s">
        <v>65</v>
      </c>
      <c r="C38">
        <v>130846</v>
      </c>
      <c r="D38">
        <v>174602</v>
      </c>
      <c r="E38">
        <v>133398</v>
      </c>
      <c r="F38">
        <v>186680</v>
      </c>
      <c r="G38">
        <v>21341</v>
      </c>
      <c r="H38">
        <v>110092</v>
      </c>
      <c r="I38">
        <v>221172</v>
      </c>
      <c r="J38">
        <v>114637</v>
      </c>
      <c r="K38">
        <v>253977</v>
      </c>
      <c r="L38">
        <v>24753</v>
      </c>
      <c r="M38">
        <v>434961</v>
      </c>
      <c r="N38">
        <v>1759235</v>
      </c>
      <c r="O38">
        <v>431428</v>
      </c>
      <c r="P38">
        <v>1773952</v>
      </c>
      <c r="Q38">
        <v>84905</v>
      </c>
      <c r="R38">
        <v>7866</v>
      </c>
      <c r="S38">
        <v>28752</v>
      </c>
      <c r="T38">
        <v>7847</v>
      </c>
      <c r="U38">
        <v>29862</v>
      </c>
      <c r="V38">
        <v>3167</v>
      </c>
      <c r="W38">
        <v>632</v>
      </c>
      <c r="X38">
        <v>11770</v>
      </c>
      <c r="Y38">
        <v>605</v>
      </c>
      <c r="Z38">
        <v>10902</v>
      </c>
      <c r="AA38">
        <v>264</v>
      </c>
      <c r="AB38">
        <v>38197</v>
      </c>
      <c r="AC38">
        <v>42198</v>
      </c>
      <c r="AD38">
        <v>38755</v>
      </c>
      <c r="AE38">
        <v>43780</v>
      </c>
      <c r="AF38">
        <v>7974</v>
      </c>
      <c r="AG38">
        <v>20812</v>
      </c>
      <c r="AH38">
        <v>49345</v>
      </c>
      <c r="AI38">
        <v>19867</v>
      </c>
      <c r="AJ38">
        <v>45175</v>
      </c>
      <c r="AK38">
        <v>3475</v>
      </c>
      <c r="AL38">
        <v>44008</v>
      </c>
      <c r="AM38">
        <v>210494</v>
      </c>
      <c r="AN38">
        <v>44021</v>
      </c>
      <c r="AO38">
        <v>204989</v>
      </c>
      <c r="AP38">
        <v>20522</v>
      </c>
      <c r="AQ38">
        <v>1114</v>
      </c>
      <c r="AR38">
        <v>14022</v>
      </c>
      <c r="AS38">
        <v>1032</v>
      </c>
      <c r="AT38">
        <v>13073</v>
      </c>
      <c r="AU38">
        <v>322</v>
      </c>
      <c r="AV38">
        <v>7382</v>
      </c>
      <c r="AW38">
        <v>4045</v>
      </c>
      <c r="AX38">
        <v>7976</v>
      </c>
      <c r="AY38">
        <v>4840</v>
      </c>
      <c r="AZ38">
        <v>3643</v>
      </c>
      <c r="BA38">
        <v>800</v>
      </c>
      <c r="BB38">
        <v>7116</v>
      </c>
      <c r="BC38">
        <v>868</v>
      </c>
      <c r="BD38">
        <v>7736</v>
      </c>
      <c r="BE38">
        <v>153</v>
      </c>
      <c r="BF38">
        <v>2473</v>
      </c>
      <c r="BG38">
        <v>686</v>
      </c>
      <c r="BH38">
        <v>5224</v>
      </c>
      <c r="BI38">
        <v>1284</v>
      </c>
      <c r="BJ38">
        <v>5494</v>
      </c>
      <c r="BK38">
        <v>3611</v>
      </c>
      <c r="BL38">
        <v>1397</v>
      </c>
      <c r="BM38">
        <v>15990</v>
      </c>
      <c r="BN38">
        <v>5125</v>
      </c>
      <c r="BO38">
        <v>12373</v>
      </c>
      <c r="BP38">
        <v>4694</v>
      </c>
      <c r="BQ38">
        <v>2626</v>
      </c>
      <c r="BR38">
        <v>6747</v>
      </c>
      <c r="BS38">
        <v>3374</v>
      </c>
      <c r="BT38">
        <v>7602</v>
      </c>
      <c r="BU38">
        <v>40781</v>
      </c>
      <c r="BV38">
        <v>47387</v>
      </c>
      <c r="BW38">
        <v>45956</v>
      </c>
      <c r="BX38">
        <v>52556</v>
      </c>
      <c r="BY38">
        <v>28298</v>
      </c>
      <c r="BZ38">
        <v>3534</v>
      </c>
      <c r="CA38">
        <v>1405</v>
      </c>
      <c r="CB38">
        <v>1017</v>
      </c>
      <c r="CC38">
        <v>3555</v>
      </c>
      <c r="CD38">
        <v>6700</v>
      </c>
      <c r="CE38">
        <v>10357</v>
      </c>
      <c r="CF38">
        <v>4932</v>
      </c>
      <c r="CG38">
        <v>32655</v>
      </c>
      <c r="CH38">
        <v>305128</v>
      </c>
      <c r="CI38">
        <v>1044315</v>
      </c>
      <c r="CJ38">
        <v>32153</v>
      </c>
      <c r="CK38">
        <v>151621</v>
      </c>
      <c r="CL38">
        <v>4437</v>
      </c>
      <c r="CM38">
        <v>8908</v>
      </c>
    </row>
    <row r="39" spans="1:91" x14ac:dyDescent="0.4">
      <c r="A39" s="1"/>
      <c r="B39" s="1"/>
    </row>
    <row r="40" spans="1:91" x14ac:dyDescent="0.4">
      <c r="A40" s="1"/>
      <c r="B40" s="1"/>
    </row>
  </sheetData>
  <phoneticPr fontId="2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77CF-4A42-447C-9EA6-EC5289C5203E}">
  <dimension ref="A1:CR40"/>
  <sheetViews>
    <sheetView workbookViewId="0">
      <selection activeCell="C9" sqref="C9"/>
    </sheetView>
  </sheetViews>
  <sheetFormatPr defaultColWidth="15.625" defaultRowHeight="18.75" x14ac:dyDescent="0.4"/>
  <sheetData>
    <row r="1" spans="1:96" x14ac:dyDescent="0.4">
      <c r="A1" s="1" t="s">
        <v>66</v>
      </c>
      <c r="B1" s="1"/>
    </row>
    <row r="2" spans="1:96" x14ac:dyDescent="0.4">
      <c r="A2" s="4" t="str">
        <f>HYPERLINK("#'目次(Contents)'!A3","目次に戻る(Return to Contents)")</f>
        <v>目次に戻る(Return to Contents)</v>
      </c>
      <c r="B2" s="1"/>
    </row>
    <row r="3" spans="1:96" x14ac:dyDescent="0.4">
      <c r="A3" s="1"/>
      <c r="B3" s="2" t="s">
        <v>0</v>
      </c>
      <c r="C3" t="s">
        <v>1513</v>
      </c>
      <c r="D3" t="s">
        <v>1513</v>
      </c>
      <c r="E3" t="s">
        <v>1515</v>
      </c>
      <c r="F3" t="s">
        <v>1515</v>
      </c>
      <c r="G3" t="s">
        <v>1517</v>
      </c>
      <c r="H3" t="s">
        <v>1517</v>
      </c>
      <c r="I3" t="s">
        <v>1519</v>
      </c>
      <c r="J3" t="s">
        <v>1519</v>
      </c>
      <c r="K3" t="s">
        <v>1521</v>
      </c>
      <c r="L3" t="s">
        <v>1521</v>
      </c>
      <c r="M3" t="s">
        <v>1523</v>
      </c>
      <c r="N3" t="s">
        <v>1523</v>
      </c>
      <c r="O3" t="s">
        <v>1525</v>
      </c>
      <c r="P3" t="s">
        <v>1525</v>
      </c>
      <c r="Q3" t="s">
        <v>1527</v>
      </c>
      <c r="R3" t="s">
        <v>1527</v>
      </c>
      <c r="S3" t="s">
        <v>1529</v>
      </c>
      <c r="T3" t="s">
        <v>1529</v>
      </c>
      <c r="U3" t="s">
        <v>1531</v>
      </c>
      <c r="V3" t="s">
        <v>1531</v>
      </c>
      <c r="W3" t="s">
        <v>1533</v>
      </c>
      <c r="X3" t="s">
        <v>1533</v>
      </c>
      <c r="Y3" t="s">
        <v>1535</v>
      </c>
      <c r="Z3" t="s">
        <v>1535</v>
      </c>
      <c r="AA3" t="s">
        <v>1537</v>
      </c>
      <c r="AB3" t="s">
        <v>1537</v>
      </c>
      <c r="AC3" t="s">
        <v>1539</v>
      </c>
      <c r="AD3" t="s">
        <v>1539</v>
      </c>
      <c r="AE3" t="s">
        <v>1541</v>
      </c>
      <c r="AF3" t="s">
        <v>1541</v>
      </c>
      <c r="AG3" t="s">
        <v>1543</v>
      </c>
      <c r="AH3" t="s">
        <v>1543</v>
      </c>
      <c r="AI3" t="s">
        <v>1545</v>
      </c>
      <c r="AJ3" t="s">
        <v>1545</v>
      </c>
      <c r="AK3" t="s">
        <v>1547</v>
      </c>
      <c r="AL3" t="s">
        <v>1547</v>
      </c>
      <c r="AM3" t="s">
        <v>1549</v>
      </c>
      <c r="AN3" t="s">
        <v>1549</v>
      </c>
      <c r="AO3" t="s">
        <v>1551</v>
      </c>
      <c r="AP3" t="s">
        <v>1551</v>
      </c>
      <c r="AQ3" t="s">
        <v>1553</v>
      </c>
      <c r="AR3" t="s">
        <v>1553</v>
      </c>
      <c r="AS3" t="s">
        <v>1555</v>
      </c>
      <c r="AT3" t="s">
        <v>1555</v>
      </c>
      <c r="AU3" t="s">
        <v>1557</v>
      </c>
      <c r="AV3" t="s">
        <v>1557</v>
      </c>
      <c r="AW3" t="s">
        <v>1559</v>
      </c>
      <c r="AX3" t="s">
        <v>1559</v>
      </c>
      <c r="AY3" t="s">
        <v>1561</v>
      </c>
      <c r="AZ3" t="s">
        <v>1561</v>
      </c>
      <c r="BA3" t="s">
        <v>1563</v>
      </c>
      <c r="BB3" t="s">
        <v>1563</v>
      </c>
      <c r="BC3" t="s">
        <v>1565</v>
      </c>
      <c r="BD3" t="s">
        <v>1565</v>
      </c>
      <c r="BE3" t="s">
        <v>1567</v>
      </c>
      <c r="BF3" t="s">
        <v>1567</v>
      </c>
      <c r="BG3" t="s">
        <v>1569</v>
      </c>
      <c r="BH3" t="s">
        <v>1569</v>
      </c>
      <c r="BI3" t="s">
        <v>1571</v>
      </c>
      <c r="BJ3" t="s">
        <v>1571</v>
      </c>
      <c r="BK3" t="s">
        <v>1573</v>
      </c>
      <c r="BL3" t="s">
        <v>1573</v>
      </c>
      <c r="BM3" t="s">
        <v>1575</v>
      </c>
      <c r="BN3" t="s">
        <v>1575</v>
      </c>
      <c r="BO3" t="s">
        <v>1577</v>
      </c>
      <c r="BP3" t="s">
        <v>1577</v>
      </c>
      <c r="BQ3" t="s">
        <v>1579</v>
      </c>
      <c r="BR3" t="s">
        <v>1579</v>
      </c>
      <c r="BS3" t="s">
        <v>1581</v>
      </c>
      <c r="BT3" t="s">
        <v>1581</v>
      </c>
      <c r="BU3" t="s">
        <v>1583</v>
      </c>
      <c r="BV3" t="s">
        <v>1583</v>
      </c>
      <c r="BW3" t="s">
        <v>1585</v>
      </c>
      <c r="BX3" t="s">
        <v>1585</v>
      </c>
      <c r="BY3" t="s">
        <v>1587</v>
      </c>
      <c r="BZ3" t="s">
        <v>1587</v>
      </c>
      <c r="CA3" t="s">
        <v>1589</v>
      </c>
      <c r="CB3" t="s">
        <v>1589</v>
      </c>
      <c r="CC3" t="s">
        <v>1591</v>
      </c>
      <c r="CD3" t="s">
        <v>1591</v>
      </c>
      <c r="CE3" t="s">
        <v>1593</v>
      </c>
      <c r="CF3" t="s">
        <v>1593</v>
      </c>
      <c r="CG3" t="s">
        <v>1595</v>
      </c>
      <c r="CH3" t="s">
        <v>1595</v>
      </c>
      <c r="CI3" t="s">
        <v>1597</v>
      </c>
      <c r="CJ3" t="s">
        <v>1597</v>
      </c>
      <c r="CK3" t="s">
        <v>1599</v>
      </c>
      <c r="CL3" t="s">
        <v>1599</v>
      </c>
      <c r="CM3" t="s">
        <v>1601</v>
      </c>
      <c r="CN3" t="s">
        <v>1601</v>
      </c>
      <c r="CO3" t="s">
        <v>1603</v>
      </c>
      <c r="CP3" t="s">
        <v>1603</v>
      </c>
      <c r="CQ3" t="s">
        <v>1605</v>
      </c>
      <c r="CR3" t="s">
        <v>1605</v>
      </c>
    </row>
    <row r="4" spans="1:96" x14ac:dyDescent="0.4">
      <c r="A4" s="1"/>
      <c r="B4" s="2" t="s">
        <v>1</v>
      </c>
      <c r="C4" t="s">
        <v>1514</v>
      </c>
      <c r="D4" t="s">
        <v>1514</v>
      </c>
      <c r="E4" t="s">
        <v>1516</v>
      </c>
      <c r="F4" t="s">
        <v>1516</v>
      </c>
      <c r="G4" t="s">
        <v>1518</v>
      </c>
      <c r="H4" t="s">
        <v>1518</v>
      </c>
      <c r="I4" t="s">
        <v>1520</v>
      </c>
      <c r="J4" t="s">
        <v>1520</v>
      </c>
      <c r="K4" t="s">
        <v>1522</v>
      </c>
      <c r="L4" t="s">
        <v>1522</v>
      </c>
      <c r="M4" t="s">
        <v>1524</v>
      </c>
      <c r="N4" t="s">
        <v>1524</v>
      </c>
      <c r="O4" t="s">
        <v>1526</v>
      </c>
      <c r="P4" t="s">
        <v>1526</v>
      </c>
      <c r="Q4" t="s">
        <v>1528</v>
      </c>
      <c r="R4" t="s">
        <v>1528</v>
      </c>
      <c r="S4" t="s">
        <v>1530</v>
      </c>
      <c r="T4" t="s">
        <v>1530</v>
      </c>
      <c r="U4" t="s">
        <v>1532</v>
      </c>
      <c r="V4" t="s">
        <v>1532</v>
      </c>
      <c r="W4" t="s">
        <v>1534</v>
      </c>
      <c r="X4" t="s">
        <v>1534</v>
      </c>
      <c r="Y4" t="s">
        <v>1536</v>
      </c>
      <c r="Z4" t="s">
        <v>1536</v>
      </c>
      <c r="AA4" t="s">
        <v>1538</v>
      </c>
      <c r="AB4" t="s">
        <v>1538</v>
      </c>
      <c r="AC4" t="s">
        <v>1540</v>
      </c>
      <c r="AD4" t="s">
        <v>1540</v>
      </c>
      <c r="AE4" t="s">
        <v>1542</v>
      </c>
      <c r="AF4" t="s">
        <v>1542</v>
      </c>
      <c r="AG4" t="s">
        <v>1544</v>
      </c>
      <c r="AH4" t="s">
        <v>1544</v>
      </c>
      <c r="AI4" t="s">
        <v>1546</v>
      </c>
      <c r="AJ4" t="s">
        <v>1546</v>
      </c>
      <c r="AK4" t="s">
        <v>1548</v>
      </c>
      <c r="AL4" t="s">
        <v>1548</v>
      </c>
      <c r="AM4" t="s">
        <v>1550</v>
      </c>
      <c r="AN4" t="s">
        <v>1550</v>
      </c>
      <c r="AO4" t="s">
        <v>1552</v>
      </c>
      <c r="AP4" t="s">
        <v>1552</v>
      </c>
      <c r="AQ4" t="s">
        <v>1554</v>
      </c>
      <c r="AR4" t="s">
        <v>1554</v>
      </c>
      <c r="AS4" t="s">
        <v>1556</v>
      </c>
      <c r="AT4" t="s">
        <v>1556</v>
      </c>
      <c r="AU4" t="s">
        <v>1558</v>
      </c>
      <c r="AV4" t="s">
        <v>1558</v>
      </c>
      <c r="AW4" t="s">
        <v>1560</v>
      </c>
      <c r="AX4" t="s">
        <v>1560</v>
      </c>
      <c r="AY4" t="s">
        <v>1562</v>
      </c>
      <c r="AZ4" t="s">
        <v>1562</v>
      </c>
      <c r="BA4" t="s">
        <v>1564</v>
      </c>
      <c r="BB4" t="s">
        <v>1564</v>
      </c>
      <c r="BC4" t="s">
        <v>1566</v>
      </c>
      <c r="BD4" t="s">
        <v>1566</v>
      </c>
      <c r="BE4" t="s">
        <v>1568</v>
      </c>
      <c r="BF4" t="s">
        <v>1568</v>
      </c>
      <c r="BG4" t="s">
        <v>1570</v>
      </c>
      <c r="BH4" t="s">
        <v>1570</v>
      </c>
      <c r="BI4" t="s">
        <v>1572</v>
      </c>
      <c r="BJ4" t="s">
        <v>1572</v>
      </c>
      <c r="BK4" t="s">
        <v>1574</v>
      </c>
      <c r="BL4" t="s">
        <v>1574</v>
      </c>
      <c r="BM4" t="s">
        <v>1576</v>
      </c>
      <c r="BN4" t="s">
        <v>1576</v>
      </c>
      <c r="BO4" t="s">
        <v>1578</v>
      </c>
      <c r="BP4" t="s">
        <v>1578</v>
      </c>
      <c r="BQ4" t="s">
        <v>1580</v>
      </c>
      <c r="BR4" t="s">
        <v>1580</v>
      </c>
      <c r="BS4" t="s">
        <v>1582</v>
      </c>
      <c r="BT4" t="s">
        <v>1582</v>
      </c>
      <c r="BU4" t="s">
        <v>1584</v>
      </c>
      <c r="BV4" t="s">
        <v>1584</v>
      </c>
      <c r="BW4" t="s">
        <v>1586</v>
      </c>
      <c r="BX4" t="s">
        <v>1586</v>
      </c>
      <c r="BY4" t="s">
        <v>1588</v>
      </c>
      <c r="BZ4" t="s">
        <v>1588</v>
      </c>
      <c r="CA4" t="s">
        <v>1590</v>
      </c>
      <c r="CB4" t="s">
        <v>1590</v>
      </c>
      <c r="CC4" t="s">
        <v>1592</v>
      </c>
      <c r="CD4" t="s">
        <v>1592</v>
      </c>
      <c r="CE4" t="s">
        <v>1594</v>
      </c>
      <c r="CF4" t="s">
        <v>1594</v>
      </c>
      <c r="CG4" t="s">
        <v>1596</v>
      </c>
      <c r="CH4" t="s">
        <v>1596</v>
      </c>
      <c r="CI4" t="s">
        <v>1598</v>
      </c>
      <c r="CJ4" t="s">
        <v>1598</v>
      </c>
      <c r="CK4" t="s">
        <v>1600</v>
      </c>
      <c r="CL4" t="s">
        <v>1600</v>
      </c>
      <c r="CM4" t="s">
        <v>1602</v>
      </c>
      <c r="CN4" t="s">
        <v>1602</v>
      </c>
      <c r="CO4" t="s">
        <v>1604</v>
      </c>
      <c r="CP4" t="s">
        <v>1604</v>
      </c>
      <c r="CQ4" t="s">
        <v>1606</v>
      </c>
      <c r="CR4" t="s">
        <v>1606</v>
      </c>
    </row>
    <row r="5" spans="1:96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69</v>
      </c>
      <c r="CB5" t="s">
        <v>257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</row>
    <row r="6" spans="1:96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72</v>
      </c>
      <c r="CB6" t="s">
        <v>259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</row>
    <row r="7" spans="1:9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502</v>
      </c>
      <c r="H7" t="s">
        <v>258</v>
      </c>
      <c r="I7" t="s">
        <v>502</v>
      </c>
      <c r="J7" t="s">
        <v>258</v>
      </c>
      <c r="K7" t="s">
        <v>502</v>
      </c>
      <c r="L7" t="s">
        <v>258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258</v>
      </c>
      <c r="S7" t="s">
        <v>502</v>
      </c>
      <c r="T7" t="s">
        <v>258</v>
      </c>
      <c r="U7" t="s">
        <v>502</v>
      </c>
      <c r="V7" t="s">
        <v>258</v>
      </c>
      <c r="W7" t="s">
        <v>502</v>
      </c>
      <c r="X7" t="s">
        <v>258</v>
      </c>
      <c r="Y7" t="s">
        <v>502</v>
      </c>
      <c r="Z7" t="s">
        <v>258</v>
      </c>
      <c r="AA7" t="s">
        <v>502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502</v>
      </c>
      <c r="AL7" t="s">
        <v>258</v>
      </c>
      <c r="AM7" t="s">
        <v>502</v>
      </c>
      <c r="AN7" t="s">
        <v>258</v>
      </c>
      <c r="AO7" t="s">
        <v>502</v>
      </c>
      <c r="AP7" t="s">
        <v>258</v>
      </c>
      <c r="AQ7" t="s">
        <v>502</v>
      </c>
      <c r="AR7" t="s">
        <v>258</v>
      </c>
      <c r="AS7" t="s">
        <v>502</v>
      </c>
      <c r="AT7" t="s">
        <v>258</v>
      </c>
      <c r="AU7" t="s">
        <v>502</v>
      </c>
      <c r="AV7" t="s">
        <v>258</v>
      </c>
      <c r="AW7" t="s">
        <v>502</v>
      </c>
      <c r="AX7" t="s">
        <v>258</v>
      </c>
      <c r="AY7" t="s">
        <v>502</v>
      </c>
      <c r="AZ7" t="s">
        <v>258</v>
      </c>
      <c r="BA7" t="s">
        <v>502</v>
      </c>
      <c r="BB7" t="s">
        <v>258</v>
      </c>
      <c r="BC7" t="s">
        <v>502</v>
      </c>
      <c r="BD7" t="s">
        <v>258</v>
      </c>
      <c r="BE7" t="s">
        <v>502</v>
      </c>
      <c r="BF7" t="s">
        <v>258</v>
      </c>
      <c r="BG7" t="s">
        <v>502</v>
      </c>
      <c r="BH7" t="s">
        <v>258</v>
      </c>
      <c r="BI7" t="s">
        <v>502</v>
      </c>
      <c r="BJ7" t="s">
        <v>258</v>
      </c>
      <c r="BK7" t="s">
        <v>502</v>
      </c>
      <c r="BL7" t="s">
        <v>258</v>
      </c>
      <c r="BM7" t="s">
        <v>502</v>
      </c>
      <c r="BN7" t="s">
        <v>258</v>
      </c>
      <c r="BO7" t="s">
        <v>502</v>
      </c>
      <c r="BP7" t="s">
        <v>258</v>
      </c>
      <c r="BQ7" t="s">
        <v>502</v>
      </c>
      <c r="BR7" t="s">
        <v>258</v>
      </c>
      <c r="BS7" t="s">
        <v>502</v>
      </c>
      <c r="BT7" t="s">
        <v>258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  <c r="BZ7" t="s">
        <v>258</v>
      </c>
      <c r="CA7" t="s">
        <v>502</v>
      </c>
      <c r="CB7" t="s">
        <v>258</v>
      </c>
      <c r="CC7" t="s">
        <v>502</v>
      </c>
      <c r="CD7" t="s">
        <v>258</v>
      </c>
      <c r="CE7" t="s">
        <v>502</v>
      </c>
      <c r="CF7" t="s">
        <v>258</v>
      </c>
      <c r="CG7" t="s">
        <v>502</v>
      </c>
      <c r="CH7" t="s">
        <v>258</v>
      </c>
      <c r="CI7" t="s">
        <v>251</v>
      </c>
      <c r="CJ7" t="s">
        <v>258</v>
      </c>
      <c r="CK7" t="s">
        <v>502</v>
      </c>
      <c r="CL7" t="s">
        <v>258</v>
      </c>
      <c r="CM7" t="s">
        <v>502</v>
      </c>
      <c r="CN7" t="s">
        <v>258</v>
      </c>
      <c r="CO7" t="s">
        <v>502</v>
      </c>
      <c r="CP7" t="s">
        <v>258</v>
      </c>
      <c r="CQ7" t="s">
        <v>502</v>
      </c>
      <c r="CR7" t="s">
        <v>258</v>
      </c>
    </row>
    <row r="8" spans="1:9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</row>
    <row r="9" spans="1:96" x14ac:dyDescent="0.4">
      <c r="A9" s="1" t="s">
        <v>6</v>
      </c>
      <c r="B9" s="3" t="s">
        <v>7</v>
      </c>
      <c r="C9">
        <v>7738551</v>
      </c>
      <c r="D9">
        <v>1362638</v>
      </c>
      <c r="E9">
        <v>871771</v>
      </c>
      <c r="F9">
        <v>426579</v>
      </c>
      <c r="G9">
        <v>49265284</v>
      </c>
      <c r="H9">
        <v>37563</v>
      </c>
      <c r="I9" t="s">
        <v>73</v>
      </c>
      <c r="J9" t="s">
        <v>73</v>
      </c>
      <c r="K9">
        <v>263074440</v>
      </c>
      <c r="L9">
        <v>42980</v>
      </c>
      <c r="M9">
        <v>165617965</v>
      </c>
      <c r="N9">
        <v>27099</v>
      </c>
      <c r="O9">
        <v>20334292</v>
      </c>
      <c r="P9">
        <v>30530</v>
      </c>
      <c r="Q9">
        <v>14496444</v>
      </c>
      <c r="R9">
        <v>188907</v>
      </c>
      <c r="S9">
        <v>16491957</v>
      </c>
      <c r="T9">
        <v>16917</v>
      </c>
      <c r="U9" t="s">
        <v>73</v>
      </c>
      <c r="V9" t="s">
        <v>73</v>
      </c>
      <c r="W9">
        <v>26929857</v>
      </c>
      <c r="X9">
        <v>29621</v>
      </c>
      <c r="Y9">
        <v>13861323</v>
      </c>
      <c r="Z9">
        <v>20256</v>
      </c>
      <c r="AA9">
        <v>10500304</v>
      </c>
      <c r="AB9">
        <v>75855</v>
      </c>
      <c r="AC9">
        <v>20679842</v>
      </c>
      <c r="AD9">
        <v>48753</v>
      </c>
      <c r="AE9">
        <v>16301614</v>
      </c>
      <c r="AF9">
        <v>2263033</v>
      </c>
      <c r="AG9">
        <v>29999134</v>
      </c>
      <c r="AH9">
        <v>47947</v>
      </c>
      <c r="AI9">
        <v>5062836</v>
      </c>
      <c r="AJ9">
        <v>47089</v>
      </c>
      <c r="AK9">
        <v>29210152</v>
      </c>
      <c r="AL9">
        <v>100525</v>
      </c>
      <c r="AM9">
        <v>8658828</v>
      </c>
      <c r="AN9">
        <v>43377</v>
      </c>
      <c r="AO9">
        <v>75772004</v>
      </c>
      <c r="AP9">
        <v>299282</v>
      </c>
      <c r="AQ9">
        <v>51234457</v>
      </c>
      <c r="AR9">
        <v>118068</v>
      </c>
      <c r="AS9">
        <v>6262923</v>
      </c>
      <c r="AT9">
        <v>20436</v>
      </c>
      <c r="AU9">
        <v>23053142</v>
      </c>
      <c r="AV9">
        <v>66234</v>
      </c>
      <c r="AW9">
        <v>206090365</v>
      </c>
      <c r="AX9">
        <v>38591</v>
      </c>
      <c r="AY9">
        <v>89782381</v>
      </c>
      <c r="AZ9">
        <v>29573</v>
      </c>
      <c r="BA9">
        <v>19761388</v>
      </c>
      <c r="BB9">
        <v>238267</v>
      </c>
      <c r="BC9">
        <v>7411996</v>
      </c>
      <c r="BD9">
        <v>75530</v>
      </c>
      <c r="BE9">
        <v>53136951</v>
      </c>
      <c r="BF9">
        <v>436933</v>
      </c>
      <c r="BG9">
        <v>35987949</v>
      </c>
      <c r="BH9">
        <v>20525</v>
      </c>
      <c r="BI9">
        <v>325833676</v>
      </c>
      <c r="BJ9">
        <v>74031</v>
      </c>
      <c r="BK9">
        <v>16118244</v>
      </c>
      <c r="BL9">
        <v>35878</v>
      </c>
      <c r="BM9">
        <v>17487320</v>
      </c>
      <c r="BN9">
        <v>751652</v>
      </c>
      <c r="BO9">
        <v>41083973</v>
      </c>
      <c r="BP9">
        <v>75389</v>
      </c>
      <c r="BQ9">
        <v>28865321</v>
      </c>
      <c r="BR9">
        <v>75446</v>
      </c>
      <c r="BS9">
        <v>464774230</v>
      </c>
      <c r="BT9">
        <v>153291</v>
      </c>
      <c r="BU9">
        <v>18843668</v>
      </c>
      <c r="BV9">
        <v>92393</v>
      </c>
      <c r="BW9">
        <v>30995643</v>
      </c>
      <c r="BX9">
        <v>98436</v>
      </c>
      <c r="BY9" t="s">
        <v>73</v>
      </c>
      <c r="BZ9" t="s">
        <v>73</v>
      </c>
      <c r="CA9">
        <v>13130383</v>
      </c>
      <c r="CB9">
        <v>125544</v>
      </c>
      <c r="CC9">
        <v>19447186</v>
      </c>
      <c r="CD9">
        <v>104452</v>
      </c>
      <c r="CE9">
        <v>72809661</v>
      </c>
      <c r="CF9">
        <v>50593</v>
      </c>
      <c r="CG9">
        <v>558714829</v>
      </c>
      <c r="CH9">
        <v>140677</v>
      </c>
      <c r="CI9">
        <v>517728</v>
      </c>
      <c r="CJ9">
        <v>116499</v>
      </c>
      <c r="CK9">
        <v>2064447</v>
      </c>
      <c r="CL9">
        <v>11151</v>
      </c>
      <c r="CM9">
        <v>2274865</v>
      </c>
      <c r="CN9">
        <v>32954</v>
      </c>
      <c r="CO9">
        <v>574666</v>
      </c>
      <c r="CP9">
        <v>4230</v>
      </c>
      <c r="CQ9">
        <v>4905182</v>
      </c>
      <c r="CR9">
        <v>30077</v>
      </c>
    </row>
    <row r="10" spans="1:96" x14ac:dyDescent="0.4">
      <c r="A10" s="1" t="s">
        <v>8</v>
      </c>
      <c r="B10" s="3" t="s">
        <v>9</v>
      </c>
      <c r="C10">
        <v>7458672</v>
      </c>
      <c r="D10">
        <v>1419120</v>
      </c>
      <c r="E10">
        <v>842379</v>
      </c>
      <c r="F10">
        <v>399427</v>
      </c>
      <c r="G10">
        <v>46214641</v>
      </c>
      <c r="H10">
        <v>39005</v>
      </c>
      <c r="I10">
        <v>417626038</v>
      </c>
      <c r="J10">
        <v>55951</v>
      </c>
      <c r="K10">
        <v>246091699</v>
      </c>
      <c r="L10">
        <v>41659</v>
      </c>
      <c r="M10">
        <v>153952828</v>
      </c>
      <c r="N10">
        <v>26888</v>
      </c>
      <c r="O10">
        <v>11139380</v>
      </c>
      <c r="P10">
        <v>23467</v>
      </c>
      <c r="Q10">
        <v>13969312</v>
      </c>
      <c r="R10">
        <v>175314</v>
      </c>
      <c r="S10">
        <v>16297991</v>
      </c>
      <c r="T10">
        <v>17445</v>
      </c>
      <c r="U10">
        <v>13894515</v>
      </c>
      <c r="V10">
        <v>12039</v>
      </c>
      <c r="W10">
        <v>27137675</v>
      </c>
      <c r="X10">
        <v>30051</v>
      </c>
      <c r="Y10">
        <v>13532718</v>
      </c>
      <c r="Z10">
        <v>20163</v>
      </c>
      <c r="AA10">
        <v>12838352</v>
      </c>
      <c r="AB10">
        <v>77838</v>
      </c>
      <c r="AC10">
        <v>21590766</v>
      </c>
      <c r="AD10">
        <v>54308</v>
      </c>
      <c r="AE10">
        <v>15319628</v>
      </c>
      <c r="AF10">
        <v>2269197</v>
      </c>
      <c r="AG10">
        <v>29930578</v>
      </c>
      <c r="AH10">
        <v>56626</v>
      </c>
      <c r="AI10">
        <v>4944713</v>
      </c>
      <c r="AJ10">
        <v>48304</v>
      </c>
      <c r="AK10">
        <v>28473441</v>
      </c>
      <c r="AL10">
        <v>113766</v>
      </c>
      <c r="AM10">
        <v>8215535</v>
      </c>
      <c r="AN10">
        <v>45522</v>
      </c>
      <c r="AO10">
        <v>77363661</v>
      </c>
      <c r="AP10">
        <v>310519</v>
      </c>
      <c r="AQ10">
        <v>49219655</v>
      </c>
      <c r="AR10">
        <v>115649</v>
      </c>
      <c r="AS10">
        <v>5665819</v>
      </c>
      <c r="AT10">
        <v>18745</v>
      </c>
      <c r="AU10">
        <v>21857293</v>
      </c>
      <c r="AV10">
        <v>63493</v>
      </c>
      <c r="AW10">
        <v>208035174</v>
      </c>
      <c r="AX10">
        <v>39271</v>
      </c>
      <c r="AY10">
        <v>82588826</v>
      </c>
      <c r="AZ10">
        <v>28275</v>
      </c>
      <c r="BA10">
        <v>16642511</v>
      </c>
      <c r="BB10">
        <v>242870</v>
      </c>
      <c r="BC10">
        <v>7026489</v>
      </c>
      <c r="BD10">
        <v>81965</v>
      </c>
      <c r="BE10">
        <v>57991517</v>
      </c>
      <c r="BF10">
        <v>501929</v>
      </c>
      <c r="BG10">
        <v>33869252</v>
      </c>
      <c r="BH10">
        <v>21049</v>
      </c>
      <c r="BI10">
        <v>299959360</v>
      </c>
      <c r="BJ10">
        <v>67032</v>
      </c>
      <c r="BK10">
        <v>20582937</v>
      </c>
      <c r="BL10">
        <v>49508</v>
      </c>
      <c r="BM10">
        <v>15360289</v>
      </c>
      <c r="BN10">
        <v>776377</v>
      </c>
      <c r="BO10">
        <v>35057997</v>
      </c>
      <c r="BP10">
        <v>72320</v>
      </c>
      <c r="BQ10">
        <v>28708282</v>
      </c>
      <c r="BR10">
        <v>76194</v>
      </c>
      <c r="BS10">
        <v>422624943</v>
      </c>
      <c r="BT10">
        <v>141804</v>
      </c>
      <c r="BU10">
        <v>18139268</v>
      </c>
      <c r="BV10">
        <v>77942</v>
      </c>
      <c r="BW10">
        <v>29569915</v>
      </c>
      <c r="BX10">
        <v>87810</v>
      </c>
      <c r="BY10">
        <v>29422695</v>
      </c>
      <c r="BZ10">
        <v>14530</v>
      </c>
      <c r="CA10">
        <v>12311738</v>
      </c>
      <c r="CB10">
        <v>127595</v>
      </c>
      <c r="CC10">
        <v>18102654</v>
      </c>
      <c r="CD10">
        <v>100658</v>
      </c>
      <c r="CE10">
        <v>71226616</v>
      </c>
      <c r="CF10">
        <v>47113</v>
      </c>
      <c r="CG10">
        <v>509444651</v>
      </c>
      <c r="CH10">
        <v>143642</v>
      </c>
      <c r="CI10">
        <v>553268</v>
      </c>
      <c r="CJ10">
        <v>130720</v>
      </c>
      <c r="CK10">
        <v>2182230</v>
      </c>
      <c r="CL10">
        <v>12371</v>
      </c>
      <c r="CM10">
        <v>2255794</v>
      </c>
      <c r="CN10">
        <v>35856</v>
      </c>
      <c r="CO10">
        <v>529936</v>
      </c>
      <c r="CP10">
        <v>4355</v>
      </c>
      <c r="CQ10">
        <v>5095613</v>
      </c>
      <c r="CR10">
        <v>32619</v>
      </c>
    </row>
    <row r="11" spans="1:96" x14ac:dyDescent="0.4">
      <c r="A11" s="1" t="s">
        <v>10</v>
      </c>
      <c r="B11" s="3" t="s">
        <v>11</v>
      </c>
      <c r="C11">
        <v>8343132</v>
      </c>
      <c r="D11">
        <v>1770099</v>
      </c>
      <c r="E11">
        <v>811716</v>
      </c>
      <c r="F11">
        <v>392419</v>
      </c>
      <c r="G11">
        <v>47758693</v>
      </c>
      <c r="H11">
        <v>40584</v>
      </c>
      <c r="I11">
        <v>435779514</v>
      </c>
      <c r="J11">
        <v>58476</v>
      </c>
      <c r="K11">
        <v>254277127</v>
      </c>
      <c r="L11">
        <v>45483</v>
      </c>
      <c r="M11">
        <v>159346701</v>
      </c>
      <c r="N11">
        <v>29874</v>
      </c>
      <c r="O11">
        <v>11731705</v>
      </c>
      <c r="P11">
        <v>24933</v>
      </c>
      <c r="Q11">
        <v>67871131</v>
      </c>
      <c r="R11">
        <v>220105</v>
      </c>
      <c r="S11">
        <v>16336524</v>
      </c>
      <c r="T11">
        <v>18830</v>
      </c>
      <c r="U11">
        <v>14059035</v>
      </c>
      <c r="V11">
        <v>11427</v>
      </c>
      <c r="W11">
        <v>31398475</v>
      </c>
      <c r="X11">
        <v>32285</v>
      </c>
      <c r="Y11">
        <v>15626892</v>
      </c>
      <c r="Z11">
        <v>22605</v>
      </c>
      <c r="AA11">
        <v>12661600</v>
      </c>
      <c r="AB11">
        <v>88297</v>
      </c>
      <c r="AC11">
        <v>20072111</v>
      </c>
      <c r="AD11">
        <v>55783</v>
      </c>
      <c r="AE11">
        <v>16295903</v>
      </c>
      <c r="AF11">
        <v>2448377</v>
      </c>
      <c r="AG11">
        <v>32881613</v>
      </c>
      <c r="AH11">
        <v>69887</v>
      </c>
      <c r="AI11">
        <v>5257900</v>
      </c>
      <c r="AJ11">
        <v>52531</v>
      </c>
      <c r="AK11">
        <v>30055206</v>
      </c>
      <c r="AL11">
        <v>137929</v>
      </c>
      <c r="AM11">
        <v>9415028</v>
      </c>
      <c r="AN11">
        <v>64791</v>
      </c>
      <c r="AO11">
        <v>83633162</v>
      </c>
      <c r="AP11">
        <v>339689</v>
      </c>
      <c r="AQ11">
        <v>50332195</v>
      </c>
      <c r="AR11">
        <v>129045</v>
      </c>
      <c r="AS11">
        <v>5572348</v>
      </c>
      <c r="AT11">
        <v>18568</v>
      </c>
      <c r="AU11">
        <v>22735519</v>
      </c>
      <c r="AV11">
        <v>76183</v>
      </c>
      <c r="AW11">
        <v>224325045</v>
      </c>
      <c r="AX11">
        <v>42718</v>
      </c>
      <c r="AY11">
        <v>79388205</v>
      </c>
      <c r="AZ11">
        <v>27219</v>
      </c>
      <c r="BA11">
        <v>23325796</v>
      </c>
      <c r="BB11">
        <v>317747</v>
      </c>
      <c r="BC11">
        <v>8290903</v>
      </c>
      <c r="BD11">
        <v>104059</v>
      </c>
      <c r="BE11">
        <v>63966238</v>
      </c>
      <c r="BF11">
        <v>570142</v>
      </c>
      <c r="BG11">
        <v>36554798</v>
      </c>
      <c r="BH11">
        <v>28719</v>
      </c>
      <c r="BI11">
        <v>342359813</v>
      </c>
      <c r="BJ11">
        <v>78189</v>
      </c>
      <c r="BK11">
        <v>21969500</v>
      </c>
      <c r="BL11">
        <v>65301</v>
      </c>
      <c r="BM11">
        <v>17415109</v>
      </c>
      <c r="BN11">
        <v>979156</v>
      </c>
      <c r="BO11">
        <v>37492081</v>
      </c>
      <c r="BP11">
        <v>60768</v>
      </c>
      <c r="BQ11">
        <v>33124230</v>
      </c>
      <c r="BR11">
        <v>94093</v>
      </c>
      <c r="BS11">
        <v>457249760</v>
      </c>
      <c r="BT11">
        <v>163893</v>
      </c>
      <c r="BU11">
        <v>21449016</v>
      </c>
      <c r="BV11">
        <v>117407</v>
      </c>
      <c r="BW11">
        <v>31782444</v>
      </c>
      <c r="BX11">
        <v>98690</v>
      </c>
      <c r="BY11">
        <v>33779009</v>
      </c>
      <c r="BZ11">
        <v>18267</v>
      </c>
      <c r="CA11">
        <v>11500893</v>
      </c>
      <c r="CB11">
        <v>134651</v>
      </c>
      <c r="CC11">
        <v>17997736</v>
      </c>
      <c r="CD11">
        <v>107255</v>
      </c>
      <c r="CE11" t="s">
        <v>73</v>
      </c>
      <c r="CF11" t="s">
        <v>73</v>
      </c>
      <c r="CG11" t="s">
        <v>73</v>
      </c>
      <c r="CH11" t="s">
        <v>73</v>
      </c>
      <c r="CI11">
        <v>585793</v>
      </c>
      <c r="CJ11">
        <v>155547</v>
      </c>
      <c r="CK11">
        <v>2113745</v>
      </c>
      <c r="CL11">
        <v>12120</v>
      </c>
      <c r="CM11">
        <v>2206929</v>
      </c>
      <c r="CN11">
        <v>34526</v>
      </c>
      <c r="CO11">
        <v>474093</v>
      </c>
      <c r="CP11">
        <v>3437</v>
      </c>
      <c r="CQ11">
        <v>5111515</v>
      </c>
      <c r="CR11">
        <v>31925</v>
      </c>
    </row>
    <row r="12" spans="1:96" x14ac:dyDescent="0.4">
      <c r="A12" s="1" t="s">
        <v>12</v>
      </c>
      <c r="B12" s="3" t="s">
        <v>13</v>
      </c>
      <c r="C12">
        <v>7550310</v>
      </c>
      <c r="D12">
        <v>1728745</v>
      </c>
      <c r="E12">
        <v>737733</v>
      </c>
      <c r="F12">
        <v>353349</v>
      </c>
      <c r="G12">
        <v>44604259</v>
      </c>
      <c r="H12">
        <v>37613</v>
      </c>
      <c r="I12">
        <v>401780668</v>
      </c>
      <c r="J12">
        <v>54013</v>
      </c>
      <c r="K12">
        <v>234797218</v>
      </c>
      <c r="L12">
        <v>44231</v>
      </c>
      <c r="M12">
        <v>151967983</v>
      </c>
      <c r="N12">
        <v>29871</v>
      </c>
      <c r="O12">
        <v>12651934</v>
      </c>
      <c r="P12">
        <v>26940</v>
      </c>
      <c r="Q12">
        <v>73315914</v>
      </c>
      <c r="R12">
        <v>217803</v>
      </c>
      <c r="S12">
        <v>14829991</v>
      </c>
      <c r="T12">
        <v>17031</v>
      </c>
      <c r="U12">
        <v>15990140</v>
      </c>
      <c r="V12">
        <v>11511</v>
      </c>
      <c r="W12">
        <v>27240114</v>
      </c>
      <c r="X12">
        <v>29561</v>
      </c>
      <c r="Y12">
        <v>15138657</v>
      </c>
      <c r="Z12">
        <v>21826</v>
      </c>
      <c r="AA12">
        <v>10818274</v>
      </c>
      <c r="AB12">
        <v>84885</v>
      </c>
      <c r="AC12">
        <v>19221174</v>
      </c>
      <c r="AD12">
        <v>54667</v>
      </c>
      <c r="AE12">
        <v>15354083</v>
      </c>
      <c r="AF12">
        <v>2342668</v>
      </c>
      <c r="AG12">
        <v>32097321</v>
      </c>
      <c r="AH12">
        <v>70654</v>
      </c>
      <c r="AI12">
        <v>4970846</v>
      </c>
      <c r="AJ12">
        <v>47839</v>
      </c>
      <c r="AK12">
        <v>27561393</v>
      </c>
      <c r="AL12">
        <v>130425</v>
      </c>
      <c r="AM12">
        <v>8170857</v>
      </c>
      <c r="AN12">
        <v>63245</v>
      </c>
      <c r="AO12">
        <v>81841303</v>
      </c>
      <c r="AP12">
        <v>310774</v>
      </c>
      <c r="AQ12">
        <v>50282555</v>
      </c>
      <c r="AR12">
        <v>125913</v>
      </c>
      <c r="AS12">
        <v>6118929</v>
      </c>
      <c r="AT12">
        <v>48456</v>
      </c>
      <c r="AU12">
        <v>19071540</v>
      </c>
      <c r="AV12">
        <v>69048</v>
      </c>
      <c r="AW12">
        <v>224154773</v>
      </c>
      <c r="AX12">
        <v>42449</v>
      </c>
      <c r="AY12">
        <v>69999119</v>
      </c>
      <c r="AZ12">
        <v>25448</v>
      </c>
      <c r="BA12">
        <v>25626319</v>
      </c>
      <c r="BB12">
        <v>358950</v>
      </c>
      <c r="BC12">
        <v>7686857</v>
      </c>
      <c r="BD12">
        <v>100719</v>
      </c>
      <c r="BE12">
        <v>67886163</v>
      </c>
      <c r="BF12">
        <v>476882</v>
      </c>
      <c r="BG12">
        <v>36547644</v>
      </c>
      <c r="BH12">
        <v>28966</v>
      </c>
      <c r="BI12">
        <v>308755541</v>
      </c>
      <c r="BJ12">
        <v>74518</v>
      </c>
      <c r="BK12">
        <v>20521694</v>
      </c>
      <c r="BL12">
        <v>63442</v>
      </c>
      <c r="BM12">
        <v>16948244</v>
      </c>
      <c r="BN12">
        <v>924134</v>
      </c>
      <c r="BO12">
        <v>31389235</v>
      </c>
      <c r="BP12">
        <v>54506</v>
      </c>
      <c r="BQ12">
        <v>32317689</v>
      </c>
      <c r="BR12">
        <v>90014</v>
      </c>
      <c r="BS12">
        <v>402624971</v>
      </c>
      <c r="BT12">
        <v>160026</v>
      </c>
      <c r="BU12">
        <v>21490636</v>
      </c>
      <c r="BV12">
        <v>125625</v>
      </c>
      <c r="BW12">
        <v>29624080</v>
      </c>
      <c r="BX12">
        <v>91505</v>
      </c>
      <c r="BY12">
        <v>31629204</v>
      </c>
      <c r="BZ12">
        <v>17474</v>
      </c>
      <c r="CA12">
        <v>9882630</v>
      </c>
      <c r="CB12">
        <v>132042</v>
      </c>
      <c r="CC12">
        <v>15549835</v>
      </c>
      <c r="CD12">
        <v>111167</v>
      </c>
      <c r="CE12" t="s">
        <v>73</v>
      </c>
      <c r="CF12" t="s">
        <v>73</v>
      </c>
      <c r="CG12" t="s">
        <v>73</v>
      </c>
      <c r="CH12" t="s">
        <v>73</v>
      </c>
      <c r="CI12">
        <v>517015</v>
      </c>
      <c r="CJ12">
        <v>136717</v>
      </c>
      <c r="CK12">
        <v>2017275</v>
      </c>
      <c r="CL12">
        <v>15205</v>
      </c>
      <c r="CM12">
        <v>1993331</v>
      </c>
      <c r="CN12">
        <v>33441</v>
      </c>
      <c r="CO12">
        <v>433519</v>
      </c>
      <c r="CP12">
        <v>2680</v>
      </c>
      <c r="CQ12">
        <v>3990614</v>
      </c>
      <c r="CR12">
        <v>26432</v>
      </c>
    </row>
    <row r="13" spans="1:96" x14ac:dyDescent="0.4">
      <c r="A13" s="1" t="s">
        <v>14</v>
      </c>
      <c r="B13" s="3" t="s">
        <v>15</v>
      </c>
      <c r="C13">
        <v>7826133</v>
      </c>
      <c r="D13">
        <v>1799944</v>
      </c>
      <c r="E13">
        <v>836855</v>
      </c>
      <c r="F13">
        <v>390681</v>
      </c>
      <c r="G13">
        <v>43945305</v>
      </c>
      <c r="H13">
        <v>37973</v>
      </c>
      <c r="I13">
        <v>374596378</v>
      </c>
      <c r="J13">
        <v>52596</v>
      </c>
      <c r="K13">
        <v>237432669</v>
      </c>
      <c r="L13">
        <v>45855</v>
      </c>
      <c r="M13">
        <v>152548511</v>
      </c>
      <c r="N13">
        <v>31298</v>
      </c>
      <c r="O13">
        <v>12581490</v>
      </c>
      <c r="P13">
        <v>27187</v>
      </c>
      <c r="Q13">
        <v>73349175</v>
      </c>
      <c r="R13">
        <v>202792</v>
      </c>
      <c r="S13">
        <v>14760121</v>
      </c>
      <c r="T13">
        <v>17626</v>
      </c>
      <c r="U13">
        <v>15232634</v>
      </c>
      <c r="V13">
        <v>11070</v>
      </c>
      <c r="W13">
        <v>26345104</v>
      </c>
      <c r="X13">
        <v>28905</v>
      </c>
      <c r="Y13">
        <v>17312166</v>
      </c>
      <c r="Z13">
        <v>24345</v>
      </c>
      <c r="AA13">
        <v>10916530</v>
      </c>
      <c r="AB13">
        <v>88036</v>
      </c>
      <c r="AC13">
        <v>19467051</v>
      </c>
      <c r="AD13">
        <v>51040</v>
      </c>
      <c r="AE13">
        <v>14678213</v>
      </c>
      <c r="AF13">
        <v>2370266</v>
      </c>
      <c r="AG13">
        <v>30767529</v>
      </c>
      <c r="AH13">
        <v>70750</v>
      </c>
      <c r="AI13">
        <v>5147022</v>
      </c>
      <c r="AJ13">
        <v>50818</v>
      </c>
      <c r="AK13">
        <v>27865485</v>
      </c>
      <c r="AL13">
        <v>139180</v>
      </c>
      <c r="AM13">
        <v>8114986</v>
      </c>
      <c r="AN13">
        <v>67426</v>
      </c>
      <c r="AO13">
        <v>70235303</v>
      </c>
      <c r="AP13">
        <v>256239</v>
      </c>
      <c r="AQ13">
        <v>50884475</v>
      </c>
      <c r="AR13">
        <v>133629</v>
      </c>
      <c r="AS13">
        <v>6342080</v>
      </c>
      <c r="AT13">
        <v>47128</v>
      </c>
      <c r="AU13">
        <v>24397009</v>
      </c>
      <c r="AV13">
        <v>74807</v>
      </c>
      <c r="AW13">
        <v>227642262</v>
      </c>
      <c r="AX13">
        <v>43159</v>
      </c>
      <c r="AY13">
        <v>69842443</v>
      </c>
      <c r="AZ13">
        <v>27045</v>
      </c>
      <c r="BA13">
        <v>26868409</v>
      </c>
      <c r="BB13">
        <v>390225</v>
      </c>
      <c r="BC13">
        <v>7997296</v>
      </c>
      <c r="BD13">
        <v>107553</v>
      </c>
      <c r="BE13">
        <v>76570025</v>
      </c>
      <c r="BF13">
        <v>478652</v>
      </c>
      <c r="BG13">
        <v>39235724</v>
      </c>
      <c r="BH13">
        <v>28843</v>
      </c>
      <c r="BI13">
        <v>316655763</v>
      </c>
      <c r="BJ13">
        <v>77794</v>
      </c>
      <c r="BK13">
        <v>20979757</v>
      </c>
      <c r="BL13">
        <v>63986</v>
      </c>
      <c r="BM13">
        <v>16693622</v>
      </c>
      <c r="BN13">
        <v>942997</v>
      </c>
      <c r="BO13">
        <v>31453086</v>
      </c>
      <c r="BP13">
        <v>56669</v>
      </c>
      <c r="BQ13">
        <v>32398460</v>
      </c>
      <c r="BR13">
        <v>87814</v>
      </c>
      <c r="BS13">
        <v>409462889</v>
      </c>
      <c r="BT13">
        <v>166265</v>
      </c>
      <c r="BU13">
        <v>23116236</v>
      </c>
      <c r="BV13">
        <v>139808</v>
      </c>
      <c r="BW13">
        <v>26565972</v>
      </c>
      <c r="BX13">
        <v>93769</v>
      </c>
      <c r="BY13">
        <v>31414000</v>
      </c>
      <c r="BZ13">
        <v>17352</v>
      </c>
      <c r="CA13">
        <v>9293860</v>
      </c>
      <c r="CB13">
        <v>132842</v>
      </c>
      <c r="CC13">
        <v>16853739</v>
      </c>
      <c r="CD13">
        <v>124806</v>
      </c>
      <c r="CE13" t="s">
        <v>73</v>
      </c>
      <c r="CF13" t="s">
        <v>73</v>
      </c>
      <c r="CG13" t="s">
        <v>73</v>
      </c>
      <c r="CH13" t="s">
        <v>73</v>
      </c>
      <c r="CI13">
        <v>556811</v>
      </c>
      <c r="CJ13">
        <v>158865</v>
      </c>
      <c r="CK13" t="s">
        <v>73</v>
      </c>
      <c r="CL13" t="s">
        <v>73</v>
      </c>
      <c r="CM13">
        <v>1995780</v>
      </c>
      <c r="CN13">
        <v>37752</v>
      </c>
      <c r="CO13">
        <v>354264</v>
      </c>
      <c r="CP13">
        <v>2427</v>
      </c>
      <c r="CQ13">
        <v>3839084</v>
      </c>
      <c r="CR13">
        <v>28442</v>
      </c>
    </row>
    <row r="14" spans="1:96" x14ac:dyDescent="0.4">
      <c r="A14" s="1" t="s">
        <v>16</v>
      </c>
      <c r="B14" s="1" t="s">
        <v>17</v>
      </c>
      <c r="C14">
        <v>648506</v>
      </c>
      <c r="D14">
        <v>150995</v>
      </c>
      <c r="E14">
        <v>59408</v>
      </c>
      <c r="F14">
        <v>29259</v>
      </c>
      <c r="G14">
        <v>3756270</v>
      </c>
      <c r="H14">
        <v>3236</v>
      </c>
      <c r="I14">
        <v>35203086</v>
      </c>
      <c r="J14">
        <v>4689</v>
      </c>
      <c r="K14">
        <v>20703203</v>
      </c>
      <c r="L14">
        <v>3937</v>
      </c>
      <c r="M14">
        <v>13102210</v>
      </c>
      <c r="N14">
        <v>2582</v>
      </c>
      <c r="O14">
        <v>975291</v>
      </c>
      <c r="P14">
        <v>2070</v>
      </c>
      <c r="Q14">
        <v>6697245</v>
      </c>
      <c r="R14">
        <v>19589</v>
      </c>
      <c r="S14">
        <v>1295138</v>
      </c>
      <c r="T14">
        <v>1461</v>
      </c>
      <c r="U14">
        <v>1381834</v>
      </c>
      <c r="V14">
        <v>953</v>
      </c>
      <c r="W14">
        <v>2342831</v>
      </c>
      <c r="X14">
        <v>2500</v>
      </c>
      <c r="Y14">
        <v>1283126</v>
      </c>
      <c r="Z14">
        <v>1860</v>
      </c>
      <c r="AA14">
        <v>929033</v>
      </c>
      <c r="AB14">
        <v>7780</v>
      </c>
      <c r="AC14">
        <v>1584422</v>
      </c>
      <c r="AD14">
        <v>4892</v>
      </c>
      <c r="AE14">
        <v>1222119</v>
      </c>
      <c r="AF14">
        <v>190830</v>
      </c>
      <c r="AG14">
        <v>2670622</v>
      </c>
      <c r="AH14">
        <v>5736</v>
      </c>
      <c r="AI14">
        <v>415815</v>
      </c>
      <c r="AJ14">
        <v>3993</v>
      </c>
      <c r="AK14">
        <v>2247074</v>
      </c>
      <c r="AL14">
        <v>11253</v>
      </c>
      <c r="AM14">
        <v>711362</v>
      </c>
      <c r="AN14">
        <v>5606</v>
      </c>
      <c r="AO14">
        <v>7009300</v>
      </c>
      <c r="AP14">
        <v>26935</v>
      </c>
      <c r="AQ14">
        <v>4307969</v>
      </c>
      <c r="AR14">
        <v>11011</v>
      </c>
      <c r="AS14">
        <v>491445</v>
      </c>
      <c r="AT14">
        <v>3788</v>
      </c>
      <c r="AU14">
        <v>1619956</v>
      </c>
      <c r="AV14">
        <v>6258</v>
      </c>
      <c r="AW14">
        <v>20200398</v>
      </c>
      <c r="AX14">
        <v>3861</v>
      </c>
      <c r="AY14">
        <v>5973186</v>
      </c>
      <c r="AZ14">
        <v>2009</v>
      </c>
      <c r="BA14">
        <v>2169637</v>
      </c>
      <c r="BB14">
        <v>30485</v>
      </c>
      <c r="BC14">
        <v>646980</v>
      </c>
      <c r="BD14">
        <v>8787</v>
      </c>
      <c r="BE14">
        <v>6695826</v>
      </c>
      <c r="BF14">
        <v>44587</v>
      </c>
      <c r="BG14">
        <v>2715986</v>
      </c>
      <c r="BH14">
        <v>2187</v>
      </c>
      <c r="BI14">
        <v>27122446</v>
      </c>
      <c r="BJ14">
        <v>6380</v>
      </c>
      <c r="BK14">
        <v>1692963</v>
      </c>
      <c r="BL14">
        <v>5238</v>
      </c>
      <c r="BM14">
        <v>1404935</v>
      </c>
      <c r="BN14">
        <v>77307</v>
      </c>
      <c r="BO14">
        <v>2635190</v>
      </c>
      <c r="BP14">
        <v>4588</v>
      </c>
      <c r="BQ14">
        <v>2748745</v>
      </c>
      <c r="BR14">
        <v>8114</v>
      </c>
      <c r="BS14">
        <v>32933163</v>
      </c>
      <c r="BT14">
        <v>13394</v>
      </c>
      <c r="BU14">
        <v>1676157</v>
      </c>
      <c r="BV14">
        <v>9490</v>
      </c>
      <c r="BW14">
        <v>2539473</v>
      </c>
      <c r="BX14">
        <v>8043</v>
      </c>
      <c r="BY14">
        <v>2544296</v>
      </c>
      <c r="BZ14">
        <v>1572</v>
      </c>
      <c r="CA14">
        <v>891442</v>
      </c>
      <c r="CB14">
        <v>12348</v>
      </c>
      <c r="CC14">
        <v>1422360</v>
      </c>
      <c r="CD14">
        <v>10369</v>
      </c>
      <c r="CE14" t="s">
        <v>73</v>
      </c>
      <c r="CF14" t="s">
        <v>73</v>
      </c>
      <c r="CG14" t="s">
        <v>73</v>
      </c>
      <c r="CH14" t="s">
        <v>73</v>
      </c>
      <c r="CI14">
        <v>47140</v>
      </c>
      <c r="CJ14">
        <v>13240</v>
      </c>
      <c r="CK14">
        <v>152860</v>
      </c>
      <c r="CL14">
        <v>1163</v>
      </c>
      <c r="CM14">
        <v>172262</v>
      </c>
      <c r="CN14">
        <v>2974</v>
      </c>
      <c r="CO14">
        <v>37441</v>
      </c>
      <c r="CP14">
        <v>261</v>
      </c>
      <c r="CQ14">
        <v>342114</v>
      </c>
      <c r="CR14">
        <v>2153</v>
      </c>
    </row>
    <row r="15" spans="1:96" x14ac:dyDescent="0.4">
      <c r="A15" s="1" t="s">
        <v>18</v>
      </c>
      <c r="B15" s="1" t="s">
        <v>19</v>
      </c>
      <c r="C15">
        <v>586616</v>
      </c>
      <c r="D15">
        <v>137798</v>
      </c>
      <c r="E15">
        <v>58309</v>
      </c>
      <c r="F15">
        <v>28673</v>
      </c>
      <c r="G15">
        <v>3766736</v>
      </c>
      <c r="H15">
        <v>3186</v>
      </c>
      <c r="I15">
        <v>34221686</v>
      </c>
      <c r="J15">
        <v>4503</v>
      </c>
      <c r="K15">
        <v>18053350</v>
      </c>
      <c r="L15">
        <v>3688</v>
      </c>
      <c r="M15">
        <v>12545049</v>
      </c>
      <c r="N15">
        <v>2499</v>
      </c>
      <c r="O15">
        <v>1148031</v>
      </c>
      <c r="P15">
        <v>2402</v>
      </c>
      <c r="Q15">
        <v>6091964</v>
      </c>
      <c r="R15">
        <v>18894</v>
      </c>
      <c r="S15">
        <v>1165123</v>
      </c>
      <c r="T15">
        <v>1335</v>
      </c>
      <c r="U15">
        <v>1316747</v>
      </c>
      <c r="V15">
        <v>964</v>
      </c>
      <c r="W15">
        <v>2243663</v>
      </c>
      <c r="X15">
        <v>2352</v>
      </c>
      <c r="Y15">
        <v>1227658</v>
      </c>
      <c r="Z15">
        <v>1755</v>
      </c>
      <c r="AA15">
        <v>854210</v>
      </c>
      <c r="AB15">
        <v>6792</v>
      </c>
      <c r="AC15">
        <v>1912329</v>
      </c>
      <c r="AD15">
        <v>4426</v>
      </c>
      <c r="AE15">
        <v>1272432</v>
      </c>
      <c r="AF15">
        <v>200229</v>
      </c>
      <c r="AG15">
        <v>2525172</v>
      </c>
      <c r="AH15">
        <v>5270</v>
      </c>
      <c r="AI15">
        <v>455686</v>
      </c>
      <c r="AJ15">
        <v>4419</v>
      </c>
      <c r="AK15">
        <v>2183990</v>
      </c>
      <c r="AL15">
        <v>10263</v>
      </c>
      <c r="AM15">
        <v>642694</v>
      </c>
      <c r="AN15">
        <v>4826</v>
      </c>
      <c r="AO15">
        <v>6912713</v>
      </c>
      <c r="AP15">
        <v>25356</v>
      </c>
      <c r="AQ15">
        <v>4210948</v>
      </c>
      <c r="AR15">
        <v>10151</v>
      </c>
      <c r="AS15">
        <v>474457</v>
      </c>
      <c r="AT15">
        <v>3509</v>
      </c>
      <c r="AU15">
        <v>1491748</v>
      </c>
      <c r="AV15">
        <v>5536</v>
      </c>
      <c r="AW15">
        <v>18637230</v>
      </c>
      <c r="AX15">
        <v>3504</v>
      </c>
      <c r="AY15">
        <v>5649574</v>
      </c>
      <c r="AZ15">
        <v>2641</v>
      </c>
      <c r="BA15">
        <v>2038404</v>
      </c>
      <c r="BB15">
        <v>29119</v>
      </c>
      <c r="BC15">
        <v>599464</v>
      </c>
      <c r="BD15">
        <v>7825</v>
      </c>
      <c r="BE15">
        <v>4486055</v>
      </c>
      <c r="BF15">
        <v>40745</v>
      </c>
      <c r="BG15">
        <v>3135511</v>
      </c>
      <c r="BH15">
        <v>2388</v>
      </c>
      <c r="BI15">
        <v>25234040</v>
      </c>
      <c r="BJ15">
        <v>5883</v>
      </c>
      <c r="BK15">
        <v>1590837</v>
      </c>
      <c r="BL15">
        <v>5329</v>
      </c>
      <c r="BM15">
        <v>1320736</v>
      </c>
      <c r="BN15">
        <v>70686</v>
      </c>
      <c r="BO15">
        <v>2390191</v>
      </c>
      <c r="BP15">
        <v>4312</v>
      </c>
      <c r="BQ15">
        <v>2529627</v>
      </c>
      <c r="BR15">
        <v>7596</v>
      </c>
      <c r="BS15">
        <v>34317334</v>
      </c>
      <c r="BT15">
        <v>12608</v>
      </c>
      <c r="BU15">
        <v>1913040</v>
      </c>
      <c r="BV15">
        <v>9256</v>
      </c>
      <c r="BW15">
        <v>2459577</v>
      </c>
      <c r="BX15">
        <v>7584</v>
      </c>
      <c r="BY15">
        <v>2623536</v>
      </c>
      <c r="BZ15">
        <v>1433</v>
      </c>
      <c r="CA15">
        <v>842992</v>
      </c>
      <c r="CB15">
        <v>11370</v>
      </c>
      <c r="CC15">
        <v>1292127</v>
      </c>
      <c r="CD15">
        <v>9221</v>
      </c>
      <c r="CE15" t="s">
        <v>73</v>
      </c>
      <c r="CF15" t="s">
        <v>73</v>
      </c>
      <c r="CG15" t="s">
        <v>73</v>
      </c>
      <c r="CH15" t="s">
        <v>73</v>
      </c>
      <c r="CI15">
        <v>42805</v>
      </c>
      <c r="CJ15">
        <v>11671</v>
      </c>
      <c r="CK15">
        <v>184750</v>
      </c>
      <c r="CL15">
        <v>1360</v>
      </c>
      <c r="CM15">
        <v>168892</v>
      </c>
      <c r="CN15">
        <v>2688</v>
      </c>
      <c r="CO15">
        <v>37259</v>
      </c>
      <c r="CP15">
        <v>235</v>
      </c>
      <c r="CQ15">
        <v>311513</v>
      </c>
      <c r="CR15">
        <v>2080</v>
      </c>
    </row>
    <row r="16" spans="1:96" x14ac:dyDescent="0.4">
      <c r="A16" s="1" t="s">
        <v>20</v>
      </c>
      <c r="B16" s="1" t="s">
        <v>21</v>
      </c>
      <c r="C16">
        <v>590931</v>
      </c>
      <c r="D16">
        <v>135429</v>
      </c>
      <c r="E16">
        <v>62776</v>
      </c>
      <c r="F16">
        <v>28998</v>
      </c>
      <c r="G16">
        <v>3701417</v>
      </c>
      <c r="H16">
        <v>3025</v>
      </c>
      <c r="I16">
        <v>33580278</v>
      </c>
      <c r="J16">
        <v>4384</v>
      </c>
      <c r="K16">
        <v>17846650</v>
      </c>
      <c r="L16">
        <v>3241</v>
      </c>
      <c r="M16">
        <v>12167889</v>
      </c>
      <c r="N16">
        <v>2392</v>
      </c>
      <c r="O16">
        <v>1051561</v>
      </c>
      <c r="P16">
        <v>2285</v>
      </c>
      <c r="Q16">
        <v>5917994</v>
      </c>
      <c r="R16">
        <v>16850</v>
      </c>
      <c r="S16">
        <v>1207423</v>
      </c>
      <c r="T16">
        <v>1369</v>
      </c>
      <c r="U16">
        <v>1381013</v>
      </c>
      <c r="V16">
        <v>973</v>
      </c>
      <c r="W16">
        <v>2071969</v>
      </c>
      <c r="X16">
        <v>2302</v>
      </c>
      <c r="Y16">
        <v>1250889</v>
      </c>
      <c r="Z16">
        <v>1773</v>
      </c>
      <c r="AA16">
        <v>822918</v>
      </c>
      <c r="AB16">
        <v>6637</v>
      </c>
      <c r="AC16">
        <v>1465442</v>
      </c>
      <c r="AD16">
        <v>4076</v>
      </c>
      <c r="AE16">
        <v>1276717</v>
      </c>
      <c r="AF16">
        <v>196578</v>
      </c>
      <c r="AG16">
        <v>2573025</v>
      </c>
      <c r="AH16">
        <v>5610</v>
      </c>
      <c r="AI16">
        <v>433005</v>
      </c>
      <c r="AJ16">
        <v>4125</v>
      </c>
      <c r="AK16">
        <v>2190774</v>
      </c>
      <c r="AL16">
        <v>10153</v>
      </c>
      <c r="AM16">
        <v>653925</v>
      </c>
      <c r="AN16">
        <v>4814</v>
      </c>
      <c r="AO16">
        <v>6667128</v>
      </c>
      <c r="AP16">
        <v>25517</v>
      </c>
      <c r="AQ16">
        <v>4209871</v>
      </c>
      <c r="AR16">
        <v>10148</v>
      </c>
      <c r="AS16">
        <v>483023</v>
      </c>
      <c r="AT16">
        <v>3690</v>
      </c>
      <c r="AU16">
        <v>1488100</v>
      </c>
      <c r="AV16">
        <v>5259</v>
      </c>
      <c r="AW16">
        <v>18270943</v>
      </c>
      <c r="AX16">
        <v>3498</v>
      </c>
      <c r="AY16">
        <v>5665926</v>
      </c>
      <c r="AZ16">
        <v>1640</v>
      </c>
      <c r="BA16">
        <v>1945459</v>
      </c>
      <c r="BB16">
        <v>27630</v>
      </c>
      <c r="BC16">
        <v>603850</v>
      </c>
      <c r="BD16">
        <v>7929</v>
      </c>
      <c r="BE16">
        <v>4905787</v>
      </c>
      <c r="BF16">
        <v>38488</v>
      </c>
      <c r="BG16">
        <v>2966655</v>
      </c>
      <c r="BH16">
        <v>2372</v>
      </c>
      <c r="BI16">
        <v>24489233</v>
      </c>
      <c r="BJ16">
        <v>6118</v>
      </c>
      <c r="BK16">
        <v>1640668</v>
      </c>
      <c r="BL16">
        <v>5102</v>
      </c>
      <c r="BM16">
        <v>1323351</v>
      </c>
      <c r="BN16">
        <v>73279</v>
      </c>
      <c r="BO16">
        <v>2621085</v>
      </c>
      <c r="BP16">
        <v>4360</v>
      </c>
      <c r="BQ16">
        <v>2617637</v>
      </c>
      <c r="BR16">
        <v>7222</v>
      </c>
      <c r="BS16">
        <v>30263161</v>
      </c>
      <c r="BT16">
        <v>12616</v>
      </c>
      <c r="BU16">
        <v>1537670</v>
      </c>
      <c r="BV16">
        <v>9454</v>
      </c>
      <c r="BW16">
        <v>2385627</v>
      </c>
      <c r="BX16">
        <v>7258</v>
      </c>
      <c r="BY16">
        <v>2410473</v>
      </c>
      <c r="BZ16">
        <v>1304</v>
      </c>
      <c r="CA16">
        <v>818777</v>
      </c>
      <c r="CB16">
        <v>10847</v>
      </c>
      <c r="CC16">
        <v>1173136</v>
      </c>
      <c r="CD16">
        <v>8615</v>
      </c>
      <c r="CE16" t="s">
        <v>73</v>
      </c>
      <c r="CF16" t="s">
        <v>73</v>
      </c>
      <c r="CG16" t="s">
        <v>73</v>
      </c>
      <c r="CH16" t="s">
        <v>73</v>
      </c>
      <c r="CI16">
        <v>36071</v>
      </c>
      <c r="CJ16">
        <v>9280</v>
      </c>
      <c r="CK16">
        <v>142487</v>
      </c>
      <c r="CL16">
        <v>1097</v>
      </c>
      <c r="CM16">
        <v>147802</v>
      </c>
      <c r="CN16">
        <v>2391</v>
      </c>
      <c r="CO16">
        <v>38030</v>
      </c>
      <c r="CP16">
        <v>216</v>
      </c>
      <c r="CQ16">
        <v>281884</v>
      </c>
      <c r="CR16">
        <v>2026</v>
      </c>
    </row>
    <row r="17" spans="1:96" x14ac:dyDescent="0.4">
      <c r="A17" s="1" t="s">
        <v>22</v>
      </c>
      <c r="B17" s="1" t="s">
        <v>23</v>
      </c>
      <c r="C17">
        <v>627615</v>
      </c>
      <c r="D17">
        <v>142252</v>
      </c>
      <c r="E17">
        <v>66872</v>
      </c>
      <c r="F17">
        <v>29593</v>
      </c>
      <c r="G17">
        <v>3756397</v>
      </c>
      <c r="H17">
        <v>3115</v>
      </c>
      <c r="I17">
        <v>34184805</v>
      </c>
      <c r="J17">
        <v>4533</v>
      </c>
      <c r="K17">
        <v>19164585</v>
      </c>
      <c r="L17">
        <v>3531</v>
      </c>
      <c r="M17">
        <v>12914885</v>
      </c>
      <c r="N17">
        <v>2443</v>
      </c>
      <c r="O17">
        <v>1021964</v>
      </c>
      <c r="P17">
        <v>2249</v>
      </c>
      <c r="Q17">
        <v>6085784</v>
      </c>
      <c r="R17">
        <v>17747</v>
      </c>
      <c r="S17">
        <v>1280553</v>
      </c>
      <c r="T17">
        <v>1455</v>
      </c>
      <c r="U17">
        <v>1402322</v>
      </c>
      <c r="V17">
        <v>1011</v>
      </c>
      <c r="W17">
        <v>2229556</v>
      </c>
      <c r="X17">
        <v>2448</v>
      </c>
      <c r="Y17">
        <v>1271604</v>
      </c>
      <c r="Z17">
        <v>1810</v>
      </c>
      <c r="AA17">
        <v>906482</v>
      </c>
      <c r="AB17">
        <v>6738</v>
      </c>
      <c r="AC17">
        <v>1589382</v>
      </c>
      <c r="AD17">
        <v>4513</v>
      </c>
      <c r="AE17">
        <v>1316889</v>
      </c>
      <c r="AF17">
        <v>198374</v>
      </c>
      <c r="AG17">
        <v>2756808</v>
      </c>
      <c r="AH17">
        <v>6130</v>
      </c>
      <c r="AI17">
        <v>432192</v>
      </c>
      <c r="AJ17">
        <v>4229</v>
      </c>
      <c r="AK17">
        <v>2259560</v>
      </c>
      <c r="AL17">
        <v>10597</v>
      </c>
      <c r="AM17">
        <v>688231</v>
      </c>
      <c r="AN17">
        <v>5262</v>
      </c>
      <c r="AO17">
        <v>6844682</v>
      </c>
      <c r="AP17">
        <v>26433</v>
      </c>
      <c r="AQ17">
        <v>4302286</v>
      </c>
      <c r="AR17">
        <v>10409</v>
      </c>
      <c r="AS17">
        <v>527834</v>
      </c>
      <c r="AT17">
        <v>4229</v>
      </c>
      <c r="AU17">
        <v>1560324</v>
      </c>
      <c r="AV17">
        <v>5477</v>
      </c>
      <c r="AW17">
        <v>18488146</v>
      </c>
      <c r="AX17">
        <v>3490</v>
      </c>
      <c r="AY17">
        <v>5963964</v>
      </c>
      <c r="AZ17">
        <v>2193</v>
      </c>
      <c r="BA17">
        <v>2086017</v>
      </c>
      <c r="BB17">
        <v>28751</v>
      </c>
      <c r="BC17">
        <v>643880</v>
      </c>
      <c r="BD17">
        <v>8314</v>
      </c>
      <c r="BE17">
        <v>4303563</v>
      </c>
      <c r="BF17">
        <v>40340</v>
      </c>
      <c r="BG17">
        <v>3042273</v>
      </c>
      <c r="BH17">
        <v>2432</v>
      </c>
      <c r="BI17">
        <v>25369796</v>
      </c>
      <c r="BJ17">
        <v>6262</v>
      </c>
      <c r="BK17">
        <v>1730327</v>
      </c>
      <c r="BL17">
        <v>5509</v>
      </c>
      <c r="BM17">
        <v>1471727</v>
      </c>
      <c r="BN17">
        <v>78626</v>
      </c>
      <c r="BO17">
        <v>2712763</v>
      </c>
      <c r="BP17">
        <v>4566</v>
      </c>
      <c r="BQ17">
        <v>2729068</v>
      </c>
      <c r="BR17">
        <v>7630</v>
      </c>
      <c r="BS17">
        <v>34573030</v>
      </c>
      <c r="BT17">
        <v>13306</v>
      </c>
      <c r="BU17">
        <v>1986335</v>
      </c>
      <c r="BV17">
        <v>10886</v>
      </c>
      <c r="BW17">
        <v>2475240</v>
      </c>
      <c r="BX17">
        <v>7702</v>
      </c>
      <c r="BY17">
        <v>2739095</v>
      </c>
      <c r="BZ17">
        <v>1476</v>
      </c>
      <c r="CA17">
        <v>890921</v>
      </c>
      <c r="CB17">
        <v>11813</v>
      </c>
      <c r="CC17">
        <v>1280153</v>
      </c>
      <c r="CD17">
        <v>9347</v>
      </c>
      <c r="CE17" t="s">
        <v>73</v>
      </c>
      <c r="CF17" t="s">
        <v>73</v>
      </c>
      <c r="CG17" t="s">
        <v>73</v>
      </c>
      <c r="CH17" t="s">
        <v>73</v>
      </c>
      <c r="CI17">
        <v>34359</v>
      </c>
      <c r="CJ17">
        <v>8144</v>
      </c>
      <c r="CK17">
        <v>154745</v>
      </c>
      <c r="CL17">
        <v>1184</v>
      </c>
      <c r="CM17">
        <v>161069</v>
      </c>
      <c r="CN17">
        <v>2728</v>
      </c>
      <c r="CO17">
        <v>38889</v>
      </c>
      <c r="CP17">
        <v>241</v>
      </c>
      <c r="CQ17">
        <v>270637</v>
      </c>
      <c r="CR17">
        <v>1992</v>
      </c>
    </row>
    <row r="18" spans="1:96" x14ac:dyDescent="0.4">
      <c r="A18" s="1" t="s">
        <v>24</v>
      </c>
      <c r="B18" s="1" t="s">
        <v>25</v>
      </c>
      <c r="C18">
        <v>737001</v>
      </c>
      <c r="D18">
        <v>165247</v>
      </c>
      <c r="E18">
        <v>73886</v>
      </c>
      <c r="F18">
        <v>34759</v>
      </c>
      <c r="G18">
        <v>4233488</v>
      </c>
      <c r="H18">
        <v>3587</v>
      </c>
      <c r="I18">
        <v>38280411</v>
      </c>
      <c r="J18">
        <v>5064</v>
      </c>
      <c r="K18">
        <v>21494234</v>
      </c>
      <c r="L18">
        <v>4105</v>
      </c>
      <c r="M18">
        <v>14649691</v>
      </c>
      <c r="N18">
        <v>2754</v>
      </c>
      <c r="O18">
        <v>1441563</v>
      </c>
      <c r="P18">
        <v>3017</v>
      </c>
      <c r="Q18">
        <v>7103563</v>
      </c>
      <c r="R18">
        <v>20809</v>
      </c>
      <c r="S18">
        <v>1547428</v>
      </c>
      <c r="T18">
        <v>1781</v>
      </c>
      <c r="U18">
        <v>1589125</v>
      </c>
      <c r="V18">
        <v>1093</v>
      </c>
      <c r="W18">
        <v>2620027</v>
      </c>
      <c r="X18">
        <v>2833</v>
      </c>
      <c r="Y18">
        <v>1389696</v>
      </c>
      <c r="Z18">
        <v>1987</v>
      </c>
      <c r="AA18">
        <v>1023349</v>
      </c>
      <c r="AB18">
        <v>8057</v>
      </c>
      <c r="AC18">
        <v>1645415</v>
      </c>
      <c r="AD18">
        <v>4493</v>
      </c>
      <c r="AE18">
        <v>1518779</v>
      </c>
      <c r="AF18">
        <v>230183</v>
      </c>
      <c r="AG18">
        <v>2984821</v>
      </c>
      <c r="AH18">
        <v>6882</v>
      </c>
      <c r="AI18">
        <v>488089</v>
      </c>
      <c r="AJ18">
        <v>4687</v>
      </c>
      <c r="AK18">
        <v>2648753</v>
      </c>
      <c r="AL18">
        <v>12209</v>
      </c>
      <c r="AM18">
        <v>778537</v>
      </c>
      <c r="AN18">
        <v>5968</v>
      </c>
      <c r="AO18">
        <v>7668787</v>
      </c>
      <c r="AP18">
        <v>29452</v>
      </c>
      <c r="AQ18">
        <v>4568669</v>
      </c>
      <c r="AR18">
        <v>11280</v>
      </c>
      <c r="AS18">
        <v>595831</v>
      </c>
      <c r="AT18">
        <v>4379</v>
      </c>
      <c r="AU18">
        <v>1867599</v>
      </c>
      <c r="AV18">
        <v>6564</v>
      </c>
      <c r="AW18">
        <v>20471888</v>
      </c>
      <c r="AX18">
        <v>3857</v>
      </c>
      <c r="AY18">
        <v>6811246</v>
      </c>
      <c r="AZ18">
        <v>2500</v>
      </c>
      <c r="BA18">
        <v>2448311</v>
      </c>
      <c r="BB18">
        <v>33233</v>
      </c>
      <c r="BC18">
        <v>750810</v>
      </c>
      <c r="BD18">
        <v>9705</v>
      </c>
      <c r="BE18">
        <v>6038669</v>
      </c>
      <c r="BF18">
        <v>44639</v>
      </c>
      <c r="BG18">
        <v>3435661</v>
      </c>
      <c r="BH18">
        <v>2736</v>
      </c>
      <c r="BI18">
        <v>29057735</v>
      </c>
      <c r="BJ18">
        <v>7123</v>
      </c>
      <c r="BK18">
        <v>1956196</v>
      </c>
      <c r="BL18">
        <v>5961</v>
      </c>
      <c r="BM18">
        <v>1681542</v>
      </c>
      <c r="BN18">
        <v>90320</v>
      </c>
      <c r="BO18">
        <v>3020767</v>
      </c>
      <c r="BP18">
        <v>5254</v>
      </c>
      <c r="BQ18">
        <v>3161596</v>
      </c>
      <c r="BR18">
        <v>8693</v>
      </c>
      <c r="BS18">
        <v>36711540</v>
      </c>
      <c r="BT18">
        <v>15348</v>
      </c>
      <c r="BU18">
        <v>1948441</v>
      </c>
      <c r="BV18">
        <v>12007</v>
      </c>
      <c r="BW18">
        <v>2916957</v>
      </c>
      <c r="BX18">
        <v>9103</v>
      </c>
      <c r="BY18">
        <v>3021081</v>
      </c>
      <c r="BZ18">
        <v>1680</v>
      </c>
      <c r="CA18">
        <v>961871</v>
      </c>
      <c r="CB18">
        <v>12619</v>
      </c>
      <c r="CC18">
        <v>1448336</v>
      </c>
      <c r="CD18">
        <v>10428</v>
      </c>
      <c r="CE18" t="s">
        <v>73</v>
      </c>
      <c r="CF18" t="s">
        <v>73</v>
      </c>
      <c r="CG18" t="s">
        <v>73</v>
      </c>
      <c r="CH18" t="s">
        <v>73</v>
      </c>
      <c r="CI18">
        <v>37421</v>
      </c>
      <c r="CJ18">
        <v>8767</v>
      </c>
      <c r="CK18">
        <v>181425</v>
      </c>
      <c r="CL18">
        <v>1281</v>
      </c>
      <c r="CM18">
        <v>168069</v>
      </c>
      <c r="CN18">
        <v>2684</v>
      </c>
      <c r="CO18">
        <v>41431</v>
      </c>
      <c r="CP18">
        <v>262</v>
      </c>
      <c r="CQ18">
        <v>324841</v>
      </c>
      <c r="CR18">
        <v>2147</v>
      </c>
    </row>
    <row r="19" spans="1:96" x14ac:dyDescent="0.4">
      <c r="A19" s="1" t="s">
        <v>26</v>
      </c>
      <c r="B19" s="1" t="s">
        <v>27</v>
      </c>
      <c r="C19">
        <v>493951</v>
      </c>
      <c r="D19">
        <v>108564</v>
      </c>
      <c r="E19">
        <v>51877</v>
      </c>
      <c r="F19">
        <v>25167</v>
      </c>
      <c r="G19">
        <v>3032991</v>
      </c>
      <c r="H19">
        <v>2457</v>
      </c>
      <c r="I19">
        <v>27869112</v>
      </c>
      <c r="J19">
        <v>3729</v>
      </c>
      <c r="K19">
        <v>16940602</v>
      </c>
      <c r="L19">
        <v>3017</v>
      </c>
      <c r="M19">
        <v>11042207</v>
      </c>
      <c r="N19">
        <v>2241</v>
      </c>
      <c r="O19">
        <v>1244986</v>
      </c>
      <c r="P19">
        <v>2169</v>
      </c>
      <c r="Q19">
        <v>4768086</v>
      </c>
      <c r="R19">
        <v>14117</v>
      </c>
      <c r="S19">
        <v>1033885</v>
      </c>
      <c r="T19">
        <v>1166</v>
      </c>
      <c r="U19">
        <v>1177733</v>
      </c>
      <c r="V19">
        <v>869</v>
      </c>
      <c r="W19">
        <v>1896482</v>
      </c>
      <c r="X19">
        <v>2019</v>
      </c>
      <c r="Y19">
        <v>1058234</v>
      </c>
      <c r="Z19">
        <v>1528</v>
      </c>
      <c r="AA19">
        <v>730087</v>
      </c>
      <c r="AB19">
        <v>5504</v>
      </c>
      <c r="AC19">
        <v>1320321</v>
      </c>
      <c r="AD19">
        <v>3817</v>
      </c>
      <c r="AE19">
        <v>1076497</v>
      </c>
      <c r="AF19">
        <v>163706</v>
      </c>
      <c r="AG19">
        <v>2263032</v>
      </c>
      <c r="AH19">
        <v>5215</v>
      </c>
      <c r="AI19">
        <v>332195</v>
      </c>
      <c r="AJ19">
        <v>3104</v>
      </c>
      <c r="AK19">
        <v>1880497</v>
      </c>
      <c r="AL19">
        <v>8534</v>
      </c>
      <c r="AM19">
        <v>556603</v>
      </c>
      <c r="AN19">
        <v>4350</v>
      </c>
      <c r="AO19">
        <v>5834003</v>
      </c>
      <c r="AP19">
        <v>21645</v>
      </c>
      <c r="AQ19">
        <v>3643508</v>
      </c>
      <c r="AR19">
        <v>9315</v>
      </c>
      <c r="AS19">
        <v>441770</v>
      </c>
      <c r="AT19">
        <v>3201</v>
      </c>
      <c r="AU19">
        <v>1369992</v>
      </c>
      <c r="AV19">
        <v>4561</v>
      </c>
      <c r="AW19">
        <v>17174753</v>
      </c>
      <c r="AX19">
        <v>3219</v>
      </c>
      <c r="AY19">
        <v>5246212</v>
      </c>
      <c r="AZ19">
        <v>1919</v>
      </c>
      <c r="BA19">
        <v>1859219</v>
      </c>
      <c r="BB19">
        <v>25278</v>
      </c>
      <c r="BC19">
        <v>485266</v>
      </c>
      <c r="BD19">
        <v>6400</v>
      </c>
      <c r="BE19">
        <v>5324303</v>
      </c>
      <c r="BF19">
        <v>29789</v>
      </c>
      <c r="BG19">
        <v>2336261</v>
      </c>
      <c r="BH19">
        <v>1900</v>
      </c>
      <c r="BI19">
        <v>21866998</v>
      </c>
      <c r="BJ19">
        <v>5239</v>
      </c>
      <c r="BK19">
        <v>1256774</v>
      </c>
      <c r="BL19">
        <v>4355</v>
      </c>
      <c r="BM19">
        <v>1119665</v>
      </c>
      <c r="BN19">
        <v>59833</v>
      </c>
      <c r="BO19">
        <v>2104271</v>
      </c>
      <c r="BP19">
        <v>3753</v>
      </c>
      <c r="BQ19">
        <v>2132728</v>
      </c>
      <c r="BR19">
        <v>5720</v>
      </c>
      <c r="BS19">
        <v>30853535</v>
      </c>
      <c r="BT19">
        <v>11506</v>
      </c>
      <c r="BU19">
        <v>1516562</v>
      </c>
      <c r="BV19">
        <v>8777</v>
      </c>
      <c r="BW19">
        <v>2183105</v>
      </c>
      <c r="BX19">
        <v>6595</v>
      </c>
      <c r="BY19">
        <v>2351303</v>
      </c>
      <c r="BZ19">
        <v>1210</v>
      </c>
      <c r="CA19">
        <v>716401</v>
      </c>
      <c r="CB19">
        <v>9384</v>
      </c>
      <c r="CC19">
        <v>1111823</v>
      </c>
      <c r="CD19">
        <v>7841</v>
      </c>
      <c r="CE19" t="s">
        <v>73</v>
      </c>
      <c r="CF19" t="s">
        <v>73</v>
      </c>
      <c r="CG19" t="s">
        <v>73</v>
      </c>
      <c r="CH19" t="s">
        <v>73</v>
      </c>
      <c r="CI19">
        <v>31337</v>
      </c>
      <c r="CJ19">
        <v>7439</v>
      </c>
      <c r="CK19">
        <v>131859</v>
      </c>
      <c r="CL19">
        <v>997</v>
      </c>
      <c r="CM19">
        <v>134372</v>
      </c>
      <c r="CN19">
        <v>2293</v>
      </c>
      <c r="CO19">
        <v>33695</v>
      </c>
      <c r="CP19">
        <v>206</v>
      </c>
      <c r="CQ19">
        <v>247044</v>
      </c>
      <c r="CR19">
        <v>1526</v>
      </c>
    </row>
    <row r="20" spans="1:96" x14ac:dyDescent="0.4">
      <c r="A20" s="1" t="s">
        <v>28</v>
      </c>
      <c r="B20" s="1" t="s">
        <v>29</v>
      </c>
      <c r="C20">
        <v>694909</v>
      </c>
      <c r="D20">
        <v>153140</v>
      </c>
      <c r="E20">
        <v>72767</v>
      </c>
      <c r="F20">
        <v>33981</v>
      </c>
      <c r="G20">
        <v>3805592</v>
      </c>
      <c r="H20">
        <v>3215</v>
      </c>
      <c r="I20">
        <v>33251976</v>
      </c>
      <c r="J20">
        <v>4536</v>
      </c>
      <c r="K20">
        <v>20054429</v>
      </c>
      <c r="L20">
        <v>3877</v>
      </c>
      <c r="M20">
        <v>12719449</v>
      </c>
      <c r="N20">
        <v>2579</v>
      </c>
      <c r="O20">
        <v>1243109</v>
      </c>
      <c r="P20">
        <v>2467</v>
      </c>
      <c r="Q20">
        <v>6209881</v>
      </c>
      <c r="R20">
        <v>19118</v>
      </c>
      <c r="S20">
        <v>1278104</v>
      </c>
      <c r="T20">
        <v>1487</v>
      </c>
      <c r="U20">
        <v>1243025</v>
      </c>
      <c r="V20">
        <v>946</v>
      </c>
      <c r="W20">
        <v>2427428</v>
      </c>
      <c r="X20">
        <v>2725</v>
      </c>
      <c r="Y20">
        <v>1335394</v>
      </c>
      <c r="Z20">
        <v>1957</v>
      </c>
      <c r="AA20">
        <v>941190</v>
      </c>
      <c r="AB20">
        <v>7598</v>
      </c>
      <c r="AC20">
        <v>1665871</v>
      </c>
      <c r="AD20">
        <v>4786</v>
      </c>
      <c r="AE20">
        <v>1315914</v>
      </c>
      <c r="AF20">
        <v>195200</v>
      </c>
      <c r="AG20">
        <v>3036384</v>
      </c>
      <c r="AH20">
        <v>6409</v>
      </c>
      <c r="AI20">
        <v>419904</v>
      </c>
      <c r="AJ20">
        <v>3967</v>
      </c>
      <c r="AK20">
        <v>2524343</v>
      </c>
      <c r="AL20">
        <v>12123</v>
      </c>
      <c r="AM20">
        <v>720133</v>
      </c>
      <c r="AN20">
        <v>5815</v>
      </c>
      <c r="AO20">
        <v>6937075</v>
      </c>
      <c r="AP20">
        <v>26655</v>
      </c>
      <c r="AQ20">
        <v>4296290</v>
      </c>
      <c r="AR20">
        <v>11277</v>
      </c>
      <c r="AS20">
        <v>587412</v>
      </c>
      <c r="AT20">
        <v>4886</v>
      </c>
      <c r="AU20">
        <v>1782921</v>
      </c>
      <c r="AV20">
        <v>6495</v>
      </c>
      <c r="AW20">
        <v>18696796</v>
      </c>
      <c r="AX20">
        <v>3556</v>
      </c>
      <c r="AY20">
        <v>6044914</v>
      </c>
      <c r="AZ20">
        <v>2221</v>
      </c>
      <c r="BA20">
        <v>2360886</v>
      </c>
      <c r="BB20">
        <v>32503</v>
      </c>
      <c r="BC20">
        <v>696164</v>
      </c>
      <c r="BD20">
        <v>9545</v>
      </c>
      <c r="BE20">
        <v>7223564</v>
      </c>
      <c r="BF20">
        <v>39889</v>
      </c>
      <c r="BG20">
        <v>3128039</v>
      </c>
      <c r="BH20">
        <v>2530</v>
      </c>
      <c r="BI20">
        <v>28069357</v>
      </c>
      <c r="BJ20">
        <v>6763</v>
      </c>
      <c r="BK20">
        <v>1767383</v>
      </c>
      <c r="BL20">
        <v>5829</v>
      </c>
      <c r="BM20">
        <v>1587515</v>
      </c>
      <c r="BN20">
        <v>86757</v>
      </c>
      <c r="BO20">
        <v>2688553</v>
      </c>
      <c r="BP20">
        <v>4716</v>
      </c>
      <c r="BQ20">
        <v>2863216</v>
      </c>
      <c r="BR20">
        <v>7705</v>
      </c>
      <c r="BS20">
        <v>36491364</v>
      </c>
      <c r="BT20">
        <v>14288</v>
      </c>
      <c r="BU20">
        <v>2035438</v>
      </c>
      <c r="BV20">
        <v>11642</v>
      </c>
      <c r="BW20">
        <v>2514135</v>
      </c>
      <c r="BX20">
        <v>7769</v>
      </c>
      <c r="BY20">
        <v>2682102</v>
      </c>
      <c r="BZ20">
        <v>1458</v>
      </c>
      <c r="CA20">
        <v>815447</v>
      </c>
      <c r="CB20">
        <v>10763</v>
      </c>
      <c r="CC20">
        <v>1255271</v>
      </c>
      <c r="CD20">
        <v>9242</v>
      </c>
      <c r="CE20" t="s">
        <v>73</v>
      </c>
      <c r="CF20" t="s">
        <v>73</v>
      </c>
      <c r="CG20" t="s">
        <v>73</v>
      </c>
      <c r="CH20" t="s">
        <v>73</v>
      </c>
      <c r="CI20">
        <v>41167</v>
      </c>
      <c r="CJ20">
        <v>10238</v>
      </c>
      <c r="CK20">
        <v>148399</v>
      </c>
      <c r="CL20">
        <v>1176</v>
      </c>
      <c r="CM20">
        <v>161002</v>
      </c>
      <c r="CN20">
        <v>2941</v>
      </c>
      <c r="CO20">
        <v>37667</v>
      </c>
      <c r="CP20">
        <v>205</v>
      </c>
      <c r="CQ20">
        <v>324567</v>
      </c>
      <c r="CR20">
        <v>2149</v>
      </c>
    </row>
    <row r="21" spans="1:96" x14ac:dyDescent="0.4">
      <c r="A21" s="1" t="s">
        <v>30</v>
      </c>
      <c r="B21" s="1" t="s">
        <v>31</v>
      </c>
      <c r="C21">
        <v>751071</v>
      </c>
      <c r="D21">
        <v>168339</v>
      </c>
      <c r="E21">
        <v>73133</v>
      </c>
      <c r="F21">
        <v>34843</v>
      </c>
      <c r="G21">
        <v>4181100</v>
      </c>
      <c r="H21">
        <v>3500</v>
      </c>
      <c r="I21">
        <v>34340753</v>
      </c>
      <c r="J21">
        <v>4775</v>
      </c>
      <c r="K21">
        <v>22758351</v>
      </c>
      <c r="L21">
        <v>4262</v>
      </c>
      <c r="M21">
        <v>13567305</v>
      </c>
      <c r="N21">
        <v>2755</v>
      </c>
      <c r="O21">
        <v>1154578</v>
      </c>
      <c r="P21">
        <v>2574</v>
      </c>
      <c r="Q21">
        <v>6777018</v>
      </c>
      <c r="R21">
        <v>19922</v>
      </c>
      <c r="S21">
        <v>1322274</v>
      </c>
      <c r="T21">
        <v>1608</v>
      </c>
      <c r="U21">
        <v>1341356</v>
      </c>
      <c r="V21">
        <v>1008</v>
      </c>
      <c r="W21">
        <v>2427226</v>
      </c>
      <c r="X21">
        <v>2690</v>
      </c>
      <c r="Y21">
        <v>1341478</v>
      </c>
      <c r="Z21">
        <v>1966</v>
      </c>
      <c r="AA21">
        <v>1036494</v>
      </c>
      <c r="AB21">
        <v>8239</v>
      </c>
      <c r="AC21">
        <v>1381861</v>
      </c>
      <c r="AD21">
        <v>4831</v>
      </c>
      <c r="AE21">
        <v>1452889</v>
      </c>
      <c r="AF21">
        <v>215480</v>
      </c>
      <c r="AG21">
        <v>3069082</v>
      </c>
      <c r="AH21">
        <v>6983</v>
      </c>
      <c r="AI21">
        <v>473636</v>
      </c>
      <c r="AJ21">
        <v>4539</v>
      </c>
      <c r="AK21">
        <v>2692271</v>
      </c>
      <c r="AL21">
        <v>12684</v>
      </c>
      <c r="AM21">
        <v>773992</v>
      </c>
      <c r="AN21">
        <v>6383</v>
      </c>
      <c r="AO21">
        <v>7361241</v>
      </c>
      <c r="AP21">
        <v>28232</v>
      </c>
      <c r="AQ21">
        <v>4570878</v>
      </c>
      <c r="AR21">
        <v>11392</v>
      </c>
      <c r="AS21">
        <v>602041</v>
      </c>
      <c r="AT21">
        <v>4876</v>
      </c>
      <c r="AU21">
        <v>1867862</v>
      </c>
      <c r="AV21">
        <v>6421</v>
      </c>
      <c r="AW21">
        <v>20306247</v>
      </c>
      <c r="AX21">
        <v>3865</v>
      </c>
      <c r="AY21">
        <v>6128202</v>
      </c>
      <c r="AZ21">
        <v>2257</v>
      </c>
      <c r="BA21">
        <v>2523603</v>
      </c>
      <c r="BB21">
        <v>36136</v>
      </c>
      <c r="BC21">
        <v>759504</v>
      </c>
      <c r="BD21">
        <v>10076</v>
      </c>
      <c r="BE21">
        <v>5428695</v>
      </c>
      <c r="BF21">
        <v>44248</v>
      </c>
      <c r="BG21">
        <v>3803339</v>
      </c>
      <c r="BH21">
        <v>2964</v>
      </c>
      <c r="BI21">
        <v>29524555</v>
      </c>
      <c r="BJ21">
        <v>7092</v>
      </c>
      <c r="BK21">
        <v>1924370</v>
      </c>
      <c r="BL21">
        <v>6026</v>
      </c>
      <c r="BM21">
        <v>1667645</v>
      </c>
      <c r="BN21">
        <v>93022</v>
      </c>
      <c r="BO21">
        <v>2923577</v>
      </c>
      <c r="BP21">
        <v>5264</v>
      </c>
      <c r="BQ21">
        <v>3177499</v>
      </c>
      <c r="BR21">
        <v>8339</v>
      </c>
      <c r="BS21">
        <v>37798616</v>
      </c>
      <c r="BT21">
        <v>14956</v>
      </c>
      <c r="BU21">
        <v>1873523</v>
      </c>
      <c r="BV21">
        <v>12243</v>
      </c>
      <c r="BW21">
        <v>2761238</v>
      </c>
      <c r="BX21">
        <v>8623</v>
      </c>
      <c r="BY21">
        <v>2994966</v>
      </c>
      <c r="BZ21">
        <v>1642</v>
      </c>
      <c r="CA21">
        <v>902188</v>
      </c>
      <c r="CB21">
        <v>12079</v>
      </c>
      <c r="CC21">
        <v>1353778</v>
      </c>
      <c r="CD21">
        <v>9521</v>
      </c>
      <c r="CE21" t="s">
        <v>73</v>
      </c>
      <c r="CF21" t="s">
        <v>73</v>
      </c>
      <c r="CG21" t="s">
        <v>73</v>
      </c>
      <c r="CH21" t="s">
        <v>73</v>
      </c>
      <c r="CI21">
        <v>51284</v>
      </c>
      <c r="CJ21">
        <v>13920</v>
      </c>
      <c r="CK21">
        <v>205441</v>
      </c>
      <c r="CL21">
        <v>1494</v>
      </c>
      <c r="CM21">
        <v>189817</v>
      </c>
      <c r="CN21">
        <v>3307</v>
      </c>
      <c r="CO21">
        <v>35109</v>
      </c>
      <c r="CP21">
        <v>222</v>
      </c>
      <c r="CQ21">
        <v>400175</v>
      </c>
      <c r="CR21">
        <v>2570</v>
      </c>
    </row>
    <row r="22" spans="1:96" x14ac:dyDescent="0.4">
      <c r="A22" s="1" t="s">
        <v>32</v>
      </c>
      <c r="B22" s="1" t="s">
        <v>33</v>
      </c>
      <c r="C22">
        <v>680547</v>
      </c>
      <c r="D22">
        <v>155055</v>
      </c>
      <c r="E22">
        <v>66429</v>
      </c>
      <c r="F22">
        <v>31067</v>
      </c>
      <c r="G22">
        <v>3794440</v>
      </c>
      <c r="H22">
        <v>3217</v>
      </c>
      <c r="I22">
        <v>30557161</v>
      </c>
      <c r="J22">
        <v>4325</v>
      </c>
      <c r="K22">
        <v>20001280</v>
      </c>
      <c r="L22">
        <v>3909</v>
      </c>
      <c r="M22">
        <v>12811652</v>
      </c>
      <c r="N22">
        <v>2582</v>
      </c>
      <c r="O22">
        <v>920560</v>
      </c>
      <c r="P22">
        <v>2179</v>
      </c>
      <c r="Q22">
        <v>6517455</v>
      </c>
      <c r="R22">
        <v>18825</v>
      </c>
      <c r="S22">
        <v>1256055</v>
      </c>
      <c r="T22">
        <v>1518</v>
      </c>
      <c r="U22">
        <v>1268248</v>
      </c>
      <c r="V22">
        <v>942</v>
      </c>
      <c r="W22">
        <v>2300598</v>
      </c>
      <c r="X22">
        <v>2568</v>
      </c>
      <c r="Y22">
        <v>1321025</v>
      </c>
      <c r="Z22">
        <v>1897</v>
      </c>
      <c r="AA22">
        <v>924310</v>
      </c>
      <c r="AB22">
        <v>7635</v>
      </c>
      <c r="AC22">
        <v>1798195</v>
      </c>
      <c r="AD22">
        <v>5205</v>
      </c>
      <c r="AE22">
        <v>1326478</v>
      </c>
      <c r="AF22">
        <v>201915</v>
      </c>
      <c r="AG22">
        <v>2660810</v>
      </c>
      <c r="AH22">
        <v>6144</v>
      </c>
      <c r="AI22">
        <v>407846</v>
      </c>
      <c r="AJ22">
        <v>3896</v>
      </c>
      <c r="AK22">
        <v>2540733</v>
      </c>
      <c r="AL22">
        <v>11662</v>
      </c>
      <c r="AM22">
        <v>730961</v>
      </c>
      <c r="AN22">
        <v>5879</v>
      </c>
      <c r="AO22">
        <v>7003764</v>
      </c>
      <c r="AP22">
        <v>25987</v>
      </c>
      <c r="AQ22">
        <v>4256417</v>
      </c>
      <c r="AR22">
        <v>11005</v>
      </c>
      <c r="AS22">
        <v>552398</v>
      </c>
      <c r="AT22">
        <v>4690</v>
      </c>
      <c r="AU22">
        <v>1633448</v>
      </c>
      <c r="AV22">
        <v>5884</v>
      </c>
      <c r="AW22">
        <v>19115517</v>
      </c>
      <c r="AX22">
        <v>3568</v>
      </c>
      <c r="AY22">
        <v>5826983</v>
      </c>
      <c r="AZ22">
        <v>2152</v>
      </c>
      <c r="BA22">
        <v>2303635</v>
      </c>
      <c r="BB22">
        <v>31291</v>
      </c>
      <c r="BC22">
        <v>714421</v>
      </c>
      <c r="BD22">
        <v>9280</v>
      </c>
      <c r="BE22">
        <v>5113849</v>
      </c>
      <c r="BF22">
        <v>40914</v>
      </c>
      <c r="BG22">
        <v>3224722</v>
      </c>
      <c r="BH22">
        <v>2628</v>
      </c>
      <c r="BI22">
        <v>28056634</v>
      </c>
      <c r="BJ22">
        <v>6589</v>
      </c>
      <c r="BK22">
        <v>1972774</v>
      </c>
      <c r="BL22">
        <v>5667</v>
      </c>
      <c r="BM22">
        <v>1552139</v>
      </c>
      <c r="BN22">
        <v>86354</v>
      </c>
      <c r="BO22">
        <v>2742891</v>
      </c>
      <c r="BP22">
        <v>4713</v>
      </c>
      <c r="BQ22">
        <v>2939129</v>
      </c>
      <c r="BR22">
        <v>7826</v>
      </c>
      <c r="BS22">
        <v>33412814</v>
      </c>
      <c r="BT22">
        <v>14299</v>
      </c>
      <c r="BU22">
        <v>2002177</v>
      </c>
      <c r="BV22">
        <v>12207</v>
      </c>
      <c r="BW22">
        <v>2484316</v>
      </c>
      <c r="BX22">
        <v>7666</v>
      </c>
      <c r="BY22">
        <v>2770261</v>
      </c>
      <c r="BZ22">
        <v>1540</v>
      </c>
      <c r="CA22">
        <v>792904</v>
      </c>
      <c r="CB22">
        <v>10578</v>
      </c>
      <c r="CC22">
        <v>1285793</v>
      </c>
      <c r="CD22">
        <v>9212</v>
      </c>
      <c r="CE22" t="s">
        <v>73</v>
      </c>
      <c r="CF22" t="s">
        <v>73</v>
      </c>
      <c r="CG22" t="s">
        <v>73</v>
      </c>
      <c r="CH22" t="s">
        <v>73</v>
      </c>
      <c r="CI22">
        <v>52690</v>
      </c>
      <c r="CJ22">
        <v>15088</v>
      </c>
      <c r="CK22">
        <v>199555</v>
      </c>
      <c r="CL22">
        <v>1475</v>
      </c>
      <c r="CM22">
        <v>175879</v>
      </c>
      <c r="CN22">
        <v>2991</v>
      </c>
      <c r="CO22">
        <v>32150</v>
      </c>
      <c r="CP22">
        <v>199</v>
      </c>
      <c r="CQ22">
        <v>397357</v>
      </c>
      <c r="CR22">
        <v>2600</v>
      </c>
    </row>
    <row r="23" spans="1:96" x14ac:dyDescent="0.4">
      <c r="A23" s="1" t="s">
        <v>34</v>
      </c>
      <c r="B23" s="1" t="s">
        <v>35</v>
      </c>
      <c r="C23">
        <v>622400</v>
      </c>
      <c r="D23">
        <v>141321</v>
      </c>
      <c r="E23">
        <v>57616</v>
      </c>
      <c r="F23">
        <v>27081</v>
      </c>
      <c r="G23">
        <v>3656799</v>
      </c>
      <c r="H23">
        <v>3177</v>
      </c>
      <c r="I23">
        <v>31854006</v>
      </c>
      <c r="J23">
        <v>4376</v>
      </c>
      <c r="K23">
        <v>20386477</v>
      </c>
      <c r="L23">
        <v>3815</v>
      </c>
      <c r="M23">
        <v>12140354</v>
      </c>
      <c r="N23">
        <v>2456</v>
      </c>
      <c r="O23">
        <v>761170</v>
      </c>
      <c r="P23">
        <v>1893</v>
      </c>
      <c r="Q23">
        <v>5860294</v>
      </c>
      <c r="R23">
        <v>17714</v>
      </c>
      <c r="S23">
        <v>1133389</v>
      </c>
      <c r="T23">
        <v>1344</v>
      </c>
      <c r="U23">
        <v>1245328</v>
      </c>
      <c r="V23">
        <v>892</v>
      </c>
      <c r="W23">
        <v>2155911</v>
      </c>
      <c r="X23">
        <v>2393</v>
      </c>
      <c r="Y23">
        <v>1449631</v>
      </c>
      <c r="Z23">
        <v>2010</v>
      </c>
      <c r="AA23">
        <v>897276</v>
      </c>
      <c r="AB23">
        <v>6980</v>
      </c>
      <c r="AC23">
        <v>1589212</v>
      </c>
      <c r="AD23">
        <v>4639</v>
      </c>
      <c r="AE23">
        <v>1290435</v>
      </c>
      <c r="AF23">
        <v>197344</v>
      </c>
      <c r="AG23">
        <v>2480818</v>
      </c>
      <c r="AH23">
        <v>5849</v>
      </c>
      <c r="AI23">
        <v>399583</v>
      </c>
      <c r="AJ23">
        <v>3868</v>
      </c>
      <c r="AK23">
        <v>2283215</v>
      </c>
      <c r="AL23">
        <v>10916</v>
      </c>
      <c r="AM23">
        <v>673231</v>
      </c>
      <c r="AN23">
        <v>5024</v>
      </c>
      <c r="AO23">
        <v>6630289</v>
      </c>
      <c r="AP23">
        <v>24640</v>
      </c>
      <c r="AQ23">
        <v>4101492</v>
      </c>
      <c r="AR23">
        <v>10197</v>
      </c>
      <c r="AS23">
        <v>502056</v>
      </c>
      <c r="AT23">
        <v>4141</v>
      </c>
      <c r="AU23">
        <v>1611006</v>
      </c>
      <c r="AV23">
        <v>5763</v>
      </c>
      <c r="AW23">
        <v>18165012</v>
      </c>
      <c r="AX23">
        <v>3436</v>
      </c>
      <c r="AY23">
        <v>5479938</v>
      </c>
      <c r="AZ23">
        <v>2066</v>
      </c>
      <c r="BA23">
        <v>2210420</v>
      </c>
      <c r="BB23">
        <v>32889</v>
      </c>
      <c r="BC23">
        <v>637916</v>
      </c>
      <c r="BD23">
        <v>8386</v>
      </c>
      <c r="BE23">
        <v>6712574</v>
      </c>
      <c r="BF23">
        <v>37955</v>
      </c>
      <c r="BG23">
        <v>2946875</v>
      </c>
      <c r="BH23">
        <v>2314</v>
      </c>
      <c r="BI23">
        <v>24302796</v>
      </c>
      <c r="BJ23">
        <v>5951</v>
      </c>
      <c r="BK23">
        <v>1954754</v>
      </c>
      <c r="BL23">
        <v>5109</v>
      </c>
      <c r="BM23">
        <v>1403405</v>
      </c>
      <c r="BN23">
        <v>78316</v>
      </c>
      <c r="BO23">
        <v>2517488</v>
      </c>
      <c r="BP23">
        <v>4386</v>
      </c>
      <c r="BQ23">
        <v>2686827</v>
      </c>
      <c r="BR23">
        <v>7285</v>
      </c>
      <c r="BS23">
        <v>35759164</v>
      </c>
      <c r="BT23">
        <v>13815</v>
      </c>
      <c r="BU23">
        <v>1923644</v>
      </c>
      <c r="BV23">
        <v>11413</v>
      </c>
      <c r="BW23">
        <v>2438362</v>
      </c>
      <c r="BX23">
        <v>7551</v>
      </c>
      <c r="BY23">
        <v>2807823</v>
      </c>
      <c r="BZ23">
        <v>1536</v>
      </c>
      <c r="CA23">
        <v>779238</v>
      </c>
      <c r="CB23">
        <v>10540</v>
      </c>
      <c r="CC23">
        <v>1337934</v>
      </c>
      <c r="CD23">
        <v>9723</v>
      </c>
      <c r="CE23" t="s">
        <v>73</v>
      </c>
      <c r="CF23" t="s">
        <v>73</v>
      </c>
      <c r="CG23" t="s">
        <v>73</v>
      </c>
      <c r="CH23" t="s">
        <v>73</v>
      </c>
      <c r="CI23">
        <v>47444</v>
      </c>
      <c r="CJ23">
        <v>13083</v>
      </c>
      <c r="CK23">
        <v>177564</v>
      </c>
      <c r="CL23">
        <v>1384</v>
      </c>
      <c r="CM23">
        <v>167582</v>
      </c>
      <c r="CN23">
        <v>2747</v>
      </c>
      <c r="CO23">
        <v>29086</v>
      </c>
      <c r="CP23">
        <v>171</v>
      </c>
      <c r="CQ23">
        <v>317410</v>
      </c>
      <c r="CR23">
        <v>2339</v>
      </c>
    </row>
    <row r="24" spans="1:96" x14ac:dyDescent="0.4">
      <c r="A24" s="1" t="s">
        <v>36</v>
      </c>
      <c r="B24" s="1" t="s">
        <v>37</v>
      </c>
      <c r="C24">
        <v>624031</v>
      </c>
      <c r="D24">
        <v>142530</v>
      </c>
      <c r="E24">
        <v>63364</v>
      </c>
      <c r="F24">
        <v>28957</v>
      </c>
      <c r="G24">
        <v>3657915</v>
      </c>
      <c r="H24">
        <v>3071</v>
      </c>
      <c r="I24">
        <v>30606626</v>
      </c>
      <c r="J24">
        <v>4312</v>
      </c>
      <c r="K24">
        <v>19491472</v>
      </c>
      <c r="L24">
        <v>3851</v>
      </c>
      <c r="M24">
        <v>11564031</v>
      </c>
      <c r="N24">
        <v>2462</v>
      </c>
      <c r="O24">
        <v>1151869</v>
      </c>
      <c r="P24">
        <v>2437</v>
      </c>
      <c r="Q24">
        <v>6245389</v>
      </c>
      <c r="R24">
        <v>16453</v>
      </c>
      <c r="S24">
        <v>1246676</v>
      </c>
      <c r="T24">
        <v>1449</v>
      </c>
      <c r="U24">
        <v>1299806</v>
      </c>
      <c r="V24">
        <v>901</v>
      </c>
      <c r="W24">
        <v>2104466</v>
      </c>
      <c r="X24">
        <v>2353</v>
      </c>
      <c r="Y24">
        <v>1309891</v>
      </c>
      <c r="Z24">
        <v>1868</v>
      </c>
      <c r="AA24">
        <v>915321</v>
      </c>
      <c r="AB24">
        <v>7219</v>
      </c>
      <c r="AC24">
        <v>1470038</v>
      </c>
      <c r="AD24">
        <v>3912</v>
      </c>
      <c r="AE24">
        <v>1168755</v>
      </c>
      <c r="AF24">
        <v>186052</v>
      </c>
      <c r="AG24">
        <v>2487553</v>
      </c>
      <c r="AH24">
        <v>5861</v>
      </c>
      <c r="AI24">
        <v>437129</v>
      </c>
      <c r="AJ24">
        <v>4170</v>
      </c>
      <c r="AK24">
        <v>2309714</v>
      </c>
      <c r="AL24">
        <v>10573</v>
      </c>
      <c r="AM24">
        <v>686456</v>
      </c>
      <c r="AN24">
        <v>5362</v>
      </c>
      <c r="AO24">
        <v>5859614</v>
      </c>
      <c r="AP24">
        <v>21241</v>
      </c>
      <c r="AQ24">
        <v>4095424</v>
      </c>
      <c r="AR24">
        <v>10741</v>
      </c>
      <c r="AS24">
        <v>504636</v>
      </c>
      <c r="AT24">
        <v>3894</v>
      </c>
      <c r="AU24">
        <v>1963728</v>
      </c>
      <c r="AV24">
        <v>5853</v>
      </c>
      <c r="AW24">
        <v>18811371</v>
      </c>
      <c r="AX24">
        <v>3547</v>
      </c>
      <c r="AY24">
        <v>5761392</v>
      </c>
      <c r="AZ24">
        <v>2163</v>
      </c>
      <c r="BA24">
        <v>2117044</v>
      </c>
      <c r="BB24">
        <v>29868</v>
      </c>
      <c r="BC24">
        <v>627515</v>
      </c>
      <c r="BD24">
        <v>8365</v>
      </c>
      <c r="BE24">
        <v>4750100</v>
      </c>
      <c r="BF24">
        <v>37791</v>
      </c>
      <c r="BG24">
        <v>2887665</v>
      </c>
      <c r="BH24">
        <v>2407</v>
      </c>
      <c r="BI24">
        <v>26470702</v>
      </c>
      <c r="BJ24">
        <v>6498</v>
      </c>
      <c r="BK24">
        <v>1888766</v>
      </c>
      <c r="BL24">
        <v>5627</v>
      </c>
      <c r="BM24">
        <v>1358545</v>
      </c>
      <c r="BN24">
        <v>77074</v>
      </c>
      <c r="BO24">
        <v>2621413</v>
      </c>
      <c r="BP24">
        <v>4581</v>
      </c>
      <c r="BQ24">
        <v>2728294</v>
      </c>
      <c r="BR24">
        <v>7175</v>
      </c>
      <c r="BS24">
        <v>30057825</v>
      </c>
      <c r="BT24">
        <v>13232</v>
      </c>
      <c r="BU24">
        <v>1531554</v>
      </c>
      <c r="BV24">
        <v>10332</v>
      </c>
      <c r="BW24">
        <v>2158282</v>
      </c>
      <c r="BX24">
        <v>7424</v>
      </c>
      <c r="BY24">
        <v>2655691</v>
      </c>
      <c r="BZ24">
        <v>1461</v>
      </c>
      <c r="CA24">
        <v>785766</v>
      </c>
      <c r="CB24">
        <v>10537</v>
      </c>
      <c r="CC24">
        <v>1365331</v>
      </c>
      <c r="CD24">
        <v>9598</v>
      </c>
      <c r="CE24" t="s">
        <v>73</v>
      </c>
      <c r="CF24" t="s">
        <v>73</v>
      </c>
      <c r="CG24" t="s">
        <v>73</v>
      </c>
      <c r="CH24" t="s">
        <v>73</v>
      </c>
      <c r="CI24">
        <v>49440</v>
      </c>
      <c r="CJ24">
        <v>14732</v>
      </c>
      <c r="CK24" t="s">
        <v>73</v>
      </c>
      <c r="CL24" t="s">
        <v>73</v>
      </c>
      <c r="CM24">
        <v>166064</v>
      </c>
      <c r="CN24">
        <v>3072</v>
      </c>
      <c r="CO24">
        <v>31309</v>
      </c>
      <c r="CP24">
        <v>221</v>
      </c>
      <c r="CQ24">
        <v>315543</v>
      </c>
      <c r="CR24">
        <v>2302</v>
      </c>
    </row>
    <row r="25" spans="1:96" x14ac:dyDescent="0.4">
      <c r="A25" s="1" t="s">
        <v>38</v>
      </c>
      <c r="B25" s="1" t="s">
        <v>39</v>
      </c>
      <c r="C25">
        <v>665077</v>
      </c>
      <c r="D25">
        <v>150668</v>
      </c>
      <c r="E25">
        <v>68127</v>
      </c>
      <c r="F25">
        <v>31041</v>
      </c>
      <c r="G25">
        <v>3788105</v>
      </c>
      <c r="H25">
        <v>3278</v>
      </c>
      <c r="I25">
        <v>31549211</v>
      </c>
      <c r="J25">
        <v>4335</v>
      </c>
      <c r="K25">
        <v>19409811</v>
      </c>
      <c r="L25">
        <v>3901</v>
      </c>
      <c r="M25">
        <v>11443150</v>
      </c>
      <c r="N25">
        <v>2460</v>
      </c>
      <c r="O25">
        <v>966733</v>
      </c>
      <c r="P25">
        <v>2187</v>
      </c>
      <c r="Q25">
        <v>6276785</v>
      </c>
      <c r="R25">
        <v>16751</v>
      </c>
      <c r="S25">
        <v>1233355</v>
      </c>
      <c r="T25">
        <v>1441</v>
      </c>
      <c r="U25">
        <v>1294627</v>
      </c>
      <c r="V25">
        <v>919</v>
      </c>
      <c r="W25">
        <v>2212950</v>
      </c>
      <c r="X25">
        <v>2462</v>
      </c>
      <c r="Y25">
        <v>1354050</v>
      </c>
      <c r="Z25">
        <v>1927</v>
      </c>
      <c r="AA25">
        <v>927689</v>
      </c>
      <c r="AB25">
        <v>7435</v>
      </c>
      <c r="AC25">
        <v>1534573</v>
      </c>
      <c r="AD25">
        <v>4809</v>
      </c>
      <c r="AE25">
        <v>1241952</v>
      </c>
      <c r="AF25">
        <v>199620</v>
      </c>
      <c r="AG25">
        <v>2632876</v>
      </c>
      <c r="AH25">
        <v>5802</v>
      </c>
      <c r="AI25">
        <v>424642</v>
      </c>
      <c r="AJ25">
        <v>4183</v>
      </c>
      <c r="AK25">
        <v>2354506</v>
      </c>
      <c r="AL25">
        <v>11123</v>
      </c>
      <c r="AM25">
        <v>702916</v>
      </c>
      <c r="AN25">
        <v>5813</v>
      </c>
      <c r="AO25">
        <v>5873114</v>
      </c>
      <c r="AP25">
        <v>22054</v>
      </c>
      <c r="AQ25">
        <v>4247457</v>
      </c>
      <c r="AR25">
        <v>10884</v>
      </c>
      <c r="AS25">
        <v>540357</v>
      </c>
      <c r="AT25">
        <v>4214</v>
      </c>
      <c r="AU25">
        <v>1989128</v>
      </c>
      <c r="AV25">
        <v>5910</v>
      </c>
      <c r="AW25">
        <v>18511078</v>
      </c>
      <c r="AX25">
        <v>3513</v>
      </c>
      <c r="AY25">
        <v>5900483</v>
      </c>
      <c r="AZ25">
        <v>2216</v>
      </c>
      <c r="BA25">
        <v>2204665</v>
      </c>
      <c r="BB25">
        <v>30840</v>
      </c>
      <c r="BC25">
        <v>697164</v>
      </c>
      <c r="BD25">
        <v>9227</v>
      </c>
      <c r="BE25">
        <v>6941740</v>
      </c>
      <c r="BF25">
        <v>39780</v>
      </c>
      <c r="BG25">
        <v>3245307</v>
      </c>
      <c r="BH25">
        <v>2474</v>
      </c>
      <c r="BI25">
        <v>27090072</v>
      </c>
      <c r="BJ25">
        <v>6584</v>
      </c>
      <c r="BK25">
        <v>1836705</v>
      </c>
      <c r="BL25">
        <v>5327</v>
      </c>
      <c r="BM25">
        <v>1446971</v>
      </c>
      <c r="BN25">
        <v>80470</v>
      </c>
      <c r="BO25">
        <v>2627216</v>
      </c>
      <c r="BP25">
        <v>4775</v>
      </c>
      <c r="BQ25">
        <v>2800224</v>
      </c>
      <c r="BR25">
        <v>7379</v>
      </c>
      <c r="BS25">
        <v>36196634</v>
      </c>
      <c r="BT25">
        <v>13764</v>
      </c>
      <c r="BU25">
        <v>2103411</v>
      </c>
      <c r="BV25">
        <v>12244</v>
      </c>
      <c r="BW25">
        <v>2228972</v>
      </c>
      <c r="BX25">
        <v>7381</v>
      </c>
      <c r="BY25">
        <v>2683502</v>
      </c>
      <c r="BZ25">
        <v>1402</v>
      </c>
      <c r="CA25">
        <v>770666</v>
      </c>
      <c r="CB25">
        <v>10292</v>
      </c>
      <c r="CC25">
        <v>1327984</v>
      </c>
      <c r="CD25">
        <v>9669</v>
      </c>
      <c r="CE25" t="s">
        <v>73</v>
      </c>
      <c r="CF25" t="s">
        <v>73</v>
      </c>
      <c r="CG25" t="s">
        <v>73</v>
      </c>
      <c r="CH25" t="s">
        <v>73</v>
      </c>
      <c r="CI25">
        <v>48687</v>
      </c>
      <c r="CJ25">
        <v>15154</v>
      </c>
      <c r="CK25" t="s">
        <v>73</v>
      </c>
      <c r="CL25" t="s">
        <v>73</v>
      </c>
      <c r="CM25">
        <v>169886</v>
      </c>
      <c r="CN25">
        <v>3032</v>
      </c>
      <c r="CO25">
        <v>31819</v>
      </c>
      <c r="CP25">
        <v>206</v>
      </c>
      <c r="CQ25">
        <v>318172</v>
      </c>
      <c r="CR25">
        <v>2519</v>
      </c>
    </row>
    <row r="26" spans="1:96" x14ac:dyDescent="0.4">
      <c r="A26" s="1" t="s">
        <v>40</v>
      </c>
      <c r="B26" s="1" t="s">
        <v>41</v>
      </c>
      <c r="C26">
        <v>650954</v>
      </c>
      <c r="D26">
        <v>149384</v>
      </c>
      <c r="E26">
        <v>72125</v>
      </c>
      <c r="F26">
        <v>32969</v>
      </c>
      <c r="G26">
        <v>3816221</v>
      </c>
      <c r="H26">
        <v>3259</v>
      </c>
      <c r="I26">
        <v>31053844</v>
      </c>
      <c r="J26">
        <v>4358</v>
      </c>
      <c r="K26">
        <v>20305496</v>
      </c>
      <c r="L26">
        <v>3989</v>
      </c>
      <c r="M26">
        <v>12063304</v>
      </c>
      <c r="N26">
        <v>2554</v>
      </c>
      <c r="O26">
        <v>1104008</v>
      </c>
      <c r="P26">
        <v>2607</v>
      </c>
      <c r="Q26">
        <v>6843416</v>
      </c>
      <c r="R26">
        <v>17814</v>
      </c>
      <c r="S26">
        <v>1272900</v>
      </c>
      <c r="T26">
        <v>1583</v>
      </c>
      <c r="U26">
        <v>1404213</v>
      </c>
      <c r="V26">
        <v>951</v>
      </c>
      <c r="W26">
        <v>2276040</v>
      </c>
      <c r="X26">
        <v>2488</v>
      </c>
      <c r="Y26">
        <v>1328756</v>
      </c>
      <c r="Z26">
        <v>1932</v>
      </c>
      <c r="AA26">
        <v>938437</v>
      </c>
      <c r="AB26">
        <v>7860</v>
      </c>
      <c r="AC26">
        <v>1824879</v>
      </c>
      <c r="AD26">
        <v>4834</v>
      </c>
      <c r="AE26">
        <v>1242639</v>
      </c>
      <c r="AF26">
        <v>200997</v>
      </c>
      <c r="AG26">
        <v>2621878</v>
      </c>
      <c r="AH26">
        <v>5717</v>
      </c>
      <c r="AI26">
        <v>454034</v>
      </c>
      <c r="AJ26">
        <v>4490</v>
      </c>
      <c r="AK26">
        <v>2490939</v>
      </c>
      <c r="AL26">
        <v>12624</v>
      </c>
      <c r="AM26">
        <v>700355</v>
      </c>
      <c r="AN26">
        <v>5886</v>
      </c>
      <c r="AO26">
        <v>5872899</v>
      </c>
      <c r="AP26">
        <v>22283</v>
      </c>
      <c r="AQ26">
        <v>4143334</v>
      </c>
      <c r="AR26">
        <v>11744</v>
      </c>
      <c r="AS26">
        <v>546462</v>
      </c>
      <c r="AT26">
        <v>4024</v>
      </c>
      <c r="AU26">
        <v>2030695</v>
      </c>
      <c r="AV26">
        <v>6876</v>
      </c>
      <c r="AW26">
        <v>19706980</v>
      </c>
      <c r="AX26">
        <v>3709</v>
      </c>
      <c r="AY26">
        <v>5836857</v>
      </c>
      <c r="AZ26">
        <v>2222</v>
      </c>
      <c r="BA26">
        <v>2364319</v>
      </c>
      <c r="BB26">
        <v>33051</v>
      </c>
      <c r="BC26">
        <v>703236</v>
      </c>
      <c r="BD26">
        <v>9771</v>
      </c>
      <c r="BE26">
        <v>5837164</v>
      </c>
      <c r="BF26">
        <v>41343</v>
      </c>
      <c r="BG26">
        <v>3291864</v>
      </c>
      <c r="BH26">
        <v>2580</v>
      </c>
      <c r="BI26">
        <v>27485974</v>
      </c>
      <c r="BJ26">
        <v>6734</v>
      </c>
      <c r="BK26">
        <v>1846168</v>
      </c>
      <c r="BL26">
        <v>5840</v>
      </c>
      <c r="BM26">
        <v>1417105</v>
      </c>
      <c r="BN26">
        <v>84554</v>
      </c>
      <c r="BO26">
        <v>2603083</v>
      </c>
      <c r="BP26">
        <v>4777</v>
      </c>
      <c r="BQ26">
        <v>2783024</v>
      </c>
      <c r="BR26">
        <v>7819</v>
      </c>
      <c r="BS26">
        <v>34166052</v>
      </c>
      <c r="BT26">
        <v>14230</v>
      </c>
      <c r="BU26">
        <v>1839866</v>
      </c>
      <c r="BV26">
        <v>11812</v>
      </c>
      <c r="BW26">
        <v>2283566</v>
      </c>
      <c r="BX26">
        <v>7567</v>
      </c>
      <c r="BY26">
        <v>2707282</v>
      </c>
      <c r="BZ26">
        <v>1499</v>
      </c>
      <c r="CA26">
        <v>775267</v>
      </c>
      <c r="CB26">
        <v>10740</v>
      </c>
      <c r="CC26">
        <v>1392004</v>
      </c>
      <c r="CD26">
        <v>10106</v>
      </c>
      <c r="CE26" t="s">
        <v>73</v>
      </c>
      <c r="CF26" t="s">
        <v>73</v>
      </c>
      <c r="CG26" t="s">
        <v>73</v>
      </c>
      <c r="CH26" t="s">
        <v>73</v>
      </c>
      <c r="CI26">
        <v>47018</v>
      </c>
      <c r="CJ26">
        <v>14839</v>
      </c>
      <c r="CK26" t="s">
        <v>73</v>
      </c>
      <c r="CL26" t="s">
        <v>73</v>
      </c>
      <c r="CM26">
        <v>161074</v>
      </c>
      <c r="CN26">
        <v>2886</v>
      </c>
      <c r="CO26">
        <v>30789</v>
      </c>
      <c r="CP26">
        <v>216</v>
      </c>
      <c r="CQ26">
        <v>306881</v>
      </c>
      <c r="CR26">
        <v>2413</v>
      </c>
    </row>
    <row r="27" spans="1:96" x14ac:dyDescent="0.4">
      <c r="A27" s="1" t="s">
        <v>42</v>
      </c>
      <c r="B27" s="1" t="s">
        <v>43</v>
      </c>
      <c r="C27">
        <v>617592</v>
      </c>
      <c r="D27">
        <v>143418</v>
      </c>
      <c r="E27">
        <v>65960</v>
      </c>
      <c r="F27">
        <v>30587</v>
      </c>
      <c r="G27">
        <v>3552790</v>
      </c>
      <c r="H27">
        <v>3108</v>
      </c>
      <c r="I27">
        <v>29453502</v>
      </c>
      <c r="J27">
        <v>4094</v>
      </c>
      <c r="K27">
        <v>18107765</v>
      </c>
      <c r="L27">
        <v>3461</v>
      </c>
      <c r="M27">
        <v>11797398</v>
      </c>
      <c r="N27">
        <v>2414</v>
      </c>
      <c r="O27">
        <v>1163769</v>
      </c>
      <c r="P27">
        <v>2387</v>
      </c>
      <c r="Q27">
        <v>5929464</v>
      </c>
      <c r="R27">
        <v>16761</v>
      </c>
      <c r="S27">
        <v>1206595</v>
      </c>
      <c r="T27">
        <v>1437</v>
      </c>
      <c r="U27">
        <v>1315204</v>
      </c>
      <c r="V27">
        <v>889</v>
      </c>
      <c r="W27">
        <v>2154455</v>
      </c>
      <c r="X27">
        <v>2377</v>
      </c>
      <c r="Y27">
        <v>1464882</v>
      </c>
      <c r="Z27">
        <v>1996</v>
      </c>
      <c r="AA27">
        <v>833919</v>
      </c>
      <c r="AB27">
        <v>6961</v>
      </c>
      <c r="AC27">
        <v>1461038</v>
      </c>
      <c r="AD27">
        <v>4034</v>
      </c>
      <c r="AE27">
        <v>1209745</v>
      </c>
      <c r="AF27">
        <v>198442</v>
      </c>
      <c r="AG27">
        <v>2457681</v>
      </c>
      <c r="AH27">
        <v>5428</v>
      </c>
      <c r="AI27">
        <v>434441</v>
      </c>
      <c r="AJ27">
        <v>4258</v>
      </c>
      <c r="AK27">
        <v>2140603</v>
      </c>
      <c r="AL27">
        <v>11227</v>
      </c>
      <c r="AM27">
        <v>647192</v>
      </c>
      <c r="AN27">
        <v>5339</v>
      </c>
      <c r="AO27">
        <v>5687981</v>
      </c>
      <c r="AP27">
        <v>20906</v>
      </c>
      <c r="AQ27">
        <v>3983741</v>
      </c>
      <c r="AR27">
        <v>10379</v>
      </c>
      <c r="AS27">
        <v>480506</v>
      </c>
      <c r="AT27">
        <v>3621</v>
      </c>
      <c r="AU27">
        <v>1895623</v>
      </c>
      <c r="AV27">
        <v>6019</v>
      </c>
      <c r="AW27">
        <v>18031781</v>
      </c>
      <c r="AX27">
        <v>3387</v>
      </c>
      <c r="AY27">
        <v>5692863</v>
      </c>
      <c r="AZ27">
        <v>2118</v>
      </c>
      <c r="BA27">
        <v>2146567</v>
      </c>
      <c r="BB27">
        <v>30280</v>
      </c>
      <c r="BC27">
        <v>640909</v>
      </c>
      <c r="BD27">
        <v>8649</v>
      </c>
      <c r="BE27">
        <v>6062964</v>
      </c>
      <c r="BF27">
        <v>37279</v>
      </c>
      <c r="BG27">
        <v>3037280</v>
      </c>
      <c r="BH27">
        <v>2397</v>
      </c>
      <c r="BI27">
        <v>25198662</v>
      </c>
      <c r="BJ27">
        <v>6006</v>
      </c>
      <c r="BK27">
        <v>1653670</v>
      </c>
      <c r="BL27">
        <v>5027</v>
      </c>
      <c r="BM27">
        <v>1327692</v>
      </c>
      <c r="BN27">
        <v>73241</v>
      </c>
      <c r="BO27">
        <v>2477488</v>
      </c>
      <c r="BP27">
        <v>4484</v>
      </c>
      <c r="BQ27">
        <v>2592266</v>
      </c>
      <c r="BR27">
        <v>7007</v>
      </c>
      <c r="BS27">
        <v>34361933</v>
      </c>
      <c r="BT27">
        <v>13326</v>
      </c>
      <c r="BU27">
        <v>1951063</v>
      </c>
      <c r="BV27">
        <v>11482</v>
      </c>
      <c r="BW27">
        <v>2157958</v>
      </c>
      <c r="BX27">
        <v>8876</v>
      </c>
      <c r="BY27">
        <v>2500443</v>
      </c>
      <c r="BZ27">
        <v>1355</v>
      </c>
      <c r="CA27">
        <v>756193</v>
      </c>
      <c r="CB27">
        <v>10847</v>
      </c>
      <c r="CC27">
        <v>1439749</v>
      </c>
      <c r="CD27">
        <v>11133</v>
      </c>
      <c r="CE27" t="s">
        <v>73</v>
      </c>
      <c r="CF27" t="s">
        <v>73</v>
      </c>
      <c r="CG27" t="s">
        <v>73</v>
      </c>
      <c r="CH27" t="s">
        <v>73</v>
      </c>
      <c r="CI27">
        <v>41965</v>
      </c>
      <c r="CJ27">
        <v>11769</v>
      </c>
      <c r="CK27" t="s">
        <v>73</v>
      </c>
      <c r="CL27" t="s">
        <v>73</v>
      </c>
      <c r="CM27">
        <v>155597</v>
      </c>
      <c r="CN27">
        <v>2959</v>
      </c>
      <c r="CO27">
        <v>27767</v>
      </c>
      <c r="CP27">
        <v>195</v>
      </c>
      <c r="CQ27">
        <v>343318</v>
      </c>
      <c r="CR27">
        <v>2312</v>
      </c>
    </row>
    <row r="28" spans="1:96" x14ac:dyDescent="0.4">
      <c r="A28" s="1" t="s">
        <v>44</v>
      </c>
      <c r="B28" s="1" t="s">
        <v>45</v>
      </c>
      <c r="C28">
        <v>603542</v>
      </c>
      <c r="D28">
        <v>138484</v>
      </c>
      <c r="E28">
        <v>67108</v>
      </c>
      <c r="F28">
        <v>31426</v>
      </c>
      <c r="G28">
        <v>3557575</v>
      </c>
      <c r="H28">
        <v>3081</v>
      </c>
      <c r="I28">
        <v>29747371</v>
      </c>
      <c r="J28">
        <v>4167</v>
      </c>
      <c r="K28">
        <v>18089393</v>
      </c>
      <c r="L28">
        <v>3499</v>
      </c>
      <c r="M28">
        <v>11686891</v>
      </c>
      <c r="N28">
        <v>2440</v>
      </c>
      <c r="O28">
        <v>1048377</v>
      </c>
      <c r="P28">
        <v>2192</v>
      </c>
      <c r="Q28">
        <v>5843400</v>
      </c>
      <c r="R28">
        <v>16053</v>
      </c>
      <c r="S28">
        <v>1176132</v>
      </c>
      <c r="T28">
        <v>1389</v>
      </c>
      <c r="U28">
        <v>1224477</v>
      </c>
      <c r="V28">
        <v>881</v>
      </c>
      <c r="W28">
        <v>2060840</v>
      </c>
      <c r="X28">
        <v>2310</v>
      </c>
      <c r="Y28">
        <v>1436866</v>
      </c>
      <c r="Z28">
        <v>1977</v>
      </c>
      <c r="AA28">
        <v>808174</v>
      </c>
      <c r="AB28">
        <v>6733</v>
      </c>
      <c r="AC28">
        <v>1628266</v>
      </c>
      <c r="AD28">
        <v>4530</v>
      </c>
      <c r="AE28">
        <v>1173088</v>
      </c>
      <c r="AF28">
        <v>191116</v>
      </c>
      <c r="AG28">
        <v>2404106</v>
      </c>
      <c r="AH28">
        <v>5561</v>
      </c>
      <c r="AI28">
        <v>395440</v>
      </c>
      <c r="AJ28">
        <v>3943</v>
      </c>
      <c r="AK28">
        <v>2146336</v>
      </c>
      <c r="AL28">
        <v>10973</v>
      </c>
      <c r="AM28">
        <v>632497</v>
      </c>
      <c r="AN28">
        <v>5047</v>
      </c>
      <c r="AO28">
        <v>5528574</v>
      </c>
      <c r="AP28">
        <v>19928</v>
      </c>
      <c r="AQ28">
        <v>4082642</v>
      </c>
      <c r="AR28">
        <v>10405</v>
      </c>
      <c r="AS28">
        <v>481280</v>
      </c>
      <c r="AT28">
        <v>3874</v>
      </c>
      <c r="AU28">
        <v>1860315</v>
      </c>
      <c r="AV28">
        <v>5596</v>
      </c>
      <c r="AW28">
        <v>18099075</v>
      </c>
      <c r="AX28">
        <v>3409</v>
      </c>
      <c r="AY28">
        <v>5513447</v>
      </c>
      <c r="AZ28">
        <v>2136</v>
      </c>
      <c r="BA28">
        <v>2029878</v>
      </c>
      <c r="BB28">
        <v>29925</v>
      </c>
      <c r="BC28">
        <v>614172</v>
      </c>
      <c r="BD28">
        <v>8181</v>
      </c>
      <c r="BE28">
        <v>5559491</v>
      </c>
      <c r="BF28">
        <v>36330</v>
      </c>
      <c r="BG28">
        <v>3037052</v>
      </c>
      <c r="BH28">
        <v>2238</v>
      </c>
      <c r="BI28">
        <v>24609179</v>
      </c>
      <c r="BJ28">
        <v>6007</v>
      </c>
      <c r="BK28">
        <v>1562745</v>
      </c>
      <c r="BL28">
        <v>4741</v>
      </c>
      <c r="BM28">
        <v>1298346</v>
      </c>
      <c r="BN28">
        <v>72042</v>
      </c>
      <c r="BO28">
        <v>2432411</v>
      </c>
      <c r="BP28">
        <v>4200</v>
      </c>
      <c r="BQ28">
        <v>2466467</v>
      </c>
      <c r="BR28">
        <v>6599</v>
      </c>
      <c r="BS28">
        <v>32051518</v>
      </c>
      <c r="BT28">
        <v>12702</v>
      </c>
      <c r="BU28">
        <v>1620271</v>
      </c>
      <c r="BV28">
        <v>9819</v>
      </c>
      <c r="BW28">
        <v>2088023</v>
      </c>
      <c r="BX28">
        <v>7202</v>
      </c>
      <c r="BY28">
        <v>2498347</v>
      </c>
      <c r="BZ28">
        <v>1343</v>
      </c>
      <c r="CA28">
        <v>737977</v>
      </c>
      <c r="CB28">
        <v>10462</v>
      </c>
      <c r="CC28">
        <v>1265129</v>
      </c>
      <c r="CD28">
        <v>9572</v>
      </c>
      <c r="CE28" t="s">
        <v>73</v>
      </c>
      <c r="CF28" t="s">
        <v>73</v>
      </c>
      <c r="CG28" t="s">
        <v>73</v>
      </c>
      <c r="CH28" t="s">
        <v>73</v>
      </c>
      <c r="CI28">
        <v>42667</v>
      </c>
      <c r="CJ28">
        <v>12072</v>
      </c>
      <c r="CK28" t="s">
        <v>73</v>
      </c>
      <c r="CL28" t="s">
        <v>73</v>
      </c>
      <c r="CM28">
        <v>151536</v>
      </c>
      <c r="CN28">
        <v>2715</v>
      </c>
      <c r="CO28">
        <v>25766</v>
      </c>
      <c r="CP28">
        <v>178</v>
      </c>
      <c r="CQ28">
        <v>310999</v>
      </c>
      <c r="CR28">
        <v>2204</v>
      </c>
    </row>
    <row r="29" spans="1:96" x14ac:dyDescent="0.4">
      <c r="A29" s="1" t="s">
        <v>46</v>
      </c>
      <c r="B29" s="1" t="s">
        <v>47</v>
      </c>
      <c r="C29">
        <v>682019</v>
      </c>
      <c r="D29">
        <v>156584</v>
      </c>
      <c r="E29">
        <v>73905</v>
      </c>
      <c r="F29">
        <v>34508</v>
      </c>
      <c r="G29">
        <v>3825241</v>
      </c>
      <c r="H29">
        <v>3343</v>
      </c>
      <c r="I29">
        <v>32638584</v>
      </c>
      <c r="J29">
        <v>4651</v>
      </c>
      <c r="K29">
        <v>20657409</v>
      </c>
      <c r="L29">
        <v>4114</v>
      </c>
      <c r="M29">
        <v>12498568</v>
      </c>
      <c r="N29">
        <v>2746</v>
      </c>
      <c r="O29">
        <v>1080953</v>
      </c>
      <c r="P29">
        <v>2325</v>
      </c>
      <c r="Q29">
        <v>6347072</v>
      </c>
      <c r="R29">
        <v>17906</v>
      </c>
      <c r="S29">
        <v>1261814</v>
      </c>
      <c r="T29">
        <v>1527</v>
      </c>
      <c r="U29">
        <v>1286224</v>
      </c>
      <c r="V29">
        <v>913</v>
      </c>
      <c r="W29">
        <v>2312209</v>
      </c>
      <c r="X29">
        <v>2541</v>
      </c>
      <c r="Y29">
        <v>1532559</v>
      </c>
      <c r="Z29">
        <v>2085</v>
      </c>
      <c r="AA29">
        <v>954883</v>
      </c>
      <c r="AB29">
        <v>7665</v>
      </c>
      <c r="AC29">
        <v>1603536</v>
      </c>
      <c r="AD29">
        <v>4367</v>
      </c>
      <c r="AE29">
        <v>1298228</v>
      </c>
      <c r="AF29">
        <v>209454</v>
      </c>
      <c r="AG29">
        <v>2703454</v>
      </c>
      <c r="AH29">
        <v>6129</v>
      </c>
      <c r="AI29">
        <v>437327</v>
      </c>
      <c r="AJ29">
        <v>4402</v>
      </c>
      <c r="AK29">
        <v>2373289</v>
      </c>
      <c r="AL29">
        <v>12035</v>
      </c>
      <c r="AM29">
        <v>709342</v>
      </c>
      <c r="AN29">
        <v>5223</v>
      </c>
      <c r="AO29">
        <v>6008007</v>
      </c>
      <c r="AP29">
        <v>21724</v>
      </c>
      <c r="AQ29">
        <v>4448233</v>
      </c>
      <c r="AR29">
        <v>11731</v>
      </c>
      <c r="AS29">
        <v>540348</v>
      </c>
      <c r="AT29">
        <v>4190</v>
      </c>
      <c r="AU29">
        <v>2113515</v>
      </c>
      <c r="AV29">
        <v>6303</v>
      </c>
      <c r="AW29">
        <v>18879756</v>
      </c>
      <c r="AX29">
        <v>3566</v>
      </c>
      <c r="AY29">
        <v>6016363</v>
      </c>
      <c r="AZ29">
        <v>2277</v>
      </c>
      <c r="BA29">
        <v>2239670</v>
      </c>
      <c r="BB29">
        <v>32219</v>
      </c>
      <c r="BC29">
        <v>691626</v>
      </c>
      <c r="BD29">
        <v>9435</v>
      </c>
      <c r="BE29">
        <v>7888947</v>
      </c>
      <c r="BF29">
        <v>43524</v>
      </c>
      <c r="BG29">
        <v>3443282</v>
      </c>
      <c r="BH29">
        <v>2489</v>
      </c>
      <c r="BI29">
        <v>26466140</v>
      </c>
      <c r="BJ29">
        <v>6635</v>
      </c>
      <c r="BK29">
        <v>1768906</v>
      </c>
      <c r="BL29">
        <v>5159</v>
      </c>
      <c r="BM29">
        <v>1468841</v>
      </c>
      <c r="BN29">
        <v>82811</v>
      </c>
      <c r="BO29">
        <v>2714035</v>
      </c>
      <c r="BP29">
        <v>4705</v>
      </c>
      <c r="BQ29">
        <v>2775509</v>
      </c>
      <c r="BR29">
        <v>8161</v>
      </c>
      <c r="BS29">
        <v>33765662</v>
      </c>
      <c r="BT29">
        <v>14018</v>
      </c>
      <c r="BU29">
        <v>2084119</v>
      </c>
      <c r="BV29">
        <v>12219</v>
      </c>
      <c r="BW29">
        <v>2260926</v>
      </c>
      <c r="BX29">
        <v>8092</v>
      </c>
      <c r="BY29">
        <v>2910085</v>
      </c>
      <c r="BZ29">
        <v>1473</v>
      </c>
      <c r="CA29">
        <v>809130</v>
      </c>
      <c r="CB29">
        <v>11204</v>
      </c>
      <c r="CC29">
        <v>1527411</v>
      </c>
      <c r="CD29">
        <v>11485</v>
      </c>
      <c r="CE29" t="s">
        <v>73</v>
      </c>
      <c r="CF29" t="s">
        <v>73</v>
      </c>
      <c r="CG29" t="s">
        <v>73</v>
      </c>
      <c r="CH29" t="s">
        <v>73</v>
      </c>
      <c r="CI29">
        <v>44187</v>
      </c>
      <c r="CJ29">
        <v>11880</v>
      </c>
      <c r="CK29" t="s">
        <v>73</v>
      </c>
      <c r="CL29" t="s">
        <v>73</v>
      </c>
      <c r="CM29">
        <v>168698</v>
      </c>
      <c r="CN29">
        <v>3114</v>
      </c>
      <c r="CO29">
        <v>25306</v>
      </c>
      <c r="CP29">
        <v>185</v>
      </c>
      <c r="CQ29">
        <v>324844</v>
      </c>
      <c r="CR29">
        <v>2415</v>
      </c>
    </row>
    <row r="30" spans="1:96" x14ac:dyDescent="0.4">
      <c r="A30" s="1" t="s">
        <v>48</v>
      </c>
      <c r="B30" s="1" t="s">
        <v>49</v>
      </c>
      <c r="C30">
        <v>715798</v>
      </c>
      <c r="D30">
        <v>167212</v>
      </c>
      <c r="E30">
        <v>80163</v>
      </c>
      <c r="F30">
        <v>37453</v>
      </c>
      <c r="G30">
        <v>4061541</v>
      </c>
      <c r="H30">
        <v>3532</v>
      </c>
      <c r="I30">
        <v>34577258</v>
      </c>
      <c r="J30">
        <v>4923</v>
      </c>
      <c r="K30">
        <v>23263903</v>
      </c>
      <c r="L30">
        <v>4309</v>
      </c>
      <c r="M30">
        <v>15766031</v>
      </c>
      <c r="N30">
        <v>3040</v>
      </c>
      <c r="O30">
        <v>1158382</v>
      </c>
      <c r="P30">
        <v>2441</v>
      </c>
      <c r="Q30">
        <v>6708575</v>
      </c>
      <c r="R30">
        <v>19270</v>
      </c>
      <c r="S30">
        <v>1279754</v>
      </c>
      <c r="T30">
        <v>1542</v>
      </c>
      <c r="U30">
        <v>1319750</v>
      </c>
      <c r="V30">
        <v>957</v>
      </c>
      <c r="W30">
        <v>2515632</v>
      </c>
      <c r="X30">
        <v>2658</v>
      </c>
      <c r="Y30">
        <v>1678372</v>
      </c>
      <c r="Z30">
        <v>2304</v>
      </c>
      <c r="AA30">
        <v>1006554</v>
      </c>
      <c r="AB30">
        <v>8167</v>
      </c>
      <c r="AC30">
        <v>1765930</v>
      </c>
      <c r="AD30">
        <v>4911</v>
      </c>
      <c r="AE30">
        <v>1387326</v>
      </c>
      <c r="AF30">
        <v>225050</v>
      </c>
      <c r="AG30">
        <v>2839953</v>
      </c>
      <c r="AH30">
        <v>6520</v>
      </c>
      <c r="AI30">
        <v>471785</v>
      </c>
      <c r="AJ30">
        <v>4812</v>
      </c>
      <c r="AK30">
        <v>2478122</v>
      </c>
      <c r="AL30">
        <v>12911</v>
      </c>
      <c r="AM30">
        <v>739261</v>
      </c>
      <c r="AN30">
        <v>6422</v>
      </c>
      <c r="AO30">
        <v>6479959</v>
      </c>
      <c r="AP30">
        <v>23246</v>
      </c>
      <c r="AQ30">
        <v>4588657</v>
      </c>
      <c r="AR30">
        <v>11958</v>
      </c>
      <c r="AS30">
        <v>564779</v>
      </c>
      <c r="AT30">
        <v>4215</v>
      </c>
      <c r="AU30">
        <v>2213826</v>
      </c>
      <c r="AV30">
        <v>6737</v>
      </c>
      <c r="AW30">
        <v>20295214</v>
      </c>
      <c r="AX30">
        <v>3841</v>
      </c>
      <c r="AY30">
        <v>6522396</v>
      </c>
      <c r="AZ30">
        <v>2433</v>
      </c>
      <c r="BA30">
        <v>2468539</v>
      </c>
      <c r="BB30">
        <v>34799</v>
      </c>
      <c r="BC30">
        <v>689576</v>
      </c>
      <c r="BD30">
        <v>9859</v>
      </c>
      <c r="BE30">
        <v>7184809</v>
      </c>
      <c r="BF30">
        <v>46476</v>
      </c>
      <c r="BG30">
        <v>3509233</v>
      </c>
      <c r="BH30">
        <v>2573</v>
      </c>
      <c r="BI30">
        <v>28734258</v>
      </c>
      <c r="BJ30">
        <v>7057</v>
      </c>
      <c r="BK30">
        <v>1697849</v>
      </c>
      <c r="BL30">
        <v>5626</v>
      </c>
      <c r="BM30">
        <v>1521872</v>
      </c>
      <c r="BN30">
        <v>82886</v>
      </c>
      <c r="BO30">
        <v>2940935</v>
      </c>
      <c r="BP30">
        <v>5269</v>
      </c>
      <c r="BQ30">
        <v>2912566</v>
      </c>
      <c r="BR30">
        <v>7926</v>
      </c>
      <c r="BS30">
        <v>36476359</v>
      </c>
      <c r="BT30">
        <v>15113</v>
      </c>
      <c r="BU30">
        <v>2019853</v>
      </c>
      <c r="BV30">
        <v>12103</v>
      </c>
      <c r="BW30">
        <v>2429812</v>
      </c>
      <c r="BX30">
        <v>8549</v>
      </c>
      <c r="BY30">
        <v>2771091</v>
      </c>
      <c r="BZ30">
        <v>1524</v>
      </c>
      <c r="CA30">
        <v>898345</v>
      </c>
      <c r="CB30">
        <v>12749</v>
      </c>
      <c r="CC30">
        <v>1666655</v>
      </c>
      <c r="CD30">
        <v>12406</v>
      </c>
      <c r="CE30" t="s">
        <v>73</v>
      </c>
      <c r="CF30" t="s">
        <v>73</v>
      </c>
      <c r="CG30" t="s">
        <v>73</v>
      </c>
      <c r="CH30" t="s">
        <v>73</v>
      </c>
      <c r="CI30">
        <v>43823</v>
      </c>
      <c r="CJ30">
        <v>12190</v>
      </c>
      <c r="CK30" t="s">
        <v>73</v>
      </c>
      <c r="CL30" t="s">
        <v>73</v>
      </c>
      <c r="CM30">
        <v>160535</v>
      </c>
      <c r="CN30">
        <v>3186</v>
      </c>
      <c r="CO30">
        <v>30764</v>
      </c>
      <c r="CP30">
        <v>194</v>
      </c>
      <c r="CQ30">
        <v>324420</v>
      </c>
      <c r="CR30">
        <v>2588</v>
      </c>
    </row>
    <row r="31" spans="1:96" x14ac:dyDescent="0.4">
      <c r="A31" s="1" t="s">
        <v>50</v>
      </c>
      <c r="B31" s="1" t="s">
        <v>51</v>
      </c>
      <c r="C31">
        <v>509256</v>
      </c>
      <c r="D31">
        <v>115188</v>
      </c>
      <c r="E31">
        <v>54975</v>
      </c>
      <c r="F31">
        <v>25977</v>
      </c>
      <c r="G31">
        <v>2867152</v>
      </c>
      <c r="H31">
        <v>2489</v>
      </c>
      <c r="I31">
        <v>25660941</v>
      </c>
      <c r="J31">
        <v>3597</v>
      </c>
      <c r="K31">
        <v>16859561</v>
      </c>
      <c r="L31">
        <v>2949</v>
      </c>
      <c r="M31">
        <v>10113296</v>
      </c>
      <c r="N31">
        <v>2261</v>
      </c>
      <c r="O31">
        <v>887487</v>
      </c>
      <c r="P31">
        <v>1781</v>
      </c>
      <c r="Q31">
        <v>4322715</v>
      </c>
      <c r="R31">
        <v>12509</v>
      </c>
      <c r="S31">
        <v>935793</v>
      </c>
      <c r="T31">
        <v>1109</v>
      </c>
      <c r="U31">
        <v>1055829</v>
      </c>
      <c r="V31">
        <v>782</v>
      </c>
      <c r="W31">
        <v>1784184</v>
      </c>
      <c r="X31">
        <v>1848</v>
      </c>
      <c r="Y31">
        <v>1215935</v>
      </c>
      <c r="Z31">
        <v>1702</v>
      </c>
      <c r="AA31">
        <v>726382</v>
      </c>
      <c r="AB31">
        <v>5707</v>
      </c>
      <c r="AC31">
        <v>1245383</v>
      </c>
      <c r="AD31">
        <v>2153</v>
      </c>
      <c r="AE31">
        <v>966491</v>
      </c>
      <c r="AF31">
        <v>157604</v>
      </c>
      <c r="AG31">
        <v>2049796</v>
      </c>
      <c r="AH31">
        <v>4678</v>
      </c>
      <c r="AI31">
        <v>334529</v>
      </c>
      <c r="AJ31">
        <v>3343</v>
      </c>
      <c r="AK31">
        <v>1810698</v>
      </c>
      <c r="AL31">
        <v>9208</v>
      </c>
      <c r="AM31">
        <v>504703</v>
      </c>
      <c r="AN31">
        <v>4094</v>
      </c>
      <c r="AO31">
        <v>4562588</v>
      </c>
      <c r="AP31">
        <v>17368</v>
      </c>
      <c r="AQ31">
        <v>3714444</v>
      </c>
      <c r="AR31">
        <v>9322</v>
      </c>
      <c r="AS31">
        <v>441819</v>
      </c>
      <c r="AT31">
        <v>2969</v>
      </c>
      <c r="AU31">
        <v>1714033</v>
      </c>
      <c r="AV31">
        <v>4871</v>
      </c>
      <c r="AW31">
        <v>15764466</v>
      </c>
      <c r="AX31">
        <v>2963</v>
      </c>
      <c r="AY31">
        <v>4741691</v>
      </c>
      <c r="AZ31">
        <v>1846</v>
      </c>
      <c r="BA31">
        <v>1840837</v>
      </c>
      <c r="BB31">
        <v>26485</v>
      </c>
      <c r="BC31">
        <v>491120</v>
      </c>
      <c r="BD31">
        <v>6986</v>
      </c>
      <c r="BE31">
        <v>5351752</v>
      </c>
      <c r="BF31">
        <v>30771</v>
      </c>
      <c r="BG31">
        <v>2522414</v>
      </c>
      <c r="BH31">
        <v>1755</v>
      </c>
      <c r="BI31">
        <v>20788392</v>
      </c>
      <c r="BJ31">
        <v>5080</v>
      </c>
      <c r="BK31">
        <v>1433782</v>
      </c>
      <c r="BL31">
        <v>4043</v>
      </c>
      <c r="BM31">
        <v>1105775</v>
      </c>
      <c r="BN31">
        <v>59219</v>
      </c>
      <c r="BO31">
        <v>2043928</v>
      </c>
      <c r="BP31">
        <v>3856</v>
      </c>
      <c r="BQ31">
        <v>2015082</v>
      </c>
      <c r="BR31">
        <v>5513</v>
      </c>
      <c r="BS31">
        <v>30649752</v>
      </c>
      <c r="BT31">
        <v>11276</v>
      </c>
      <c r="BU31">
        <v>1632020</v>
      </c>
      <c r="BV31">
        <v>9303</v>
      </c>
      <c r="BW31">
        <v>1773928</v>
      </c>
      <c r="BX31">
        <v>6287</v>
      </c>
      <c r="BY31">
        <v>2070114</v>
      </c>
      <c r="BZ31">
        <v>1178</v>
      </c>
      <c r="CA31">
        <v>649118</v>
      </c>
      <c r="CB31">
        <v>9305</v>
      </c>
      <c r="CC31">
        <v>1223354</v>
      </c>
      <c r="CD31">
        <v>8963</v>
      </c>
      <c r="CE31" t="s">
        <v>73</v>
      </c>
      <c r="CF31" t="s">
        <v>73</v>
      </c>
      <c r="CG31" t="s">
        <v>73</v>
      </c>
      <c r="CH31" t="s">
        <v>73</v>
      </c>
      <c r="CI31">
        <v>32143</v>
      </c>
      <c r="CJ31">
        <v>8877</v>
      </c>
      <c r="CK31" t="s">
        <v>73</v>
      </c>
      <c r="CL31" t="s">
        <v>73</v>
      </c>
      <c r="CM31">
        <v>135897</v>
      </c>
      <c r="CN31">
        <v>2596</v>
      </c>
      <c r="CO31">
        <v>23495</v>
      </c>
      <c r="CP31">
        <v>168</v>
      </c>
      <c r="CQ31">
        <v>231612</v>
      </c>
      <c r="CR31">
        <v>1866</v>
      </c>
    </row>
    <row r="32" spans="1:96" x14ac:dyDescent="0.4">
      <c r="A32" s="1" t="s">
        <v>52</v>
      </c>
      <c r="B32" s="1" t="s">
        <v>53</v>
      </c>
      <c r="C32">
        <v>723622</v>
      </c>
      <c r="D32">
        <v>167205</v>
      </c>
      <c r="E32">
        <v>75005</v>
      </c>
      <c r="F32">
        <v>35373</v>
      </c>
      <c r="G32">
        <v>3998219</v>
      </c>
      <c r="H32">
        <v>3483</v>
      </c>
      <c r="I32">
        <v>33202473</v>
      </c>
      <c r="J32">
        <v>4690</v>
      </c>
      <c r="K32">
        <v>21264537</v>
      </c>
      <c r="L32">
        <v>4154</v>
      </c>
      <c r="M32">
        <v>14303359</v>
      </c>
      <c r="N32">
        <v>2761</v>
      </c>
      <c r="O32">
        <v>1133022</v>
      </c>
      <c r="P32">
        <v>2411</v>
      </c>
      <c r="Q32">
        <v>6545562</v>
      </c>
      <c r="R32">
        <v>18362</v>
      </c>
      <c r="S32">
        <v>1388819</v>
      </c>
      <c r="T32">
        <v>1683</v>
      </c>
      <c r="U32">
        <v>1285120</v>
      </c>
      <c r="V32">
        <v>970</v>
      </c>
      <c r="W32">
        <v>2436974</v>
      </c>
      <c r="X32">
        <v>2519</v>
      </c>
      <c r="Y32">
        <v>1604420</v>
      </c>
      <c r="Z32">
        <v>2260</v>
      </c>
      <c r="AA32">
        <v>1016636</v>
      </c>
      <c r="AB32">
        <v>8264</v>
      </c>
      <c r="AC32">
        <v>1677405</v>
      </c>
      <c r="AD32">
        <v>2744</v>
      </c>
      <c r="AE32">
        <v>1261614</v>
      </c>
      <c r="AF32">
        <v>202303</v>
      </c>
      <c r="AG32">
        <v>2733713</v>
      </c>
      <c r="AH32">
        <v>6271</v>
      </c>
      <c r="AI32">
        <v>461871</v>
      </c>
      <c r="AJ32">
        <v>4433</v>
      </c>
      <c r="AK32">
        <v>2481589</v>
      </c>
      <c r="AL32">
        <v>12134</v>
      </c>
      <c r="AM32">
        <v>717684</v>
      </c>
      <c r="AN32">
        <v>5935</v>
      </c>
      <c r="AO32">
        <v>6239574</v>
      </c>
      <c r="AP32">
        <v>22071</v>
      </c>
      <c r="AQ32">
        <v>4488544</v>
      </c>
      <c r="AR32">
        <v>12229</v>
      </c>
      <c r="AS32">
        <v>590356</v>
      </c>
      <c r="AT32">
        <v>4153</v>
      </c>
      <c r="AU32">
        <v>2227918</v>
      </c>
      <c r="AV32">
        <v>7170</v>
      </c>
      <c r="AW32">
        <v>20319463</v>
      </c>
      <c r="AX32">
        <v>3844</v>
      </c>
      <c r="AY32">
        <v>5988343</v>
      </c>
      <c r="AZ32">
        <v>2391</v>
      </c>
      <c r="BA32">
        <v>2458249</v>
      </c>
      <c r="BB32">
        <v>36394</v>
      </c>
      <c r="BC32">
        <v>746608</v>
      </c>
      <c r="BD32">
        <v>9946</v>
      </c>
      <c r="BE32">
        <v>7094454</v>
      </c>
      <c r="BF32">
        <v>43757</v>
      </c>
      <c r="BG32">
        <v>3427320</v>
      </c>
      <c r="BH32">
        <v>2456</v>
      </c>
      <c r="BI32">
        <v>27858832</v>
      </c>
      <c r="BJ32">
        <v>7036</v>
      </c>
      <c r="BK32">
        <v>1754856</v>
      </c>
      <c r="BL32">
        <v>5795</v>
      </c>
      <c r="BM32">
        <v>1506156</v>
      </c>
      <c r="BN32">
        <v>85654</v>
      </c>
      <c r="BO32">
        <v>2909343</v>
      </c>
      <c r="BP32">
        <v>5268</v>
      </c>
      <c r="BQ32">
        <v>2943846</v>
      </c>
      <c r="BR32">
        <v>7884</v>
      </c>
      <c r="BS32">
        <v>36171411</v>
      </c>
      <c r="BT32">
        <v>14976</v>
      </c>
      <c r="BU32">
        <v>2130593</v>
      </c>
      <c r="BV32">
        <v>12656</v>
      </c>
      <c r="BW32">
        <v>2412697</v>
      </c>
      <c r="BX32">
        <v>8373</v>
      </c>
      <c r="BY32">
        <v>2695438</v>
      </c>
      <c r="BZ32">
        <v>1536</v>
      </c>
      <c r="CA32">
        <v>834601</v>
      </c>
      <c r="CB32">
        <v>13140</v>
      </c>
      <c r="CC32">
        <v>1494009</v>
      </c>
      <c r="CD32">
        <v>11175</v>
      </c>
      <c r="CE32" t="s">
        <v>73</v>
      </c>
      <c r="CF32" t="s">
        <v>73</v>
      </c>
      <c r="CG32" t="s">
        <v>73</v>
      </c>
      <c r="CH32" t="s">
        <v>73</v>
      </c>
      <c r="CI32">
        <v>47727</v>
      </c>
      <c r="CJ32">
        <v>13191</v>
      </c>
      <c r="CK32" t="s">
        <v>73</v>
      </c>
      <c r="CL32" t="s">
        <v>73</v>
      </c>
      <c r="CM32">
        <v>168681</v>
      </c>
      <c r="CN32">
        <v>3224</v>
      </c>
      <c r="CO32">
        <v>32775</v>
      </c>
      <c r="CP32">
        <v>227</v>
      </c>
      <c r="CQ32">
        <v>334375</v>
      </c>
      <c r="CR32">
        <v>2354</v>
      </c>
    </row>
    <row r="33" spans="1:96" x14ac:dyDescent="0.4">
      <c r="A33" s="1" t="s">
        <v>54</v>
      </c>
      <c r="B33" s="1" t="s">
        <v>55</v>
      </c>
      <c r="C33">
        <v>765561</v>
      </c>
      <c r="D33">
        <v>176918</v>
      </c>
      <c r="E33">
        <v>74806</v>
      </c>
      <c r="F33">
        <v>35234</v>
      </c>
      <c r="G33">
        <v>4118126</v>
      </c>
      <c r="H33">
        <v>3587</v>
      </c>
      <c r="I33">
        <v>34191382</v>
      </c>
      <c r="J33">
        <v>4823</v>
      </c>
      <c r="K33">
        <v>20998569</v>
      </c>
      <c r="L33">
        <v>4101</v>
      </c>
      <c r="M33">
        <v>14764989</v>
      </c>
      <c r="N33">
        <v>2899</v>
      </c>
      <c r="O33">
        <v>1180919</v>
      </c>
      <c r="P33">
        <v>2607</v>
      </c>
      <c r="Q33">
        <v>6655171</v>
      </c>
      <c r="R33">
        <v>18626</v>
      </c>
      <c r="S33">
        <v>1396772</v>
      </c>
      <c r="T33">
        <v>1707</v>
      </c>
      <c r="U33">
        <v>1351289</v>
      </c>
      <c r="V33">
        <v>1016</v>
      </c>
      <c r="W33">
        <v>2468898</v>
      </c>
      <c r="X33">
        <v>2693</v>
      </c>
      <c r="Y33">
        <v>1656445</v>
      </c>
      <c r="Z33">
        <v>2311</v>
      </c>
      <c r="AA33">
        <v>1051881</v>
      </c>
      <c r="AB33">
        <v>8367</v>
      </c>
      <c r="AC33">
        <v>1739970</v>
      </c>
      <c r="AD33">
        <v>4593</v>
      </c>
      <c r="AE33">
        <v>1356807</v>
      </c>
      <c r="AF33">
        <v>217688</v>
      </c>
      <c r="AG33">
        <v>2816365</v>
      </c>
      <c r="AH33">
        <v>6619</v>
      </c>
      <c r="AI33">
        <v>486606</v>
      </c>
      <c r="AJ33">
        <v>4726</v>
      </c>
      <c r="AK33">
        <v>2753970</v>
      </c>
      <c r="AL33">
        <v>13090</v>
      </c>
      <c r="AM33">
        <v>778703</v>
      </c>
      <c r="AN33">
        <v>6694</v>
      </c>
      <c r="AO33">
        <v>6511609</v>
      </c>
      <c r="AP33">
        <v>23388</v>
      </c>
      <c r="AQ33">
        <v>4459611</v>
      </c>
      <c r="AR33">
        <v>12465</v>
      </c>
      <c r="AS33">
        <v>608692</v>
      </c>
      <c r="AT33">
        <v>4150</v>
      </c>
      <c r="AU33">
        <v>2377329</v>
      </c>
      <c r="AV33">
        <v>7330</v>
      </c>
      <c r="AW33">
        <v>21302933</v>
      </c>
      <c r="AX33">
        <v>4099</v>
      </c>
      <c r="AY33">
        <v>6312401</v>
      </c>
      <c r="AZ33">
        <v>2499</v>
      </c>
      <c r="BA33">
        <v>2564589</v>
      </c>
      <c r="BB33">
        <v>37834</v>
      </c>
      <c r="BC33">
        <v>762743</v>
      </c>
      <c r="BD33">
        <v>10217</v>
      </c>
      <c r="BE33">
        <v>6076393</v>
      </c>
      <c r="BF33">
        <v>47290</v>
      </c>
      <c r="BG33">
        <v>4172328</v>
      </c>
      <c r="BH33">
        <v>2777</v>
      </c>
      <c r="BI33">
        <v>30894800</v>
      </c>
      <c r="BJ33">
        <v>7443</v>
      </c>
      <c r="BK33">
        <v>2072900</v>
      </c>
      <c r="BL33">
        <v>5987</v>
      </c>
      <c r="BM33">
        <v>1539640</v>
      </c>
      <c r="BN33">
        <v>90654</v>
      </c>
      <c r="BO33">
        <v>3147403</v>
      </c>
      <c r="BP33">
        <v>5653</v>
      </c>
      <c r="BQ33">
        <v>3154784</v>
      </c>
      <c r="BR33">
        <v>8252</v>
      </c>
      <c r="BS33">
        <v>37191632</v>
      </c>
      <c r="BT33">
        <v>15856</v>
      </c>
      <c r="BU33">
        <v>1932186</v>
      </c>
      <c r="BV33">
        <v>13249</v>
      </c>
      <c r="BW33">
        <v>2535395</v>
      </c>
      <c r="BX33">
        <v>8762</v>
      </c>
      <c r="BY33">
        <v>3041294</v>
      </c>
      <c r="BZ33">
        <v>1688</v>
      </c>
      <c r="CA33">
        <v>836115</v>
      </c>
      <c r="CB33">
        <v>12381</v>
      </c>
      <c r="CC33">
        <v>1539397</v>
      </c>
      <c r="CD33">
        <v>11310</v>
      </c>
      <c r="CE33" t="s">
        <v>73</v>
      </c>
      <c r="CF33" t="s">
        <v>73</v>
      </c>
      <c r="CG33" t="s">
        <v>73</v>
      </c>
      <c r="CH33" t="s">
        <v>73</v>
      </c>
      <c r="CI33">
        <v>55280</v>
      </c>
      <c r="CJ33">
        <v>15284</v>
      </c>
      <c r="CK33" t="s">
        <v>73</v>
      </c>
      <c r="CL33" t="s">
        <v>73</v>
      </c>
      <c r="CM33">
        <v>197431</v>
      </c>
      <c r="CN33">
        <v>4041</v>
      </c>
      <c r="CO33">
        <v>31149</v>
      </c>
      <c r="CP33">
        <v>225</v>
      </c>
      <c r="CQ33">
        <v>358020</v>
      </c>
      <c r="CR33">
        <v>2531</v>
      </c>
    </row>
    <row r="34" spans="1:96" x14ac:dyDescent="0.4">
      <c r="A34" s="1" t="s">
        <v>56</v>
      </c>
      <c r="B34" s="1" t="s">
        <v>57</v>
      </c>
      <c r="C34">
        <v>635406</v>
      </c>
      <c r="D34">
        <v>145108</v>
      </c>
      <c r="E34">
        <v>69753</v>
      </c>
      <c r="F34">
        <v>33538</v>
      </c>
      <c r="G34">
        <v>3474150</v>
      </c>
      <c r="H34">
        <v>2931</v>
      </c>
      <c r="I34">
        <v>31870847</v>
      </c>
      <c r="J34">
        <v>4366</v>
      </c>
      <c r="K34">
        <v>19081516</v>
      </c>
      <c r="L34">
        <v>3574</v>
      </c>
      <c r="M34">
        <v>13050338</v>
      </c>
      <c r="N34">
        <v>2607</v>
      </c>
      <c r="O34">
        <v>824975</v>
      </c>
      <c r="P34">
        <v>1857</v>
      </c>
      <c r="Q34">
        <v>5895138</v>
      </c>
      <c r="R34">
        <v>15980</v>
      </c>
      <c r="S34">
        <v>1228276</v>
      </c>
      <c r="T34">
        <v>1441</v>
      </c>
      <c r="U34">
        <v>1144006</v>
      </c>
      <c r="V34">
        <v>921</v>
      </c>
      <c r="W34">
        <v>2036050</v>
      </c>
      <c r="X34">
        <v>2313</v>
      </c>
      <c r="Y34">
        <v>1329288</v>
      </c>
      <c r="Z34">
        <v>1961</v>
      </c>
      <c r="AA34">
        <v>873420</v>
      </c>
      <c r="AB34">
        <v>6918</v>
      </c>
      <c r="AC34">
        <v>1733340</v>
      </c>
      <c r="AD34">
        <v>5033</v>
      </c>
      <c r="AE34">
        <v>1182938</v>
      </c>
      <c r="AF34">
        <v>190493</v>
      </c>
      <c r="AG34">
        <v>2490031</v>
      </c>
      <c r="AH34">
        <v>6016</v>
      </c>
      <c r="AI34">
        <v>400661</v>
      </c>
      <c r="AJ34">
        <v>3989</v>
      </c>
      <c r="AK34">
        <v>2319639</v>
      </c>
      <c r="AL34">
        <v>11897</v>
      </c>
      <c r="AM34">
        <v>649384</v>
      </c>
      <c r="AN34">
        <v>5868</v>
      </c>
      <c r="AO34">
        <v>5703494</v>
      </c>
      <c r="AP34">
        <v>20719</v>
      </c>
      <c r="AQ34">
        <v>4191025</v>
      </c>
      <c r="AR34">
        <v>10977</v>
      </c>
      <c r="AS34">
        <v>525419</v>
      </c>
      <c r="AT34">
        <v>3817</v>
      </c>
      <c r="AU34">
        <v>2001157</v>
      </c>
      <c r="AV34">
        <v>6011</v>
      </c>
      <c r="AW34">
        <v>19123277</v>
      </c>
      <c r="AX34">
        <v>3688</v>
      </c>
      <c r="AY34">
        <v>5734007</v>
      </c>
      <c r="AZ34">
        <v>2258</v>
      </c>
      <c r="BA34">
        <v>2156841</v>
      </c>
      <c r="BB34">
        <v>32710</v>
      </c>
      <c r="BC34">
        <v>662606</v>
      </c>
      <c r="BD34">
        <v>8410</v>
      </c>
      <c r="BE34">
        <v>5522029</v>
      </c>
      <c r="BF34">
        <v>35512</v>
      </c>
      <c r="BG34">
        <v>3355382</v>
      </c>
      <c r="BH34">
        <v>2334</v>
      </c>
      <c r="BI34">
        <v>25992329</v>
      </c>
      <c r="BJ34">
        <v>6473</v>
      </c>
      <c r="BK34">
        <v>1735196</v>
      </c>
      <c r="BL34">
        <v>5453</v>
      </c>
      <c r="BM34">
        <v>1310688</v>
      </c>
      <c r="BN34">
        <v>77422</v>
      </c>
      <c r="BO34">
        <v>2528088</v>
      </c>
      <c r="BP34">
        <v>4609</v>
      </c>
      <c r="BQ34">
        <v>2632082</v>
      </c>
      <c r="BR34">
        <v>6953</v>
      </c>
      <c r="BS34">
        <v>31893582</v>
      </c>
      <c r="BT34">
        <v>13446</v>
      </c>
      <c r="BU34">
        <v>2229388</v>
      </c>
      <c r="BV34">
        <v>12464</v>
      </c>
      <c r="BW34">
        <v>2081942</v>
      </c>
      <c r="BX34">
        <v>7347</v>
      </c>
      <c r="BY34">
        <v>2429440</v>
      </c>
      <c r="BZ34">
        <v>1397</v>
      </c>
      <c r="CA34">
        <v>693650</v>
      </c>
      <c r="CB34">
        <v>10146</v>
      </c>
      <c r="CC34">
        <v>1238237</v>
      </c>
      <c r="CD34">
        <v>9055</v>
      </c>
      <c r="CE34" t="s">
        <v>73</v>
      </c>
      <c r="CF34" t="s">
        <v>73</v>
      </c>
      <c r="CG34" t="s">
        <v>73</v>
      </c>
      <c r="CH34" t="s">
        <v>73</v>
      </c>
      <c r="CI34">
        <v>52536</v>
      </c>
      <c r="CJ34">
        <v>14626</v>
      </c>
      <c r="CK34" t="s">
        <v>73</v>
      </c>
      <c r="CL34" t="s">
        <v>73</v>
      </c>
      <c r="CM34">
        <v>182279</v>
      </c>
      <c r="CN34">
        <v>3360</v>
      </c>
      <c r="CO34">
        <v>32039</v>
      </c>
      <c r="CP34">
        <v>207</v>
      </c>
      <c r="CQ34">
        <v>336635</v>
      </c>
      <c r="CR34">
        <v>2535</v>
      </c>
    </row>
    <row r="35" spans="1:96" x14ac:dyDescent="0.4">
      <c r="A35" s="1" t="s">
        <v>58</v>
      </c>
      <c r="B35" s="1" t="s">
        <v>59</v>
      </c>
      <c r="C35">
        <v>633275</v>
      </c>
      <c r="D35">
        <v>147245</v>
      </c>
      <c r="E35">
        <v>71564</v>
      </c>
      <c r="F35">
        <v>33618</v>
      </c>
      <c r="G35">
        <v>3228270</v>
      </c>
      <c r="H35">
        <v>2811</v>
      </c>
      <c r="I35">
        <v>30044339</v>
      </c>
      <c r="J35">
        <v>4280</v>
      </c>
      <c r="K35">
        <v>19903237</v>
      </c>
      <c r="L35">
        <v>3953</v>
      </c>
      <c r="M35">
        <v>13497156</v>
      </c>
      <c r="N35">
        <v>2654</v>
      </c>
      <c r="O35">
        <v>880996</v>
      </c>
      <c r="P35">
        <v>1955</v>
      </c>
      <c r="Q35">
        <v>5736488</v>
      </c>
      <c r="R35">
        <v>16307</v>
      </c>
      <c r="S35">
        <v>1133235</v>
      </c>
      <c r="T35">
        <v>1318</v>
      </c>
      <c r="U35">
        <v>1252089</v>
      </c>
      <c r="V35">
        <v>970</v>
      </c>
      <c r="W35">
        <v>1982406</v>
      </c>
      <c r="X35">
        <v>2343</v>
      </c>
      <c r="Y35">
        <v>1400702</v>
      </c>
      <c r="Z35">
        <v>2022</v>
      </c>
      <c r="AA35">
        <v>863234</v>
      </c>
      <c r="AB35">
        <v>6740</v>
      </c>
      <c r="AC35">
        <v>1782693</v>
      </c>
      <c r="AD35">
        <v>5120</v>
      </c>
      <c r="AE35">
        <v>1188630</v>
      </c>
      <c r="AF35">
        <v>191447</v>
      </c>
      <c r="AG35">
        <v>2530123</v>
      </c>
      <c r="AH35">
        <v>6148</v>
      </c>
      <c r="AI35">
        <v>408557</v>
      </c>
      <c r="AJ35">
        <v>4069</v>
      </c>
      <c r="AK35">
        <v>2206080</v>
      </c>
      <c r="AL35">
        <v>11385</v>
      </c>
      <c r="AM35">
        <v>646493</v>
      </c>
      <c r="AN35">
        <v>5743</v>
      </c>
      <c r="AO35">
        <v>5907890</v>
      </c>
      <c r="AP35">
        <v>21311</v>
      </c>
      <c r="AQ35">
        <v>4441363</v>
      </c>
      <c r="AR35">
        <v>10794</v>
      </c>
      <c r="AS35">
        <v>517426</v>
      </c>
      <c r="AT35">
        <v>4007</v>
      </c>
      <c r="AU35">
        <v>2009742</v>
      </c>
      <c r="AV35">
        <v>6131</v>
      </c>
      <c r="AW35">
        <v>18796868</v>
      </c>
      <c r="AX35">
        <v>3593</v>
      </c>
      <c r="AY35">
        <v>5822200</v>
      </c>
      <c r="AZ35">
        <v>2486</v>
      </c>
      <c r="BA35">
        <v>2277211</v>
      </c>
      <c r="BB35">
        <v>35820</v>
      </c>
      <c r="BC35">
        <v>670021</v>
      </c>
      <c r="BD35">
        <v>8507</v>
      </c>
      <c r="BE35">
        <v>8300182</v>
      </c>
      <c r="BF35">
        <v>38799</v>
      </c>
      <c r="BG35">
        <v>3306597</v>
      </c>
      <c r="BH35">
        <v>2363</v>
      </c>
      <c r="BI35">
        <v>25066423</v>
      </c>
      <c r="BJ35">
        <v>6241</v>
      </c>
      <c r="BK35">
        <v>1728214</v>
      </c>
      <c r="BL35">
        <v>5361</v>
      </c>
      <c r="BM35">
        <v>1391991</v>
      </c>
      <c r="BN35">
        <v>76970</v>
      </c>
      <c r="BO35">
        <v>2407743</v>
      </c>
      <c r="BP35">
        <v>4492</v>
      </c>
      <c r="BQ35">
        <v>2594316</v>
      </c>
      <c r="BR35">
        <v>7146</v>
      </c>
      <c r="BS35">
        <v>36480529</v>
      </c>
      <c r="BT35">
        <v>14326</v>
      </c>
      <c r="BU35">
        <v>2041912</v>
      </c>
      <c r="BV35">
        <v>12125</v>
      </c>
      <c r="BW35">
        <v>2154471</v>
      </c>
      <c r="BX35">
        <v>7909</v>
      </c>
      <c r="BY35">
        <v>2451273</v>
      </c>
      <c r="BZ35">
        <v>1496</v>
      </c>
      <c r="CA35">
        <v>747032</v>
      </c>
      <c r="CB35">
        <v>11039</v>
      </c>
      <c r="CC35">
        <v>1374479</v>
      </c>
      <c r="CD35">
        <v>10334</v>
      </c>
      <c r="CE35" t="s">
        <v>73</v>
      </c>
      <c r="CF35" t="s">
        <v>73</v>
      </c>
      <c r="CG35" t="s">
        <v>73</v>
      </c>
      <c r="CH35" t="s">
        <v>73</v>
      </c>
      <c r="CI35">
        <v>51338</v>
      </c>
      <c r="CJ35">
        <v>14251</v>
      </c>
      <c r="CK35" t="s">
        <v>73</v>
      </c>
      <c r="CL35" t="s">
        <v>73</v>
      </c>
      <c r="CM35">
        <v>178102</v>
      </c>
      <c r="CN35">
        <v>3567</v>
      </c>
      <c r="CO35">
        <v>31286</v>
      </c>
      <c r="CP35">
        <v>205</v>
      </c>
      <c r="CQ35">
        <v>334265</v>
      </c>
      <c r="CR35">
        <v>2403</v>
      </c>
    </row>
    <row r="36" spans="1:96" x14ac:dyDescent="0.4">
      <c r="A36" s="1" t="s">
        <v>60</v>
      </c>
      <c r="B36" s="1" t="s">
        <v>61</v>
      </c>
      <c r="C36">
        <v>623255</v>
      </c>
      <c r="D36">
        <v>142885</v>
      </c>
      <c r="E36">
        <v>75359</v>
      </c>
      <c r="F36">
        <v>35202</v>
      </c>
      <c r="G36">
        <v>3585620</v>
      </c>
      <c r="H36">
        <v>2921</v>
      </c>
      <c r="I36">
        <v>30036611</v>
      </c>
      <c r="J36">
        <v>4192</v>
      </c>
      <c r="K36">
        <v>19076201</v>
      </c>
      <c r="L36">
        <v>3898</v>
      </c>
      <c r="M36">
        <v>12289512</v>
      </c>
      <c r="N36">
        <v>2524</v>
      </c>
      <c r="O36">
        <v>947208</v>
      </c>
      <c r="P36">
        <v>2068</v>
      </c>
      <c r="Q36">
        <v>5503793</v>
      </c>
      <c r="R36">
        <v>15751</v>
      </c>
      <c r="S36">
        <v>1212547</v>
      </c>
      <c r="T36">
        <v>1350</v>
      </c>
      <c r="U36">
        <v>1179589</v>
      </c>
      <c r="V36">
        <v>915</v>
      </c>
      <c r="W36">
        <v>1825016</v>
      </c>
      <c r="X36">
        <v>2189</v>
      </c>
      <c r="Y36">
        <v>1202452</v>
      </c>
      <c r="Z36">
        <v>1831</v>
      </c>
      <c r="AA36">
        <v>840326</v>
      </c>
      <c r="AB36">
        <v>6633</v>
      </c>
      <c r="AC36">
        <v>1686571</v>
      </c>
      <c r="AD36">
        <v>4241</v>
      </c>
      <c r="AE36">
        <v>1145745</v>
      </c>
      <c r="AF36">
        <v>185081</v>
      </c>
      <c r="AG36">
        <v>2667192</v>
      </c>
      <c r="AH36">
        <v>6250</v>
      </c>
      <c r="AI36">
        <v>397268</v>
      </c>
      <c r="AJ36">
        <v>3841</v>
      </c>
      <c r="AK36">
        <v>2159521</v>
      </c>
      <c r="AL36">
        <v>10947</v>
      </c>
      <c r="AM36">
        <v>630173</v>
      </c>
      <c r="AN36">
        <v>5750</v>
      </c>
      <c r="AO36">
        <v>5679940</v>
      </c>
      <c r="AP36">
        <v>19991</v>
      </c>
      <c r="AQ36">
        <v>4308792</v>
      </c>
      <c r="AR36">
        <v>10622</v>
      </c>
      <c r="AS36">
        <v>543574</v>
      </c>
      <c r="AT36">
        <v>4056</v>
      </c>
      <c r="AU36">
        <v>2031103</v>
      </c>
      <c r="AV36">
        <v>6310</v>
      </c>
      <c r="AW36">
        <v>19917444</v>
      </c>
      <c r="AX36">
        <v>3798</v>
      </c>
      <c r="AY36">
        <v>5786414</v>
      </c>
      <c r="AZ36">
        <v>2258</v>
      </c>
      <c r="BA36">
        <v>2138817</v>
      </c>
      <c r="BB36">
        <v>31816</v>
      </c>
      <c r="BC36">
        <v>667511</v>
      </c>
      <c r="BD36">
        <v>8611</v>
      </c>
      <c r="BE36">
        <v>6834964</v>
      </c>
      <c r="BF36">
        <v>39098</v>
      </c>
      <c r="BG36">
        <v>3141707</v>
      </c>
      <c r="BH36">
        <v>2248</v>
      </c>
      <c r="BI36">
        <v>24706123</v>
      </c>
      <c r="BJ36">
        <v>6393</v>
      </c>
      <c r="BK36">
        <v>1796208</v>
      </c>
      <c r="BL36">
        <v>5331</v>
      </c>
      <c r="BM36">
        <v>1375531</v>
      </c>
      <c r="BN36">
        <v>74393</v>
      </c>
      <c r="BO36">
        <v>2291820</v>
      </c>
      <c r="BP36">
        <v>4450</v>
      </c>
      <c r="BQ36">
        <v>2556819</v>
      </c>
      <c r="BR36">
        <v>6958</v>
      </c>
      <c r="BS36">
        <v>32044351</v>
      </c>
      <c r="BT36">
        <v>13431</v>
      </c>
      <c r="BU36">
        <v>1640145</v>
      </c>
      <c r="BV36">
        <v>10917</v>
      </c>
      <c r="BW36">
        <v>2082571</v>
      </c>
      <c r="BX36">
        <v>9274</v>
      </c>
      <c r="BY36">
        <v>2436034</v>
      </c>
      <c r="BZ36">
        <v>1536</v>
      </c>
      <c r="CA36">
        <v>724936</v>
      </c>
      <c r="CB36">
        <v>10576</v>
      </c>
      <c r="CC36">
        <v>1245375</v>
      </c>
      <c r="CD36">
        <v>9362</v>
      </c>
      <c r="CE36" t="s">
        <v>73</v>
      </c>
      <c r="CF36" t="s">
        <v>73</v>
      </c>
      <c r="CG36" t="s">
        <v>73</v>
      </c>
      <c r="CH36" t="s">
        <v>73</v>
      </c>
      <c r="CI36">
        <v>51000</v>
      </c>
      <c r="CJ36">
        <v>14716</v>
      </c>
      <c r="CK36" t="s">
        <v>73</v>
      </c>
      <c r="CL36" t="s">
        <v>73</v>
      </c>
      <c r="CM36">
        <v>169093</v>
      </c>
      <c r="CN36">
        <v>3518</v>
      </c>
      <c r="CO36">
        <v>26381</v>
      </c>
      <c r="CP36">
        <v>192</v>
      </c>
      <c r="CQ36">
        <v>332428</v>
      </c>
      <c r="CR36">
        <v>2372</v>
      </c>
    </row>
    <row r="37" spans="1:96" x14ac:dyDescent="0.4">
      <c r="A37" s="1" t="s">
        <v>62</v>
      </c>
      <c r="B37" s="1" t="s">
        <v>63</v>
      </c>
      <c r="C37">
        <v>669833</v>
      </c>
      <c r="D37">
        <v>153079</v>
      </c>
      <c r="E37">
        <v>77229</v>
      </c>
      <c r="F37">
        <v>36212</v>
      </c>
      <c r="G37">
        <v>3478783</v>
      </c>
      <c r="H37">
        <v>2987</v>
      </c>
      <c r="I37">
        <v>30058179</v>
      </c>
      <c r="J37">
        <v>4241</v>
      </c>
      <c r="K37">
        <v>19306983</v>
      </c>
      <c r="L37">
        <v>3855</v>
      </c>
      <c r="M37">
        <v>13313522</v>
      </c>
      <c r="N37">
        <v>2587</v>
      </c>
      <c r="O37">
        <v>986847</v>
      </c>
      <c r="P37">
        <v>2116</v>
      </c>
      <c r="Q37">
        <v>5820077</v>
      </c>
      <c r="R37">
        <v>16412</v>
      </c>
      <c r="S37">
        <v>1210196</v>
      </c>
      <c r="T37">
        <v>1383</v>
      </c>
      <c r="U37">
        <v>1201808</v>
      </c>
      <c r="V37">
        <v>954</v>
      </c>
      <c r="W37">
        <v>2063093</v>
      </c>
      <c r="X37">
        <v>2314</v>
      </c>
      <c r="Y37">
        <v>1235680</v>
      </c>
      <c r="Z37">
        <v>1864</v>
      </c>
      <c r="AA37">
        <v>900146</v>
      </c>
      <c r="AB37">
        <v>6993</v>
      </c>
      <c r="AC37">
        <v>1826000</v>
      </c>
      <c r="AD37">
        <v>5208</v>
      </c>
      <c r="AE37">
        <v>1220612</v>
      </c>
      <c r="AF37">
        <v>197366</v>
      </c>
      <c r="AG37">
        <v>2659039</v>
      </c>
      <c r="AH37">
        <v>6381</v>
      </c>
      <c r="AI37">
        <v>427587</v>
      </c>
      <c r="AJ37">
        <v>4151</v>
      </c>
      <c r="AK37">
        <v>2314313</v>
      </c>
      <c r="AL37">
        <v>11750</v>
      </c>
      <c r="AM37">
        <v>695273</v>
      </c>
      <c r="AN37">
        <v>5985</v>
      </c>
      <c r="AO37">
        <v>5928808</v>
      </c>
      <c r="AP37">
        <v>21508</v>
      </c>
      <c r="AQ37">
        <v>4539224</v>
      </c>
      <c r="AR37">
        <v>11296</v>
      </c>
      <c r="AS37">
        <v>572026</v>
      </c>
      <c r="AT37">
        <v>4238</v>
      </c>
      <c r="AU37">
        <v>2024509</v>
      </c>
      <c r="AV37">
        <v>6229</v>
      </c>
      <c r="AW37">
        <v>20630952</v>
      </c>
      <c r="AX37">
        <v>3944</v>
      </c>
      <c r="AY37">
        <v>5859210</v>
      </c>
      <c r="AZ37">
        <v>2248</v>
      </c>
      <c r="BA37">
        <v>2414562</v>
      </c>
      <c r="BB37">
        <v>37251</v>
      </c>
      <c r="BC37">
        <v>690033</v>
      </c>
      <c r="BD37">
        <v>9203</v>
      </c>
      <c r="BE37">
        <v>6064021</v>
      </c>
      <c r="BF37">
        <v>41121</v>
      </c>
      <c r="BG37">
        <v>3335593</v>
      </c>
      <c r="BH37">
        <v>2327</v>
      </c>
      <c r="BI37">
        <v>26492917</v>
      </c>
      <c r="BJ37">
        <v>6854</v>
      </c>
      <c r="BK37">
        <v>1895334</v>
      </c>
      <c r="BL37">
        <v>5385</v>
      </c>
      <c r="BM37">
        <v>1528832</v>
      </c>
      <c r="BN37">
        <v>82890</v>
      </c>
      <c r="BO37">
        <v>2539468</v>
      </c>
      <c r="BP37">
        <v>4549</v>
      </c>
      <c r="BQ37">
        <v>2808402</v>
      </c>
      <c r="BR37">
        <v>7661</v>
      </c>
      <c r="BS37">
        <v>33668629</v>
      </c>
      <c r="BT37">
        <v>14440</v>
      </c>
      <c r="BU37">
        <v>2238773</v>
      </c>
      <c r="BV37">
        <v>12923</v>
      </c>
      <c r="BW37">
        <v>2221594</v>
      </c>
      <c r="BX37">
        <v>7977</v>
      </c>
      <c r="BY37">
        <v>2703463</v>
      </c>
      <c r="BZ37">
        <v>1622</v>
      </c>
      <c r="CA37">
        <v>734475</v>
      </c>
      <c r="CB37">
        <v>10680</v>
      </c>
      <c r="CC37">
        <v>1261712</v>
      </c>
      <c r="CD37">
        <v>9553</v>
      </c>
      <c r="CE37" t="s">
        <v>73</v>
      </c>
      <c r="CF37" t="s">
        <v>73</v>
      </c>
      <c r="CG37" t="s">
        <v>73</v>
      </c>
      <c r="CH37" t="s">
        <v>73</v>
      </c>
      <c r="CI37">
        <v>47848</v>
      </c>
      <c r="CJ37">
        <v>14771</v>
      </c>
      <c r="CK37" t="s">
        <v>73</v>
      </c>
      <c r="CL37" t="s">
        <v>73</v>
      </c>
      <c r="CM37">
        <v>157369</v>
      </c>
      <c r="CN37">
        <v>3388</v>
      </c>
      <c r="CO37">
        <v>25706</v>
      </c>
      <c r="CP37">
        <v>192</v>
      </c>
      <c r="CQ37">
        <v>265970</v>
      </c>
      <c r="CR37">
        <v>2032</v>
      </c>
    </row>
    <row r="38" spans="1:96" x14ac:dyDescent="0.4">
      <c r="A38" s="1" t="s">
        <v>64</v>
      </c>
      <c r="B38" s="1" t="s">
        <v>65</v>
      </c>
      <c r="C38">
        <v>724866</v>
      </c>
      <c r="D38">
        <v>163611</v>
      </c>
      <c r="E38">
        <v>79551</v>
      </c>
      <c r="F38">
        <v>37941</v>
      </c>
      <c r="G38">
        <v>3698339</v>
      </c>
      <c r="H38">
        <v>3235</v>
      </c>
      <c r="I38">
        <v>31863737</v>
      </c>
      <c r="J38">
        <v>4556</v>
      </c>
      <c r="K38">
        <v>21375026</v>
      </c>
      <c r="L38">
        <v>4319</v>
      </c>
      <c r="M38">
        <v>13440559</v>
      </c>
      <c r="N38">
        <v>2772</v>
      </c>
      <c r="O38">
        <v>1028628</v>
      </c>
      <c r="P38">
        <v>2357</v>
      </c>
      <c r="Q38">
        <v>6956155</v>
      </c>
      <c r="R38">
        <v>17613</v>
      </c>
      <c r="S38">
        <v>1292603</v>
      </c>
      <c r="T38">
        <v>1446</v>
      </c>
      <c r="U38">
        <v>1342031</v>
      </c>
      <c r="V38">
        <v>994</v>
      </c>
      <c r="W38">
        <v>2248094</v>
      </c>
      <c r="X38">
        <v>2529</v>
      </c>
      <c r="Y38">
        <v>1391523</v>
      </c>
      <c r="Z38">
        <v>2082</v>
      </c>
      <c r="AA38">
        <v>976808</v>
      </c>
      <c r="AB38">
        <v>7739</v>
      </c>
      <c r="AC38">
        <v>1727063</v>
      </c>
      <c r="AD38">
        <v>4592</v>
      </c>
      <c r="AE38">
        <v>1325116</v>
      </c>
      <c r="AF38">
        <v>214014</v>
      </c>
      <c r="AG38">
        <v>2921684</v>
      </c>
      <c r="AH38">
        <v>6896</v>
      </c>
      <c r="AI38">
        <v>442289</v>
      </c>
      <c r="AJ38">
        <v>4204</v>
      </c>
      <c r="AK38">
        <v>2341099</v>
      </c>
      <c r="AL38">
        <v>12894</v>
      </c>
      <c r="AM38">
        <v>746554</v>
      </c>
      <c r="AN38">
        <v>6676</v>
      </c>
      <c r="AO38">
        <v>5980221</v>
      </c>
      <c r="AP38">
        <v>22065</v>
      </c>
      <c r="AQ38">
        <v>4567973</v>
      </c>
      <c r="AR38">
        <v>11722</v>
      </c>
      <c r="AS38">
        <v>602909</v>
      </c>
      <c r="AT38">
        <v>4604</v>
      </c>
      <c r="AU38">
        <v>2243424</v>
      </c>
      <c r="AV38">
        <v>7434</v>
      </c>
      <c r="AW38">
        <v>22394745</v>
      </c>
      <c r="AX38">
        <v>4316</v>
      </c>
      <c r="AY38">
        <v>6044461</v>
      </c>
      <c r="AZ38">
        <v>2559</v>
      </c>
      <c r="BA38">
        <v>2668000</v>
      </c>
      <c r="BB38">
        <v>40914</v>
      </c>
      <c r="BC38">
        <v>746244</v>
      </c>
      <c r="BD38">
        <v>9656</v>
      </c>
      <c r="BE38">
        <v>6100765</v>
      </c>
      <c r="BF38">
        <v>44666</v>
      </c>
      <c r="BG38">
        <v>3484983</v>
      </c>
      <c r="BH38">
        <v>2489</v>
      </c>
      <c r="BI38">
        <v>28058867</v>
      </c>
      <c r="BJ38">
        <v>7308</v>
      </c>
      <c r="BK38">
        <v>1986848</v>
      </c>
      <c r="BL38">
        <v>5546</v>
      </c>
      <c r="BM38">
        <v>1661683</v>
      </c>
      <c r="BN38">
        <v>92861</v>
      </c>
      <c r="BO38">
        <v>2656382</v>
      </c>
      <c r="BP38">
        <v>5034</v>
      </c>
      <c r="BQ38">
        <v>3047667</v>
      </c>
      <c r="BR38">
        <v>8443</v>
      </c>
      <c r="BS38">
        <v>37923341</v>
      </c>
      <c r="BT38">
        <v>15421</v>
      </c>
      <c r="BU38">
        <v>2090055</v>
      </c>
      <c r="BV38">
        <v>13543</v>
      </c>
      <c r="BW38">
        <v>2464998</v>
      </c>
      <c r="BX38">
        <v>8980</v>
      </c>
      <c r="BY38">
        <v>2789192</v>
      </c>
      <c r="BZ38">
        <v>1673</v>
      </c>
      <c r="CA38">
        <v>814012</v>
      </c>
      <c r="CB38">
        <v>12444</v>
      </c>
      <c r="CC38">
        <v>1423268</v>
      </c>
      <c r="CD38">
        <v>11125</v>
      </c>
      <c r="CE38" t="s">
        <v>73</v>
      </c>
      <c r="CF38" t="s">
        <v>73</v>
      </c>
      <c r="CG38" t="s">
        <v>73</v>
      </c>
      <c r="CH38" t="s">
        <v>73</v>
      </c>
      <c r="CI38">
        <v>46583</v>
      </c>
      <c r="CJ38">
        <v>14932</v>
      </c>
      <c r="CK38" t="s">
        <v>73</v>
      </c>
      <c r="CL38" t="s">
        <v>73</v>
      </c>
      <c r="CM38">
        <v>152296</v>
      </c>
      <c r="CN38">
        <v>3142</v>
      </c>
      <c r="CO38">
        <v>28211</v>
      </c>
      <c r="CP38">
        <v>215</v>
      </c>
      <c r="CQ38">
        <v>268513</v>
      </c>
      <c r="CR38">
        <v>2181</v>
      </c>
    </row>
    <row r="39" spans="1:96" x14ac:dyDescent="0.4">
      <c r="A39" s="1"/>
      <c r="B39" s="1"/>
    </row>
    <row r="40" spans="1:96" x14ac:dyDescent="0.4">
      <c r="A40" s="1"/>
      <c r="B40" s="1"/>
    </row>
  </sheetData>
  <phoneticPr fontId="2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222E-08A8-457D-A871-477796E267FE}">
  <dimension ref="A1:AA40"/>
  <sheetViews>
    <sheetView workbookViewId="0">
      <selection activeCell="C9" sqref="C9"/>
    </sheetView>
  </sheetViews>
  <sheetFormatPr defaultColWidth="15.625" defaultRowHeight="18.75" x14ac:dyDescent="0.4"/>
  <sheetData>
    <row r="1" spans="1:27" x14ac:dyDescent="0.4">
      <c r="A1" s="1" t="s">
        <v>66</v>
      </c>
      <c r="B1" s="1"/>
    </row>
    <row r="2" spans="1:27" x14ac:dyDescent="0.4">
      <c r="A2" s="4" t="str">
        <f>HYPERLINK("#'目次(Contents)'!A3","目次に戻る(Return to Contents)")</f>
        <v>目次に戻る(Return to Contents)</v>
      </c>
      <c r="B2" s="1"/>
    </row>
    <row r="3" spans="1:27" x14ac:dyDescent="0.4">
      <c r="A3" s="1"/>
      <c r="B3" s="2" t="s">
        <v>0</v>
      </c>
      <c r="C3" t="s">
        <v>1607</v>
      </c>
      <c r="D3" t="s">
        <v>1607</v>
      </c>
      <c r="E3" t="s">
        <v>1607</v>
      </c>
      <c r="F3" t="s">
        <v>1607</v>
      </c>
      <c r="G3" t="s">
        <v>1607</v>
      </c>
      <c r="H3" t="s">
        <v>1609</v>
      </c>
      <c r="I3" t="s">
        <v>1609</v>
      </c>
      <c r="J3" t="s">
        <v>1609</v>
      </c>
      <c r="K3" t="s">
        <v>1609</v>
      </c>
      <c r="L3" t="s">
        <v>1609</v>
      </c>
      <c r="M3" t="s">
        <v>1611</v>
      </c>
      <c r="N3" t="s">
        <v>1611</v>
      </c>
      <c r="O3" t="s">
        <v>1611</v>
      </c>
      <c r="P3" t="s">
        <v>1611</v>
      </c>
      <c r="Q3" t="s">
        <v>1611</v>
      </c>
      <c r="R3" t="s">
        <v>1613</v>
      </c>
      <c r="S3" t="s">
        <v>1613</v>
      </c>
      <c r="T3" t="s">
        <v>1613</v>
      </c>
      <c r="U3" t="s">
        <v>1613</v>
      </c>
      <c r="V3" t="s">
        <v>1613</v>
      </c>
      <c r="W3" t="s">
        <v>1615</v>
      </c>
      <c r="X3" t="s">
        <v>1615</v>
      </c>
      <c r="Y3" t="s">
        <v>1615</v>
      </c>
      <c r="Z3" t="s">
        <v>1615</v>
      </c>
      <c r="AA3" t="s">
        <v>1615</v>
      </c>
    </row>
    <row r="4" spans="1:27" x14ac:dyDescent="0.4">
      <c r="A4" s="1"/>
      <c r="B4" s="2" t="s">
        <v>1</v>
      </c>
      <c r="C4" t="s">
        <v>1608</v>
      </c>
      <c r="D4" t="s">
        <v>1608</v>
      </c>
      <c r="E4" t="s">
        <v>1608</v>
      </c>
      <c r="F4" t="s">
        <v>1608</v>
      </c>
      <c r="G4" t="s">
        <v>1608</v>
      </c>
      <c r="H4" t="s">
        <v>1610</v>
      </c>
      <c r="I4" t="s">
        <v>1610</v>
      </c>
      <c r="J4" t="s">
        <v>1610</v>
      </c>
      <c r="K4" t="s">
        <v>1610</v>
      </c>
      <c r="L4" t="s">
        <v>1610</v>
      </c>
      <c r="M4" t="s">
        <v>1612</v>
      </c>
      <c r="N4" t="s">
        <v>1612</v>
      </c>
      <c r="O4" t="s">
        <v>1612</v>
      </c>
      <c r="P4" t="s">
        <v>1612</v>
      </c>
      <c r="Q4" t="s">
        <v>1612</v>
      </c>
      <c r="R4" t="s">
        <v>1614</v>
      </c>
      <c r="S4" t="s">
        <v>1614</v>
      </c>
      <c r="T4" t="s">
        <v>1614</v>
      </c>
      <c r="U4" t="s">
        <v>1614</v>
      </c>
      <c r="V4" t="s">
        <v>1614</v>
      </c>
      <c r="W4" t="s">
        <v>1616</v>
      </c>
      <c r="X4" t="s">
        <v>1616</v>
      </c>
      <c r="Y4" t="s">
        <v>1616</v>
      </c>
      <c r="Z4" t="s">
        <v>1616</v>
      </c>
      <c r="AA4" t="s">
        <v>1616</v>
      </c>
    </row>
    <row r="5" spans="1:2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</row>
    <row r="6" spans="1:2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</row>
    <row r="7" spans="1:2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251</v>
      </c>
      <c r="I7" t="s">
        <v>341</v>
      </c>
      <c r="J7" t="s">
        <v>251</v>
      </c>
      <c r="K7" t="s">
        <v>341</v>
      </c>
      <c r="L7" t="s">
        <v>251</v>
      </c>
      <c r="M7" t="s">
        <v>251</v>
      </c>
      <c r="N7" t="s">
        <v>341</v>
      </c>
      <c r="O7" t="s">
        <v>251</v>
      </c>
      <c r="P7" t="s">
        <v>341</v>
      </c>
      <c r="Q7" t="s">
        <v>251</v>
      </c>
      <c r="R7" t="s">
        <v>251</v>
      </c>
      <c r="S7" t="s">
        <v>341</v>
      </c>
      <c r="T7" t="s">
        <v>251</v>
      </c>
      <c r="U7" t="s">
        <v>341</v>
      </c>
      <c r="V7" t="s">
        <v>251</v>
      </c>
      <c r="W7" t="s">
        <v>251</v>
      </c>
      <c r="X7" t="s">
        <v>341</v>
      </c>
      <c r="Y7" t="s">
        <v>251</v>
      </c>
      <c r="Z7" t="s">
        <v>341</v>
      </c>
      <c r="AA7" t="s">
        <v>251</v>
      </c>
    </row>
    <row r="8" spans="1:2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</row>
    <row r="9" spans="1:27" x14ac:dyDescent="0.4">
      <c r="A9" s="1" t="s">
        <v>6</v>
      </c>
      <c r="B9" s="3" t="s">
        <v>7</v>
      </c>
      <c r="C9">
        <v>126954</v>
      </c>
      <c r="D9">
        <v>2568211</v>
      </c>
      <c r="E9">
        <v>530933</v>
      </c>
      <c r="F9">
        <v>9082951</v>
      </c>
      <c r="G9">
        <v>37739</v>
      </c>
      <c r="H9">
        <v>657657</v>
      </c>
      <c r="I9">
        <v>59983242</v>
      </c>
      <c r="J9">
        <v>792985</v>
      </c>
      <c r="K9">
        <v>67640606</v>
      </c>
      <c r="L9">
        <v>74336</v>
      </c>
      <c r="M9">
        <v>58277</v>
      </c>
      <c r="N9">
        <v>1106800</v>
      </c>
      <c r="O9">
        <v>305439</v>
      </c>
      <c r="P9">
        <v>5646792</v>
      </c>
      <c r="Q9">
        <v>47258</v>
      </c>
      <c r="R9">
        <v>93008</v>
      </c>
      <c r="S9">
        <v>6204046</v>
      </c>
      <c r="T9">
        <v>238898</v>
      </c>
      <c r="U9">
        <v>12821299</v>
      </c>
      <c r="V9">
        <v>17883</v>
      </c>
      <c r="W9">
        <v>14342</v>
      </c>
      <c r="X9">
        <v>3455055</v>
      </c>
      <c r="Y9">
        <v>14366</v>
      </c>
      <c r="Z9">
        <v>3730354</v>
      </c>
      <c r="AA9">
        <v>373</v>
      </c>
    </row>
    <row r="10" spans="1:27" x14ac:dyDescent="0.4">
      <c r="A10" s="1" t="s">
        <v>8</v>
      </c>
      <c r="B10" s="3" t="s">
        <v>9</v>
      </c>
      <c r="C10">
        <v>93086</v>
      </c>
      <c r="D10">
        <v>1128972</v>
      </c>
      <c r="E10">
        <v>453541</v>
      </c>
      <c r="F10">
        <v>8555282</v>
      </c>
      <c r="G10">
        <v>36508</v>
      </c>
      <c r="H10">
        <v>600108</v>
      </c>
      <c r="I10">
        <v>57732069</v>
      </c>
      <c r="J10">
        <v>794947</v>
      </c>
      <c r="K10">
        <v>74352008</v>
      </c>
      <c r="L10">
        <v>72318</v>
      </c>
      <c r="M10">
        <v>57123</v>
      </c>
      <c r="N10">
        <v>1418253</v>
      </c>
      <c r="O10">
        <v>243652</v>
      </c>
      <c r="P10">
        <v>5296560</v>
      </c>
      <c r="Q10">
        <v>54851</v>
      </c>
      <c r="R10">
        <v>91482</v>
      </c>
      <c r="S10">
        <v>6196724</v>
      </c>
      <c r="T10">
        <v>220186</v>
      </c>
      <c r="U10">
        <v>12316616</v>
      </c>
      <c r="V10">
        <v>21417</v>
      </c>
      <c r="W10">
        <v>13100</v>
      </c>
      <c r="X10">
        <v>3216861</v>
      </c>
      <c r="Y10">
        <v>13293</v>
      </c>
      <c r="Z10">
        <v>3523744</v>
      </c>
      <c r="AA10">
        <v>419</v>
      </c>
    </row>
    <row r="11" spans="1:27" x14ac:dyDescent="0.4">
      <c r="A11" s="1" t="s">
        <v>10</v>
      </c>
      <c r="B11" s="3" t="s">
        <v>11</v>
      </c>
      <c r="C11">
        <v>84950</v>
      </c>
      <c r="D11">
        <v>1164566</v>
      </c>
      <c r="E11">
        <v>386502</v>
      </c>
      <c r="F11">
        <v>7735194</v>
      </c>
      <c r="G11">
        <v>45681</v>
      </c>
      <c r="H11">
        <v>577729</v>
      </c>
      <c r="I11">
        <v>59014364</v>
      </c>
      <c r="J11">
        <v>742102</v>
      </c>
      <c r="K11">
        <v>79095600</v>
      </c>
      <c r="L11">
        <v>84901</v>
      </c>
      <c r="M11">
        <v>52148</v>
      </c>
      <c r="N11">
        <v>1687509</v>
      </c>
      <c r="O11">
        <v>199867</v>
      </c>
      <c r="P11">
        <v>4733425</v>
      </c>
      <c r="Q11">
        <v>64277</v>
      </c>
      <c r="R11">
        <v>85142</v>
      </c>
      <c r="S11">
        <v>6491082</v>
      </c>
      <c r="T11">
        <v>209363</v>
      </c>
      <c r="U11">
        <v>13171481</v>
      </c>
      <c r="V11">
        <v>24941</v>
      </c>
      <c r="W11">
        <v>14256</v>
      </c>
      <c r="X11">
        <v>3526052</v>
      </c>
      <c r="Y11">
        <v>14715</v>
      </c>
      <c r="Z11">
        <v>3953191</v>
      </c>
      <c r="AA11">
        <v>263</v>
      </c>
    </row>
    <row r="12" spans="1:27" x14ac:dyDescent="0.4">
      <c r="A12" s="1" t="s">
        <v>12</v>
      </c>
      <c r="B12" s="3" t="s">
        <v>13</v>
      </c>
      <c r="C12">
        <v>75699</v>
      </c>
      <c r="D12">
        <v>1166684</v>
      </c>
      <c r="E12">
        <v>390366</v>
      </c>
      <c r="F12">
        <v>8103228</v>
      </c>
      <c r="G12">
        <v>31442</v>
      </c>
      <c r="H12">
        <v>545736</v>
      </c>
      <c r="I12">
        <v>57287185</v>
      </c>
      <c r="J12">
        <v>730622</v>
      </c>
      <c r="K12">
        <v>74093223</v>
      </c>
      <c r="L12">
        <v>68536</v>
      </c>
      <c r="M12">
        <v>49159</v>
      </c>
      <c r="N12">
        <v>1061395</v>
      </c>
      <c r="O12">
        <v>197507</v>
      </c>
      <c r="P12">
        <v>4470631</v>
      </c>
      <c r="Q12">
        <v>53026</v>
      </c>
      <c r="R12">
        <v>83470</v>
      </c>
      <c r="S12">
        <v>6668392</v>
      </c>
      <c r="T12">
        <v>210170</v>
      </c>
      <c r="U12">
        <v>13734673</v>
      </c>
      <c r="V12">
        <v>23208</v>
      </c>
      <c r="W12">
        <v>14044</v>
      </c>
      <c r="X12">
        <v>3421979</v>
      </c>
      <c r="Y12">
        <v>13650</v>
      </c>
      <c r="Z12">
        <v>3696300</v>
      </c>
      <c r="AA12">
        <v>814</v>
      </c>
    </row>
    <row r="13" spans="1:27" x14ac:dyDescent="0.4">
      <c r="A13" s="1" t="s">
        <v>14</v>
      </c>
      <c r="B13" s="3" t="s">
        <v>15</v>
      </c>
      <c r="C13">
        <v>60545</v>
      </c>
      <c r="D13">
        <v>978678</v>
      </c>
      <c r="E13">
        <v>375632</v>
      </c>
      <c r="F13">
        <v>7999985</v>
      </c>
      <c r="G13">
        <v>27641</v>
      </c>
      <c r="H13">
        <v>585074</v>
      </c>
      <c r="I13">
        <v>63410283</v>
      </c>
      <c r="J13">
        <v>764937</v>
      </c>
      <c r="K13">
        <v>78815608</v>
      </c>
      <c r="L13">
        <v>74407</v>
      </c>
      <c r="M13">
        <v>46059</v>
      </c>
      <c r="N13">
        <v>1122669</v>
      </c>
      <c r="O13">
        <v>193628</v>
      </c>
      <c r="P13">
        <v>4353463</v>
      </c>
      <c r="Q13">
        <v>56745</v>
      </c>
      <c r="R13">
        <v>79693</v>
      </c>
      <c r="S13">
        <v>6363286</v>
      </c>
      <c r="T13">
        <v>206026</v>
      </c>
      <c r="U13">
        <v>13357761</v>
      </c>
      <c r="V13">
        <v>23084</v>
      </c>
      <c r="W13">
        <v>12689</v>
      </c>
      <c r="X13">
        <v>3261127</v>
      </c>
      <c r="Y13">
        <v>12922</v>
      </c>
      <c r="Z13">
        <v>3672911</v>
      </c>
      <c r="AA13">
        <v>684</v>
      </c>
    </row>
    <row r="14" spans="1:27" x14ac:dyDescent="0.4">
      <c r="A14" s="1" t="s">
        <v>16</v>
      </c>
      <c r="B14" s="1" t="s">
        <v>17</v>
      </c>
      <c r="C14">
        <v>8569</v>
      </c>
      <c r="D14">
        <v>132025</v>
      </c>
      <c r="E14">
        <v>51411</v>
      </c>
      <c r="F14">
        <v>1032851</v>
      </c>
      <c r="G14">
        <v>33134</v>
      </c>
      <c r="H14">
        <v>45106</v>
      </c>
      <c r="I14">
        <v>4363102</v>
      </c>
      <c r="J14">
        <v>80862</v>
      </c>
      <c r="K14">
        <v>7969786</v>
      </c>
      <c r="L14">
        <v>54853</v>
      </c>
      <c r="M14">
        <v>3938</v>
      </c>
      <c r="N14">
        <v>71908</v>
      </c>
      <c r="O14">
        <v>16327</v>
      </c>
      <c r="P14">
        <v>364746</v>
      </c>
      <c r="Q14">
        <v>66487</v>
      </c>
      <c r="R14">
        <v>7247</v>
      </c>
      <c r="S14">
        <v>590013</v>
      </c>
      <c r="T14">
        <v>18400</v>
      </c>
      <c r="U14">
        <v>1199893</v>
      </c>
      <c r="V14">
        <v>26125</v>
      </c>
      <c r="W14">
        <v>1386</v>
      </c>
      <c r="X14">
        <v>339493</v>
      </c>
      <c r="Y14">
        <v>1383</v>
      </c>
      <c r="Z14">
        <v>375682</v>
      </c>
      <c r="AA14">
        <v>296</v>
      </c>
    </row>
    <row r="15" spans="1:27" x14ac:dyDescent="0.4">
      <c r="A15" s="1" t="s">
        <v>18</v>
      </c>
      <c r="B15" s="1" t="s">
        <v>19</v>
      </c>
      <c r="C15">
        <v>8925</v>
      </c>
      <c r="D15">
        <v>133414</v>
      </c>
      <c r="E15">
        <v>46932</v>
      </c>
      <c r="F15">
        <v>880504</v>
      </c>
      <c r="G15">
        <v>27702</v>
      </c>
      <c r="H15">
        <v>44946</v>
      </c>
      <c r="I15">
        <v>4539222</v>
      </c>
      <c r="J15">
        <v>67282</v>
      </c>
      <c r="K15">
        <v>6944322</v>
      </c>
      <c r="L15">
        <v>47547</v>
      </c>
      <c r="M15">
        <v>4038</v>
      </c>
      <c r="N15">
        <v>78316</v>
      </c>
      <c r="O15">
        <v>23814</v>
      </c>
      <c r="P15">
        <v>537703</v>
      </c>
      <c r="Q15">
        <v>63017</v>
      </c>
      <c r="R15">
        <v>8202</v>
      </c>
      <c r="S15">
        <v>639919</v>
      </c>
      <c r="T15">
        <v>19227</v>
      </c>
      <c r="U15">
        <v>1364225</v>
      </c>
      <c r="V15">
        <v>27132</v>
      </c>
      <c r="W15">
        <v>1365</v>
      </c>
      <c r="X15">
        <v>332185</v>
      </c>
      <c r="Y15">
        <v>1276</v>
      </c>
      <c r="Z15">
        <v>336036</v>
      </c>
      <c r="AA15">
        <v>391</v>
      </c>
    </row>
    <row r="16" spans="1:27" x14ac:dyDescent="0.4">
      <c r="A16" s="1" t="s">
        <v>20</v>
      </c>
      <c r="B16" s="1" t="s">
        <v>21</v>
      </c>
      <c r="C16">
        <v>5738</v>
      </c>
      <c r="D16">
        <v>88151</v>
      </c>
      <c r="E16">
        <v>24815</v>
      </c>
      <c r="F16">
        <v>474399</v>
      </c>
      <c r="G16">
        <v>28315</v>
      </c>
      <c r="H16">
        <v>39074</v>
      </c>
      <c r="I16">
        <v>4111169</v>
      </c>
      <c r="J16">
        <v>55955</v>
      </c>
      <c r="K16">
        <v>5799505</v>
      </c>
      <c r="L16">
        <v>43447</v>
      </c>
      <c r="M16">
        <v>3703</v>
      </c>
      <c r="N16">
        <v>75971</v>
      </c>
      <c r="O16">
        <v>18583</v>
      </c>
      <c r="P16">
        <v>412993</v>
      </c>
      <c r="Q16">
        <v>61656</v>
      </c>
      <c r="R16">
        <v>8293</v>
      </c>
      <c r="S16">
        <v>643983</v>
      </c>
      <c r="T16">
        <v>19553</v>
      </c>
      <c r="U16">
        <v>1257251</v>
      </c>
      <c r="V16">
        <v>26548</v>
      </c>
      <c r="W16">
        <v>1246</v>
      </c>
      <c r="X16">
        <v>303414</v>
      </c>
      <c r="Y16">
        <v>1280</v>
      </c>
      <c r="Z16">
        <v>337399</v>
      </c>
      <c r="AA16">
        <v>369</v>
      </c>
    </row>
    <row r="17" spans="1:27" x14ac:dyDescent="0.4">
      <c r="A17" s="1" t="s">
        <v>22</v>
      </c>
      <c r="B17" s="1" t="s">
        <v>23</v>
      </c>
      <c r="C17">
        <v>5732</v>
      </c>
      <c r="D17">
        <v>86319</v>
      </c>
      <c r="E17">
        <v>24298</v>
      </c>
      <c r="F17">
        <v>441706</v>
      </c>
      <c r="G17">
        <v>24102</v>
      </c>
      <c r="H17">
        <v>36991</v>
      </c>
      <c r="I17">
        <v>3872070</v>
      </c>
      <c r="J17">
        <v>48983</v>
      </c>
      <c r="K17">
        <v>4943239</v>
      </c>
      <c r="L17">
        <v>43453</v>
      </c>
      <c r="M17">
        <v>4579</v>
      </c>
      <c r="N17">
        <v>71953</v>
      </c>
      <c r="O17">
        <v>17640</v>
      </c>
      <c r="P17">
        <v>396719</v>
      </c>
      <c r="Q17">
        <v>60109</v>
      </c>
      <c r="R17">
        <v>5216</v>
      </c>
      <c r="S17">
        <v>422382</v>
      </c>
      <c r="T17">
        <v>15206</v>
      </c>
      <c r="U17">
        <v>971332</v>
      </c>
      <c r="V17">
        <v>26594</v>
      </c>
      <c r="W17">
        <v>1258</v>
      </c>
      <c r="X17">
        <v>306250</v>
      </c>
      <c r="Y17">
        <v>1291</v>
      </c>
      <c r="Z17">
        <v>342603</v>
      </c>
      <c r="AA17">
        <v>348</v>
      </c>
    </row>
    <row r="18" spans="1:27" x14ac:dyDescent="0.4">
      <c r="A18" s="1" t="s">
        <v>24</v>
      </c>
      <c r="B18" s="1" t="s">
        <v>25</v>
      </c>
      <c r="C18">
        <v>4372</v>
      </c>
      <c r="D18">
        <v>65966</v>
      </c>
      <c r="E18">
        <v>20953</v>
      </c>
      <c r="F18">
        <v>442530</v>
      </c>
      <c r="G18">
        <v>23740</v>
      </c>
      <c r="H18">
        <v>46906</v>
      </c>
      <c r="I18">
        <v>4926250</v>
      </c>
      <c r="J18">
        <v>58171</v>
      </c>
      <c r="K18">
        <v>5821406</v>
      </c>
      <c r="L18">
        <v>45223</v>
      </c>
      <c r="M18">
        <v>5000</v>
      </c>
      <c r="N18">
        <v>87078</v>
      </c>
      <c r="O18">
        <v>17883</v>
      </c>
      <c r="P18">
        <v>388495</v>
      </c>
      <c r="Q18">
        <v>59982</v>
      </c>
      <c r="R18">
        <v>6166</v>
      </c>
      <c r="S18">
        <v>497033</v>
      </c>
      <c r="T18">
        <v>16308</v>
      </c>
      <c r="U18">
        <v>1045750</v>
      </c>
      <c r="V18">
        <v>27026</v>
      </c>
      <c r="W18">
        <v>1230</v>
      </c>
      <c r="X18">
        <v>301555</v>
      </c>
      <c r="Y18">
        <v>1101</v>
      </c>
      <c r="Z18">
        <v>306487</v>
      </c>
      <c r="AA18">
        <v>490</v>
      </c>
    </row>
    <row r="19" spans="1:27" x14ac:dyDescent="0.4">
      <c r="A19" s="1" t="s">
        <v>26</v>
      </c>
      <c r="B19" s="1" t="s">
        <v>27</v>
      </c>
      <c r="C19">
        <v>5155</v>
      </c>
      <c r="D19">
        <v>81892</v>
      </c>
      <c r="E19">
        <v>22638</v>
      </c>
      <c r="F19">
        <v>434757</v>
      </c>
      <c r="G19">
        <v>23803</v>
      </c>
      <c r="H19">
        <v>36877</v>
      </c>
      <c r="I19">
        <v>3895973</v>
      </c>
      <c r="J19">
        <v>53343</v>
      </c>
      <c r="K19">
        <v>5331130</v>
      </c>
      <c r="L19">
        <v>42311</v>
      </c>
      <c r="M19">
        <v>3922</v>
      </c>
      <c r="N19">
        <v>68818</v>
      </c>
      <c r="O19">
        <v>14826</v>
      </c>
      <c r="P19">
        <v>303085</v>
      </c>
      <c r="Q19">
        <v>60858</v>
      </c>
      <c r="R19">
        <v>6114</v>
      </c>
      <c r="S19">
        <v>476882</v>
      </c>
      <c r="T19">
        <v>15285</v>
      </c>
      <c r="U19">
        <v>987863</v>
      </c>
      <c r="V19">
        <v>26489</v>
      </c>
      <c r="W19">
        <v>996</v>
      </c>
      <c r="X19">
        <v>239823</v>
      </c>
      <c r="Y19">
        <v>950</v>
      </c>
      <c r="Z19">
        <v>252047</v>
      </c>
      <c r="AA19">
        <v>541</v>
      </c>
    </row>
    <row r="20" spans="1:27" x14ac:dyDescent="0.4">
      <c r="A20" s="1" t="s">
        <v>28</v>
      </c>
      <c r="B20" s="1" t="s">
        <v>29</v>
      </c>
      <c r="C20">
        <v>6556</v>
      </c>
      <c r="D20">
        <v>104946</v>
      </c>
      <c r="E20">
        <v>24820</v>
      </c>
      <c r="F20">
        <v>503923</v>
      </c>
      <c r="G20">
        <v>28055</v>
      </c>
      <c r="H20">
        <v>46954</v>
      </c>
      <c r="I20">
        <v>4930071</v>
      </c>
      <c r="J20">
        <v>60582</v>
      </c>
      <c r="K20">
        <v>6043080</v>
      </c>
      <c r="L20">
        <v>42094</v>
      </c>
      <c r="M20">
        <v>3572</v>
      </c>
      <c r="N20">
        <v>58734</v>
      </c>
      <c r="O20">
        <v>13044</v>
      </c>
      <c r="P20">
        <v>304243</v>
      </c>
      <c r="Q20">
        <v>59154</v>
      </c>
      <c r="R20">
        <v>7370</v>
      </c>
      <c r="S20">
        <v>607387</v>
      </c>
      <c r="T20">
        <v>18392</v>
      </c>
      <c r="U20">
        <v>1226665</v>
      </c>
      <c r="V20">
        <v>24119</v>
      </c>
      <c r="W20">
        <v>1170</v>
      </c>
      <c r="X20">
        <v>282405</v>
      </c>
      <c r="Y20">
        <v>1066</v>
      </c>
      <c r="Z20">
        <v>283775</v>
      </c>
      <c r="AA20">
        <v>669</v>
      </c>
    </row>
    <row r="21" spans="1:27" x14ac:dyDescent="0.4">
      <c r="A21" s="1" t="s">
        <v>30</v>
      </c>
      <c r="B21" s="1" t="s">
        <v>31</v>
      </c>
      <c r="C21">
        <v>6945</v>
      </c>
      <c r="D21">
        <v>109562</v>
      </c>
      <c r="E21">
        <v>30295</v>
      </c>
      <c r="F21">
        <v>599241</v>
      </c>
      <c r="G21">
        <v>26821</v>
      </c>
      <c r="H21">
        <v>52596</v>
      </c>
      <c r="I21">
        <v>5670366</v>
      </c>
      <c r="J21">
        <v>54663</v>
      </c>
      <c r="K21">
        <v>5471133</v>
      </c>
      <c r="L21">
        <v>54168</v>
      </c>
      <c r="M21">
        <v>5402</v>
      </c>
      <c r="N21">
        <v>166393</v>
      </c>
      <c r="O21">
        <v>14912</v>
      </c>
      <c r="P21">
        <v>358826</v>
      </c>
      <c r="Q21">
        <v>62515</v>
      </c>
      <c r="R21">
        <v>7168</v>
      </c>
      <c r="S21">
        <v>568565</v>
      </c>
      <c r="T21">
        <v>19547</v>
      </c>
      <c r="U21">
        <v>1231870</v>
      </c>
      <c r="V21">
        <v>22640</v>
      </c>
      <c r="W21">
        <v>1156</v>
      </c>
      <c r="X21">
        <v>280565</v>
      </c>
      <c r="Y21">
        <v>1128</v>
      </c>
      <c r="Z21">
        <v>305072</v>
      </c>
      <c r="AA21">
        <v>711</v>
      </c>
    </row>
    <row r="22" spans="1:27" x14ac:dyDescent="0.4">
      <c r="A22" s="1" t="s">
        <v>32</v>
      </c>
      <c r="B22" s="1" t="s">
        <v>33</v>
      </c>
      <c r="C22">
        <v>5632</v>
      </c>
      <c r="D22">
        <v>87955</v>
      </c>
      <c r="E22">
        <v>33524</v>
      </c>
      <c r="F22">
        <v>729624</v>
      </c>
      <c r="G22">
        <v>27745</v>
      </c>
      <c r="H22">
        <v>52521</v>
      </c>
      <c r="I22">
        <v>5791078</v>
      </c>
      <c r="J22">
        <v>58029</v>
      </c>
      <c r="K22">
        <v>5899688</v>
      </c>
      <c r="L22">
        <v>65008</v>
      </c>
      <c r="M22">
        <v>3873</v>
      </c>
      <c r="N22">
        <v>119731</v>
      </c>
      <c r="O22">
        <v>14221</v>
      </c>
      <c r="P22">
        <v>373454</v>
      </c>
      <c r="Q22">
        <v>60613</v>
      </c>
      <c r="R22">
        <v>7896</v>
      </c>
      <c r="S22">
        <v>632349</v>
      </c>
      <c r="T22">
        <v>19047</v>
      </c>
      <c r="U22">
        <v>1231658</v>
      </c>
      <c r="V22">
        <v>22610</v>
      </c>
      <c r="W22">
        <v>1007</v>
      </c>
      <c r="X22">
        <v>249849</v>
      </c>
      <c r="Y22">
        <v>1041</v>
      </c>
      <c r="Z22">
        <v>294261</v>
      </c>
      <c r="AA22">
        <v>695</v>
      </c>
    </row>
    <row r="23" spans="1:27" x14ac:dyDescent="0.4">
      <c r="A23" s="1" t="s">
        <v>34</v>
      </c>
      <c r="B23" s="1" t="s">
        <v>35</v>
      </c>
      <c r="C23">
        <v>5542</v>
      </c>
      <c r="D23">
        <v>86988</v>
      </c>
      <c r="E23">
        <v>31921</v>
      </c>
      <c r="F23">
        <v>678160</v>
      </c>
      <c r="G23">
        <v>31442</v>
      </c>
      <c r="H23">
        <v>51674</v>
      </c>
      <c r="I23">
        <v>5563294</v>
      </c>
      <c r="J23">
        <v>70068</v>
      </c>
      <c r="K23">
        <v>7264132</v>
      </c>
      <c r="L23">
        <v>68536</v>
      </c>
      <c r="M23">
        <v>3420</v>
      </c>
      <c r="N23">
        <v>81693</v>
      </c>
      <c r="O23">
        <v>17106</v>
      </c>
      <c r="P23">
        <v>397436</v>
      </c>
      <c r="Q23">
        <v>53026</v>
      </c>
      <c r="R23">
        <v>7199</v>
      </c>
      <c r="S23">
        <v>589327</v>
      </c>
      <c r="T23">
        <v>17767</v>
      </c>
      <c r="U23">
        <v>1200823</v>
      </c>
      <c r="V23">
        <v>23208</v>
      </c>
      <c r="W23">
        <v>982</v>
      </c>
      <c r="X23">
        <v>243450</v>
      </c>
      <c r="Y23">
        <v>876</v>
      </c>
      <c r="Z23">
        <v>255642</v>
      </c>
      <c r="AA23">
        <v>814</v>
      </c>
    </row>
    <row r="24" spans="1:27" x14ac:dyDescent="0.4">
      <c r="A24" s="1" t="s">
        <v>36</v>
      </c>
      <c r="B24" s="1" t="s">
        <v>37</v>
      </c>
      <c r="C24">
        <v>4596</v>
      </c>
      <c r="D24">
        <v>74051</v>
      </c>
      <c r="E24">
        <v>37703</v>
      </c>
      <c r="F24">
        <v>958427</v>
      </c>
      <c r="G24">
        <v>27984</v>
      </c>
      <c r="H24">
        <v>49451</v>
      </c>
      <c r="I24">
        <v>5316611</v>
      </c>
      <c r="J24">
        <v>73032</v>
      </c>
      <c r="K24">
        <v>7368571</v>
      </c>
      <c r="L24">
        <v>60941</v>
      </c>
      <c r="M24">
        <v>3706</v>
      </c>
      <c r="N24">
        <v>84895</v>
      </c>
      <c r="O24">
        <v>13373</v>
      </c>
      <c r="P24">
        <v>306373</v>
      </c>
      <c r="Q24">
        <v>52145</v>
      </c>
      <c r="R24">
        <v>5013</v>
      </c>
      <c r="S24">
        <v>408513</v>
      </c>
      <c r="T24">
        <v>15276</v>
      </c>
      <c r="U24">
        <v>978845</v>
      </c>
      <c r="V24">
        <v>25140</v>
      </c>
      <c r="W24">
        <v>997</v>
      </c>
      <c r="X24">
        <v>241802</v>
      </c>
      <c r="Y24">
        <v>816</v>
      </c>
      <c r="Z24">
        <v>232841</v>
      </c>
      <c r="AA24">
        <v>1005</v>
      </c>
    </row>
    <row r="25" spans="1:27" x14ac:dyDescent="0.4">
      <c r="A25" s="1" t="s">
        <v>38</v>
      </c>
      <c r="B25" s="1" t="s">
        <v>39</v>
      </c>
      <c r="C25">
        <v>5828</v>
      </c>
      <c r="D25">
        <v>94556</v>
      </c>
      <c r="E25">
        <v>38214</v>
      </c>
      <c r="F25">
        <v>911352</v>
      </c>
      <c r="G25">
        <v>31730</v>
      </c>
      <c r="H25">
        <v>54315</v>
      </c>
      <c r="I25">
        <v>5966776</v>
      </c>
      <c r="J25">
        <v>70265</v>
      </c>
      <c r="K25">
        <v>7407473</v>
      </c>
      <c r="L25">
        <v>56123</v>
      </c>
      <c r="M25">
        <v>4247</v>
      </c>
      <c r="N25">
        <v>85379</v>
      </c>
      <c r="O25">
        <v>15267</v>
      </c>
      <c r="P25">
        <v>333691</v>
      </c>
      <c r="Q25">
        <v>56622</v>
      </c>
      <c r="R25">
        <v>7108</v>
      </c>
      <c r="S25">
        <v>556256</v>
      </c>
      <c r="T25">
        <v>16275</v>
      </c>
      <c r="U25">
        <v>1056714</v>
      </c>
      <c r="V25">
        <v>25435</v>
      </c>
      <c r="W25">
        <v>1028</v>
      </c>
      <c r="X25">
        <v>248015</v>
      </c>
      <c r="Y25">
        <v>966</v>
      </c>
      <c r="Z25">
        <v>277768</v>
      </c>
      <c r="AA25">
        <v>1087</v>
      </c>
    </row>
    <row r="26" spans="1:27" x14ac:dyDescent="0.4">
      <c r="A26" s="1" t="s">
        <v>40</v>
      </c>
      <c r="B26" s="1" t="s">
        <v>41</v>
      </c>
      <c r="C26">
        <v>6823</v>
      </c>
      <c r="D26">
        <v>109763</v>
      </c>
      <c r="E26">
        <v>50900</v>
      </c>
      <c r="F26">
        <v>1098813</v>
      </c>
      <c r="G26">
        <v>29588</v>
      </c>
      <c r="H26">
        <v>56715</v>
      </c>
      <c r="I26">
        <v>6347572</v>
      </c>
      <c r="J26">
        <v>84621</v>
      </c>
      <c r="K26">
        <v>8900111</v>
      </c>
      <c r="L26">
        <v>42736</v>
      </c>
      <c r="M26">
        <v>4039</v>
      </c>
      <c r="N26">
        <v>98591</v>
      </c>
      <c r="O26">
        <v>17203</v>
      </c>
      <c r="P26">
        <v>408068</v>
      </c>
      <c r="Q26">
        <v>59631</v>
      </c>
      <c r="R26">
        <v>6922</v>
      </c>
      <c r="S26">
        <v>555995</v>
      </c>
      <c r="T26">
        <v>20083</v>
      </c>
      <c r="U26">
        <v>1258466</v>
      </c>
      <c r="V26">
        <v>24396</v>
      </c>
      <c r="W26">
        <v>1159</v>
      </c>
      <c r="X26">
        <v>281184</v>
      </c>
      <c r="Y26">
        <v>1281</v>
      </c>
      <c r="Z26">
        <v>343752</v>
      </c>
      <c r="AA26">
        <v>976</v>
      </c>
    </row>
    <row r="27" spans="1:27" x14ac:dyDescent="0.4">
      <c r="A27" s="1" t="s">
        <v>42</v>
      </c>
      <c r="B27" s="1" t="s">
        <v>43</v>
      </c>
      <c r="C27">
        <v>8561</v>
      </c>
      <c r="D27">
        <v>140166</v>
      </c>
      <c r="E27">
        <v>45364</v>
      </c>
      <c r="F27">
        <v>863193</v>
      </c>
      <c r="G27">
        <v>33066</v>
      </c>
      <c r="H27">
        <v>53058</v>
      </c>
      <c r="I27">
        <v>5681316</v>
      </c>
      <c r="J27">
        <v>68531</v>
      </c>
      <c r="K27">
        <v>7143068</v>
      </c>
      <c r="L27">
        <v>43833</v>
      </c>
      <c r="M27">
        <v>3650</v>
      </c>
      <c r="N27">
        <v>96285</v>
      </c>
      <c r="O27">
        <v>23892</v>
      </c>
      <c r="P27">
        <v>543784</v>
      </c>
      <c r="Q27">
        <v>59876</v>
      </c>
      <c r="R27">
        <v>7029</v>
      </c>
      <c r="S27">
        <v>553322</v>
      </c>
      <c r="T27">
        <v>19476</v>
      </c>
      <c r="U27">
        <v>1243342</v>
      </c>
      <c r="V27">
        <v>23030</v>
      </c>
      <c r="W27">
        <v>766</v>
      </c>
      <c r="X27">
        <v>190898</v>
      </c>
      <c r="Y27">
        <v>1141</v>
      </c>
      <c r="Z27">
        <v>297257</v>
      </c>
      <c r="AA27">
        <v>604</v>
      </c>
    </row>
    <row r="28" spans="1:27" x14ac:dyDescent="0.4">
      <c r="A28" s="1" t="s">
        <v>44</v>
      </c>
      <c r="B28" s="1" t="s">
        <v>45</v>
      </c>
      <c r="C28">
        <v>4389</v>
      </c>
      <c r="D28">
        <v>69107</v>
      </c>
      <c r="E28">
        <v>25293</v>
      </c>
      <c r="F28">
        <v>499996</v>
      </c>
      <c r="G28">
        <v>33690</v>
      </c>
      <c r="H28">
        <v>49488</v>
      </c>
      <c r="I28">
        <v>5287201</v>
      </c>
      <c r="J28">
        <v>64454</v>
      </c>
      <c r="K28">
        <v>6544439</v>
      </c>
      <c r="L28">
        <v>45440</v>
      </c>
      <c r="M28">
        <v>4083</v>
      </c>
      <c r="N28">
        <v>94956</v>
      </c>
      <c r="O28">
        <v>17463</v>
      </c>
      <c r="P28">
        <v>394509</v>
      </c>
      <c r="Q28">
        <v>63564</v>
      </c>
      <c r="R28">
        <v>6237</v>
      </c>
      <c r="S28">
        <v>498270</v>
      </c>
      <c r="T28">
        <v>17532</v>
      </c>
      <c r="U28">
        <v>1119818</v>
      </c>
      <c r="V28">
        <v>24136</v>
      </c>
      <c r="W28">
        <v>780</v>
      </c>
      <c r="X28">
        <v>197988</v>
      </c>
      <c r="Y28">
        <v>1128</v>
      </c>
      <c r="Z28">
        <v>308857</v>
      </c>
      <c r="AA28">
        <v>264</v>
      </c>
    </row>
    <row r="29" spans="1:27" x14ac:dyDescent="0.4">
      <c r="A29" s="1" t="s">
        <v>46</v>
      </c>
      <c r="B29" s="1" t="s">
        <v>47</v>
      </c>
      <c r="C29">
        <v>3937</v>
      </c>
      <c r="D29">
        <v>62577</v>
      </c>
      <c r="E29">
        <v>23582</v>
      </c>
      <c r="F29">
        <v>435695</v>
      </c>
      <c r="G29">
        <v>32079</v>
      </c>
      <c r="H29">
        <v>46386</v>
      </c>
      <c r="I29">
        <v>4958064</v>
      </c>
      <c r="J29">
        <v>55185</v>
      </c>
      <c r="K29">
        <v>5626352</v>
      </c>
      <c r="L29">
        <v>50929</v>
      </c>
      <c r="M29">
        <v>3934</v>
      </c>
      <c r="N29">
        <v>93102</v>
      </c>
      <c r="O29">
        <v>16797</v>
      </c>
      <c r="P29">
        <v>356296</v>
      </c>
      <c r="Q29">
        <v>63442</v>
      </c>
      <c r="R29">
        <v>7301</v>
      </c>
      <c r="S29">
        <v>582402</v>
      </c>
      <c r="T29">
        <v>17624</v>
      </c>
      <c r="U29">
        <v>1161528</v>
      </c>
      <c r="V29">
        <v>24534</v>
      </c>
      <c r="W29">
        <v>979</v>
      </c>
      <c r="X29">
        <v>253165</v>
      </c>
      <c r="Y29">
        <v>1146</v>
      </c>
      <c r="Z29">
        <v>310802</v>
      </c>
      <c r="AA29">
        <v>106</v>
      </c>
    </row>
    <row r="30" spans="1:27" x14ac:dyDescent="0.4">
      <c r="A30" s="1" t="s">
        <v>48</v>
      </c>
      <c r="B30" s="1" t="s">
        <v>49</v>
      </c>
      <c r="C30">
        <v>4215</v>
      </c>
      <c r="D30">
        <v>68337</v>
      </c>
      <c r="E30">
        <v>23629</v>
      </c>
      <c r="F30">
        <v>482102</v>
      </c>
      <c r="G30">
        <v>29341</v>
      </c>
      <c r="H30">
        <v>50052</v>
      </c>
      <c r="I30">
        <v>5433620</v>
      </c>
      <c r="J30">
        <v>55523</v>
      </c>
      <c r="K30">
        <v>5784503</v>
      </c>
      <c r="L30">
        <v>55346</v>
      </c>
      <c r="M30">
        <v>3694</v>
      </c>
      <c r="N30">
        <v>90056</v>
      </c>
      <c r="O30">
        <v>14886</v>
      </c>
      <c r="P30">
        <v>348021</v>
      </c>
      <c r="Q30">
        <v>63032</v>
      </c>
      <c r="R30">
        <v>5578</v>
      </c>
      <c r="S30">
        <v>441589</v>
      </c>
      <c r="T30">
        <v>15386</v>
      </c>
      <c r="U30">
        <v>992857</v>
      </c>
      <c r="V30">
        <v>27211</v>
      </c>
      <c r="W30">
        <v>1470</v>
      </c>
      <c r="X30">
        <v>380421</v>
      </c>
      <c r="Y30">
        <v>1309</v>
      </c>
      <c r="Z30">
        <v>369482</v>
      </c>
      <c r="AA30">
        <v>274</v>
      </c>
    </row>
    <row r="31" spans="1:27" x14ac:dyDescent="0.4">
      <c r="A31" s="1" t="s">
        <v>50</v>
      </c>
      <c r="B31" s="1" t="s">
        <v>51</v>
      </c>
      <c r="C31">
        <v>4043</v>
      </c>
      <c r="D31">
        <v>64809</v>
      </c>
      <c r="E31">
        <v>19917</v>
      </c>
      <c r="F31">
        <v>405623</v>
      </c>
      <c r="G31">
        <v>26191</v>
      </c>
      <c r="H31">
        <v>38242</v>
      </c>
      <c r="I31">
        <v>4118901</v>
      </c>
      <c r="J31">
        <v>49935</v>
      </c>
      <c r="K31">
        <v>5106001</v>
      </c>
      <c r="L31">
        <v>58375</v>
      </c>
      <c r="M31">
        <v>3398</v>
      </c>
      <c r="N31">
        <v>84582</v>
      </c>
      <c r="O31">
        <v>14571</v>
      </c>
      <c r="P31">
        <v>300979</v>
      </c>
      <c r="Q31">
        <v>62068</v>
      </c>
      <c r="R31">
        <v>5910</v>
      </c>
      <c r="S31">
        <v>476930</v>
      </c>
      <c r="T31">
        <v>15038</v>
      </c>
      <c r="U31">
        <v>972246</v>
      </c>
      <c r="V31">
        <v>25257</v>
      </c>
      <c r="W31">
        <v>968</v>
      </c>
      <c r="X31">
        <v>264371</v>
      </c>
      <c r="Y31">
        <v>876</v>
      </c>
      <c r="Z31">
        <v>302870</v>
      </c>
      <c r="AA31">
        <v>374</v>
      </c>
    </row>
    <row r="32" spans="1:27" x14ac:dyDescent="0.4">
      <c r="A32" s="1" t="s">
        <v>52</v>
      </c>
      <c r="B32" s="1" t="s">
        <v>53</v>
      </c>
      <c r="C32">
        <v>5417</v>
      </c>
      <c r="D32">
        <v>89893</v>
      </c>
      <c r="E32">
        <v>25802</v>
      </c>
      <c r="F32">
        <v>508459</v>
      </c>
      <c r="G32">
        <v>24594</v>
      </c>
      <c r="H32">
        <v>47731</v>
      </c>
      <c r="I32">
        <v>5212361</v>
      </c>
      <c r="J32">
        <v>56649</v>
      </c>
      <c r="K32">
        <v>5780978</v>
      </c>
      <c r="L32">
        <v>62271</v>
      </c>
      <c r="M32">
        <v>4234</v>
      </c>
      <c r="N32">
        <v>91029</v>
      </c>
      <c r="O32">
        <v>13998</v>
      </c>
      <c r="P32">
        <v>326516</v>
      </c>
      <c r="Q32">
        <v>62123</v>
      </c>
      <c r="R32">
        <v>7354</v>
      </c>
      <c r="S32">
        <v>585916</v>
      </c>
      <c r="T32">
        <v>18120</v>
      </c>
      <c r="U32">
        <v>1169566</v>
      </c>
      <c r="V32">
        <v>25511</v>
      </c>
      <c r="W32">
        <v>1245</v>
      </c>
      <c r="X32">
        <v>328256</v>
      </c>
      <c r="Y32">
        <v>1158</v>
      </c>
      <c r="Z32">
        <v>333963</v>
      </c>
      <c r="AA32">
        <v>468</v>
      </c>
    </row>
    <row r="33" spans="1:27" x14ac:dyDescent="0.4">
      <c r="A33" s="1" t="s">
        <v>54</v>
      </c>
      <c r="B33" s="1" t="s">
        <v>55</v>
      </c>
      <c r="C33">
        <v>4493</v>
      </c>
      <c r="D33">
        <v>72183</v>
      </c>
      <c r="E33">
        <v>27157</v>
      </c>
      <c r="F33">
        <v>531436</v>
      </c>
      <c r="G33">
        <v>23011</v>
      </c>
      <c r="H33">
        <v>49232</v>
      </c>
      <c r="I33">
        <v>5390550</v>
      </c>
      <c r="J33">
        <v>59267</v>
      </c>
      <c r="K33">
        <v>6006077</v>
      </c>
      <c r="L33">
        <v>69742</v>
      </c>
      <c r="M33">
        <v>4164</v>
      </c>
      <c r="N33">
        <v>105615</v>
      </c>
      <c r="O33">
        <v>15870</v>
      </c>
      <c r="P33">
        <v>357769</v>
      </c>
      <c r="Q33">
        <v>59861</v>
      </c>
      <c r="R33">
        <v>7091</v>
      </c>
      <c r="S33">
        <v>554120</v>
      </c>
      <c r="T33">
        <v>18093</v>
      </c>
      <c r="U33">
        <v>1174070</v>
      </c>
      <c r="V33">
        <v>24785</v>
      </c>
      <c r="W33">
        <v>1192</v>
      </c>
      <c r="X33">
        <v>320002</v>
      </c>
      <c r="Y33">
        <v>1242</v>
      </c>
      <c r="Z33">
        <v>358492</v>
      </c>
      <c r="AA33">
        <v>426</v>
      </c>
    </row>
    <row r="34" spans="1:27" x14ac:dyDescent="0.4">
      <c r="A34" s="1" t="s">
        <v>56</v>
      </c>
      <c r="B34" s="1" t="s">
        <v>57</v>
      </c>
      <c r="C34">
        <v>3941</v>
      </c>
      <c r="D34">
        <v>63308</v>
      </c>
      <c r="E34">
        <v>27365</v>
      </c>
      <c r="F34">
        <v>589306</v>
      </c>
      <c r="G34">
        <v>24788</v>
      </c>
      <c r="H34">
        <v>41464</v>
      </c>
      <c r="I34">
        <v>4536611</v>
      </c>
      <c r="J34">
        <v>51294</v>
      </c>
      <c r="K34">
        <v>5169419</v>
      </c>
      <c r="L34">
        <v>75046</v>
      </c>
      <c r="M34">
        <v>3700</v>
      </c>
      <c r="N34">
        <v>112991</v>
      </c>
      <c r="O34">
        <v>14954</v>
      </c>
      <c r="P34">
        <v>325179</v>
      </c>
      <c r="Q34">
        <v>59431</v>
      </c>
      <c r="R34">
        <v>7157</v>
      </c>
      <c r="S34">
        <v>583195</v>
      </c>
      <c r="T34">
        <v>17031</v>
      </c>
      <c r="U34">
        <v>1121649</v>
      </c>
      <c r="V34">
        <v>23081</v>
      </c>
      <c r="W34">
        <v>1070</v>
      </c>
      <c r="X34">
        <v>285761</v>
      </c>
      <c r="Y34">
        <v>945</v>
      </c>
      <c r="Z34">
        <v>276437</v>
      </c>
      <c r="AA34">
        <v>558</v>
      </c>
    </row>
    <row r="35" spans="1:27" x14ac:dyDescent="0.4">
      <c r="A35" s="1" t="s">
        <v>58</v>
      </c>
      <c r="B35" s="1" t="s">
        <v>59</v>
      </c>
      <c r="C35">
        <v>4302</v>
      </c>
      <c r="D35">
        <v>69928</v>
      </c>
      <c r="E35">
        <v>30706</v>
      </c>
      <c r="F35">
        <v>715583</v>
      </c>
      <c r="G35">
        <v>27641</v>
      </c>
      <c r="H35">
        <v>48940</v>
      </c>
      <c r="I35">
        <v>5160700</v>
      </c>
      <c r="J35">
        <v>76181</v>
      </c>
      <c r="K35">
        <v>7978616</v>
      </c>
      <c r="L35">
        <v>74407</v>
      </c>
      <c r="M35">
        <v>3210</v>
      </c>
      <c r="N35">
        <v>85188</v>
      </c>
      <c r="O35">
        <v>15354</v>
      </c>
      <c r="P35">
        <v>352278</v>
      </c>
      <c r="Q35">
        <v>56745</v>
      </c>
      <c r="R35">
        <v>6993</v>
      </c>
      <c r="S35">
        <v>566778</v>
      </c>
      <c r="T35">
        <v>16092</v>
      </c>
      <c r="U35">
        <v>1108660</v>
      </c>
      <c r="V35">
        <v>23084</v>
      </c>
      <c r="W35">
        <v>1035</v>
      </c>
      <c r="X35">
        <v>269264</v>
      </c>
      <c r="Y35">
        <v>914</v>
      </c>
      <c r="Z35">
        <v>260390</v>
      </c>
      <c r="AA35">
        <v>684</v>
      </c>
    </row>
    <row r="36" spans="1:27" x14ac:dyDescent="0.4">
      <c r="A36" s="1" t="s">
        <v>60</v>
      </c>
      <c r="B36" s="1" t="s">
        <v>61</v>
      </c>
      <c r="C36">
        <v>4066</v>
      </c>
      <c r="D36">
        <v>66600</v>
      </c>
      <c r="E36">
        <v>36926</v>
      </c>
      <c r="F36">
        <v>930039</v>
      </c>
      <c r="G36">
        <v>25468</v>
      </c>
      <c r="H36">
        <v>51138</v>
      </c>
      <c r="I36">
        <v>5375556</v>
      </c>
      <c r="J36">
        <v>80759</v>
      </c>
      <c r="K36">
        <v>8276694</v>
      </c>
      <c r="L36">
        <v>71068</v>
      </c>
      <c r="M36">
        <v>3636</v>
      </c>
      <c r="N36">
        <v>90732</v>
      </c>
      <c r="O36">
        <v>13119</v>
      </c>
      <c r="P36">
        <v>299000</v>
      </c>
      <c r="Q36">
        <v>55265</v>
      </c>
      <c r="R36">
        <v>5482</v>
      </c>
      <c r="S36">
        <v>439995</v>
      </c>
      <c r="T36">
        <v>15502</v>
      </c>
      <c r="U36">
        <v>982226</v>
      </c>
      <c r="V36">
        <v>23162</v>
      </c>
      <c r="W36">
        <v>1039</v>
      </c>
      <c r="X36">
        <v>263193</v>
      </c>
      <c r="Y36">
        <v>841</v>
      </c>
      <c r="Z36">
        <v>235483</v>
      </c>
      <c r="AA36">
        <v>888</v>
      </c>
    </row>
    <row r="37" spans="1:27" x14ac:dyDescent="0.4">
      <c r="A37" s="1" t="s">
        <v>62</v>
      </c>
      <c r="B37" s="1" t="s">
        <v>63</v>
      </c>
      <c r="C37">
        <v>4597</v>
      </c>
      <c r="D37">
        <v>70882</v>
      </c>
      <c r="E37">
        <v>34604</v>
      </c>
      <c r="F37">
        <v>801276</v>
      </c>
      <c r="G37">
        <v>25930</v>
      </c>
      <c r="H37">
        <v>57011</v>
      </c>
      <c r="I37">
        <v>6164710</v>
      </c>
      <c r="J37">
        <v>77232</v>
      </c>
      <c r="K37">
        <v>7980842</v>
      </c>
      <c r="L37">
        <v>61326</v>
      </c>
      <c r="M37">
        <v>4615</v>
      </c>
      <c r="N37">
        <v>141593</v>
      </c>
      <c r="O37">
        <v>15396</v>
      </c>
      <c r="P37">
        <v>352800</v>
      </c>
      <c r="Q37">
        <v>57216</v>
      </c>
      <c r="R37">
        <v>7001</v>
      </c>
      <c r="S37">
        <v>562232</v>
      </c>
      <c r="T37">
        <v>15244</v>
      </c>
      <c r="U37">
        <v>1020024</v>
      </c>
      <c r="V37">
        <v>23742</v>
      </c>
      <c r="W37">
        <v>997</v>
      </c>
      <c r="X37">
        <v>264187</v>
      </c>
      <c r="Y37">
        <v>921</v>
      </c>
      <c r="Z37">
        <v>275068</v>
      </c>
      <c r="AA37">
        <v>979</v>
      </c>
    </row>
    <row r="38" spans="1:27" x14ac:dyDescent="0.4">
      <c r="A38" s="1" t="s">
        <v>64</v>
      </c>
      <c r="B38" s="1" t="s">
        <v>65</v>
      </c>
      <c r="C38">
        <v>6356</v>
      </c>
      <c r="D38">
        <v>103644</v>
      </c>
      <c r="E38">
        <v>49282</v>
      </c>
      <c r="F38">
        <v>1115109</v>
      </c>
      <c r="G38">
        <v>23706</v>
      </c>
      <c r="H38">
        <v>57292</v>
      </c>
      <c r="I38">
        <v>6216444</v>
      </c>
      <c r="J38">
        <v>85351</v>
      </c>
      <c r="K38">
        <v>9026038</v>
      </c>
      <c r="L38">
        <v>47150</v>
      </c>
      <c r="M38">
        <v>5082</v>
      </c>
      <c r="N38">
        <v>173413</v>
      </c>
      <c r="O38">
        <v>20002</v>
      </c>
      <c r="P38">
        <v>476545</v>
      </c>
      <c r="Q38">
        <v>59713</v>
      </c>
      <c r="R38">
        <v>7451</v>
      </c>
      <c r="S38">
        <v>599185</v>
      </c>
      <c r="T38">
        <v>18855</v>
      </c>
      <c r="U38">
        <v>1232926</v>
      </c>
      <c r="V38">
        <v>20409</v>
      </c>
      <c r="W38">
        <v>1115</v>
      </c>
      <c r="X38">
        <v>292948</v>
      </c>
      <c r="Y38">
        <v>1179</v>
      </c>
      <c r="Z38">
        <v>339492</v>
      </c>
      <c r="AA38">
        <v>919</v>
      </c>
    </row>
    <row r="39" spans="1:27" x14ac:dyDescent="0.4">
      <c r="A39" s="1"/>
      <c r="B39" s="1"/>
    </row>
    <row r="40" spans="1:27" x14ac:dyDescent="0.4">
      <c r="A40" s="1"/>
      <c r="B40" s="1"/>
    </row>
  </sheetData>
  <phoneticPr fontId="2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0DE48-4F94-41E2-BF23-4E56DEEF7804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1617</v>
      </c>
      <c r="D3" t="s">
        <v>1617</v>
      </c>
      <c r="E3" t="s">
        <v>1617</v>
      </c>
      <c r="F3" t="s">
        <v>1617</v>
      </c>
      <c r="G3" t="s">
        <v>1617</v>
      </c>
      <c r="H3" t="s">
        <v>1617</v>
      </c>
      <c r="I3" t="s">
        <v>1619</v>
      </c>
      <c r="J3" t="s">
        <v>1619</v>
      </c>
      <c r="K3" t="s">
        <v>1619</v>
      </c>
      <c r="L3" t="s">
        <v>1619</v>
      </c>
      <c r="M3" t="s">
        <v>1619</v>
      </c>
      <c r="N3" t="s">
        <v>1619</v>
      </c>
      <c r="O3" t="s">
        <v>1621</v>
      </c>
      <c r="P3" t="s">
        <v>1621</v>
      </c>
      <c r="Q3" t="s">
        <v>1621</v>
      </c>
      <c r="R3" t="s">
        <v>1621</v>
      </c>
      <c r="S3" t="s">
        <v>1621</v>
      </c>
      <c r="T3" t="s">
        <v>1621</v>
      </c>
      <c r="U3" t="s">
        <v>1623</v>
      </c>
      <c r="V3" t="s">
        <v>1623</v>
      </c>
      <c r="W3" t="s">
        <v>1623</v>
      </c>
      <c r="X3" t="s">
        <v>1623</v>
      </c>
      <c r="Y3" t="s">
        <v>1623</v>
      </c>
      <c r="Z3" t="s">
        <v>1623</v>
      </c>
    </row>
    <row r="4" spans="1:26" x14ac:dyDescent="0.4">
      <c r="A4" s="1"/>
      <c r="B4" s="2" t="s">
        <v>1</v>
      </c>
      <c r="C4" t="s">
        <v>1618</v>
      </c>
      <c r="D4" t="s">
        <v>1618</v>
      </c>
      <c r="E4" t="s">
        <v>1618</v>
      </c>
      <c r="F4" t="s">
        <v>1618</v>
      </c>
      <c r="G4" t="s">
        <v>1618</v>
      </c>
      <c r="H4" t="s">
        <v>1618</v>
      </c>
      <c r="I4" t="s">
        <v>1620</v>
      </c>
      <c r="J4" t="s">
        <v>1620</v>
      </c>
      <c r="K4" t="s">
        <v>1620</v>
      </c>
      <c r="L4" t="s">
        <v>1620</v>
      </c>
      <c r="M4" t="s">
        <v>1620</v>
      </c>
      <c r="N4" t="s">
        <v>1620</v>
      </c>
      <c r="O4" t="s">
        <v>1622</v>
      </c>
      <c r="P4" t="s">
        <v>1622</v>
      </c>
      <c r="Q4" t="s">
        <v>1622</v>
      </c>
      <c r="R4" t="s">
        <v>1622</v>
      </c>
      <c r="S4" t="s">
        <v>1622</v>
      </c>
      <c r="T4" t="s">
        <v>1622</v>
      </c>
      <c r="U4" t="s">
        <v>1624</v>
      </c>
      <c r="V4" t="s">
        <v>1624</v>
      </c>
      <c r="W4" t="s">
        <v>1624</v>
      </c>
      <c r="X4" t="s">
        <v>1624</v>
      </c>
      <c r="Y4" t="s">
        <v>1624</v>
      </c>
      <c r="Z4" t="s">
        <v>1624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258</v>
      </c>
      <c r="H7" t="s">
        <v>251</v>
      </c>
      <c r="I7" t="s">
        <v>251</v>
      </c>
      <c r="J7" t="s">
        <v>70</v>
      </c>
      <c r="K7" t="s">
        <v>258</v>
      </c>
      <c r="L7" t="s">
        <v>251</v>
      </c>
      <c r="M7" t="s">
        <v>258</v>
      </c>
      <c r="N7" t="s">
        <v>251</v>
      </c>
      <c r="O7" t="s">
        <v>251</v>
      </c>
      <c r="P7" t="s">
        <v>70</v>
      </c>
      <c r="Q7" t="s">
        <v>258</v>
      </c>
      <c r="R7" t="s">
        <v>251</v>
      </c>
      <c r="S7" t="s">
        <v>258</v>
      </c>
      <c r="T7" t="s">
        <v>251</v>
      </c>
      <c r="U7" t="s">
        <v>251</v>
      </c>
      <c r="V7" t="s">
        <v>70</v>
      </c>
      <c r="W7" t="s">
        <v>258</v>
      </c>
      <c r="X7" t="s">
        <v>251</v>
      </c>
      <c r="Y7" t="s">
        <v>258</v>
      </c>
      <c r="Z7" t="s">
        <v>251</v>
      </c>
    </row>
    <row r="8" spans="1:2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260</v>
      </c>
      <c r="H8" t="s">
        <v>253</v>
      </c>
      <c r="I8" t="s">
        <v>253</v>
      </c>
      <c r="J8" t="s">
        <v>70</v>
      </c>
      <c r="K8" t="s">
        <v>260</v>
      </c>
      <c r="L8" t="s">
        <v>253</v>
      </c>
      <c r="M8" t="s">
        <v>260</v>
      </c>
      <c r="N8" t="s">
        <v>253</v>
      </c>
      <c r="O8" t="s">
        <v>253</v>
      </c>
      <c r="P8" t="s">
        <v>70</v>
      </c>
      <c r="Q8" t="s">
        <v>260</v>
      </c>
      <c r="R8" t="s">
        <v>253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260</v>
      </c>
      <c r="Z8" t="s">
        <v>253</v>
      </c>
    </row>
    <row r="9" spans="1:26" x14ac:dyDescent="0.4">
      <c r="A9" s="1" t="s">
        <v>6</v>
      </c>
      <c r="B9" s="3" t="s">
        <v>7</v>
      </c>
      <c r="C9">
        <v>5980</v>
      </c>
      <c r="D9">
        <v>5337</v>
      </c>
      <c r="E9">
        <v>13506</v>
      </c>
      <c r="F9">
        <v>6014</v>
      </c>
      <c r="G9">
        <v>14078</v>
      </c>
      <c r="H9">
        <v>77</v>
      </c>
      <c r="I9">
        <v>61328</v>
      </c>
      <c r="J9">
        <v>172838</v>
      </c>
      <c r="K9">
        <v>120776</v>
      </c>
      <c r="L9">
        <v>61036</v>
      </c>
      <c r="M9">
        <v>120192</v>
      </c>
      <c r="N9">
        <v>1072</v>
      </c>
      <c r="O9">
        <v>58149</v>
      </c>
      <c r="P9">
        <v>222131</v>
      </c>
      <c r="Q9">
        <v>122795</v>
      </c>
      <c r="R9">
        <v>56888</v>
      </c>
      <c r="S9">
        <v>120189</v>
      </c>
      <c r="T9">
        <v>2461</v>
      </c>
      <c r="U9">
        <v>11205</v>
      </c>
      <c r="V9">
        <v>97334</v>
      </c>
      <c r="W9">
        <v>87056</v>
      </c>
      <c r="X9">
        <v>11231</v>
      </c>
      <c r="Y9">
        <v>88074</v>
      </c>
      <c r="Z9">
        <v>224</v>
      </c>
    </row>
    <row r="10" spans="1:26" x14ac:dyDescent="0.4">
      <c r="A10" s="1" t="s">
        <v>8</v>
      </c>
      <c r="B10" s="3" t="s">
        <v>9</v>
      </c>
      <c r="C10">
        <v>6038</v>
      </c>
      <c r="D10">
        <v>5313</v>
      </c>
      <c r="E10">
        <v>11979</v>
      </c>
      <c r="F10">
        <v>6173</v>
      </c>
      <c r="G10">
        <v>12873</v>
      </c>
      <c r="H10">
        <v>106</v>
      </c>
      <c r="I10">
        <v>67094</v>
      </c>
      <c r="J10">
        <v>188839</v>
      </c>
      <c r="K10">
        <v>135620</v>
      </c>
      <c r="L10">
        <v>66719</v>
      </c>
      <c r="M10">
        <v>134861</v>
      </c>
      <c r="N10">
        <v>1404</v>
      </c>
      <c r="O10">
        <v>59480</v>
      </c>
      <c r="P10">
        <v>234134</v>
      </c>
      <c r="Q10">
        <v>133080</v>
      </c>
      <c r="R10">
        <v>59614</v>
      </c>
      <c r="S10">
        <v>132922</v>
      </c>
      <c r="T10">
        <v>2322</v>
      </c>
      <c r="U10">
        <v>11795</v>
      </c>
      <c r="V10">
        <v>110326</v>
      </c>
      <c r="W10">
        <v>100050</v>
      </c>
      <c r="X10">
        <v>11711</v>
      </c>
      <c r="Y10">
        <v>99204</v>
      </c>
      <c r="Z10">
        <v>282</v>
      </c>
    </row>
    <row r="11" spans="1:26" x14ac:dyDescent="0.4">
      <c r="A11" s="1" t="s">
        <v>10</v>
      </c>
      <c r="B11" s="3" t="s">
        <v>11</v>
      </c>
      <c r="C11">
        <v>9417</v>
      </c>
      <c r="D11">
        <v>6880</v>
      </c>
      <c r="E11">
        <v>15708</v>
      </c>
      <c r="F11">
        <v>9614</v>
      </c>
      <c r="G11">
        <v>17767</v>
      </c>
      <c r="H11">
        <v>72</v>
      </c>
      <c r="I11">
        <v>67363</v>
      </c>
      <c r="J11">
        <v>189407</v>
      </c>
      <c r="K11">
        <v>154245</v>
      </c>
      <c r="L11">
        <v>67950</v>
      </c>
      <c r="M11">
        <v>156497</v>
      </c>
      <c r="N11">
        <v>1209</v>
      </c>
      <c r="O11">
        <v>37739</v>
      </c>
      <c r="P11">
        <v>158469</v>
      </c>
      <c r="Q11">
        <v>94322</v>
      </c>
      <c r="R11">
        <v>37972</v>
      </c>
      <c r="S11">
        <v>94466</v>
      </c>
      <c r="T11">
        <v>2076</v>
      </c>
      <c r="U11">
        <v>13322</v>
      </c>
      <c r="V11">
        <v>120475</v>
      </c>
      <c r="W11">
        <v>117549</v>
      </c>
      <c r="X11">
        <v>13279</v>
      </c>
      <c r="Y11">
        <v>117551</v>
      </c>
      <c r="Z11">
        <v>299</v>
      </c>
    </row>
    <row r="12" spans="1:26" x14ac:dyDescent="0.4">
      <c r="A12" s="1" t="s">
        <v>12</v>
      </c>
      <c r="B12" s="3" t="s">
        <v>13</v>
      </c>
      <c r="C12">
        <v>9053</v>
      </c>
      <c r="D12">
        <v>6672</v>
      </c>
      <c r="E12">
        <v>15108</v>
      </c>
      <c r="F12">
        <v>9179</v>
      </c>
      <c r="G12">
        <v>16391</v>
      </c>
      <c r="H12">
        <v>44</v>
      </c>
      <c r="I12">
        <v>64903</v>
      </c>
      <c r="J12">
        <v>181534</v>
      </c>
      <c r="K12">
        <v>158883</v>
      </c>
      <c r="L12">
        <v>65374</v>
      </c>
      <c r="M12">
        <v>160760</v>
      </c>
      <c r="N12">
        <v>1175</v>
      </c>
      <c r="O12">
        <v>33720</v>
      </c>
      <c r="P12">
        <v>143993</v>
      </c>
      <c r="Q12">
        <v>90781</v>
      </c>
      <c r="R12">
        <v>34177</v>
      </c>
      <c r="S12">
        <v>91748</v>
      </c>
      <c r="T12">
        <v>1594</v>
      </c>
      <c r="U12">
        <v>13002</v>
      </c>
      <c r="V12">
        <v>124011</v>
      </c>
      <c r="W12">
        <v>127780</v>
      </c>
      <c r="X12">
        <v>12999</v>
      </c>
      <c r="Y12">
        <v>127384</v>
      </c>
      <c r="Z12">
        <v>275</v>
      </c>
    </row>
    <row r="13" spans="1:26" x14ac:dyDescent="0.4">
      <c r="A13" s="1" t="s">
        <v>14</v>
      </c>
      <c r="B13" s="3" t="s">
        <v>15</v>
      </c>
      <c r="C13">
        <v>9201</v>
      </c>
      <c r="D13">
        <v>7467</v>
      </c>
      <c r="E13">
        <v>17623</v>
      </c>
      <c r="F13">
        <v>9210</v>
      </c>
      <c r="G13">
        <v>19166</v>
      </c>
      <c r="H13">
        <v>97</v>
      </c>
      <c r="I13">
        <v>63468</v>
      </c>
      <c r="J13">
        <v>177992</v>
      </c>
      <c r="K13">
        <v>158774</v>
      </c>
      <c r="L13">
        <v>63915</v>
      </c>
      <c r="M13">
        <v>160219</v>
      </c>
      <c r="N13">
        <v>1202</v>
      </c>
      <c r="O13">
        <v>41034</v>
      </c>
      <c r="P13">
        <v>173239</v>
      </c>
      <c r="Q13">
        <v>125887</v>
      </c>
      <c r="R13">
        <v>41350</v>
      </c>
      <c r="S13">
        <v>128394</v>
      </c>
      <c r="T13">
        <v>1226</v>
      </c>
      <c r="U13">
        <v>10538</v>
      </c>
      <c r="V13">
        <v>104338</v>
      </c>
      <c r="W13">
        <v>110172</v>
      </c>
      <c r="X13">
        <v>10564</v>
      </c>
      <c r="Y13">
        <v>110527</v>
      </c>
      <c r="Z13">
        <v>236</v>
      </c>
    </row>
    <row r="14" spans="1:26" x14ac:dyDescent="0.4">
      <c r="A14" s="1" t="s">
        <v>16</v>
      </c>
      <c r="B14" s="1" t="s">
        <v>17</v>
      </c>
      <c r="C14">
        <v>836</v>
      </c>
      <c r="D14">
        <v>650</v>
      </c>
      <c r="E14">
        <v>1516</v>
      </c>
      <c r="F14">
        <v>882</v>
      </c>
      <c r="G14">
        <v>1631</v>
      </c>
      <c r="H14">
        <v>71</v>
      </c>
      <c r="I14">
        <v>5425</v>
      </c>
      <c r="J14">
        <v>15159</v>
      </c>
      <c r="K14">
        <v>13171</v>
      </c>
      <c r="L14">
        <v>5690</v>
      </c>
      <c r="M14">
        <v>13849</v>
      </c>
      <c r="N14">
        <v>1147</v>
      </c>
      <c r="O14">
        <v>2474</v>
      </c>
      <c r="P14">
        <v>10994</v>
      </c>
      <c r="Q14">
        <v>6859</v>
      </c>
      <c r="R14">
        <v>2771</v>
      </c>
      <c r="S14">
        <v>7527</v>
      </c>
      <c r="T14">
        <v>1952</v>
      </c>
      <c r="U14">
        <v>1022</v>
      </c>
      <c r="V14">
        <v>10483</v>
      </c>
      <c r="W14">
        <v>10501</v>
      </c>
      <c r="X14">
        <v>1009</v>
      </c>
      <c r="Y14">
        <v>10348</v>
      </c>
      <c r="Z14">
        <v>352</v>
      </c>
    </row>
    <row r="15" spans="1:26" x14ac:dyDescent="0.4">
      <c r="A15" s="1" t="s">
        <v>18</v>
      </c>
      <c r="B15" s="1" t="s">
        <v>19</v>
      </c>
      <c r="C15">
        <v>603</v>
      </c>
      <c r="D15">
        <v>494</v>
      </c>
      <c r="E15">
        <v>1139</v>
      </c>
      <c r="F15">
        <v>626</v>
      </c>
      <c r="G15">
        <v>1213</v>
      </c>
      <c r="H15">
        <v>46</v>
      </c>
      <c r="I15">
        <v>5468</v>
      </c>
      <c r="J15">
        <v>15240</v>
      </c>
      <c r="K15">
        <v>13157</v>
      </c>
      <c r="L15">
        <v>5626</v>
      </c>
      <c r="M15">
        <v>13733</v>
      </c>
      <c r="N15">
        <v>1031</v>
      </c>
      <c r="O15">
        <v>2613</v>
      </c>
      <c r="P15">
        <v>11317</v>
      </c>
      <c r="Q15">
        <v>7142</v>
      </c>
      <c r="R15">
        <v>2806</v>
      </c>
      <c r="S15">
        <v>7494</v>
      </c>
      <c r="T15">
        <v>1757</v>
      </c>
      <c r="U15">
        <v>1107</v>
      </c>
      <c r="V15">
        <v>10965</v>
      </c>
      <c r="W15">
        <v>11413</v>
      </c>
      <c r="X15">
        <v>949</v>
      </c>
      <c r="Y15">
        <v>10714</v>
      </c>
      <c r="Z15">
        <v>510</v>
      </c>
    </row>
    <row r="16" spans="1:26" x14ac:dyDescent="0.4">
      <c r="A16" s="1" t="s">
        <v>20</v>
      </c>
      <c r="B16" s="1" t="s">
        <v>21</v>
      </c>
      <c r="C16">
        <v>738</v>
      </c>
      <c r="D16">
        <v>464</v>
      </c>
      <c r="E16">
        <v>1146</v>
      </c>
      <c r="F16">
        <v>703</v>
      </c>
      <c r="G16">
        <v>1148</v>
      </c>
      <c r="H16">
        <v>85</v>
      </c>
      <c r="I16">
        <v>5422</v>
      </c>
      <c r="J16">
        <v>15160</v>
      </c>
      <c r="K16">
        <v>13143</v>
      </c>
      <c r="L16">
        <v>5239</v>
      </c>
      <c r="M16">
        <v>12664</v>
      </c>
      <c r="N16">
        <v>1239</v>
      </c>
      <c r="O16">
        <v>2727</v>
      </c>
      <c r="P16">
        <v>11541</v>
      </c>
      <c r="Q16">
        <v>6931</v>
      </c>
      <c r="R16">
        <v>2506</v>
      </c>
      <c r="S16">
        <v>6553</v>
      </c>
      <c r="T16">
        <v>1978</v>
      </c>
      <c r="U16">
        <v>1043</v>
      </c>
      <c r="V16">
        <v>10718</v>
      </c>
      <c r="W16">
        <v>11161</v>
      </c>
      <c r="X16">
        <v>937</v>
      </c>
      <c r="Y16">
        <v>10665</v>
      </c>
      <c r="Z16">
        <v>616</v>
      </c>
    </row>
    <row r="17" spans="1:26" x14ac:dyDescent="0.4">
      <c r="A17" s="1" t="s">
        <v>22</v>
      </c>
      <c r="B17" s="1" t="s">
        <v>23</v>
      </c>
      <c r="C17">
        <v>711</v>
      </c>
      <c r="D17">
        <v>469</v>
      </c>
      <c r="E17">
        <v>914</v>
      </c>
      <c r="F17">
        <v>751</v>
      </c>
      <c r="G17">
        <v>1240</v>
      </c>
      <c r="H17">
        <v>68</v>
      </c>
      <c r="I17">
        <v>5499</v>
      </c>
      <c r="J17">
        <v>15393</v>
      </c>
      <c r="K17">
        <v>13405</v>
      </c>
      <c r="L17">
        <v>5518</v>
      </c>
      <c r="M17">
        <v>13589</v>
      </c>
      <c r="N17">
        <v>1265</v>
      </c>
      <c r="O17">
        <v>2848</v>
      </c>
      <c r="P17">
        <v>12215</v>
      </c>
      <c r="Q17">
        <v>7611</v>
      </c>
      <c r="R17">
        <v>2974</v>
      </c>
      <c r="S17">
        <v>7964</v>
      </c>
      <c r="T17">
        <v>1848</v>
      </c>
      <c r="U17">
        <v>1069</v>
      </c>
      <c r="V17">
        <v>10871</v>
      </c>
      <c r="W17">
        <v>11167</v>
      </c>
      <c r="X17">
        <v>993</v>
      </c>
      <c r="Y17">
        <v>11094</v>
      </c>
      <c r="Z17">
        <v>692</v>
      </c>
    </row>
    <row r="18" spans="1:26" x14ac:dyDescent="0.4">
      <c r="A18" s="1" t="s">
        <v>24</v>
      </c>
      <c r="B18" s="1" t="s">
        <v>25</v>
      </c>
      <c r="C18">
        <v>825</v>
      </c>
      <c r="D18">
        <v>626</v>
      </c>
      <c r="E18">
        <v>1251</v>
      </c>
      <c r="F18">
        <v>825</v>
      </c>
      <c r="G18">
        <v>1292</v>
      </c>
      <c r="H18">
        <v>71</v>
      </c>
      <c r="I18">
        <v>6077</v>
      </c>
      <c r="J18">
        <v>16944</v>
      </c>
      <c r="K18">
        <v>14974</v>
      </c>
      <c r="L18">
        <v>6070</v>
      </c>
      <c r="M18">
        <v>15039</v>
      </c>
      <c r="N18">
        <v>1318</v>
      </c>
      <c r="O18">
        <v>3125</v>
      </c>
      <c r="P18">
        <v>13131</v>
      </c>
      <c r="Q18">
        <v>8219</v>
      </c>
      <c r="R18">
        <v>3051</v>
      </c>
      <c r="S18">
        <v>8093</v>
      </c>
      <c r="T18">
        <v>1922</v>
      </c>
      <c r="U18">
        <v>1198</v>
      </c>
      <c r="V18">
        <v>11425</v>
      </c>
      <c r="W18">
        <v>11914</v>
      </c>
      <c r="X18">
        <v>1180</v>
      </c>
      <c r="Y18">
        <v>12066</v>
      </c>
      <c r="Z18">
        <v>710</v>
      </c>
    </row>
    <row r="19" spans="1:26" x14ac:dyDescent="0.4">
      <c r="A19" s="1" t="s">
        <v>26</v>
      </c>
      <c r="B19" s="1" t="s">
        <v>27</v>
      </c>
      <c r="C19">
        <v>503</v>
      </c>
      <c r="D19">
        <v>406</v>
      </c>
      <c r="E19">
        <v>945</v>
      </c>
      <c r="F19">
        <v>499</v>
      </c>
      <c r="G19">
        <v>978</v>
      </c>
      <c r="H19">
        <v>74</v>
      </c>
      <c r="I19">
        <v>4663</v>
      </c>
      <c r="J19">
        <v>13083</v>
      </c>
      <c r="K19">
        <v>11574</v>
      </c>
      <c r="L19">
        <v>4671</v>
      </c>
      <c r="M19">
        <v>11693</v>
      </c>
      <c r="N19">
        <v>1355</v>
      </c>
      <c r="O19">
        <v>2234</v>
      </c>
      <c r="P19">
        <v>9519</v>
      </c>
      <c r="Q19">
        <v>5966</v>
      </c>
      <c r="R19">
        <v>2484</v>
      </c>
      <c r="S19">
        <v>6542</v>
      </c>
      <c r="T19">
        <v>1671</v>
      </c>
      <c r="U19">
        <v>943</v>
      </c>
      <c r="V19">
        <v>8209</v>
      </c>
      <c r="W19">
        <v>8340</v>
      </c>
      <c r="X19">
        <v>945</v>
      </c>
      <c r="Y19">
        <v>8332</v>
      </c>
      <c r="Z19">
        <v>708</v>
      </c>
    </row>
    <row r="20" spans="1:26" x14ac:dyDescent="0.4">
      <c r="A20" s="1" t="s">
        <v>28</v>
      </c>
      <c r="B20" s="1" t="s">
        <v>29</v>
      </c>
      <c r="C20">
        <v>792</v>
      </c>
      <c r="D20">
        <v>555</v>
      </c>
      <c r="E20">
        <v>1155</v>
      </c>
      <c r="F20">
        <v>790</v>
      </c>
      <c r="G20">
        <v>1275</v>
      </c>
      <c r="H20">
        <v>90</v>
      </c>
      <c r="I20">
        <v>5651</v>
      </c>
      <c r="J20">
        <v>15810</v>
      </c>
      <c r="K20">
        <v>13836</v>
      </c>
      <c r="L20">
        <v>5843</v>
      </c>
      <c r="M20">
        <v>14340</v>
      </c>
      <c r="N20">
        <v>1214</v>
      </c>
      <c r="O20">
        <v>2790</v>
      </c>
      <c r="P20">
        <v>11805</v>
      </c>
      <c r="Q20">
        <v>7538</v>
      </c>
      <c r="R20">
        <v>2905</v>
      </c>
      <c r="S20">
        <v>7763</v>
      </c>
      <c r="T20">
        <v>1555</v>
      </c>
      <c r="U20">
        <v>1171</v>
      </c>
      <c r="V20">
        <v>10135</v>
      </c>
      <c r="W20">
        <v>10568</v>
      </c>
      <c r="X20">
        <v>1300</v>
      </c>
      <c r="Y20">
        <v>10754</v>
      </c>
      <c r="Z20">
        <v>556</v>
      </c>
    </row>
    <row r="21" spans="1:26" x14ac:dyDescent="0.4">
      <c r="A21" s="1" t="s">
        <v>30</v>
      </c>
      <c r="B21" s="1" t="s">
        <v>31</v>
      </c>
      <c r="C21">
        <v>894</v>
      </c>
      <c r="D21">
        <v>635</v>
      </c>
      <c r="E21">
        <v>1256</v>
      </c>
      <c r="F21">
        <v>902</v>
      </c>
      <c r="G21">
        <v>1285</v>
      </c>
      <c r="H21">
        <v>84</v>
      </c>
      <c r="I21">
        <v>6155</v>
      </c>
      <c r="J21">
        <v>17224</v>
      </c>
      <c r="K21">
        <v>15108</v>
      </c>
      <c r="L21">
        <v>6187</v>
      </c>
      <c r="M21">
        <v>15235</v>
      </c>
      <c r="N21">
        <v>1213</v>
      </c>
      <c r="O21">
        <v>3131</v>
      </c>
      <c r="P21">
        <v>13221</v>
      </c>
      <c r="Q21">
        <v>8439</v>
      </c>
      <c r="R21">
        <v>2875</v>
      </c>
      <c r="S21">
        <v>7822</v>
      </c>
      <c r="T21">
        <v>1810</v>
      </c>
      <c r="U21">
        <v>1410</v>
      </c>
      <c r="V21">
        <v>12047</v>
      </c>
      <c r="W21">
        <v>12673</v>
      </c>
      <c r="X21">
        <v>1520</v>
      </c>
      <c r="Y21">
        <v>12507</v>
      </c>
      <c r="Z21">
        <v>443</v>
      </c>
    </row>
    <row r="22" spans="1:26" x14ac:dyDescent="0.4">
      <c r="A22" s="1" t="s">
        <v>32</v>
      </c>
      <c r="B22" s="1" t="s">
        <v>33</v>
      </c>
      <c r="C22">
        <v>904</v>
      </c>
      <c r="D22">
        <v>667</v>
      </c>
      <c r="E22">
        <v>1782</v>
      </c>
      <c r="F22">
        <v>903</v>
      </c>
      <c r="G22">
        <v>1961</v>
      </c>
      <c r="H22">
        <v>95</v>
      </c>
      <c r="I22">
        <v>5720</v>
      </c>
      <c r="J22">
        <v>15945</v>
      </c>
      <c r="K22">
        <v>14036</v>
      </c>
      <c r="L22">
        <v>5602</v>
      </c>
      <c r="M22">
        <v>13811</v>
      </c>
      <c r="N22">
        <v>1362</v>
      </c>
      <c r="O22">
        <v>3436</v>
      </c>
      <c r="P22">
        <v>14279</v>
      </c>
      <c r="Q22">
        <v>9342</v>
      </c>
      <c r="R22">
        <v>2822</v>
      </c>
      <c r="S22">
        <v>7573</v>
      </c>
      <c r="T22">
        <v>2419</v>
      </c>
      <c r="U22">
        <v>1088</v>
      </c>
      <c r="V22">
        <v>9266</v>
      </c>
      <c r="W22">
        <v>9886</v>
      </c>
      <c r="X22">
        <v>1252</v>
      </c>
      <c r="Y22">
        <v>10898</v>
      </c>
      <c r="Z22">
        <v>279</v>
      </c>
    </row>
    <row r="23" spans="1:26" x14ac:dyDescent="0.4">
      <c r="A23" s="1" t="s">
        <v>34</v>
      </c>
      <c r="B23" s="1" t="s">
        <v>35</v>
      </c>
      <c r="C23">
        <v>764</v>
      </c>
      <c r="D23">
        <v>573</v>
      </c>
      <c r="E23">
        <v>1540</v>
      </c>
      <c r="F23">
        <v>834</v>
      </c>
      <c r="G23">
        <v>1868</v>
      </c>
      <c r="H23">
        <v>44</v>
      </c>
      <c r="I23">
        <v>5376</v>
      </c>
      <c r="J23">
        <v>15003</v>
      </c>
      <c r="K23">
        <v>13059</v>
      </c>
      <c r="L23">
        <v>5594</v>
      </c>
      <c r="M23">
        <v>13696</v>
      </c>
      <c r="N23">
        <v>1175</v>
      </c>
      <c r="O23">
        <v>3184</v>
      </c>
      <c r="P23">
        <v>13709</v>
      </c>
      <c r="Q23">
        <v>8694</v>
      </c>
      <c r="R23">
        <v>4009</v>
      </c>
      <c r="S23">
        <v>10763</v>
      </c>
      <c r="T23">
        <v>1594</v>
      </c>
      <c r="U23">
        <v>940</v>
      </c>
      <c r="V23">
        <v>9469</v>
      </c>
      <c r="W23">
        <v>9852</v>
      </c>
      <c r="X23">
        <v>944</v>
      </c>
      <c r="Y23">
        <v>9732</v>
      </c>
      <c r="Z23">
        <v>275</v>
      </c>
    </row>
    <row r="24" spans="1:26" x14ac:dyDescent="0.4">
      <c r="A24" s="1" t="s">
        <v>36</v>
      </c>
      <c r="B24" s="1" t="s">
        <v>37</v>
      </c>
      <c r="C24">
        <v>729</v>
      </c>
      <c r="D24">
        <v>558</v>
      </c>
      <c r="E24">
        <v>962</v>
      </c>
      <c r="F24">
        <v>683</v>
      </c>
      <c r="G24">
        <v>909</v>
      </c>
      <c r="H24">
        <v>94</v>
      </c>
      <c r="I24">
        <v>5226</v>
      </c>
      <c r="J24">
        <v>14608</v>
      </c>
      <c r="K24">
        <v>13320</v>
      </c>
      <c r="L24">
        <v>5224</v>
      </c>
      <c r="M24">
        <v>13297</v>
      </c>
      <c r="N24">
        <v>1208</v>
      </c>
      <c r="O24">
        <v>3651</v>
      </c>
      <c r="P24">
        <v>15087</v>
      </c>
      <c r="Q24">
        <v>10331</v>
      </c>
      <c r="R24">
        <v>3408</v>
      </c>
      <c r="S24">
        <v>9655</v>
      </c>
      <c r="T24">
        <v>1836</v>
      </c>
      <c r="U24">
        <v>810</v>
      </c>
      <c r="V24">
        <v>8665</v>
      </c>
      <c r="W24">
        <v>8723</v>
      </c>
      <c r="X24">
        <v>846</v>
      </c>
      <c r="Y24">
        <v>9059</v>
      </c>
      <c r="Z24">
        <v>239</v>
      </c>
    </row>
    <row r="25" spans="1:26" x14ac:dyDescent="0.4">
      <c r="A25" s="1" t="s">
        <v>38</v>
      </c>
      <c r="B25" s="1" t="s">
        <v>39</v>
      </c>
      <c r="C25">
        <v>812</v>
      </c>
      <c r="D25">
        <v>606</v>
      </c>
      <c r="E25">
        <v>1501</v>
      </c>
      <c r="F25">
        <v>868</v>
      </c>
      <c r="G25">
        <v>2305</v>
      </c>
      <c r="H25">
        <v>71</v>
      </c>
      <c r="I25">
        <v>5226</v>
      </c>
      <c r="J25">
        <v>14584</v>
      </c>
      <c r="K25">
        <v>13149</v>
      </c>
      <c r="L25">
        <v>5303</v>
      </c>
      <c r="M25">
        <v>13360</v>
      </c>
      <c r="N25">
        <v>1163</v>
      </c>
      <c r="O25">
        <v>3422</v>
      </c>
      <c r="P25">
        <v>14185</v>
      </c>
      <c r="Q25">
        <v>10006</v>
      </c>
      <c r="R25">
        <v>3525</v>
      </c>
      <c r="S25">
        <v>10309</v>
      </c>
      <c r="T25">
        <v>1731</v>
      </c>
      <c r="U25">
        <v>765</v>
      </c>
      <c r="V25">
        <v>9012</v>
      </c>
      <c r="W25">
        <v>9148</v>
      </c>
      <c r="X25">
        <v>747</v>
      </c>
      <c r="Y25">
        <v>8578</v>
      </c>
      <c r="Z25">
        <v>257</v>
      </c>
    </row>
    <row r="26" spans="1:26" x14ac:dyDescent="0.4">
      <c r="A26" s="1" t="s">
        <v>40</v>
      </c>
      <c r="B26" s="1" t="s">
        <v>41</v>
      </c>
      <c r="C26">
        <v>924</v>
      </c>
      <c r="D26">
        <v>1011</v>
      </c>
      <c r="E26">
        <v>3215</v>
      </c>
      <c r="F26">
        <v>943</v>
      </c>
      <c r="G26">
        <v>3485</v>
      </c>
      <c r="H26">
        <v>77</v>
      </c>
      <c r="I26">
        <v>5347</v>
      </c>
      <c r="J26">
        <v>14947</v>
      </c>
      <c r="K26">
        <v>13281</v>
      </c>
      <c r="L26">
        <v>5355</v>
      </c>
      <c r="M26">
        <v>13259</v>
      </c>
      <c r="N26">
        <v>1187</v>
      </c>
      <c r="O26">
        <v>3593</v>
      </c>
      <c r="P26">
        <v>15292</v>
      </c>
      <c r="Q26">
        <v>12176</v>
      </c>
      <c r="R26">
        <v>3936</v>
      </c>
      <c r="S26">
        <v>13172</v>
      </c>
      <c r="T26">
        <v>1364</v>
      </c>
      <c r="U26">
        <v>786</v>
      </c>
      <c r="V26">
        <v>9237</v>
      </c>
      <c r="W26">
        <v>9592</v>
      </c>
      <c r="X26">
        <v>770</v>
      </c>
      <c r="Y26">
        <v>9226</v>
      </c>
      <c r="Z26">
        <v>273</v>
      </c>
    </row>
    <row r="27" spans="1:26" x14ac:dyDescent="0.4">
      <c r="A27" s="1" t="s">
        <v>42</v>
      </c>
      <c r="B27" s="1" t="s">
        <v>43</v>
      </c>
      <c r="C27">
        <v>696</v>
      </c>
      <c r="D27">
        <v>637</v>
      </c>
      <c r="E27">
        <v>1251</v>
      </c>
      <c r="F27">
        <v>691</v>
      </c>
      <c r="G27">
        <v>1267</v>
      </c>
      <c r="H27">
        <v>88</v>
      </c>
      <c r="I27">
        <v>5221</v>
      </c>
      <c r="J27">
        <v>14723</v>
      </c>
      <c r="K27">
        <v>12880</v>
      </c>
      <c r="L27">
        <v>5419</v>
      </c>
      <c r="M27">
        <v>13286</v>
      </c>
      <c r="N27">
        <v>1041</v>
      </c>
      <c r="O27">
        <v>3446</v>
      </c>
      <c r="P27">
        <v>14462</v>
      </c>
      <c r="Q27">
        <v>10520</v>
      </c>
      <c r="R27">
        <v>3491</v>
      </c>
      <c r="S27">
        <v>10717</v>
      </c>
      <c r="T27">
        <v>1317</v>
      </c>
      <c r="U27">
        <v>711</v>
      </c>
      <c r="V27">
        <v>8090</v>
      </c>
      <c r="W27">
        <v>8440</v>
      </c>
      <c r="X27">
        <v>619</v>
      </c>
      <c r="Y27">
        <v>8448</v>
      </c>
      <c r="Z27">
        <v>365</v>
      </c>
    </row>
    <row r="28" spans="1:26" x14ac:dyDescent="0.4">
      <c r="A28" s="1" t="s">
        <v>44</v>
      </c>
      <c r="B28" s="1" t="s">
        <v>45</v>
      </c>
      <c r="C28">
        <v>668</v>
      </c>
      <c r="D28">
        <v>562</v>
      </c>
      <c r="E28">
        <v>997</v>
      </c>
      <c r="F28">
        <v>657</v>
      </c>
      <c r="G28">
        <v>1027</v>
      </c>
      <c r="H28">
        <v>98</v>
      </c>
      <c r="I28">
        <v>5063</v>
      </c>
      <c r="J28">
        <v>14266</v>
      </c>
      <c r="K28">
        <v>12441</v>
      </c>
      <c r="L28">
        <v>4873</v>
      </c>
      <c r="M28">
        <v>11802</v>
      </c>
      <c r="N28">
        <v>1271</v>
      </c>
      <c r="O28">
        <v>3310</v>
      </c>
      <c r="P28">
        <v>14250</v>
      </c>
      <c r="Q28">
        <v>10126</v>
      </c>
      <c r="R28">
        <v>3276</v>
      </c>
      <c r="S28">
        <v>10118</v>
      </c>
      <c r="T28">
        <v>1350</v>
      </c>
      <c r="U28">
        <v>691</v>
      </c>
      <c r="V28">
        <v>8114</v>
      </c>
      <c r="W28">
        <v>8701</v>
      </c>
      <c r="X28">
        <v>617</v>
      </c>
      <c r="Y28">
        <v>8518</v>
      </c>
      <c r="Z28">
        <v>439</v>
      </c>
    </row>
    <row r="29" spans="1:26" x14ac:dyDescent="0.4">
      <c r="A29" s="1" t="s">
        <v>46</v>
      </c>
      <c r="B29" s="1" t="s">
        <v>47</v>
      </c>
      <c r="C29">
        <v>756</v>
      </c>
      <c r="D29">
        <v>558</v>
      </c>
      <c r="E29">
        <v>1164</v>
      </c>
      <c r="F29">
        <v>762</v>
      </c>
      <c r="G29">
        <v>1215</v>
      </c>
      <c r="H29">
        <v>93</v>
      </c>
      <c r="I29">
        <v>5691</v>
      </c>
      <c r="J29">
        <v>15927</v>
      </c>
      <c r="K29">
        <v>13727</v>
      </c>
      <c r="L29">
        <v>5900</v>
      </c>
      <c r="M29">
        <v>14301</v>
      </c>
      <c r="N29">
        <v>1093</v>
      </c>
      <c r="O29">
        <v>3410</v>
      </c>
      <c r="P29">
        <v>14295</v>
      </c>
      <c r="Q29">
        <v>10557</v>
      </c>
      <c r="R29">
        <v>3485</v>
      </c>
      <c r="S29">
        <v>11055</v>
      </c>
      <c r="T29">
        <v>1269</v>
      </c>
      <c r="U29">
        <v>904</v>
      </c>
      <c r="V29">
        <v>8641</v>
      </c>
      <c r="W29">
        <v>9398</v>
      </c>
      <c r="X29">
        <v>730</v>
      </c>
      <c r="Y29">
        <v>8867</v>
      </c>
      <c r="Z29">
        <v>612</v>
      </c>
    </row>
    <row r="30" spans="1:26" x14ac:dyDescent="0.4">
      <c r="A30" s="1" t="s">
        <v>48</v>
      </c>
      <c r="B30" s="1" t="s">
        <v>49</v>
      </c>
      <c r="C30">
        <v>845</v>
      </c>
      <c r="D30">
        <v>595</v>
      </c>
      <c r="E30">
        <v>1226</v>
      </c>
      <c r="F30">
        <v>850</v>
      </c>
      <c r="G30">
        <v>1307</v>
      </c>
      <c r="H30">
        <v>89</v>
      </c>
      <c r="I30">
        <v>6153</v>
      </c>
      <c r="J30">
        <v>17304</v>
      </c>
      <c r="K30">
        <v>15451</v>
      </c>
      <c r="L30">
        <v>6003</v>
      </c>
      <c r="M30">
        <v>14951</v>
      </c>
      <c r="N30">
        <v>1269</v>
      </c>
      <c r="O30">
        <v>3534</v>
      </c>
      <c r="P30">
        <v>14992</v>
      </c>
      <c r="Q30">
        <v>11075</v>
      </c>
      <c r="R30">
        <v>3580</v>
      </c>
      <c r="S30">
        <v>11342</v>
      </c>
      <c r="T30">
        <v>1221</v>
      </c>
      <c r="U30">
        <v>972</v>
      </c>
      <c r="V30">
        <v>9248</v>
      </c>
      <c r="W30">
        <v>10132</v>
      </c>
      <c r="X30">
        <v>837</v>
      </c>
      <c r="Y30">
        <v>9409</v>
      </c>
      <c r="Z30">
        <v>746</v>
      </c>
    </row>
    <row r="31" spans="1:26" x14ac:dyDescent="0.4">
      <c r="A31" s="1" t="s">
        <v>50</v>
      </c>
      <c r="B31" s="1" t="s">
        <v>51</v>
      </c>
      <c r="C31">
        <v>593</v>
      </c>
      <c r="D31">
        <v>424</v>
      </c>
      <c r="E31">
        <v>854</v>
      </c>
      <c r="F31">
        <v>622</v>
      </c>
      <c r="G31">
        <v>1052</v>
      </c>
      <c r="H31">
        <v>66</v>
      </c>
      <c r="I31">
        <v>4327</v>
      </c>
      <c r="J31">
        <v>12096</v>
      </c>
      <c r="K31">
        <v>10824</v>
      </c>
      <c r="L31">
        <v>4491</v>
      </c>
      <c r="M31">
        <v>11219</v>
      </c>
      <c r="N31">
        <v>1130</v>
      </c>
      <c r="O31">
        <v>2589</v>
      </c>
      <c r="P31">
        <v>10890</v>
      </c>
      <c r="Q31">
        <v>7775</v>
      </c>
      <c r="R31">
        <v>2657</v>
      </c>
      <c r="S31">
        <v>8209</v>
      </c>
      <c r="T31">
        <v>1120</v>
      </c>
      <c r="U31">
        <v>820</v>
      </c>
      <c r="V31">
        <v>6909</v>
      </c>
      <c r="W31">
        <v>7405</v>
      </c>
      <c r="X31">
        <v>962</v>
      </c>
      <c r="Y31">
        <v>8345</v>
      </c>
      <c r="Z31">
        <v>604</v>
      </c>
    </row>
    <row r="32" spans="1:26" x14ac:dyDescent="0.4">
      <c r="A32" s="1" t="s">
        <v>52</v>
      </c>
      <c r="B32" s="1" t="s">
        <v>53</v>
      </c>
      <c r="C32">
        <v>843</v>
      </c>
      <c r="D32">
        <v>583</v>
      </c>
      <c r="E32">
        <v>1843</v>
      </c>
      <c r="F32">
        <v>834</v>
      </c>
      <c r="G32">
        <v>1947</v>
      </c>
      <c r="H32">
        <v>78</v>
      </c>
      <c r="I32">
        <v>5490</v>
      </c>
      <c r="J32">
        <v>15311</v>
      </c>
      <c r="K32">
        <v>13830</v>
      </c>
      <c r="L32">
        <v>5485</v>
      </c>
      <c r="M32">
        <v>13894</v>
      </c>
      <c r="N32">
        <v>1172</v>
      </c>
      <c r="O32">
        <v>3712</v>
      </c>
      <c r="P32">
        <v>15572</v>
      </c>
      <c r="Q32">
        <v>11366</v>
      </c>
      <c r="R32">
        <v>3375</v>
      </c>
      <c r="S32">
        <v>10522</v>
      </c>
      <c r="T32">
        <v>1454</v>
      </c>
      <c r="U32">
        <v>1119</v>
      </c>
      <c r="V32">
        <v>9389</v>
      </c>
      <c r="W32">
        <v>10209</v>
      </c>
      <c r="X32">
        <v>1329</v>
      </c>
      <c r="Y32">
        <v>10990</v>
      </c>
      <c r="Z32">
        <v>388</v>
      </c>
    </row>
    <row r="33" spans="1:26" x14ac:dyDescent="0.4">
      <c r="A33" s="1" t="s">
        <v>54</v>
      </c>
      <c r="B33" s="1" t="s">
        <v>55</v>
      </c>
      <c r="C33">
        <v>834</v>
      </c>
      <c r="D33">
        <v>700</v>
      </c>
      <c r="E33">
        <v>1625</v>
      </c>
      <c r="F33">
        <v>830</v>
      </c>
      <c r="G33">
        <v>1616</v>
      </c>
      <c r="H33">
        <v>85</v>
      </c>
      <c r="I33">
        <v>5714</v>
      </c>
      <c r="J33">
        <v>16039</v>
      </c>
      <c r="K33">
        <v>14581</v>
      </c>
      <c r="L33">
        <v>5720</v>
      </c>
      <c r="M33">
        <v>14576</v>
      </c>
      <c r="N33">
        <v>1197</v>
      </c>
      <c r="O33">
        <v>3741</v>
      </c>
      <c r="P33">
        <v>15851</v>
      </c>
      <c r="Q33">
        <v>11312</v>
      </c>
      <c r="R33">
        <v>3753</v>
      </c>
      <c r="S33">
        <v>11517</v>
      </c>
      <c r="T33">
        <v>1440</v>
      </c>
      <c r="U33">
        <v>1284</v>
      </c>
      <c r="V33">
        <v>10617</v>
      </c>
      <c r="W33">
        <v>11125</v>
      </c>
      <c r="X33">
        <v>1363</v>
      </c>
      <c r="Y33">
        <v>11507</v>
      </c>
      <c r="Z33">
        <v>304</v>
      </c>
    </row>
    <row r="34" spans="1:26" x14ac:dyDescent="0.4">
      <c r="A34" s="1" t="s">
        <v>56</v>
      </c>
      <c r="B34" s="1" t="s">
        <v>57</v>
      </c>
      <c r="C34">
        <v>737</v>
      </c>
      <c r="D34">
        <v>618</v>
      </c>
      <c r="E34">
        <v>1455</v>
      </c>
      <c r="F34">
        <v>705</v>
      </c>
      <c r="G34">
        <v>1417</v>
      </c>
      <c r="H34">
        <v>123</v>
      </c>
      <c r="I34">
        <v>5058</v>
      </c>
      <c r="J34">
        <v>14200</v>
      </c>
      <c r="K34">
        <v>12815</v>
      </c>
      <c r="L34">
        <v>5247</v>
      </c>
      <c r="M34">
        <v>13658</v>
      </c>
      <c r="N34">
        <v>1035</v>
      </c>
      <c r="O34">
        <v>3149</v>
      </c>
      <c r="P34">
        <v>13658</v>
      </c>
      <c r="Q34">
        <v>9756</v>
      </c>
      <c r="R34">
        <v>3509</v>
      </c>
      <c r="S34">
        <v>10798</v>
      </c>
      <c r="T34">
        <v>1080</v>
      </c>
      <c r="U34">
        <v>914</v>
      </c>
      <c r="V34">
        <v>8085</v>
      </c>
      <c r="W34">
        <v>8541</v>
      </c>
      <c r="X34">
        <v>1009</v>
      </c>
      <c r="Y34">
        <v>9266</v>
      </c>
      <c r="Z34">
        <v>209</v>
      </c>
    </row>
    <row r="35" spans="1:26" x14ac:dyDescent="0.4">
      <c r="A35" s="1" t="s">
        <v>58</v>
      </c>
      <c r="B35" s="1" t="s">
        <v>59</v>
      </c>
      <c r="C35">
        <v>764</v>
      </c>
      <c r="D35">
        <v>615</v>
      </c>
      <c r="E35">
        <v>1530</v>
      </c>
      <c r="F35">
        <v>765</v>
      </c>
      <c r="G35">
        <v>1619</v>
      </c>
      <c r="H35">
        <v>97</v>
      </c>
      <c r="I35">
        <v>4952</v>
      </c>
      <c r="J35">
        <v>13987</v>
      </c>
      <c r="K35">
        <v>12475</v>
      </c>
      <c r="L35">
        <v>4895</v>
      </c>
      <c r="M35">
        <v>12616</v>
      </c>
      <c r="N35">
        <v>1202</v>
      </c>
      <c r="O35">
        <v>3477</v>
      </c>
      <c r="P35">
        <v>14705</v>
      </c>
      <c r="Q35">
        <v>10887</v>
      </c>
      <c r="R35">
        <v>3355</v>
      </c>
      <c r="S35">
        <v>10980</v>
      </c>
      <c r="T35">
        <v>1226</v>
      </c>
      <c r="U35">
        <v>762</v>
      </c>
      <c r="V35">
        <v>8331</v>
      </c>
      <c r="W35">
        <v>8758</v>
      </c>
      <c r="X35">
        <v>735</v>
      </c>
      <c r="Y35">
        <v>8314</v>
      </c>
      <c r="Z35">
        <v>236</v>
      </c>
    </row>
    <row r="36" spans="1:26" x14ac:dyDescent="0.4">
      <c r="A36" s="1" t="s">
        <v>60</v>
      </c>
      <c r="B36" s="1" t="s">
        <v>61</v>
      </c>
      <c r="C36">
        <v>680</v>
      </c>
      <c r="D36">
        <v>587</v>
      </c>
      <c r="E36">
        <v>1513</v>
      </c>
      <c r="F36">
        <v>684</v>
      </c>
      <c r="G36">
        <v>1609</v>
      </c>
      <c r="H36">
        <v>94</v>
      </c>
      <c r="I36">
        <v>4763</v>
      </c>
      <c r="J36">
        <v>13337</v>
      </c>
      <c r="K36">
        <v>12160</v>
      </c>
      <c r="L36">
        <v>4914</v>
      </c>
      <c r="M36">
        <v>12567</v>
      </c>
      <c r="N36">
        <v>1103</v>
      </c>
      <c r="O36">
        <v>3111</v>
      </c>
      <c r="P36">
        <v>13186</v>
      </c>
      <c r="Q36">
        <v>9585</v>
      </c>
      <c r="R36">
        <v>3036</v>
      </c>
      <c r="S36">
        <v>9695</v>
      </c>
      <c r="T36">
        <v>1301</v>
      </c>
      <c r="U36">
        <v>693</v>
      </c>
      <c r="V36">
        <v>7588</v>
      </c>
      <c r="W36">
        <v>7983</v>
      </c>
      <c r="X36">
        <v>702</v>
      </c>
      <c r="Y36">
        <v>8199</v>
      </c>
      <c r="Z36">
        <v>226</v>
      </c>
    </row>
    <row r="37" spans="1:26" x14ac:dyDescent="0.4">
      <c r="A37" s="1" t="s">
        <v>62</v>
      </c>
      <c r="B37" s="1" t="s">
        <v>63</v>
      </c>
      <c r="C37">
        <v>706</v>
      </c>
      <c r="D37">
        <v>579</v>
      </c>
      <c r="E37">
        <v>1229</v>
      </c>
      <c r="F37">
        <v>732</v>
      </c>
      <c r="G37">
        <v>1314</v>
      </c>
      <c r="H37">
        <v>70</v>
      </c>
      <c r="I37">
        <v>4793</v>
      </c>
      <c r="J37">
        <v>13456</v>
      </c>
      <c r="K37">
        <v>12355</v>
      </c>
      <c r="L37">
        <v>4881</v>
      </c>
      <c r="M37">
        <v>12596</v>
      </c>
      <c r="N37">
        <v>1038</v>
      </c>
      <c r="O37">
        <v>3076</v>
      </c>
      <c r="P37">
        <v>13081</v>
      </c>
      <c r="Q37">
        <v>9482</v>
      </c>
      <c r="R37">
        <v>3275</v>
      </c>
      <c r="S37">
        <v>10414</v>
      </c>
      <c r="T37">
        <v>1100</v>
      </c>
      <c r="U37">
        <v>788</v>
      </c>
      <c r="V37">
        <v>8476</v>
      </c>
      <c r="W37">
        <v>8671</v>
      </c>
      <c r="X37">
        <v>792</v>
      </c>
      <c r="Y37">
        <v>9055</v>
      </c>
      <c r="Z37">
        <v>222</v>
      </c>
    </row>
    <row r="38" spans="1:26" x14ac:dyDescent="0.4">
      <c r="A38" s="1" t="s">
        <v>64</v>
      </c>
      <c r="B38" s="1" t="s">
        <v>65</v>
      </c>
      <c r="C38">
        <v>809</v>
      </c>
      <c r="D38">
        <v>720</v>
      </c>
      <c r="E38">
        <v>2164</v>
      </c>
      <c r="F38">
        <v>777</v>
      </c>
      <c r="G38">
        <v>1986</v>
      </c>
      <c r="H38">
        <v>104</v>
      </c>
      <c r="I38">
        <v>5671</v>
      </c>
      <c r="J38">
        <v>15747</v>
      </c>
      <c r="K38">
        <v>14787</v>
      </c>
      <c r="L38">
        <v>5559</v>
      </c>
      <c r="M38">
        <v>14515</v>
      </c>
      <c r="N38">
        <v>1183</v>
      </c>
      <c r="O38">
        <v>3452</v>
      </c>
      <c r="P38">
        <v>14942</v>
      </c>
      <c r="Q38">
        <v>11142</v>
      </c>
      <c r="R38">
        <v>3325</v>
      </c>
      <c r="S38">
        <v>10856</v>
      </c>
      <c r="T38">
        <v>1227</v>
      </c>
      <c r="U38">
        <v>948</v>
      </c>
      <c r="V38">
        <v>10109</v>
      </c>
      <c r="W38">
        <v>10593</v>
      </c>
      <c r="X38">
        <v>926</v>
      </c>
      <c r="Y38">
        <v>10373</v>
      </c>
      <c r="Z38">
        <v>244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322D0-7A22-4BBF-854D-56C351832D2A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1625</v>
      </c>
      <c r="D3" t="s">
        <v>1628</v>
      </c>
      <c r="E3" t="s">
        <v>1630</v>
      </c>
      <c r="F3" t="s">
        <v>1632</v>
      </c>
      <c r="G3" t="s">
        <v>1634</v>
      </c>
      <c r="H3" t="s">
        <v>1636</v>
      </c>
      <c r="I3" t="s">
        <v>1638</v>
      </c>
      <c r="J3" t="s">
        <v>1640</v>
      </c>
      <c r="K3" t="s">
        <v>1642</v>
      </c>
      <c r="L3" t="s">
        <v>1644</v>
      </c>
      <c r="M3" t="s">
        <v>1646</v>
      </c>
      <c r="N3" t="s">
        <v>1648</v>
      </c>
    </row>
    <row r="4" spans="1:14" x14ac:dyDescent="0.4">
      <c r="A4" s="1"/>
      <c r="B4" s="2" t="s">
        <v>1</v>
      </c>
      <c r="C4" t="s">
        <v>1627</v>
      </c>
      <c r="D4" t="s">
        <v>1629</v>
      </c>
      <c r="E4" t="s">
        <v>1631</v>
      </c>
      <c r="F4" t="s">
        <v>1633</v>
      </c>
      <c r="G4" t="s">
        <v>1635</v>
      </c>
      <c r="H4" t="s">
        <v>1637</v>
      </c>
      <c r="I4" t="s">
        <v>1639</v>
      </c>
      <c r="J4" t="s">
        <v>1641</v>
      </c>
      <c r="K4" t="s">
        <v>1643</v>
      </c>
      <c r="L4" t="s">
        <v>1645</v>
      </c>
      <c r="M4" t="s">
        <v>1647</v>
      </c>
      <c r="N4" t="s">
        <v>1649</v>
      </c>
    </row>
    <row r="5" spans="1:14" x14ac:dyDescent="0.4">
      <c r="A5" s="1"/>
      <c r="B5" s="2" t="s">
        <v>2</v>
      </c>
      <c r="C5" t="s">
        <v>1626</v>
      </c>
      <c r="D5" t="s">
        <v>1626</v>
      </c>
      <c r="E5" t="s">
        <v>1626</v>
      </c>
      <c r="F5" t="s">
        <v>1626</v>
      </c>
      <c r="G5" t="s">
        <v>1626</v>
      </c>
      <c r="H5" t="s">
        <v>1626</v>
      </c>
      <c r="I5" t="s">
        <v>1626</v>
      </c>
      <c r="J5" t="s">
        <v>1626</v>
      </c>
      <c r="K5" t="s">
        <v>1626</v>
      </c>
      <c r="L5" t="s">
        <v>1626</v>
      </c>
      <c r="M5" t="s">
        <v>1626</v>
      </c>
      <c r="N5" t="s">
        <v>1626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  <c r="K7" t="s">
        <v>258</v>
      </c>
      <c r="L7" t="s">
        <v>258</v>
      </c>
      <c r="M7" t="s">
        <v>258</v>
      </c>
      <c r="N7" t="s">
        <v>258</v>
      </c>
    </row>
    <row r="8" spans="1:14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  <c r="K8" t="s">
        <v>260</v>
      </c>
      <c r="L8" t="s">
        <v>260</v>
      </c>
      <c r="M8" t="s">
        <v>260</v>
      </c>
      <c r="N8" t="s">
        <v>260</v>
      </c>
    </row>
    <row r="9" spans="1:14" x14ac:dyDescent="0.4">
      <c r="A9" s="1" t="s">
        <v>6</v>
      </c>
      <c r="B9" s="3" t="s">
        <v>7</v>
      </c>
      <c r="C9" t="s">
        <v>73</v>
      </c>
      <c r="D9">
        <v>0</v>
      </c>
      <c r="E9" t="s">
        <v>73</v>
      </c>
      <c r="F9">
        <v>0</v>
      </c>
      <c r="G9">
        <v>281236</v>
      </c>
      <c r="H9">
        <v>37067</v>
      </c>
      <c r="I9">
        <v>4920</v>
      </c>
      <c r="J9">
        <v>2317</v>
      </c>
      <c r="K9">
        <v>430</v>
      </c>
      <c r="L9">
        <v>394144</v>
      </c>
      <c r="M9">
        <v>31887</v>
      </c>
      <c r="N9">
        <v>16946</v>
      </c>
    </row>
    <row r="10" spans="1:14" x14ac:dyDescent="0.4">
      <c r="A10" s="1" t="s">
        <v>8</v>
      </c>
      <c r="B10" s="3" t="s">
        <v>9</v>
      </c>
      <c r="C10" t="s">
        <v>73</v>
      </c>
      <c r="D10">
        <v>0</v>
      </c>
      <c r="E10" t="s">
        <v>73</v>
      </c>
      <c r="F10">
        <v>117</v>
      </c>
      <c r="G10">
        <v>303723</v>
      </c>
      <c r="H10">
        <v>43579</v>
      </c>
      <c r="I10">
        <v>6930</v>
      </c>
      <c r="J10">
        <v>2424</v>
      </c>
      <c r="K10">
        <v>92</v>
      </c>
      <c r="L10">
        <v>554415</v>
      </c>
      <c r="M10">
        <v>35867</v>
      </c>
      <c r="N10">
        <v>20707</v>
      </c>
    </row>
    <row r="11" spans="1:14" x14ac:dyDescent="0.4">
      <c r="A11" s="1" t="s">
        <v>10</v>
      </c>
      <c r="B11" s="3" t="s">
        <v>11</v>
      </c>
      <c r="C11" t="s">
        <v>73</v>
      </c>
      <c r="D11">
        <v>0</v>
      </c>
      <c r="E11" t="s">
        <v>73</v>
      </c>
      <c r="F11" t="s">
        <v>73</v>
      </c>
      <c r="G11">
        <v>401587</v>
      </c>
      <c r="H11">
        <v>60405</v>
      </c>
      <c r="I11" t="s">
        <v>73</v>
      </c>
      <c r="J11" t="s">
        <v>73</v>
      </c>
      <c r="K11" t="s">
        <v>73</v>
      </c>
      <c r="L11">
        <v>695007</v>
      </c>
      <c r="M11">
        <v>44393</v>
      </c>
      <c r="N11">
        <v>25212</v>
      </c>
    </row>
    <row r="12" spans="1:14" x14ac:dyDescent="0.4">
      <c r="A12" s="1" t="s">
        <v>12</v>
      </c>
      <c r="B12" s="3" t="s">
        <v>13</v>
      </c>
      <c r="C12" t="s">
        <v>73</v>
      </c>
      <c r="D12">
        <v>0</v>
      </c>
      <c r="E12" t="s">
        <v>73</v>
      </c>
      <c r="F12" t="s">
        <v>73</v>
      </c>
      <c r="G12">
        <v>439878</v>
      </c>
      <c r="H12">
        <v>76232</v>
      </c>
      <c r="I12" t="s">
        <v>73</v>
      </c>
      <c r="J12" t="s">
        <v>73</v>
      </c>
      <c r="K12" t="s">
        <v>73</v>
      </c>
      <c r="L12">
        <v>938455</v>
      </c>
      <c r="M12">
        <v>51744</v>
      </c>
      <c r="N12">
        <v>27455</v>
      </c>
    </row>
    <row r="13" spans="1:14" x14ac:dyDescent="0.4">
      <c r="A13" s="1" t="s">
        <v>14</v>
      </c>
      <c r="B13" s="3" t="s">
        <v>15</v>
      </c>
      <c r="C13" t="s">
        <v>73</v>
      </c>
      <c r="D13">
        <v>0</v>
      </c>
      <c r="E13" t="s">
        <v>73</v>
      </c>
      <c r="F13" t="s">
        <v>73</v>
      </c>
      <c r="G13">
        <v>532114</v>
      </c>
      <c r="H13">
        <v>85829</v>
      </c>
      <c r="I13" t="s">
        <v>73</v>
      </c>
      <c r="J13" t="s">
        <v>73</v>
      </c>
      <c r="K13" t="s">
        <v>73</v>
      </c>
      <c r="L13">
        <v>1061454</v>
      </c>
      <c r="M13">
        <v>62070</v>
      </c>
      <c r="N13">
        <v>37307</v>
      </c>
    </row>
    <row r="14" spans="1:14" x14ac:dyDescent="0.4">
      <c r="A14" s="1" t="s">
        <v>16</v>
      </c>
      <c r="B14" s="1" t="s">
        <v>17</v>
      </c>
      <c r="C14" t="s">
        <v>73</v>
      </c>
      <c r="D14">
        <v>0</v>
      </c>
      <c r="E14" t="s">
        <v>73</v>
      </c>
      <c r="F14" t="s">
        <v>73</v>
      </c>
      <c r="G14">
        <v>59311</v>
      </c>
      <c r="H14">
        <v>9007</v>
      </c>
      <c r="I14" t="s">
        <v>73</v>
      </c>
      <c r="J14" t="s">
        <v>73</v>
      </c>
      <c r="K14" t="s">
        <v>73</v>
      </c>
      <c r="L14">
        <v>97828</v>
      </c>
      <c r="M14">
        <v>5642</v>
      </c>
      <c r="N14">
        <v>3058</v>
      </c>
    </row>
    <row r="15" spans="1:14" x14ac:dyDescent="0.4">
      <c r="A15" s="1" t="s">
        <v>18</v>
      </c>
      <c r="B15" s="1" t="s">
        <v>19</v>
      </c>
      <c r="C15" t="s">
        <v>73</v>
      </c>
      <c r="D15">
        <v>0</v>
      </c>
      <c r="E15" t="s">
        <v>73</v>
      </c>
      <c r="F15" t="s">
        <v>73</v>
      </c>
      <c r="G15">
        <v>25065</v>
      </c>
      <c r="H15">
        <v>3010</v>
      </c>
      <c r="I15" t="s">
        <v>73</v>
      </c>
      <c r="J15" t="s">
        <v>73</v>
      </c>
      <c r="K15" t="s">
        <v>73</v>
      </c>
      <c r="L15">
        <v>58668</v>
      </c>
      <c r="M15">
        <v>4803</v>
      </c>
      <c r="N15">
        <v>1461</v>
      </c>
    </row>
    <row r="16" spans="1:14" x14ac:dyDescent="0.4">
      <c r="A16" s="1" t="s">
        <v>20</v>
      </c>
      <c r="B16" s="1" t="s">
        <v>21</v>
      </c>
      <c r="C16" t="s">
        <v>73</v>
      </c>
      <c r="D16">
        <v>0</v>
      </c>
      <c r="E16" t="s">
        <v>73</v>
      </c>
      <c r="F16" t="s">
        <v>73</v>
      </c>
      <c r="G16">
        <v>38089</v>
      </c>
      <c r="H16">
        <v>5489</v>
      </c>
      <c r="I16" t="s">
        <v>73</v>
      </c>
      <c r="J16" t="s">
        <v>73</v>
      </c>
      <c r="K16" t="s">
        <v>73</v>
      </c>
      <c r="L16">
        <v>70607</v>
      </c>
      <c r="M16">
        <v>3431</v>
      </c>
      <c r="N16">
        <v>1717</v>
      </c>
    </row>
    <row r="17" spans="1:14" x14ac:dyDescent="0.4">
      <c r="A17" s="1" t="s">
        <v>22</v>
      </c>
      <c r="B17" s="1" t="s">
        <v>23</v>
      </c>
      <c r="C17" t="s">
        <v>73</v>
      </c>
      <c r="D17">
        <v>0</v>
      </c>
      <c r="E17" t="s">
        <v>73</v>
      </c>
      <c r="F17" t="s">
        <v>73</v>
      </c>
      <c r="G17">
        <v>37668</v>
      </c>
      <c r="H17">
        <v>7382</v>
      </c>
      <c r="I17" t="s">
        <v>73</v>
      </c>
      <c r="J17" t="s">
        <v>73</v>
      </c>
      <c r="K17" t="s">
        <v>73</v>
      </c>
      <c r="L17">
        <v>83273</v>
      </c>
      <c r="M17">
        <v>3990</v>
      </c>
      <c r="N17">
        <v>2151</v>
      </c>
    </row>
    <row r="18" spans="1:14" x14ac:dyDescent="0.4">
      <c r="A18" s="1" t="s">
        <v>24</v>
      </c>
      <c r="B18" s="1" t="s">
        <v>25</v>
      </c>
      <c r="C18" t="s">
        <v>73</v>
      </c>
      <c r="D18">
        <v>0</v>
      </c>
      <c r="E18" t="s">
        <v>73</v>
      </c>
      <c r="F18" t="s">
        <v>73</v>
      </c>
      <c r="G18">
        <v>28190</v>
      </c>
      <c r="H18">
        <v>5743</v>
      </c>
      <c r="I18" t="s">
        <v>73</v>
      </c>
      <c r="J18" t="s">
        <v>73</v>
      </c>
      <c r="K18" t="s">
        <v>73</v>
      </c>
      <c r="L18">
        <v>78462</v>
      </c>
      <c r="M18">
        <v>4670</v>
      </c>
      <c r="N18">
        <v>1966</v>
      </c>
    </row>
    <row r="19" spans="1:14" x14ac:dyDescent="0.4">
      <c r="A19" s="1" t="s">
        <v>26</v>
      </c>
      <c r="B19" s="1" t="s">
        <v>27</v>
      </c>
      <c r="C19" t="s">
        <v>73</v>
      </c>
      <c r="D19">
        <v>0</v>
      </c>
      <c r="E19" t="s">
        <v>73</v>
      </c>
      <c r="F19" t="s">
        <v>73</v>
      </c>
      <c r="G19">
        <v>35762</v>
      </c>
      <c r="H19">
        <v>6080</v>
      </c>
      <c r="I19" t="s">
        <v>73</v>
      </c>
      <c r="J19" t="s">
        <v>73</v>
      </c>
      <c r="K19" t="s">
        <v>73</v>
      </c>
      <c r="L19">
        <v>85674</v>
      </c>
      <c r="M19">
        <v>3011</v>
      </c>
      <c r="N19">
        <v>2329</v>
      </c>
    </row>
    <row r="20" spans="1:14" x14ac:dyDescent="0.4">
      <c r="A20" s="1" t="s">
        <v>28</v>
      </c>
      <c r="B20" s="1" t="s">
        <v>29</v>
      </c>
      <c r="C20" t="s">
        <v>73</v>
      </c>
      <c r="D20">
        <v>0</v>
      </c>
      <c r="E20" t="s">
        <v>73</v>
      </c>
      <c r="F20" t="s">
        <v>73</v>
      </c>
      <c r="G20">
        <v>49592</v>
      </c>
      <c r="H20">
        <v>7888</v>
      </c>
      <c r="I20" t="s">
        <v>73</v>
      </c>
      <c r="J20" t="s">
        <v>73</v>
      </c>
      <c r="K20" t="s">
        <v>73</v>
      </c>
      <c r="L20">
        <v>89310</v>
      </c>
      <c r="M20">
        <v>4422</v>
      </c>
      <c r="N20">
        <v>3924</v>
      </c>
    </row>
    <row r="21" spans="1:14" x14ac:dyDescent="0.4">
      <c r="A21" s="1" t="s">
        <v>30</v>
      </c>
      <c r="B21" s="1" t="s">
        <v>31</v>
      </c>
      <c r="C21" t="s">
        <v>73</v>
      </c>
      <c r="D21">
        <v>0</v>
      </c>
      <c r="E21" t="s">
        <v>73</v>
      </c>
      <c r="F21" t="s">
        <v>73</v>
      </c>
      <c r="G21">
        <v>26661</v>
      </c>
      <c r="H21">
        <v>6949</v>
      </c>
      <c r="I21" t="s">
        <v>73</v>
      </c>
      <c r="J21" t="s">
        <v>73</v>
      </c>
      <c r="K21" t="s">
        <v>73</v>
      </c>
      <c r="L21">
        <v>70349</v>
      </c>
      <c r="M21">
        <v>5456</v>
      </c>
      <c r="N21">
        <v>2078</v>
      </c>
    </row>
    <row r="22" spans="1:14" x14ac:dyDescent="0.4">
      <c r="A22" s="1" t="s">
        <v>32</v>
      </c>
      <c r="B22" s="1" t="s">
        <v>33</v>
      </c>
      <c r="C22" t="s">
        <v>73</v>
      </c>
      <c r="D22">
        <v>0</v>
      </c>
      <c r="E22" t="s">
        <v>73</v>
      </c>
      <c r="F22" t="s">
        <v>73</v>
      </c>
      <c r="G22">
        <v>23493</v>
      </c>
      <c r="H22">
        <v>4756</v>
      </c>
      <c r="I22" t="s">
        <v>73</v>
      </c>
      <c r="J22" t="s">
        <v>73</v>
      </c>
      <c r="K22" t="s">
        <v>73</v>
      </c>
      <c r="L22">
        <v>86865</v>
      </c>
      <c r="M22">
        <v>4060</v>
      </c>
      <c r="N22">
        <v>2731</v>
      </c>
    </row>
    <row r="23" spans="1:14" x14ac:dyDescent="0.4">
      <c r="A23" s="1" t="s">
        <v>34</v>
      </c>
      <c r="B23" s="1" t="s">
        <v>35</v>
      </c>
      <c r="C23" t="s">
        <v>73</v>
      </c>
      <c r="D23">
        <v>0</v>
      </c>
      <c r="E23" t="s">
        <v>73</v>
      </c>
      <c r="F23" t="s">
        <v>73</v>
      </c>
      <c r="G23">
        <v>45779</v>
      </c>
      <c r="H23">
        <v>8920</v>
      </c>
      <c r="I23" t="s">
        <v>73</v>
      </c>
      <c r="J23" t="s">
        <v>73</v>
      </c>
      <c r="K23" t="s">
        <v>73</v>
      </c>
      <c r="L23">
        <v>95124</v>
      </c>
      <c r="M23">
        <v>5418</v>
      </c>
      <c r="N23">
        <v>2758</v>
      </c>
    </row>
    <row r="24" spans="1:14" x14ac:dyDescent="0.4">
      <c r="A24" s="1" t="s">
        <v>36</v>
      </c>
      <c r="B24" s="1" t="s">
        <v>37</v>
      </c>
      <c r="C24" t="s">
        <v>73</v>
      </c>
      <c r="D24">
        <v>0</v>
      </c>
      <c r="E24" t="s">
        <v>73</v>
      </c>
      <c r="F24" t="s">
        <v>73</v>
      </c>
      <c r="G24">
        <v>28346</v>
      </c>
      <c r="H24">
        <v>5428</v>
      </c>
      <c r="I24" t="s">
        <v>73</v>
      </c>
      <c r="J24" t="s">
        <v>73</v>
      </c>
      <c r="K24" t="s">
        <v>73</v>
      </c>
      <c r="L24">
        <v>76937</v>
      </c>
      <c r="M24">
        <v>3484</v>
      </c>
      <c r="N24">
        <v>3026</v>
      </c>
    </row>
    <row r="25" spans="1:14" x14ac:dyDescent="0.4">
      <c r="A25" s="1" t="s">
        <v>38</v>
      </c>
      <c r="B25" s="1" t="s">
        <v>39</v>
      </c>
      <c r="C25" t="s">
        <v>73</v>
      </c>
      <c r="D25">
        <v>0</v>
      </c>
      <c r="E25" t="s">
        <v>73</v>
      </c>
      <c r="F25" t="s">
        <v>73</v>
      </c>
      <c r="G25">
        <v>45156</v>
      </c>
      <c r="H25">
        <v>7870</v>
      </c>
      <c r="I25" t="s">
        <v>73</v>
      </c>
      <c r="J25" t="s">
        <v>73</v>
      </c>
      <c r="K25" t="s">
        <v>73</v>
      </c>
      <c r="L25">
        <v>76317</v>
      </c>
      <c r="M25">
        <v>5303</v>
      </c>
      <c r="N25">
        <v>5044</v>
      </c>
    </row>
    <row r="26" spans="1:14" x14ac:dyDescent="0.4">
      <c r="A26" s="1" t="s">
        <v>40</v>
      </c>
      <c r="B26" s="1" t="s">
        <v>41</v>
      </c>
      <c r="C26" t="s">
        <v>73</v>
      </c>
      <c r="D26">
        <v>0</v>
      </c>
      <c r="E26" t="s">
        <v>73</v>
      </c>
      <c r="F26" t="s">
        <v>73</v>
      </c>
      <c r="G26">
        <v>76283</v>
      </c>
      <c r="H26">
        <v>10445</v>
      </c>
      <c r="I26" t="s">
        <v>73</v>
      </c>
      <c r="J26" t="s">
        <v>73</v>
      </c>
      <c r="K26" t="s">
        <v>73</v>
      </c>
      <c r="L26">
        <v>100632</v>
      </c>
      <c r="M26">
        <v>7716</v>
      </c>
      <c r="N26">
        <v>6892</v>
      </c>
    </row>
    <row r="27" spans="1:14" x14ac:dyDescent="0.4">
      <c r="A27" s="1" t="s">
        <v>42</v>
      </c>
      <c r="B27" s="1" t="s">
        <v>43</v>
      </c>
      <c r="C27" t="s">
        <v>73</v>
      </c>
      <c r="D27">
        <v>0</v>
      </c>
      <c r="E27" t="s">
        <v>73</v>
      </c>
      <c r="F27" t="s">
        <v>73</v>
      </c>
      <c r="G27">
        <v>27622</v>
      </c>
      <c r="H27">
        <v>5671</v>
      </c>
      <c r="I27" t="s">
        <v>73</v>
      </c>
      <c r="J27" t="s">
        <v>73</v>
      </c>
      <c r="K27" t="s">
        <v>73</v>
      </c>
      <c r="L27">
        <v>68157</v>
      </c>
      <c r="M27">
        <v>4329</v>
      </c>
      <c r="N27">
        <v>1278</v>
      </c>
    </row>
    <row r="28" spans="1:14" x14ac:dyDescent="0.4">
      <c r="A28" s="1" t="s">
        <v>44</v>
      </c>
      <c r="B28" s="1" t="s">
        <v>45</v>
      </c>
      <c r="C28" t="s">
        <v>73</v>
      </c>
      <c r="D28">
        <v>0</v>
      </c>
      <c r="E28" t="s">
        <v>73</v>
      </c>
      <c r="F28" t="s">
        <v>73</v>
      </c>
      <c r="G28">
        <v>33006</v>
      </c>
      <c r="H28">
        <v>6604</v>
      </c>
      <c r="I28" t="s">
        <v>73</v>
      </c>
      <c r="J28" t="s">
        <v>73</v>
      </c>
      <c r="K28" t="s">
        <v>73</v>
      </c>
      <c r="L28">
        <v>87274</v>
      </c>
      <c r="M28">
        <v>3753</v>
      </c>
      <c r="N28">
        <v>1557</v>
      </c>
    </row>
    <row r="29" spans="1:14" x14ac:dyDescent="0.4">
      <c r="A29" s="1" t="s">
        <v>46</v>
      </c>
      <c r="B29" s="1" t="s">
        <v>47</v>
      </c>
      <c r="C29" t="s">
        <v>73</v>
      </c>
      <c r="D29">
        <v>0</v>
      </c>
      <c r="E29" t="s">
        <v>73</v>
      </c>
      <c r="F29" t="s">
        <v>73</v>
      </c>
      <c r="G29">
        <v>52243</v>
      </c>
      <c r="H29">
        <v>6580</v>
      </c>
      <c r="I29" t="s">
        <v>73</v>
      </c>
      <c r="J29" t="s">
        <v>73</v>
      </c>
      <c r="K29" t="s">
        <v>73</v>
      </c>
      <c r="L29">
        <v>81869</v>
      </c>
      <c r="M29">
        <v>4569</v>
      </c>
      <c r="N29">
        <v>2745</v>
      </c>
    </row>
    <row r="30" spans="1:14" x14ac:dyDescent="0.4">
      <c r="A30" s="1" t="s">
        <v>48</v>
      </c>
      <c r="B30" s="1" t="s">
        <v>49</v>
      </c>
      <c r="C30" t="s">
        <v>73</v>
      </c>
      <c r="D30">
        <v>0</v>
      </c>
      <c r="E30" t="s">
        <v>73</v>
      </c>
      <c r="F30" t="s">
        <v>73</v>
      </c>
      <c r="G30">
        <v>39945</v>
      </c>
      <c r="H30">
        <v>5992</v>
      </c>
      <c r="I30" t="s">
        <v>73</v>
      </c>
      <c r="J30" t="s">
        <v>73</v>
      </c>
      <c r="K30" t="s">
        <v>73</v>
      </c>
      <c r="L30">
        <v>83805</v>
      </c>
      <c r="M30">
        <v>4615</v>
      </c>
      <c r="N30">
        <v>1460</v>
      </c>
    </row>
    <row r="31" spans="1:14" x14ac:dyDescent="0.4">
      <c r="A31" s="1" t="s">
        <v>50</v>
      </c>
      <c r="B31" s="1" t="s">
        <v>51</v>
      </c>
      <c r="C31" t="s">
        <v>73</v>
      </c>
      <c r="D31">
        <v>0</v>
      </c>
      <c r="E31" t="s">
        <v>73</v>
      </c>
      <c r="F31" t="s">
        <v>73</v>
      </c>
      <c r="G31">
        <v>38274</v>
      </c>
      <c r="H31">
        <v>7042</v>
      </c>
      <c r="I31" t="s">
        <v>73</v>
      </c>
      <c r="J31" t="s">
        <v>73</v>
      </c>
      <c r="K31" t="s">
        <v>73</v>
      </c>
      <c r="L31">
        <v>89011</v>
      </c>
      <c r="M31">
        <v>3539</v>
      </c>
      <c r="N31">
        <v>2024</v>
      </c>
    </row>
    <row r="32" spans="1:14" x14ac:dyDescent="0.4">
      <c r="A32" s="1" t="s">
        <v>52</v>
      </c>
      <c r="B32" s="1" t="s">
        <v>53</v>
      </c>
      <c r="C32" t="s">
        <v>73</v>
      </c>
      <c r="D32">
        <v>0</v>
      </c>
      <c r="E32" t="s">
        <v>73</v>
      </c>
      <c r="F32" t="s">
        <v>73</v>
      </c>
      <c r="G32">
        <v>53872</v>
      </c>
      <c r="H32">
        <v>8435</v>
      </c>
      <c r="I32" t="s">
        <v>73</v>
      </c>
      <c r="J32" t="s">
        <v>73</v>
      </c>
      <c r="K32" t="s">
        <v>73</v>
      </c>
      <c r="L32">
        <v>89891</v>
      </c>
      <c r="M32">
        <v>7498</v>
      </c>
      <c r="N32">
        <v>3657</v>
      </c>
    </row>
    <row r="33" spans="1:14" x14ac:dyDescent="0.4">
      <c r="A33" s="1" t="s">
        <v>54</v>
      </c>
      <c r="B33" s="1" t="s">
        <v>55</v>
      </c>
      <c r="C33" t="s">
        <v>73</v>
      </c>
      <c r="D33">
        <v>0</v>
      </c>
      <c r="E33" t="s">
        <v>73</v>
      </c>
      <c r="F33" t="s">
        <v>73</v>
      </c>
      <c r="G33">
        <v>40026</v>
      </c>
      <c r="H33">
        <v>6352</v>
      </c>
      <c r="I33" t="s">
        <v>73</v>
      </c>
      <c r="J33" t="s">
        <v>73</v>
      </c>
      <c r="K33" t="s">
        <v>73</v>
      </c>
      <c r="L33">
        <v>90749</v>
      </c>
      <c r="M33">
        <v>4336</v>
      </c>
      <c r="N33">
        <v>2357</v>
      </c>
    </row>
    <row r="34" spans="1:14" x14ac:dyDescent="0.4">
      <c r="A34" s="1" t="s">
        <v>56</v>
      </c>
      <c r="B34" s="1" t="s">
        <v>57</v>
      </c>
      <c r="C34" t="s">
        <v>73</v>
      </c>
      <c r="D34">
        <v>0</v>
      </c>
      <c r="E34" t="s">
        <v>73</v>
      </c>
      <c r="F34" t="s">
        <v>73</v>
      </c>
      <c r="G34">
        <v>36367</v>
      </c>
      <c r="H34">
        <v>6491</v>
      </c>
      <c r="I34" t="s">
        <v>73</v>
      </c>
      <c r="J34" t="s">
        <v>73</v>
      </c>
      <c r="K34" t="s">
        <v>73</v>
      </c>
      <c r="L34">
        <v>101031</v>
      </c>
      <c r="M34">
        <v>4532</v>
      </c>
      <c r="N34">
        <v>2393</v>
      </c>
    </row>
    <row r="35" spans="1:14" x14ac:dyDescent="0.4">
      <c r="A35" s="1" t="s">
        <v>58</v>
      </c>
      <c r="B35" s="1" t="s">
        <v>59</v>
      </c>
      <c r="C35" t="s">
        <v>73</v>
      </c>
      <c r="D35">
        <v>0</v>
      </c>
      <c r="E35" t="s">
        <v>73</v>
      </c>
      <c r="F35" t="s">
        <v>73</v>
      </c>
      <c r="G35">
        <v>60974</v>
      </c>
      <c r="H35">
        <v>8919</v>
      </c>
      <c r="I35" t="s">
        <v>73</v>
      </c>
      <c r="J35" t="s">
        <v>73</v>
      </c>
      <c r="K35" t="s">
        <v>73</v>
      </c>
      <c r="L35">
        <v>115781</v>
      </c>
      <c r="M35">
        <v>8396</v>
      </c>
      <c r="N35">
        <v>4874</v>
      </c>
    </row>
    <row r="36" spans="1:14" x14ac:dyDescent="0.4">
      <c r="A36" s="1" t="s">
        <v>60</v>
      </c>
      <c r="B36" s="1" t="s">
        <v>61</v>
      </c>
      <c r="C36" t="s">
        <v>73</v>
      </c>
      <c r="D36">
        <v>0</v>
      </c>
      <c r="E36" t="s">
        <v>73</v>
      </c>
      <c r="F36" t="s">
        <v>73</v>
      </c>
      <c r="G36">
        <v>39928</v>
      </c>
      <c r="H36">
        <v>6702</v>
      </c>
      <c r="I36" t="s">
        <v>73</v>
      </c>
      <c r="J36" t="s">
        <v>73</v>
      </c>
      <c r="K36" t="s">
        <v>73</v>
      </c>
      <c r="L36">
        <v>96272</v>
      </c>
      <c r="M36">
        <v>4905</v>
      </c>
      <c r="N36">
        <v>2964</v>
      </c>
    </row>
    <row r="37" spans="1:14" x14ac:dyDescent="0.4">
      <c r="A37" s="1" t="s">
        <v>62</v>
      </c>
      <c r="B37" s="1" t="s">
        <v>63</v>
      </c>
      <c r="C37" t="s">
        <v>73</v>
      </c>
      <c r="D37">
        <v>0</v>
      </c>
      <c r="E37" t="s">
        <v>73</v>
      </c>
      <c r="F37" t="s">
        <v>73</v>
      </c>
      <c r="G37">
        <v>52996</v>
      </c>
      <c r="H37">
        <v>7765</v>
      </c>
      <c r="I37" t="s">
        <v>73</v>
      </c>
      <c r="J37" t="s">
        <v>73</v>
      </c>
      <c r="K37" t="s">
        <v>73</v>
      </c>
      <c r="L37">
        <v>87261</v>
      </c>
      <c r="M37">
        <v>6378</v>
      </c>
      <c r="N37">
        <v>4609</v>
      </c>
    </row>
    <row r="38" spans="1:14" x14ac:dyDescent="0.4">
      <c r="A38" s="1" t="s">
        <v>64</v>
      </c>
      <c r="B38" s="1" t="s">
        <v>65</v>
      </c>
      <c r="C38" t="s">
        <v>73</v>
      </c>
      <c r="D38">
        <v>0</v>
      </c>
      <c r="E38" t="s">
        <v>73</v>
      </c>
      <c r="F38" t="s">
        <v>73</v>
      </c>
      <c r="G38">
        <v>92238</v>
      </c>
      <c r="H38">
        <v>11285</v>
      </c>
      <c r="I38" t="s">
        <v>73</v>
      </c>
      <c r="J38" t="s">
        <v>73</v>
      </c>
      <c r="K38" t="s">
        <v>73</v>
      </c>
      <c r="L38">
        <v>124052</v>
      </c>
      <c r="M38">
        <v>9854</v>
      </c>
      <c r="N38">
        <v>4897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C919C-B0AF-4082-8176-34CF781B9F58}">
  <dimension ref="A1:BY40"/>
  <sheetViews>
    <sheetView workbookViewId="0">
      <selection activeCell="C9" sqref="C9"/>
    </sheetView>
  </sheetViews>
  <sheetFormatPr defaultColWidth="15.62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1650</v>
      </c>
      <c r="D3" t="s">
        <v>1650</v>
      </c>
      <c r="E3" t="s">
        <v>1650</v>
      </c>
      <c r="F3" t="s">
        <v>1650</v>
      </c>
      <c r="G3" t="s">
        <v>1650</v>
      </c>
      <c r="H3" t="s">
        <v>1652</v>
      </c>
      <c r="I3" t="s">
        <v>1652</v>
      </c>
      <c r="J3" t="s">
        <v>1652</v>
      </c>
      <c r="K3" t="s">
        <v>1652</v>
      </c>
      <c r="L3" t="s">
        <v>1652</v>
      </c>
      <c r="M3" t="s">
        <v>1654</v>
      </c>
      <c r="N3" t="s">
        <v>1654</v>
      </c>
      <c r="O3" t="s">
        <v>1654</v>
      </c>
      <c r="P3" t="s">
        <v>1654</v>
      </c>
      <c r="Q3" t="s">
        <v>1654</v>
      </c>
      <c r="R3" t="s">
        <v>1656</v>
      </c>
      <c r="S3" t="s">
        <v>1656</v>
      </c>
      <c r="T3" t="s">
        <v>1656</v>
      </c>
      <c r="U3" t="s">
        <v>1656</v>
      </c>
      <c r="V3" t="s">
        <v>1656</v>
      </c>
      <c r="W3" t="s">
        <v>1658</v>
      </c>
      <c r="X3" t="s">
        <v>1658</v>
      </c>
      <c r="Y3" t="s">
        <v>1658</v>
      </c>
      <c r="Z3" t="s">
        <v>1658</v>
      </c>
      <c r="AA3" t="s">
        <v>1658</v>
      </c>
      <c r="AB3" t="s">
        <v>1660</v>
      </c>
      <c r="AC3" t="s">
        <v>1660</v>
      </c>
      <c r="AD3" t="s">
        <v>1660</v>
      </c>
      <c r="AE3" t="s">
        <v>1660</v>
      </c>
      <c r="AF3" t="s">
        <v>1660</v>
      </c>
      <c r="AG3" t="s">
        <v>1662</v>
      </c>
      <c r="AH3" t="s">
        <v>1662</v>
      </c>
      <c r="AI3" t="s">
        <v>1662</v>
      </c>
      <c r="AJ3" t="s">
        <v>1662</v>
      </c>
      <c r="AK3" t="s">
        <v>1662</v>
      </c>
      <c r="AL3" t="s">
        <v>1664</v>
      </c>
      <c r="AM3" t="s">
        <v>1664</v>
      </c>
      <c r="AN3" t="s">
        <v>1664</v>
      </c>
      <c r="AO3" t="s">
        <v>1664</v>
      </c>
      <c r="AP3" t="s">
        <v>1664</v>
      </c>
      <c r="AQ3" t="s">
        <v>1666</v>
      </c>
      <c r="AR3" t="s">
        <v>1666</v>
      </c>
      <c r="AS3" t="s">
        <v>1666</v>
      </c>
      <c r="AT3" t="s">
        <v>1666</v>
      </c>
      <c r="AU3" t="s">
        <v>1666</v>
      </c>
      <c r="AV3" t="s">
        <v>1668</v>
      </c>
      <c r="AW3" t="s">
        <v>1668</v>
      </c>
      <c r="AX3" t="s">
        <v>1668</v>
      </c>
      <c r="AY3" t="s">
        <v>1668</v>
      </c>
      <c r="AZ3" t="s">
        <v>1668</v>
      </c>
      <c r="BA3" t="s">
        <v>1670</v>
      </c>
      <c r="BB3" t="s">
        <v>1670</v>
      </c>
      <c r="BC3" t="s">
        <v>1670</v>
      </c>
      <c r="BD3" t="s">
        <v>1670</v>
      </c>
      <c r="BE3" t="s">
        <v>1670</v>
      </c>
      <c r="BF3" t="s">
        <v>1672</v>
      </c>
      <c r="BG3" t="s">
        <v>1672</v>
      </c>
      <c r="BH3" t="s">
        <v>1672</v>
      </c>
      <c r="BI3" t="s">
        <v>1672</v>
      </c>
      <c r="BJ3" t="s">
        <v>1672</v>
      </c>
      <c r="BK3" t="s">
        <v>1674</v>
      </c>
      <c r="BL3" t="s">
        <v>1674</v>
      </c>
      <c r="BM3" t="s">
        <v>1674</v>
      </c>
      <c r="BN3" t="s">
        <v>1674</v>
      </c>
      <c r="BO3" t="s">
        <v>1674</v>
      </c>
      <c r="BP3" t="s">
        <v>1676</v>
      </c>
      <c r="BQ3" t="s">
        <v>1676</v>
      </c>
      <c r="BR3" t="s">
        <v>1676</v>
      </c>
      <c r="BS3" t="s">
        <v>1676</v>
      </c>
      <c r="BT3" t="s">
        <v>1676</v>
      </c>
      <c r="BU3" t="s">
        <v>1678</v>
      </c>
      <c r="BV3" t="s">
        <v>1678</v>
      </c>
      <c r="BW3" t="s">
        <v>1678</v>
      </c>
      <c r="BX3" t="s">
        <v>1678</v>
      </c>
      <c r="BY3" t="s">
        <v>1678</v>
      </c>
    </row>
    <row r="4" spans="1:77" x14ac:dyDescent="0.4">
      <c r="A4" s="1"/>
      <c r="B4" s="2" t="s">
        <v>1</v>
      </c>
      <c r="C4" t="s">
        <v>1651</v>
      </c>
      <c r="D4" t="s">
        <v>1651</v>
      </c>
      <c r="E4" t="s">
        <v>1651</v>
      </c>
      <c r="F4" t="s">
        <v>1651</v>
      </c>
      <c r="G4" t="s">
        <v>1651</v>
      </c>
      <c r="H4" t="s">
        <v>1653</v>
      </c>
      <c r="I4" t="s">
        <v>1653</v>
      </c>
      <c r="J4" t="s">
        <v>1653</v>
      </c>
      <c r="K4" t="s">
        <v>1653</v>
      </c>
      <c r="L4" t="s">
        <v>1653</v>
      </c>
      <c r="M4" t="s">
        <v>1655</v>
      </c>
      <c r="N4" t="s">
        <v>1655</v>
      </c>
      <c r="O4" t="s">
        <v>1655</v>
      </c>
      <c r="P4" t="s">
        <v>1655</v>
      </c>
      <c r="Q4" t="s">
        <v>1655</v>
      </c>
      <c r="R4" t="s">
        <v>1657</v>
      </c>
      <c r="S4" t="s">
        <v>1657</v>
      </c>
      <c r="T4" t="s">
        <v>1657</v>
      </c>
      <c r="U4" t="s">
        <v>1657</v>
      </c>
      <c r="V4" t="s">
        <v>1657</v>
      </c>
      <c r="W4" t="s">
        <v>1659</v>
      </c>
      <c r="X4" t="s">
        <v>1659</v>
      </c>
      <c r="Y4" t="s">
        <v>1659</v>
      </c>
      <c r="Z4" t="s">
        <v>1659</v>
      </c>
      <c r="AA4" t="s">
        <v>1659</v>
      </c>
      <c r="AB4" t="s">
        <v>1661</v>
      </c>
      <c r="AC4" t="s">
        <v>1661</v>
      </c>
      <c r="AD4" t="s">
        <v>1661</v>
      </c>
      <c r="AE4" t="s">
        <v>1661</v>
      </c>
      <c r="AF4" t="s">
        <v>1661</v>
      </c>
      <c r="AG4" t="s">
        <v>1663</v>
      </c>
      <c r="AH4" t="s">
        <v>1663</v>
      </c>
      <c r="AI4" t="s">
        <v>1663</v>
      </c>
      <c r="AJ4" t="s">
        <v>1663</v>
      </c>
      <c r="AK4" t="s">
        <v>1663</v>
      </c>
      <c r="AL4" t="s">
        <v>1665</v>
      </c>
      <c r="AM4" t="s">
        <v>1665</v>
      </c>
      <c r="AN4" t="s">
        <v>1665</v>
      </c>
      <c r="AO4" t="s">
        <v>1665</v>
      </c>
      <c r="AP4" t="s">
        <v>1665</v>
      </c>
      <c r="AQ4" t="s">
        <v>1667</v>
      </c>
      <c r="AR4" t="s">
        <v>1667</v>
      </c>
      <c r="AS4" t="s">
        <v>1667</v>
      </c>
      <c r="AT4" t="s">
        <v>1667</v>
      </c>
      <c r="AU4" t="s">
        <v>1667</v>
      </c>
      <c r="AV4" t="s">
        <v>1669</v>
      </c>
      <c r="AW4" t="s">
        <v>1669</v>
      </c>
      <c r="AX4" t="s">
        <v>1669</v>
      </c>
      <c r="AY4" t="s">
        <v>1669</v>
      </c>
      <c r="AZ4" t="s">
        <v>1669</v>
      </c>
      <c r="BA4" t="s">
        <v>1671</v>
      </c>
      <c r="BB4" t="s">
        <v>1671</v>
      </c>
      <c r="BC4" t="s">
        <v>1671</v>
      </c>
      <c r="BD4" t="s">
        <v>1671</v>
      </c>
      <c r="BE4" t="s">
        <v>1671</v>
      </c>
      <c r="BF4" t="s">
        <v>1673</v>
      </c>
      <c r="BG4" t="s">
        <v>1673</v>
      </c>
      <c r="BH4" t="s">
        <v>1673</v>
      </c>
      <c r="BI4" t="s">
        <v>1673</v>
      </c>
      <c r="BJ4" t="s">
        <v>1673</v>
      </c>
      <c r="BK4" t="s">
        <v>1675</v>
      </c>
      <c r="BL4" t="s">
        <v>1675</v>
      </c>
      <c r="BM4" t="s">
        <v>1675</v>
      </c>
      <c r="BN4" t="s">
        <v>1675</v>
      </c>
      <c r="BO4" t="s">
        <v>1675</v>
      </c>
      <c r="BP4" t="s">
        <v>1677</v>
      </c>
      <c r="BQ4" t="s">
        <v>1677</v>
      </c>
      <c r="BR4" t="s">
        <v>1677</v>
      </c>
      <c r="BS4" t="s">
        <v>1677</v>
      </c>
      <c r="BT4" t="s">
        <v>1677</v>
      </c>
      <c r="BU4" t="s">
        <v>1679</v>
      </c>
      <c r="BV4" t="s">
        <v>1679</v>
      </c>
      <c r="BW4" t="s">
        <v>1679</v>
      </c>
      <c r="BX4" t="s">
        <v>1679</v>
      </c>
      <c r="BY4" t="s">
        <v>1679</v>
      </c>
    </row>
    <row r="5" spans="1:7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</row>
    <row r="7" spans="1:77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502</v>
      </c>
      <c r="S7" t="s">
        <v>258</v>
      </c>
      <c r="T7" t="s">
        <v>502</v>
      </c>
      <c r="U7" t="s">
        <v>258</v>
      </c>
      <c r="V7" t="s">
        <v>502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502</v>
      </c>
      <c r="AC7" t="s">
        <v>258</v>
      </c>
      <c r="AD7" t="s">
        <v>502</v>
      </c>
      <c r="AE7" t="s">
        <v>258</v>
      </c>
      <c r="AF7" t="s">
        <v>502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</row>
    <row r="8" spans="1:7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</row>
    <row r="9" spans="1:77" x14ac:dyDescent="0.4">
      <c r="A9" s="1" t="s">
        <v>6</v>
      </c>
      <c r="B9" s="3" t="s">
        <v>7</v>
      </c>
      <c r="C9">
        <v>5795404</v>
      </c>
      <c r="D9">
        <v>30175</v>
      </c>
      <c r="E9">
        <v>5900052</v>
      </c>
      <c r="F9">
        <v>32571</v>
      </c>
      <c r="G9">
        <v>1240586</v>
      </c>
      <c r="H9">
        <v>4312611</v>
      </c>
      <c r="I9">
        <v>42652</v>
      </c>
      <c r="J9">
        <v>4326573</v>
      </c>
      <c r="K9">
        <v>44716</v>
      </c>
      <c r="L9">
        <v>134558</v>
      </c>
      <c r="M9">
        <v>3327167</v>
      </c>
      <c r="N9">
        <v>14586</v>
      </c>
      <c r="O9">
        <v>3372942</v>
      </c>
      <c r="P9">
        <v>15334</v>
      </c>
      <c r="Q9">
        <v>37930</v>
      </c>
      <c r="R9">
        <v>42311</v>
      </c>
      <c r="S9">
        <v>10003</v>
      </c>
      <c r="T9">
        <v>42356</v>
      </c>
      <c r="U9">
        <v>9848</v>
      </c>
      <c r="V9">
        <v>600</v>
      </c>
      <c r="W9">
        <v>33874</v>
      </c>
      <c r="X9">
        <v>37062</v>
      </c>
      <c r="Y9">
        <v>34424</v>
      </c>
      <c r="Z9">
        <v>43243</v>
      </c>
      <c r="AA9">
        <v>1426</v>
      </c>
      <c r="AB9">
        <v>10094188</v>
      </c>
      <c r="AC9">
        <v>10735</v>
      </c>
      <c r="AD9">
        <v>10122402</v>
      </c>
      <c r="AE9">
        <v>11322</v>
      </c>
      <c r="AF9">
        <v>157533</v>
      </c>
      <c r="AG9">
        <v>325203</v>
      </c>
      <c r="AH9">
        <v>59785</v>
      </c>
      <c r="AI9">
        <v>331248</v>
      </c>
      <c r="AJ9">
        <v>58862</v>
      </c>
      <c r="AK9">
        <v>70464</v>
      </c>
      <c r="AL9">
        <v>95211</v>
      </c>
      <c r="AM9">
        <v>17018</v>
      </c>
      <c r="AN9">
        <v>94785</v>
      </c>
      <c r="AO9">
        <v>18348</v>
      </c>
      <c r="AP9">
        <v>3117</v>
      </c>
      <c r="AQ9">
        <v>4716</v>
      </c>
      <c r="AR9">
        <v>35552</v>
      </c>
      <c r="AS9">
        <v>4440</v>
      </c>
      <c r="AT9">
        <v>34575</v>
      </c>
      <c r="AU9">
        <v>589</v>
      </c>
      <c r="AV9">
        <v>18148</v>
      </c>
      <c r="AW9">
        <v>35025</v>
      </c>
      <c r="AX9">
        <v>17151</v>
      </c>
      <c r="AY9">
        <v>35561</v>
      </c>
      <c r="AZ9">
        <v>2908</v>
      </c>
      <c r="BA9">
        <v>51806</v>
      </c>
      <c r="BB9">
        <v>150774</v>
      </c>
      <c r="BC9">
        <v>53796</v>
      </c>
      <c r="BD9">
        <v>152677</v>
      </c>
      <c r="BE9">
        <v>1747</v>
      </c>
      <c r="BF9">
        <v>31263</v>
      </c>
      <c r="BG9">
        <v>20358</v>
      </c>
      <c r="BH9">
        <v>29857</v>
      </c>
      <c r="BI9">
        <v>19214</v>
      </c>
      <c r="BJ9">
        <v>2394</v>
      </c>
      <c r="BK9">
        <v>4412</v>
      </c>
      <c r="BL9">
        <v>16978</v>
      </c>
      <c r="BM9">
        <v>4563</v>
      </c>
      <c r="BN9">
        <v>20061</v>
      </c>
      <c r="BO9">
        <v>578</v>
      </c>
      <c r="BP9">
        <v>963</v>
      </c>
      <c r="BQ9">
        <v>23837</v>
      </c>
      <c r="BR9">
        <v>912</v>
      </c>
      <c r="BS9">
        <v>22735</v>
      </c>
      <c r="BT9">
        <v>54</v>
      </c>
      <c r="BU9">
        <v>51138</v>
      </c>
      <c r="BV9">
        <v>7908</v>
      </c>
      <c r="BW9">
        <v>142963</v>
      </c>
      <c r="BX9">
        <v>16870</v>
      </c>
      <c r="BY9">
        <v>8064</v>
      </c>
    </row>
    <row r="10" spans="1:77" x14ac:dyDescent="0.4">
      <c r="A10" s="1" t="s">
        <v>8</v>
      </c>
      <c r="B10" s="3" t="s">
        <v>9</v>
      </c>
      <c r="C10">
        <v>6581091</v>
      </c>
      <c r="D10">
        <v>38884</v>
      </c>
      <c r="E10">
        <v>6426086</v>
      </c>
      <c r="F10">
        <v>37977</v>
      </c>
      <c r="G10">
        <v>1397800</v>
      </c>
      <c r="H10">
        <v>4082227</v>
      </c>
      <c r="I10">
        <v>40524</v>
      </c>
      <c r="J10">
        <v>4070891</v>
      </c>
      <c r="K10">
        <v>42697</v>
      </c>
      <c r="L10">
        <v>146334</v>
      </c>
      <c r="M10">
        <v>3425606</v>
      </c>
      <c r="N10">
        <v>16379</v>
      </c>
      <c r="O10">
        <v>3411178</v>
      </c>
      <c r="P10">
        <v>16975</v>
      </c>
      <c r="Q10">
        <v>52358</v>
      </c>
      <c r="R10">
        <v>38096</v>
      </c>
      <c r="S10">
        <v>8445</v>
      </c>
      <c r="T10">
        <v>37243</v>
      </c>
      <c r="U10">
        <v>8183</v>
      </c>
      <c r="V10">
        <v>1453</v>
      </c>
      <c r="W10">
        <v>32771</v>
      </c>
      <c r="X10">
        <v>35970</v>
      </c>
      <c r="Y10">
        <v>32656</v>
      </c>
      <c r="Z10">
        <v>42046</v>
      </c>
      <c r="AA10">
        <v>1810</v>
      </c>
      <c r="AB10">
        <v>10611270</v>
      </c>
      <c r="AC10">
        <v>12050</v>
      </c>
      <c r="AD10">
        <v>10594539</v>
      </c>
      <c r="AE10">
        <v>12582</v>
      </c>
      <c r="AF10">
        <v>174264</v>
      </c>
      <c r="AG10">
        <v>336726</v>
      </c>
      <c r="AH10">
        <v>68238</v>
      </c>
      <c r="AI10">
        <v>345932</v>
      </c>
      <c r="AJ10">
        <v>69776</v>
      </c>
      <c r="AK10">
        <v>91185</v>
      </c>
      <c r="AL10">
        <v>94518</v>
      </c>
      <c r="AM10">
        <v>17700</v>
      </c>
      <c r="AN10">
        <v>94192</v>
      </c>
      <c r="AO10">
        <v>19694</v>
      </c>
      <c r="AP10">
        <v>3443</v>
      </c>
      <c r="AQ10">
        <v>4217</v>
      </c>
      <c r="AR10">
        <v>35777</v>
      </c>
      <c r="AS10">
        <v>3876</v>
      </c>
      <c r="AT10">
        <v>35779</v>
      </c>
      <c r="AU10">
        <v>930</v>
      </c>
      <c r="AV10">
        <v>15334</v>
      </c>
      <c r="AW10">
        <v>36901</v>
      </c>
      <c r="AX10">
        <v>15046</v>
      </c>
      <c r="AY10">
        <v>38944</v>
      </c>
      <c r="AZ10">
        <v>3196</v>
      </c>
      <c r="BA10">
        <v>58414</v>
      </c>
      <c r="BB10">
        <v>182840</v>
      </c>
      <c r="BC10">
        <v>59991</v>
      </c>
      <c r="BD10">
        <v>183984</v>
      </c>
      <c r="BE10">
        <v>2524</v>
      </c>
      <c r="BF10">
        <v>28452</v>
      </c>
      <c r="BG10">
        <v>19556</v>
      </c>
      <c r="BH10">
        <v>26483</v>
      </c>
      <c r="BI10">
        <v>17864</v>
      </c>
      <c r="BJ10">
        <v>2298</v>
      </c>
      <c r="BK10">
        <v>5851</v>
      </c>
      <c r="BL10">
        <v>17982</v>
      </c>
      <c r="BM10">
        <v>5528</v>
      </c>
      <c r="BN10">
        <v>21299</v>
      </c>
      <c r="BO10">
        <v>902</v>
      </c>
      <c r="BP10">
        <v>1712</v>
      </c>
      <c r="BQ10">
        <v>15053</v>
      </c>
      <c r="BR10">
        <v>1673</v>
      </c>
      <c r="BS10">
        <v>13765</v>
      </c>
      <c r="BT10">
        <v>60</v>
      </c>
      <c r="BU10">
        <v>46019</v>
      </c>
      <c r="BV10">
        <v>8073</v>
      </c>
      <c r="BW10">
        <v>123004</v>
      </c>
      <c r="BX10">
        <v>17980</v>
      </c>
      <c r="BY10">
        <v>12487</v>
      </c>
    </row>
    <row r="11" spans="1:77" x14ac:dyDescent="0.4">
      <c r="A11" s="1" t="s">
        <v>10</v>
      </c>
      <c r="B11" s="3" t="s">
        <v>11</v>
      </c>
      <c r="C11">
        <v>6384223</v>
      </c>
      <c r="D11">
        <v>43697</v>
      </c>
      <c r="E11">
        <v>5963487</v>
      </c>
      <c r="F11">
        <v>39855</v>
      </c>
      <c r="G11">
        <v>1824355</v>
      </c>
      <c r="H11">
        <v>3878521</v>
      </c>
      <c r="I11">
        <v>40385</v>
      </c>
      <c r="J11">
        <v>3859040</v>
      </c>
      <c r="K11">
        <v>43735</v>
      </c>
      <c r="L11">
        <v>166545</v>
      </c>
      <c r="M11">
        <v>3331613</v>
      </c>
      <c r="N11">
        <v>17536</v>
      </c>
      <c r="O11">
        <v>3319193</v>
      </c>
      <c r="P11">
        <v>18292</v>
      </c>
      <c r="Q11">
        <v>62346</v>
      </c>
      <c r="R11">
        <v>37381</v>
      </c>
      <c r="S11">
        <v>9528</v>
      </c>
      <c r="T11">
        <v>38275</v>
      </c>
      <c r="U11">
        <v>9570</v>
      </c>
      <c r="V11">
        <v>559</v>
      </c>
      <c r="W11">
        <v>30626</v>
      </c>
      <c r="X11">
        <v>44727</v>
      </c>
      <c r="Y11">
        <v>30802</v>
      </c>
      <c r="Z11">
        <v>50705</v>
      </c>
      <c r="AA11">
        <v>1730</v>
      </c>
      <c r="AB11">
        <v>11515269</v>
      </c>
      <c r="AC11">
        <v>12843</v>
      </c>
      <c r="AD11">
        <v>11505159</v>
      </c>
      <c r="AE11">
        <v>13432</v>
      </c>
      <c r="AF11">
        <v>184374</v>
      </c>
      <c r="AG11">
        <v>274401</v>
      </c>
      <c r="AH11">
        <v>70748</v>
      </c>
      <c r="AI11">
        <v>289549</v>
      </c>
      <c r="AJ11">
        <v>72057</v>
      </c>
      <c r="AK11">
        <v>129472</v>
      </c>
      <c r="AL11">
        <v>95212</v>
      </c>
      <c r="AM11">
        <v>20917</v>
      </c>
      <c r="AN11">
        <v>92853</v>
      </c>
      <c r="AO11">
        <v>21894</v>
      </c>
      <c r="AP11">
        <v>5802</v>
      </c>
      <c r="AQ11">
        <v>5033</v>
      </c>
      <c r="AR11">
        <v>49063</v>
      </c>
      <c r="AS11">
        <v>4415</v>
      </c>
      <c r="AT11">
        <v>46066</v>
      </c>
      <c r="AU11">
        <v>1548</v>
      </c>
      <c r="AV11">
        <v>15622</v>
      </c>
      <c r="AW11">
        <v>42274</v>
      </c>
      <c r="AX11">
        <v>13675</v>
      </c>
      <c r="AY11">
        <v>40588</v>
      </c>
      <c r="AZ11">
        <v>5143</v>
      </c>
      <c r="BA11">
        <v>57791</v>
      </c>
      <c r="BB11">
        <v>202764</v>
      </c>
      <c r="BC11">
        <v>59582</v>
      </c>
      <c r="BD11">
        <v>205505</v>
      </c>
      <c r="BE11">
        <v>2875</v>
      </c>
      <c r="BF11">
        <v>27577</v>
      </c>
      <c r="BG11">
        <v>21710</v>
      </c>
      <c r="BH11">
        <v>25125</v>
      </c>
      <c r="BI11">
        <v>18846</v>
      </c>
      <c r="BJ11">
        <v>2884</v>
      </c>
      <c r="BK11">
        <v>5976</v>
      </c>
      <c r="BL11">
        <v>19972</v>
      </c>
      <c r="BM11">
        <v>5316</v>
      </c>
      <c r="BN11">
        <v>22200</v>
      </c>
      <c r="BO11">
        <v>1557</v>
      </c>
      <c r="BP11">
        <v>1790</v>
      </c>
      <c r="BQ11">
        <v>21490</v>
      </c>
      <c r="BR11">
        <v>1743</v>
      </c>
      <c r="BS11">
        <v>20500</v>
      </c>
      <c r="BT11">
        <v>50</v>
      </c>
      <c r="BU11">
        <v>37157</v>
      </c>
      <c r="BV11">
        <v>7847</v>
      </c>
      <c r="BW11">
        <v>92146</v>
      </c>
      <c r="BX11">
        <v>16364</v>
      </c>
      <c r="BY11">
        <v>14769</v>
      </c>
    </row>
    <row r="12" spans="1:77" x14ac:dyDescent="0.4">
      <c r="A12" s="1" t="s">
        <v>12</v>
      </c>
      <c r="B12" s="3" t="s">
        <v>13</v>
      </c>
      <c r="C12">
        <v>5568631</v>
      </c>
      <c r="D12">
        <v>39938</v>
      </c>
      <c r="E12">
        <v>5854496</v>
      </c>
      <c r="F12">
        <v>40977</v>
      </c>
      <c r="G12">
        <v>1970305</v>
      </c>
      <c r="H12">
        <v>3898885</v>
      </c>
      <c r="I12">
        <v>42686</v>
      </c>
      <c r="J12">
        <v>3917590</v>
      </c>
      <c r="K12">
        <v>46718</v>
      </c>
      <c r="L12">
        <v>148293</v>
      </c>
      <c r="M12">
        <v>3339771</v>
      </c>
      <c r="N12">
        <v>18319</v>
      </c>
      <c r="O12">
        <v>3328805</v>
      </c>
      <c r="P12">
        <v>18888</v>
      </c>
      <c r="Q12">
        <v>73312</v>
      </c>
      <c r="R12">
        <v>31537</v>
      </c>
      <c r="S12">
        <v>8878</v>
      </c>
      <c r="T12">
        <v>31435</v>
      </c>
      <c r="U12">
        <v>8890</v>
      </c>
      <c r="V12">
        <v>661</v>
      </c>
      <c r="W12">
        <v>31594</v>
      </c>
      <c r="X12">
        <v>45776</v>
      </c>
      <c r="Y12">
        <v>31646</v>
      </c>
      <c r="Z12">
        <v>53104</v>
      </c>
      <c r="AA12">
        <v>1984</v>
      </c>
      <c r="AB12">
        <v>11247173</v>
      </c>
      <c r="AC12">
        <v>12618</v>
      </c>
      <c r="AD12">
        <v>11225764</v>
      </c>
      <c r="AE12">
        <v>13105</v>
      </c>
      <c r="AF12">
        <v>205783</v>
      </c>
      <c r="AG12">
        <v>207086</v>
      </c>
      <c r="AH12">
        <v>64556</v>
      </c>
      <c r="AI12">
        <v>293657</v>
      </c>
      <c r="AJ12">
        <v>69501</v>
      </c>
      <c r="AK12">
        <v>89121</v>
      </c>
      <c r="AL12">
        <v>91745</v>
      </c>
      <c r="AM12">
        <v>20922</v>
      </c>
      <c r="AN12">
        <v>80016</v>
      </c>
      <c r="AO12">
        <v>21884</v>
      </c>
      <c r="AP12">
        <v>15895</v>
      </c>
      <c r="AQ12">
        <v>4412</v>
      </c>
      <c r="AR12">
        <v>46819</v>
      </c>
      <c r="AS12">
        <v>3689</v>
      </c>
      <c r="AT12">
        <v>43805</v>
      </c>
      <c r="AU12">
        <v>1119</v>
      </c>
      <c r="AV12">
        <v>18350</v>
      </c>
      <c r="AW12">
        <v>39944</v>
      </c>
      <c r="AX12">
        <v>15784</v>
      </c>
      <c r="AY12">
        <v>38562</v>
      </c>
      <c r="AZ12">
        <v>5118</v>
      </c>
      <c r="BA12">
        <v>53563</v>
      </c>
      <c r="BB12">
        <v>223491</v>
      </c>
      <c r="BC12">
        <v>55496</v>
      </c>
      <c r="BD12">
        <v>226497</v>
      </c>
      <c r="BE12">
        <v>3082</v>
      </c>
      <c r="BF12">
        <v>24574</v>
      </c>
      <c r="BG12">
        <v>25412</v>
      </c>
      <c r="BH12">
        <v>22605</v>
      </c>
      <c r="BI12">
        <v>19987</v>
      </c>
      <c r="BJ12">
        <v>2125</v>
      </c>
      <c r="BK12">
        <v>4778</v>
      </c>
      <c r="BL12">
        <v>20049</v>
      </c>
      <c r="BM12">
        <v>5271</v>
      </c>
      <c r="BN12">
        <v>24933</v>
      </c>
      <c r="BO12">
        <v>1101</v>
      </c>
      <c r="BP12">
        <v>1942</v>
      </c>
      <c r="BQ12">
        <v>23035</v>
      </c>
      <c r="BR12">
        <v>1890</v>
      </c>
      <c r="BS12">
        <v>21807</v>
      </c>
      <c r="BT12">
        <v>49</v>
      </c>
      <c r="BU12">
        <v>28381</v>
      </c>
      <c r="BV12">
        <v>6894</v>
      </c>
      <c r="BW12">
        <v>90540</v>
      </c>
      <c r="BX12">
        <v>14764</v>
      </c>
      <c r="BY12">
        <v>8681</v>
      </c>
    </row>
    <row r="13" spans="1:77" x14ac:dyDescent="0.4">
      <c r="A13" s="1" t="s">
        <v>14</v>
      </c>
      <c r="B13" s="3" t="s">
        <v>15</v>
      </c>
      <c r="C13">
        <v>5960271</v>
      </c>
      <c r="D13">
        <v>40644</v>
      </c>
      <c r="E13">
        <v>5388410</v>
      </c>
      <c r="F13">
        <v>37133</v>
      </c>
      <c r="G13">
        <v>2446367</v>
      </c>
      <c r="H13">
        <v>4134394</v>
      </c>
      <c r="I13">
        <v>46353</v>
      </c>
      <c r="J13">
        <v>4102904</v>
      </c>
      <c r="K13">
        <v>50213</v>
      </c>
      <c r="L13">
        <v>180183</v>
      </c>
      <c r="M13">
        <v>3225354</v>
      </c>
      <c r="N13">
        <v>20216</v>
      </c>
      <c r="O13">
        <v>3221630</v>
      </c>
      <c r="P13">
        <v>20263</v>
      </c>
      <c r="Q13">
        <v>77036</v>
      </c>
      <c r="R13">
        <v>30978</v>
      </c>
      <c r="S13">
        <v>8334</v>
      </c>
      <c r="T13">
        <v>30476</v>
      </c>
      <c r="U13">
        <v>8259</v>
      </c>
      <c r="V13">
        <v>1163</v>
      </c>
      <c r="W13">
        <v>31969</v>
      </c>
      <c r="X13">
        <v>48955</v>
      </c>
      <c r="Y13">
        <v>31829</v>
      </c>
      <c r="Z13">
        <v>56175</v>
      </c>
      <c r="AA13">
        <v>2312</v>
      </c>
      <c r="AB13">
        <v>9397037</v>
      </c>
      <c r="AC13">
        <v>11986</v>
      </c>
      <c r="AD13">
        <v>9419907</v>
      </c>
      <c r="AE13">
        <v>12685</v>
      </c>
      <c r="AF13">
        <v>181563</v>
      </c>
      <c r="AG13">
        <v>233723</v>
      </c>
      <c r="AH13">
        <v>62585</v>
      </c>
      <c r="AI13">
        <v>276704</v>
      </c>
      <c r="AJ13">
        <v>63765</v>
      </c>
      <c r="AK13">
        <v>110822</v>
      </c>
      <c r="AL13">
        <v>73791</v>
      </c>
      <c r="AM13">
        <v>21233</v>
      </c>
      <c r="AN13">
        <v>74381</v>
      </c>
      <c r="AO13">
        <v>21535</v>
      </c>
      <c r="AP13">
        <v>14878</v>
      </c>
      <c r="AQ13">
        <v>3765</v>
      </c>
      <c r="AR13">
        <v>44427</v>
      </c>
      <c r="AS13">
        <v>3684</v>
      </c>
      <c r="AT13">
        <v>44648</v>
      </c>
      <c r="AU13">
        <v>940</v>
      </c>
      <c r="AV13">
        <v>16791</v>
      </c>
      <c r="AW13">
        <v>41787</v>
      </c>
      <c r="AX13">
        <v>15676</v>
      </c>
      <c r="AY13">
        <v>39723</v>
      </c>
      <c r="AZ13">
        <v>4786</v>
      </c>
      <c r="BA13">
        <v>53136</v>
      </c>
      <c r="BB13">
        <v>231257</v>
      </c>
      <c r="BC13">
        <v>55232</v>
      </c>
      <c r="BD13">
        <v>233583</v>
      </c>
      <c r="BE13">
        <v>3143</v>
      </c>
      <c r="BF13">
        <v>23398</v>
      </c>
      <c r="BG13">
        <v>22320</v>
      </c>
      <c r="BH13">
        <v>21444</v>
      </c>
      <c r="BI13">
        <v>18754</v>
      </c>
      <c r="BJ13">
        <v>2416</v>
      </c>
      <c r="BK13">
        <v>5177</v>
      </c>
      <c r="BL13">
        <v>19905</v>
      </c>
      <c r="BM13">
        <v>5441</v>
      </c>
      <c r="BN13">
        <v>25023</v>
      </c>
      <c r="BO13">
        <v>831</v>
      </c>
      <c r="BP13">
        <v>2012</v>
      </c>
      <c r="BQ13">
        <v>28297</v>
      </c>
      <c r="BR13">
        <v>1939</v>
      </c>
      <c r="BS13">
        <v>26549</v>
      </c>
      <c r="BT13">
        <v>57</v>
      </c>
      <c r="BU13">
        <v>28998</v>
      </c>
      <c r="BV13">
        <v>7742</v>
      </c>
      <c r="BW13">
        <v>94556</v>
      </c>
      <c r="BX13">
        <v>16826</v>
      </c>
      <c r="BY13">
        <v>8274</v>
      </c>
    </row>
    <row r="14" spans="1:77" x14ac:dyDescent="0.4">
      <c r="A14" s="1" t="s">
        <v>16</v>
      </c>
      <c r="B14" s="1" t="s">
        <v>17</v>
      </c>
      <c r="C14">
        <v>447950</v>
      </c>
      <c r="D14">
        <v>3279</v>
      </c>
      <c r="E14">
        <v>548046</v>
      </c>
      <c r="F14">
        <v>3417</v>
      </c>
      <c r="G14">
        <v>1668159</v>
      </c>
      <c r="H14">
        <v>310780</v>
      </c>
      <c r="I14">
        <v>3362</v>
      </c>
      <c r="J14">
        <v>328685</v>
      </c>
      <c r="K14">
        <v>3762</v>
      </c>
      <c r="L14">
        <v>145065</v>
      </c>
      <c r="M14">
        <v>275469</v>
      </c>
      <c r="N14">
        <v>1369</v>
      </c>
      <c r="O14">
        <v>356080</v>
      </c>
      <c r="P14">
        <v>1954</v>
      </c>
      <c r="Q14">
        <v>25769</v>
      </c>
      <c r="R14">
        <v>2998</v>
      </c>
      <c r="S14">
        <v>862</v>
      </c>
      <c r="T14">
        <v>3345</v>
      </c>
      <c r="U14">
        <v>891</v>
      </c>
      <c r="V14">
        <v>425</v>
      </c>
      <c r="W14">
        <v>2999</v>
      </c>
      <c r="X14">
        <v>5646</v>
      </c>
      <c r="Y14">
        <v>3039</v>
      </c>
      <c r="Z14">
        <v>7014</v>
      </c>
      <c r="AA14">
        <v>1438</v>
      </c>
      <c r="AB14">
        <v>919191</v>
      </c>
      <c r="AC14">
        <v>1032</v>
      </c>
      <c r="AD14">
        <v>922762</v>
      </c>
      <c r="AE14">
        <v>1091</v>
      </c>
      <c r="AF14">
        <v>188130</v>
      </c>
      <c r="AG14">
        <v>16372</v>
      </c>
      <c r="AH14">
        <v>6729</v>
      </c>
      <c r="AI14">
        <v>24803</v>
      </c>
      <c r="AJ14">
        <v>8849</v>
      </c>
      <c r="AK14">
        <v>120429</v>
      </c>
      <c r="AL14">
        <v>9220</v>
      </c>
      <c r="AM14">
        <v>2340</v>
      </c>
      <c r="AN14">
        <v>6615</v>
      </c>
      <c r="AO14">
        <v>2719</v>
      </c>
      <c r="AP14">
        <v>9108</v>
      </c>
      <c r="AQ14">
        <v>435</v>
      </c>
      <c r="AR14">
        <v>5007</v>
      </c>
      <c r="AS14">
        <v>437</v>
      </c>
      <c r="AT14">
        <v>6868</v>
      </c>
      <c r="AU14">
        <v>867</v>
      </c>
      <c r="AV14">
        <v>1888</v>
      </c>
      <c r="AW14">
        <v>3552</v>
      </c>
      <c r="AX14">
        <v>1656</v>
      </c>
      <c r="AY14">
        <v>4067</v>
      </c>
      <c r="AZ14">
        <v>3986</v>
      </c>
      <c r="BA14">
        <v>5068</v>
      </c>
      <c r="BB14">
        <v>21428</v>
      </c>
      <c r="BC14">
        <v>5317</v>
      </c>
      <c r="BD14">
        <v>22242</v>
      </c>
      <c r="BE14">
        <v>2838</v>
      </c>
      <c r="BF14">
        <v>2231</v>
      </c>
      <c r="BG14">
        <v>2110</v>
      </c>
      <c r="BH14">
        <v>2246</v>
      </c>
      <c r="BI14">
        <v>1872</v>
      </c>
      <c r="BJ14">
        <v>1874</v>
      </c>
      <c r="BK14">
        <v>458</v>
      </c>
      <c r="BL14">
        <v>2293</v>
      </c>
      <c r="BM14">
        <v>591</v>
      </c>
      <c r="BN14">
        <v>3836</v>
      </c>
      <c r="BO14">
        <v>1367</v>
      </c>
      <c r="BP14">
        <v>276</v>
      </c>
      <c r="BQ14">
        <v>4642</v>
      </c>
      <c r="BR14">
        <v>270</v>
      </c>
      <c r="BS14">
        <v>4374</v>
      </c>
      <c r="BT14">
        <v>52</v>
      </c>
      <c r="BU14">
        <v>2683</v>
      </c>
      <c r="BV14">
        <v>512</v>
      </c>
      <c r="BW14">
        <v>11908</v>
      </c>
      <c r="BX14">
        <v>1520</v>
      </c>
      <c r="BY14">
        <v>10643</v>
      </c>
    </row>
    <row r="15" spans="1:77" x14ac:dyDescent="0.4">
      <c r="A15" s="1" t="s">
        <v>18</v>
      </c>
      <c r="B15" s="1" t="s">
        <v>19</v>
      </c>
      <c r="C15">
        <v>442889</v>
      </c>
      <c r="D15">
        <v>3336</v>
      </c>
      <c r="E15">
        <v>459582</v>
      </c>
      <c r="F15">
        <v>3804</v>
      </c>
      <c r="G15">
        <v>1651524</v>
      </c>
      <c r="H15">
        <v>343337</v>
      </c>
      <c r="I15">
        <v>3779</v>
      </c>
      <c r="J15">
        <v>353434</v>
      </c>
      <c r="K15">
        <v>4427</v>
      </c>
      <c r="L15">
        <v>135015</v>
      </c>
      <c r="M15">
        <v>212201</v>
      </c>
      <c r="N15">
        <v>1285</v>
      </c>
      <c r="O15">
        <v>143439</v>
      </c>
      <c r="P15">
        <v>865</v>
      </c>
      <c r="Q15">
        <v>94531</v>
      </c>
      <c r="R15">
        <v>2494</v>
      </c>
      <c r="S15">
        <v>702</v>
      </c>
      <c r="T15">
        <v>2081</v>
      </c>
      <c r="U15">
        <v>582</v>
      </c>
      <c r="V15">
        <v>838</v>
      </c>
      <c r="W15">
        <v>2806</v>
      </c>
      <c r="X15">
        <v>3632</v>
      </c>
      <c r="Y15">
        <v>2747</v>
      </c>
      <c r="Z15">
        <v>4079</v>
      </c>
      <c r="AA15">
        <v>1645</v>
      </c>
      <c r="AB15">
        <v>969032</v>
      </c>
      <c r="AC15">
        <v>1011</v>
      </c>
      <c r="AD15">
        <v>972398</v>
      </c>
      <c r="AE15">
        <v>1064</v>
      </c>
      <c r="AF15">
        <v>184764</v>
      </c>
      <c r="AG15">
        <v>16149</v>
      </c>
      <c r="AH15">
        <v>4981</v>
      </c>
      <c r="AI15">
        <v>26128</v>
      </c>
      <c r="AJ15">
        <v>5177</v>
      </c>
      <c r="AK15">
        <v>116607</v>
      </c>
      <c r="AL15">
        <v>14022</v>
      </c>
      <c r="AM15">
        <v>1765</v>
      </c>
      <c r="AN15">
        <v>6627</v>
      </c>
      <c r="AO15">
        <v>1412</v>
      </c>
      <c r="AP15">
        <v>16504</v>
      </c>
      <c r="AQ15">
        <v>385</v>
      </c>
      <c r="AR15">
        <v>3269</v>
      </c>
      <c r="AS15">
        <v>283</v>
      </c>
      <c r="AT15">
        <v>2721</v>
      </c>
      <c r="AU15">
        <v>971</v>
      </c>
      <c r="AV15">
        <v>1184</v>
      </c>
      <c r="AW15">
        <v>2429</v>
      </c>
      <c r="AX15">
        <v>1238</v>
      </c>
      <c r="AY15">
        <v>3121</v>
      </c>
      <c r="AZ15">
        <v>3989</v>
      </c>
      <c r="BA15">
        <v>3893</v>
      </c>
      <c r="BB15">
        <v>17579</v>
      </c>
      <c r="BC15">
        <v>4211</v>
      </c>
      <c r="BD15">
        <v>17764</v>
      </c>
      <c r="BE15">
        <v>2685</v>
      </c>
      <c r="BF15">
        <v>1898</v>
      </c>
      <c r="BG15">
        <v>2032</v>
      </c>
      <c r="BH15">
        <v>1627</v>
      </c>
      <c r="BI15">
        <v>1465</v>
      </c>
      <c r="BJ15">
        <v>2024</v>
      </c>
      <c r="BK15">
        <v>409</v>
      </c>
      <c r="BL15">
        <v>1293</v>
      </c>
      <c r="BM15">
        <v>347</v>
      </c>
      <c r="BN15">
        <v>1154</v>
      </c>
      <c r="BO15">
        <v>1428</v>
      </c>
      <c r="BP15">
        <v>90</v>
      </c>
      <c r="BQ15">
        <v>660</v>
      </c>
      <c r="BR15">
        <v>82</v>
      </c>
      <c r="BS15">
        <v>393</v>
      </c>
      <c r="BT15">
        <v>56</v>
      </c>
      <c r="BU15">
        <v>2143</v>
      </c>
      <c r="BV15">
        <v>433</v>
      </c>
      <c r="BW15">
        <v>5239</v>
      </c>
      <c r="BX15">
        <v>918</v>
      </c>
      <c r="BY15">
        <v>10473</v>
      </c>
    </row>
    <row r="16" spans="1:77" x14ac:dyDescent="0.4">
      <c r="A16" s="1" t="s">
        <v>20</v>
      </c>
      <c r="B16" s="1" t="s">
        <v>21</v>
      </c>
      <c r="C16">
        <v>464855</v>
      </c>
      <c r="D16">
        <v>3440</v>
      </c>
      <c r="E16">
        <v>447459</v>
      </c>
      <c r="F16">
        <v>3257</v>
      </c>
      <c r="G16">
        <v>1670258</v>
      </c>
      <c r="H16">
        <v>325448</v>
      </c>
      <c r="I16">
        <v>3551</v>
      </c>
      <c r="J16">
        <v>322404</v>
      </c>
      <c r="K16">
        <v>3865</v>
      </c>
      <c r="L16">
        <v>138086</v>
      </c>
      <c r="M16">
        <v>299226</v>
      </c>
      <c r="N16">
        <v>1977</v>
      </c>
      <c r="O16">
        <v>301649</v>
      </c>
      <c r="P16">
        <v>2073</v>
      </c>
      <c r="Q16">
        <v>92108</v>
      </c>
      <c r="R16">
        <v>1856</v>
      </c>
      <c r="S16">
        <v>673</v>
      </c>
      <c r="T16">
        <v>1655</v>
      </c>
      <c r="U16">
        <v>468</v>
      </c>
      <c r="V16">
        <v>1039</v>
      </c>
      <c r="W16">
        <v>2370</v>
      </c>
      <c r="X16">
        <v>3762</v>
      </c>
      <c r="Y16">
        <v>2328</v>
      </c>
      <c r="Z16">
        <v>4144</v>
      </c>
      <c r="AA16">
        <v>1700</v>
      </c>
      <c r="AB16">
        <v>939282</v>
      </c>
      <c r="AC16">
        <v>1037</v>
      </c>
      <c r="AD16">
        <v>941070</v>
      </c>
      <c r="AE16">
        <v>1069</v>
      </c>
      <c r="AF16">
        <v>182976</v>
      </c>
      <c r="AG16">
        <v>17167</v>
      </c>
      <c r="AH16">
        <v>5013</v>
      </c>
      <c r="AI16">
        <v>24963</v>
      </c>
      <c r="AJ16">
        <v>5352</v>
      </c>
      <c r="AK16">
        <v>111609</v>
      </c>
      <c r="AL16">
        <v>6146</v>
      </c>
      <c r="AM16">
        <v>1286</v>
      </c>
      <c r="AN16">
        <v>6744</v>
      </c>
      <c r="AO16">
        <v>1622</v>
      </c>
      <c r="AP16">
        <v>15879</v>
      </c>
      <c r="AQ16">
        <v>352</v>
      </c>
      <c r="AR16">
        <v>2706</v>
      </c>
      <c r="AS16">
        <v>240</v>
      </c>
      <c r="AT16">
        <v>2217</v>
      </c>
      <c r="AU16">
        <v>1050</v>
      </c>
      <c r="AV16">
        <v>1344</v>
      </c>
      <c r="AW16">
        <v>2605</v>
      </c>
      <c r="AX16">
        <v>1371</v>
      </c>
      <c r="AY16">
        <v>3169</v>
      </c>
      <c r="AZ16">
        <v>3882</v>
      </c>
      <c r="BA16">
        <v>3856</v>
      </c>
      <c r="BB16">
        <v>16413</v>
      </c>
      <c r="BC16">
        <v>4076</v>
      </c>
      <c r="BD16">
        <v>16589</v>
      </c>
      <c r="BE16">
        <v>2637</v>
      </c>
      <c r="BF16">
        <v>1747</v>
      </c>
      <c r="BG16">
        <v>1970</v>
      </c>
      <c r="BH16">
        <v>1519</v>
      </c>
      <c r="BI16">
        <v>1446</v>
      </c>
      <c r="BJ16">
        <v>2099</v>
      </c>
      <c r="BK16">
        <v>334</v>
      </c>
      <c r="BL16">
        <v>1245</v>
      </c>
      <c r="BM16">
        <v>376</v>
      </c>
      <c r="BN16">
        <v>1510</v>
      </c>
      <c r="BO16">
        <v>1386</v>
      </c>
      <c r="BP16">
        <v>120</v>
      </c>
      <c r="BQ16">
        <v>1357</v>
      </c>
      <c r="BR16">
        <v>122</v>
      </c>
      <c r="BS16">
        <v>1717</v>
      </c>
      <c r="BT16">
        <v>50</v>
      </c>
      <c r="BU16">
        <v>2076</v>
      </c>
      <c r="BV16">
        <v>506</v>
      </c>
      <c r="BW16">
        <v>7724</v>
      </c>
      <c r="BX16">
        <v>1091</v>
      </c>
      <c r="BY16">
        <v>11014</v>
      </c>
    </row>
    <row r="17" spans="1:77" x14ac:dyDescent="0.4">
      <c r="A17" s="1" t="s">
        <v>22</v>
      </c>
      <c r="B17" s="1" t="s">
        <v>23</v>
      </c>
      <c r="C17">
        <v>423977</v>
      </c>
      <c r="D17">
        <v>3285</v>
      </c>
      <c r="E17">
        <v>386241</v>
      </c>
      <c r="F17">
        <v>2528</v>
      </c>
      <c r="G17">
        <v>1708058</v>
      </c>
      <c r="H17">
        <v>356852</v>
      </c>
      <c r="I17">
        <v>3917</v>
      </c>
      <c r="J17">
        <v>350879</v>
      </c>
      <c r="K17">
        <v>4152</v>
      </c>
      <c r="L17">
        <v>144096</v>
      </c>
      <c r="M17">
        <v>401006</v>
      </c>
      <c r="N17">
        <v>2107</v>
      </c>
      <c r="O17">
        <v>422361</v>
      </c>
      <c r="P17">
        <v>2173</v>
      </c>
      <c r="Q17">
        <v>70753</v>
      </c>
      <c r="R17">
        <v>2464</v>
      </c>
      <c r="S17">
        <v>710</v>
      </c>
      <c r="T17">
        <v>2756</v>
      </c>
      <c r="U17">
        <v>926</v>
      </c>
      <c r="V17">
        <v>747</v>
      </c>
      <c r="W17">
        <v>2350</v>
      </c>
      <c r="X17">
        <v>3058</v>
      </c>
      <c r="Y17">
        <v>2359</v>
      </c>
      <c r="Z17">
        <v>3434</v>
      </c>
      <c r="AA17">
        <v>1707</v>
      </c>
      <c r="AB17">
        <v>984266</v>
      </c>
      <c r="AC17">
        <v>1061</v>
      </c>
      <c r="AD17">
        <v>983833</v>
      </c>
      <c r="AE17">
        <v>1108</v>
      </c>
      <c r="AF17">
        <v>183409</v>
      </c>
      <c r="AG17">
        <v>16951</v>
      </c>
      <c r="AH17">
        <v>4548</v>
      </c>
      <c r="AI17">
        <v>22771</v>
      </c>
      <c r="AJ17">
        <v>4857</v>
      </c>
      <c r="AK17">
        <v>111953</v>
      </c>
      <c r="AL17">
        <v>6352</v>
      </c>
      <c r="AM17">
        <v>1415</v>
      </c>
      <c r="AN17">
        <v>6170</v>
      </c>
      <c r="AO17">
        <v>1435</v>
      </c>
      <c r="AP17">
        <v>16061</v>
      </c>
      <c r="AQ17">
        <v>342</v>
      </c>
      <c r="AR17">
        <v>2629</v>
      </c>
      <c r="AS17">
        <v>253</v>
      </c>
      <c r="AT17">
        <v>2472</v>
      </c>
      <c r="AU17">
        <v>1139</v>
      </c>
      <c r="AV17">
        <v>1175</v>
      </c>
      <c r="AW17">
        <v>2733</v>
      </c>
      <c r="AX17">
        <v>1188</v>
      </c>
      <c r="AY17">
        <v>3081</v>
      </c>
      <c r="AZ17">
        <v>3815</v>
      </c>
      <c r="BA17">
        <v>4177</v>
      </c>
      <c r="BB17">
        <v>18294</v>
      </c>
      <c r="BC17">
        <v>4486</v>
      </c>
      <c r="BD17">
        <v>18366</v>
      </c>
      <c r="BE17">
        <v>2558</v>
      </c>
      <c r="BF17">
        <v>1980</v>
      </c>
      <c r="BG17">
        <v>1712</v>
      </c>
      <c r="BH17">
        <v>1834</v>
      </c>
      <c r="BI17">
        <v>1456</v>
      </c>
      <c r="BJ17">
        <v>2112</v>
      </c>
      <c r="BK17">
        <v>343</v>
      </c>
      <c r="BL17">
        <v>1423</v>
      </c>
      <c r="BM17">
        <v>395</v>
      </c>
      <c r="BN17">
        <v>1823</v>
      </c>
      <c r="BO17">
        <v>1334</v>
      </c>
      <c r="BP17">
        <v>145</v>
      </c>
      <c r="BQ17">
        <v>1464</v>
      </c>
      <c r="BR17">
        <v>138</v>
      </c>
      <c r="BS17">
        <v>1302</v>
      </c>
      <c r="BT17">
        <v>54</v>
      </c>
      <c r="BU17">
        <v>2346</v>
      </c>
      <c r="BV17">
        <v>485</v>
      </c>
      <c r="BW17">
        <v>7118</v>
      </c>
      <c r="BX17">
        <v>1174</v>
      </c>
      <c r="BY17">
        <v>11020</v>
      </c>
    </row>
    <row r="18" spans="1:77" x14ac:dyDescent="0.4">
      <c r="A18" s="1" t="s">
        <v>24</v>
      </c>
      <c r="B18" s="1" t="s">
        <v>25</v>
      </c>
      <c r="C18">
        <v>500121</v>
      </c>
      <c r="D18">
        <v>3530</v>
      </c>
      <c r="E18">
        <v>519206</v>
      </c>
      <c r="F18">
        <v>3763</v>
      </c>
      <c r="G18">
        <v>1689004</v>
      </c>
      <c r="H18">
        <v>354298</v>
      </c>
      <c r="I18">
        <v>3754</v>
      </c>
      <c r="J18">
        <v>354901</v>
      </c>
      <c r="K18">
        <v>4234</v>
      </c>
      <c r="L18">
        <v>143606</v>
      </c>
      <c r="M18">
        <v>454156</v>
      </c>
      <c r="N18">
        <v>2196</v>
      </c>
      <c r="O18">
        <v>441162</v>
      </c>
      <c r="P18">
        <v>2150</v>
      </c>
      <c r="Q18">
        <v>83747</v>
      </c>
      <c r="R18">
        <v>2300</v>
      </c>
      <c r="S18">
        <v>750</v>
      </c>
      <c r="T18">
        <v>1713</v>
      </c>
      <c r="U18">
        <v>495</v>
      </c>
      <c r="V18">
        <v>1334</v>
      </c>
      <c r="W18">
        <v>2982</v>
      </c>
      <c r="X18">
        <v>3831</v>
      </c>
      <c r="Y18">
        <v>2863</v>
      </c>
      <c r="Z18">
        <v>4349</v>
      </c>
      <c r="AA18">
        <v>1839</v>
      </c>
      <c r="AB18">
        <v>1016532</v>
      </c>
      <c r="AC18">
        <v>1133</v>
      </c>
      <c r="AD18">
        <v>1020244</v>
      </c>
      <c r="AE18">
        <v>1166</v>
      </c>
      <c r="AF18">
        <v>179697</v>
      </c>
      <c r="AG18">
        <v>16874</v>
      </c>
      <c r="AH18">
        <v>5024</v>
      </c>
      <c r="AI18">
        <v>27294</v>
      </c>
      <c r="AJ18">
        <v>5588</v>
      </c>
      <c r="AK18">
        <v>103968</v>
      </c>
      <c r="AL18">
        <v>6185</v>
      </c>
      <c r="AM18">
        <v>1397</v>
      </c>
      <c r="AN18">
        <v>6244</v>
      </c>
      <c r="AO18">
        <v>1486</v>
      </c>
      <c r="AP18">
        <v>15978</v>
      </c>
      <c r="AQ18">
        <v>329</v>
      </c>
      <c r="AR18">
        <v>2777</v>
      </c>
      <c r="AS18">
        <v>239</v>
      </c>
      <c r="AT18">
        <v>2570</v>
      </c>
      <c r="AU18">
        <v>1144</v>
      </c>
      <c r="AV18">
        <v>1423</v>
      </c>
      <c r="AW18">
        <v>3058</v>
      </c>
      <c r="AX18">
        <v>1231</v>
      </c>
      <c r="AY18">
        <v>3168</v>
      </c>
      <c r="AZ18">
        <v>3847</v>
      </c>
      <c r="BA18">
        <v>4898</v>
      </c>
      <c r="BB18">
        <v>20925</v>
      </c>
      <c r="BC18">
        <v>4992</v>
      </c>
      <c r="BD18">
        <v>21362</v>
      </c>
      <c r="BE18">
        <v>2698</v>
      </c>
      <c r="BF18">
        <v>1955</v>
      </c>
      <c r="BG18">
        <v>1964</v>
      </c>
      <c r="BH18">
        <v>1801</v>
      </c>
      <c r="BI18">
        <v>1411</v>
      </c>
      <c r="BJ18">
        <v>2062</v>
      </c>
      <c r="BK18">
        <v>441</v>
      </c>
      <c r="BL18">
        <v>1474</v>
      </c>
      <c r="BM18">
        <v>382</v>
      </c>
      <c r="BN18">
        <v>1653</v>
      </c>
      <c r="BO18">
        <v>1392</v>
      </c>
      <c r="BP18">
        <v>138</v>
      </c>
      <c r="BQ18">
        <v>1416</v>
      </c>
      <c r="BR18">
        <v>137</v>
      </c>
      <c r="BS18">
        <v>1453</v>
      </c>
      <c r="BT18">
        <v>52</v>
      </c>
      <c r="BU18">
        <v>2672</v>
      </c>
      <c r="BV18">
        <v>727</v>
      </c>
      <c r="BW18">
        <v>7883</v>
      </c>
      <c r="BX18">
        <v>1290</v>
      </c>
      <c r="BY18">
        <v>10139</v>
      </c>
    </row>
    <row r="19" spans="1:77" x14ac:dyDescent="0.4">
      <c r="A19" s="1" t="s">
        <v>26</v>
      </c>
      <c r="B19" s="1" t="s">
        <v>27</v>
      </c>
      <c r="C19">
        <v>413480</v>
      </c>
      <c r="D19">
        <v>2928</v>
      </c>
      <c r="E19">
        <v>435870</v>
      </c>
      <c r="F19">
        <v>3254</v>
      </c>
      <c r="G19">
        <v>1667324</v>
      </c>
      <c r="H19">
        <v>306631</v>
      </c>
      <c r="I19">
        <v>3484</v>
      </c>
      <c r="J19">
        <v>311363</v>
      </c>
      <c r="K19">
        <v>3732</v>
      </c>
      <c r="L19">
        <v>138883</v>
      </c>
      <c r="M19">
        <v>379479</v>
      </c>
      <c r="N19">
        <v>1738</v>
      </c>
      <c r="O19">
        <v>413655</v>
      </c>
      <c r="P19">
        <v>1964</v>
      </c>
      <c r="Q19">
        <v>49571</v>
      </c>
      <c r="R19">
        <v>2245</v>
      </c>
      <c r="S19">
        <v>651</v>
      </c>
      <c r="T19">
        <v>2339</v>
      </c>
      <c r="U19">
        <v>944</v>
      </c>
      <c r="V19">
        <v>1240</v>
      </c>
      <c r="W19">
        <v>2198</v>
      </c>
      <c r="X19">
        <v>3408</v>
      </c>
      <c r="Y19">
        <v>2239</v>
      </c>
      <c r="Z19">
        <v>3948</v>
      </c>
      <c r="AA19">
        <v>1811</v>
      </c>
      <c r="AB19">
        <v>917754</v>
      </c>
      <c r="AC19">
        <v>1020</v>
      </c>
      <c r="AD19">
        <v>933346</v>
      </c>
      <c r="AE19">
        <v>1095</v>
      </c>
      <c r="AF19">
        <v>164105</v>
      </c>
      <c r="AG19">
        <v>13430</v>
      </c>
      <c r="AH19">
        <v>4334</v>
      </c>
      <c r="AI19">
        <v>23185</v>
      </c>
      <c r="AJ19">
        <v>5002</v>
      </c>
      <c r="AK19">
        <v>99438</v>
      </c>
      <c r="AL19">
        <v>6271</v>
      </c>
      <c r="AM19">
        <v>1428</v>
      </c>
      <c r="AN19">
        <v>6400</v>
      </c>
      <c r="AO19">
        <v>1561</v>
      </c>
      <c r="AP19">
        <v>15597</v>
      </c>
      <c r="AQ19">
        <v>282</v>
      </c>
      <c r="AR19">
        <v>3247</v>
      </c>
      <c r="AS19">
        <v>244</v>
      </c>
      <c r="AT19">
        <v>3065</v>
      </c>
      <c r="AU19">
        <v>1139</v>
      </c>
      <c r="AV19">
        <v>1404</v>
      </c>
      <c r="AW19">
        <v>2760</v>
      </c>
      <c r="AX19">
        <v>1060</v>
      </c>
      <c r="AY19">
        <v>2556</v>
      </c>
      <c r="AZ19">
        <v>3951</v>
      </c>
      <c r="BA19">
        <v>4371</v>
      </c>
      <c r="BB19">
        <v>17373</v>
      </c>
      <c r="BC19">
        <v>4601</v>
      </c>
      <c r="BD19">
        <v>17451</v>
      </c>
      <c r="BE19">
        <v>2600</v>
      </c>
      <c r="BF19">
        <v>1594</v>
      </c>
      <c r="BG19">
        <v>1821</v>
      </c>
      <c r="BH19">
        <v>1391</v>
      </c>
      <c r="BI19">
        <v>1376</v>
      </c>
      <c r="BJ19">
        <v>2115</v>
      </c>
      <c r="BK19">
        <v>383</v>
      </c>
      <c r="BL19">
        <v>1407</v>
      </c>
      <c r="BM19">
        <v>425</v>
      </c>
      <c r="BN19">
        <v>1675</v>
      </c>
      <c r="BO19">
        <v>1349</v>
      </c>
      <c r="BP19">
        <v>142</v>
      </c>
      <c r="BQ19">
        <v>1955</v>
      </c>
      <c r="BR19">
        <v>139</v>
      </c>
      <c r="BS19">
        <v>1774</v>
      </c>
      <c r="BT19">
        <v>52</v>
      </c>
      <c r="BU19">
        <v>1725</v>
      </c>
      <c r="BV19">
        <v>465</v>
      </c>
      <c r="BW19">
        <v>6146</v>
      </c>
      <c r="BX19">
        <v>1140</v>
      </c>
      <c r="BY19">
        <v>10359</v>
      </c>
    </row>
    <row r="20" spans="1:77" x14ac:dyDescent="0.4">
      <c r="A20" s="1" t="s">
        <v>28</v>
      </c>
      <c r="B20" s="1" t="s">
        <v>29</v>
      </c>
      <c r="C20">
        <v>477643</v>
      </c>
      <c r="D20">
        <v>3431</v>
      </c>
      <c r="E20">
        <v>607883</v>
      </c>
      <c r="F20">
        <v>4122</v>
      </c>
      <c r="G20">
        <v>1904164</v>
      </c>
      <c r="H20">
        <v>326899</v>
      </c>
      <c r="I20">
        <v>3611</v>
      </c>
      <c r="J20">
        <v>339279</v>
      </c>
      <c r="K20">
        <v>4054</v>
      </c>
      <c r="L20">
        <v>126503</v>
      </c>
      <c r="M20">
        <v>310417</v>
      </c>
      <c r="N20">
        <v>1561</v>
      </c>
      <c r="O20">
        <v>331329</v>
      </c>
      <c r="P20">
        <v>1714</v>
      </c>
      <c r="Q20">
        <v>28659</v>
      </c>
      <c r="R20">
        <v>3288</v>
      </c>
      <c r="S20">
        <v>894</v>
      </c>
      <c r="T20">
        <v>3624</v>
      </c>
      <c r="U20">
        <v>899</v>
      </c>
      <c r="V20">
        <v>904</v>
      </c>
      <c r="W20">
        <v>2596</v>
      </c>
      <c r="X20">
        <v>3502</v>
      </c>
      <c r="Y20">
        <v>2600</v>
      </c>
      <c r="Z20">
        <v>4355</v>
      </c>
      <c r="AA20">
        <v>1816</v>
      </c>
      <c r="AB20">
        <v>883587</v>
      </c>
      <c r="AC20">
        <v>986</v>
      </c>
      <c r="AD20">
        <v>883630</v>
      </c>
      <c r="AE20">
        <v>1044</v>
      </c>
      <c r="AF20">
        <v>164062</v>
      </c>
      <c r="AG20">
        <v>17911</v>
      </c>
      <c r="AH20">
        <v>5892</v>
      </c>
      <c r="AI20">
        <v>31224</v>
      </c>
      <c r="AJ20">
        <v>7948</v>
      </c>
      <c r="AK20">
        <v>89420</v>
      </c>
      <c r="AL20">
        <v>6862</v>
      </c>
      <c r="AM20">
        <v>1713</v>
      </c>
      <c r="AN20">
        <v>6653</v>
      </c>
      <c r="AO20">
        <v>2222</v>
      </c>
      <c r="AP20">
        <v>15801</v>
      </c>
      <c r="AQ20">
        <v>349</v>
      </c>
      <c r="AR20">
        <v>3971</v>
      </c>
      <c r="AS20">
        <v>367</v>
      </c>
      <c r="AT20">
        <v>4709</v>
      </c>
      <c r="AU20">
        <v>1081</v>
      </c>
      <c r="AV20">
        <v>1672</v>
      </c>
      <c r="AW20">
        <v>3549</v>
      </c>
      <c r="AX20">
        <v>1421</v>
      </c>
      <c r="AY20">
        <v>3832</v>
      </c>
      <c r="AZ20">
        <v>4081</v>
      </c>
      <c r="BA20">
        <v>5433</v>
      </c>
      <c r="BB20">
        <v>19845</v>
      </c>
      <c r="BC20">
        <v>5413</v>
      </c>
      <c r="BD20">
        <v>20145</v>
      </c>
      <c r="BE20">
        <v>2843</v>
      </c>
      <c r="BF20">
        <v>2199</v>
      </c>
      <c r="BG20">
        <v>2055</v>
      </c>
      <c r="BH20">
        <v>2051</v>
      </c>
      <c r="BI20">
        <v>1555</v>
      </c>
      <c r="BJ20">
        <v>2083</v>
      </c>
      <c r="BK20">
        <v>403</v>
      </c>
      <c r="BL20">
        <v>1480</v>
      </c>
      <c r="BM20">
        <v>532</v>
      </c>
      <c r="BN20">
        <v>2489</v>
      </c>
      <c r="BO20">
        <v>1220</v>
      </c>
      <c r="BP20">
        <v>203</v>
      </c>
      <c r="BQ20">
        <v>3120</v>
      </c>
      <c r="BR20">
        <v>205</v>
      </c>
      <c r="BS20">
        <v>3199</v>
      </c>
      <c r="BT20">
        <v>46</v>
      </c>
      <c r="BU20">
        <v>2255</v>
      </c>
      <c r="BV20">
        <v>621</v>
      </c>
      <c r="BW20">
        <v>10944</v>
      </c>
      <c r="BX20">
        <v>1807</v>
      </c>
      <c r="BY20">
        <v>7465</v>
      </c>
    </row>
    <row r="21" spans="1:77" x14ac:dyDescent="0.4">
      <c r="A21" s="1" t="s">
        <v>30</v>
      </c>
      <c r="B21" s="1" t="s">
        <v>31</v>
      </c>
      <c r="C21">
        <v>548294</v>
      </c>
      <c r="D21">
        <v>3915</v>
      </c>
      <c r="E21">
        <v>481776</v>
      </c>
      <c r="F21">
        <v>3606</v>
      </c>
      <c r="G21">
        <v>1972399</v>
      </c>
      <c r="H21">
        <v>345168</v>
      </c>
      <c r="I21">
        <v>3789</v>
      </c>
      <c r="J21">
        <v>336853</v>
      </c>
      <c r="K21">
        <v>3954</v>
      </c>
      <c r="L21">
        <v>134835</v>
      </c>
      <c r="M21">
        <v>213329</v>
      </c>
      <c r="N21">
        <v>1329</v>
      </c>
      <c r="O21">
        <v>208430</v>
      </c>
      <c r="P21">
        <v>1330</v>
      </c>
      <c r="Q21">
        <v>33558</v>
      </c>
      <c r="R21">
        <v>3335</v>
      </c>
      <c r="S21">
        <v>812</v>
      </c>
      <c r="T21">
        <v>3080</v>
      </c>
      <c r="U21">
        <v>832</v>
      </c>
      <c r="V21">
        <v>1159</v>
      </c>
      <c r="W21">
        <v>2712</v>
      </c>
      <c r="X21">
        <v>3769</v>
      </c>
      <c r="Y21">
        <v>2650</v>
      </c>
      <c r="Z21">
        <v>4164</v>
      </c>
      <c r="AA21">
        <v>1888</v>
      </c>
      <c r="AB21">
        <v>916876</v>
      </c>
      <c r="AC21">
        <v>1146</v>
      </c>
      <c r="AD21">
        <v>903356</v>
      </c>
      <c r="AE21">
        <v>1159</v>
      </c>
      <c r="AF21">
        <v>177582</v>
      </c>
      <c r="AG21">
        <v>22858</v>
      </c>
      <c r="AH21">
        <v>5803</v>
      </c>
      <c r="AI21">
        <v>24647</v>
      </c>
      <c r="AJ21">
        <v>4469</v>
      </c>
      <c r="AK21">
        <v>87632</v>
      </c>
      <c r="AL21">
        <v>6895</v>
      </c>
      <c r="AM21">
        <v>1753</v>
      </c>
      <c r="AN21">
        <v>6426</v>
      </c>
      <c r="AO21">
        <v>1634</v>
      </c>
      <c r="AP21">
        <v>16260</v>
      </c>
      <c r="AQ21">
        <v>325</v>
      </c>
      <c r="AR21">
        <v>3843</v>
      </c>
      <c r="AS21">
        <v>266</v>
      </c>
      <c r="AT21">
        <v>2890</v>
      </c>
      <c r="AU21">
        <v>1144</v>
      </c>
      <c r="AV21">
        <v>1733</v>
      </c>
      <c r="AW21">
        <v>4003</v>
      </c>
      <c r="AX21">
        <v>1283</v>
      </c>
      <c r="AY21">
        <v>2684</v>
      </c>
      <c r="AZ21">
        <v>4483</v>
      </c>
      <c r="BA21">
        <v>4154</v>
      </c>
      <c r="BB21">
        <v>16600</v>
      </c>
      <c r="BC21">
        <v>4387</v>
      </c>
      <c r="BD21">
        <v>16784</v>
      </c>
      <c r="BE21">
        <v>2821</v>
      </c>
      <c r="BF21">
        <v>2092</v>
      </c>
      <c r="BG21">
        <v>2502</v>
      </c>
      <c r="BH21">
        <v>1856</v>
      </c>
      <c r="BI21">
        <v>1818</v>
      </c>
      <c r="BJ21">
        <v>2162</v>
      </c>
      <c r="BK21">
        <v>393</v>
      </c>
      <c r="BL21">
        <v>1669</v>
      </c>
      <c r="BM21">
        <v>420</v>
      </c>
      <c r="BN21">
        <v>1668</v>
      </c>
      <c r="BO21">
        <v>1193</v>
      </c>
      <c r="BP21">
        <v>151</v>
      </c>
      <c r="BQ21">
        <v>1487</v>
      </c>
      <c r="BR21">
        <v>150</v>
      </c>
      <c r="BS21">
        <v>1318</v>
      </c>
      <c r="BT21">
        <v>41</v>
      </c>
      <c r="BU21">
        <v>2894</v>
      </c>
      <c r="BV21">
        <v>699</v>
      </c>
      <c r="BW21">
        <v>8437</v>
      </c>
      <c r="BX21">
        <v>1234</v>
      </c>
      <c r="BY21">
        <v>7592</v>
      </c>
    </row>
    <row r="22" spans="1:77" x14ac:dyDescent="0.4">
      <c r="A22" s="1" t="s">
        <v>32</v>
      </c>
      <c r="B22" s="1" t="s">
        <v>33</v>
      </c>
      <c r="C22">
        <v>489108</v>
      </c>
      <c r="D22">
        <v>3567</v>
      </c>
      <c r="E22">
        <v>467931</v>
      </c>
      <c r="F22">
        <v>3364</v>
      </c>
      <c r="G22">
        <v>1993759</v>
      </c>
      <c r="H22">
        <v>326108</v>
      </c>
      <c r="I22">
        <v>3575</v>
      </c>
      <c r="J22">
        <v>321841</v>
      </c>
      <c r="K22">
        <v>3876</v>
      </c>
      <c r="L22">
        <v>139103</v>
      </c>
      <c r="M22">
        <v>188474</v>
      </c>
      <c r="N22">
        <v>1176</v>
      </c>
      <c r="O22">
        <v>171742</v>
      </c>
      <c r="P22">
        <v>1203</v>
      </c>
      <c r="Q22">
        <v>50290</v>
      </c>
      <c r="R22">
        <v>2889</v>
      </c>
      <c r="S22">
        <v>794</v>
      </c>
      <c r="T22">
        <v>3243</v>
      </c>
      <c r="U22">
        <v>827</v>
      </c>
      <c r="V22">
        <v>805</v>
      </c>
      <c r="W22">
        <v>2732</v>
      </c>
      <c r="X22">
        <v>3692</v>
      </c>
      <c r="Y22">
        <v>2717</v>
      </c>
      <c r="Z22">
        <v>4245</v>
      </c>
      <c r="AA22">
        <v>1917</v>
      </c>
      <c r="AB22">
        <v>953233</v>
      </c>
      <c r="AC22">
        <v>1113</v>
      </c>
      <c r="AD22">
        <v>939807</v>
      </c>
      <c r="AE22">
        <v>1133</v>
      </c>
      <c r="AF22">
        <v>191008</v>
      </c>
      <c r="AG22">
        <v>20672</v>
      </c>
      <c r="AH22">
        <v>5814</v>
      </c>
      <c r="AI22">
        <v>21501</v>
      </c>
      <c r="AJ22">
        <v>5075</v>
      </c>
      <c r="AK22">
        <v>92939</v>
      </c>
      <c r="AL22">
        <v>6994</v>
      </c>
      <c r="AM22">
        <v>1987</v>
      </c>
      <c r="AN22">
        <v>7437</v>
      </c>
      <c r="AO22">
        <v>1951</v>
      </c>
      <c r="AP22">
        <v>15783</v>
      </c>
      <c r="AQ22">
        <v>383</v>
      </c>
      <c r="AR22">
        <v>4847</v>
      </c>
      <c r="AS22">
        <v>332</v>
      </c>
      <c r="AT22">
        <v>3877</v>
      </c>
      <c r="AU22">
        <v>1164</v>
      </c>
      <c r="AV22">
        <v>1840</v>
      </c>
      <c r="AW22">
        <v>4523</v>
      </c>
      <c r="AX22">
        <v>1223</v>
      </c>
      <c r="AY22">
        <v>2976</v>
      </c>
      <c r="AZ22">
        <v>4941</v>
      </c>
      <c r="BA22">
        <v>4373</v>
      </c>
      <c r="BB22">
        <v>16792</v>
      </c>
      <c r="BC22">
        <v>4294</v>
      </c>
      <c r="BD22">
        <v>16841</v>
      </c>
      <c r="BE22">
        <v>3055</v>
      </c>
      <c r="BF22">
        <v>2029</v>
      </c>
      <c r="BG22">
        <v>2291</v>
      </c>
      <c r="BH22">
        <v>1949</v>
      </c>
      <c r="BI22">
        <v>1918</v>
      </c>
      <c r="BJ22">
        <v>2094</v>
      </c>
      <c r="BK22">
        <v>370</v>
      </c>
      <c r="BL22">
        <v>1522</v>
      </c>
      <c r="BM22">
        <v>417</v>
      </c>
      <c r="BN22">
        <v>1756</v>
      </c>
      <c r="BO22">
        <v>1146</v>
      </c>
      <c r="BP22">
        <v>175</v>
      </c>
      <c r="BQ22">
        <v>2274</v>
      </c>
      <c r="BR22">
        <v>167</v>
      </c>
      <c r="BS22">
        <v>2250</v>
      </c>
      <c r="BT22">
        <v>45</v>
      </c>
      <c r="BU22">
        <v>2419</v>
      </c>
      <c r="BV22">
        <v>631</v>
      </c>
      <c r="BW22">
        <v>7407</v>
      </c>
      <c r="BX22">
        <v>1221</v>
      </c>
      <c r="BY22">
        <v>8114</v>
      </c>
    </row>
    <row r="23" spans="1:77" x14ac:dyDescent="0.4">
      <c r="A23" s="1" t="s">
        <v>34</v>
      </c>
      <c r="B23" s="1" t="s">
        <v>35</v>
      </c>
      <c r="C23">
        <v>459356</v>
      </c>
      <c r="D23">
        <v>3290</v>
      </c>
      <c r="E23">
        <v>484058</v>
      </c>
      <c r="F23">
        <v>3503</v>
      </c>
      <c r="G23">
        <v>1970305</v>
      </c>
      <c r="H23">
        <v>303131</v>
      </c>
      <c r="I23">
        <v>3325</v>
      </c>
      <c r="J23">
        <v>294001</v>
      </c>
      <c r="K23">
        <v>3491</v>
      </c>
      <c r="L23">
        <v>148293</v>
      </c>
      <c r="M23">
        <v>169137</v>
      </c>
      <c r="N23">
        <v>1155</v>
      </c>
      <c r="O23">
        <v>146115</v>
      </c>
      <c r="P23">
        <v>1108</v>
      </c>
      <c r="Q23">
        <v>73312</v>
      </c>
      <c r="R23">
        <v>2106</v>
      </c>
      <c r="S23">
        <v>659</v>
      </c>
      <c r="T23">
        <v>2250</v>
      </c>
      <c r="U23">
        <v>660</v>
      </c>
      <c r="V23">
        <v>661</v>
      </c>
      <c r="W23">
        <v>2538</v>
      </c>
      <c r="X23">
        <v>4070</v>
      </c>
      <c r="Y23">
        <v>2488</v>
      </c>
      <c r="Z23">
        <v>4713</v>
      </c>
      <c r="AA23">
        <v>1984</v>
      </c>
      <c r="AB23">
        <v>886596</v>
      </c>
      <c r="AC23">
        <v>1100</v>
      </c>
      <c r="AD23">
        <v>871821</v>
      </c>
      <c r="AE23">
        <v>1114</v>
      </c>
      <c r="AF23">
        <v>205783</v>
      </c>
      <c r="AG23">
        <v>18085</v>
      </c>
      <c r="AH23">
        <v>6174</v>
      </c>
      <c r="AI23">
        <v>21909</v>
      </c>
      <c r="AJ23">
        <v>6407</v>
      </c>
      <c r="AK23">
        <v>89121</v>
      </c>
      <c r="AL23">
        <v>7093</v>
      </c>
      <c r="AM23">
        <v>2227</v>
      </c>
      <c r="AN23">
        <v>6952</v>
      </c>
      <c r="AO23">
        <v>2222</v>
      </c>
      <c r="AP23">
        <v>15895</v>
      </c>
      <c r="AQ23">
        <v>424</v>
      </c>
      <c r="AR23">
        <v>5303</v>
      </c>
      <c r="AS23">
        <v>450</v>
      </c>
      <c r="AT23">
        <v>4993</v>
      </c>
      <c r="AU23">
        <v>1119</v>
      </c>
      <c r="AV23">
        <v>1671</v>
      </c>
      <c r="AW23">
        <v>4525</v>
      </c>
      <c r="AX23">
        <v>1404</v>
      </c>
      <c r="AY23">
        <v>3813</v>
      </c>
      <c r="AZ23">
        <v>5118</v>
      </c>
      <c r="BA23">
        <v>4413</v>
      </c>
      <c r="BB23">
        <v>20434</v>
      </c>
      <c r="BC23">
        <v>4569</v>
      </c>
      <c r="BD23">
        <v>20605</v>
      </c>
      <c r="BE23">
        <v>3082</v>
      </c>
      <c r="BF23">
        <v>2196</v>
      </c>
      <c r="BG23">
        <v>2400</v>
      </c>
      <c r="BH23">
        <v>1952</v>
      </c>
      <c r="BI23">
        <v>2094</v>
      </c>
      <c r="BJ23">
        <v>2125</v>
      </c>
      <c r="BK23">
        <v>399</v>
      </c>
      <c r="BL23">
        <v>1904</v>
      </c>
      <c r="BM23">
        <v>444</v>
      </c>
      <c r="BN23">
        <v>2405</v>
      </c>
      <c r="BO23">
        <v>1101</v>
      </c>
      <c r="BP23">
        <v>174</v>
      </c>
      <c r="BQ23">
        <v>1932</v>
      </c>
      <c r="BR23">
        <v>166</v>
      </c>
      <c r="BS23">
        <v>1628</v>
      </c>
      <c r="BT23">
        <v>49</v>
      </c>
      <c r="BU23">
        <v>2684</v>
      </c>
      <c r="BV23">
        <v>721</v>
      </c>
      <c r="BW23">
        <v>7286</v>
      </c>
      <c r="BX23">
        <v>1147</v>
      </c>
      <c r="BY23">
        <v>8681</v>
      </c>
    </row>
    <row r="24" spans="1:77" x14ac:dyDescent="0.4">
      <c r="A24" s="1" t="s">
        <v>36</v>
      </c>
      <c r="B24" s="1" t="s">
        <v>37</v>
      </c>
      <c r="C24">
        <v>478162</v>
      </c>
      <c r="D24">
        <v>3179</v>
      </c>
      <c r="E24">
        <v>387601</v>
      </c>
      <c r="F24">
        <v>2330</v>
      </c>
      <c r="G24">
        <v>2068239</v>
      </c>
      <c r="H24">
        <v>300381</v>
      </c>
      <c r="I24">
        <v>3311</v>
      </c>
      <c r="J24">
        <v>294785</v>
      </c>
      <c r="K24">
        <v>3502</v>
      </c>
      <c r="L24">
        <v>153939</v>
      </c>
      <c r="M24">
        <v>160742</v>
      </c>
      <c r="N24">
        <v>1110</v>
      </c>
      <c r="O24">
        <v>163547</v>
      </c>
      <c r="P24">
        <v>1143</v>
      </c>
      <c r="Q24">
        <v>70507</v>
      </c>
      <c r="R24">
        <v>1957</v>
      </c>
      <c r="S24">
        <v>541</v>
      </c>
      <c r="T24">
        <v>2098</v>
      </c>
      <c r="U24">
        <v>541</v>
      </c>
      <c r="V24">
        <v>520</v>
      </c>
      <c r="W24">
        <v>2450</v>
      </c>
      <c r="X24">
        <v>3970</v>
      </c>
      <c r="Y24">
        <v>2418</v>
      </c>
      <c r="Z24">
        <v>4397</v>
      </c>
      <c r="AA24">
        <v>2036</v>
      </c>
      <c r="AB24">
        <v>812482</v>
      </c>
      <c r="AC24">
        <v>991</v>
      </c>
      <c r="AD24">
        <v>828954</v>
      </c>
      <c r="AE24">
        <v>1093</v>
      </c>
      <c r="AF24">
        <v>187961</v>
      </c>
      <c r="AG24">
        <v>23155</v>
      </c>
      <c r="AH24">
        <v>5595</v>
      </c>
      <c r="AI24">
        <v>12941</v>
      </c>
      <c r="AJ24">
        <v>3803</v>
      </c>
      <c r="AK24">
        <v>99341</v>
      </c>
      <c r="AL24">
        <v>6760</v>
      </c>
      <c r="AM24">
        <v>1804</v>
      </c>
      <c r="AN24">
        <v>6893</v>
      </c>
      <c r="AO24">
        <v>1724</v>
      </c>
      <c r="AP24">
        <v>15704</v>
      </c>
      <c r="AQ24">
        <v>269</v>
      </c>
      <c r="AR24">
        <v>3442</v>
      </c>
      <c r="AS24">
        <v>306</v>
      </c>
      <c r="AT24">
        <v>3263</v>
      </c>
      <c r="AU24">
        <v>1048</v>
      </c>
      <c r="AV24">
        <v>1634</v>
      </c>
      <c r="AW24">
        <v>4417</v>
      </c>
      <c r="AX24">
        <v>1232</v>
      </c>
      <c r="AY24">
        <v>2834</v>
      </c>
      <c r="AZ24">
        <v>5315</v>
      </c>
      <c r="BA24">
        <v>4644</v>
      </c>
      <c r="BB24">
        <v>20298</v>
      </c>
      <c r="BC24">
        <v>4739</v>
      </c>
      <c r="BD24">
        <v>20678</v>
      </c>
      <c r="BE24">
        <v>3140</v>
      </c>
      <c r="BF24">
        <v>2132</v>
      </c>
      <c r="BG24">
        <v>2050</v>
      </c>
      <c r="BH24">
        <v>2012</v>
      </c>
      <c r="BI24">
        <v>1725</v>
      </c>
      <c r="BJ24">
        <v>2083</v>
      </c>
      <c r="BK24">
        <v>381</v>
      </c>
      <c r="BL24">
        <v>1747</v>
      </c>
      <c r="BM24">
        <v>417</v>
      </c>
      <c r="BN24">
        <v>1800</v>
      </c>
      <c r="BO24">
        <v>1065</v>
      </c>
      <c r="BP24">
        <v>164</v>
      </c>
      <c r="BQ24">
        <v>1795</v>
      </c>
      <c r="BR24">
        <v>163</v>
      </c>
      <c r="BS24">
        <v>1566</v>
      </c>
      <c r="BT24">
        <v>47</v>
      </c>
      <c r="BU24">
        <v>3064</v>
      </c>
      <c r="BV24">
        <v>716</v>
      </c>
      <c r="BW24">
        <v>7098</v>
      </c>
      <c r="BX24">
        <v>1295</v>
      </c>
      <c r="BY24">
        <v>10321</v>
      </c>
    </row>
    <row r="25" spans="1:77" x14ac:dyDescent="0.4">
      <c r="A25" s="1" t="s">
        <v>38</v>
      </c>
      <c r="B25" s="1" t="s">
        <v>39</v>
      </c>
      <c r="C25">
        <v>437049</v>
      </c>
      <c r="D25">
        <v>2932</v>
      </c>
      <c r="E25">
        <v>502152</v>
      </c>
      <c r="F25">
        <v>3323</v>
      </c>
      <c r="G25">
        <v>2003097</v>
      </c>
      <c r="H25">
        <v>317464</v>
      </c>
      <c r="I25">
        <v>3563</v>
      </c>
      <c r="J25">
        <v>324580</v>
      </c>
      <c r="K25">
        <v>3919</v>
      </c>
      <c r="L25">
        <v>146828</v>
      </c>
      <c r="M25">
        <v>243735</v>
      </c>
      <c r="N25">
        <v>1476</v>
      </c>
      <c r="O25">
        <v>236634</v>
      </c>
      <c r="P25">
        <v>1454</v>
      </c>
      <c r="Q25">
        <v>77608</v>
      </c>
      <c r="R25">
        <v>2488</v>
      </c>
      <c r="S25">
        <v>656</v>
      </c>
      <c r="T25">
        <v>2418</v>
      </c>
      <c r="U25">
        <v>656</v>
      </c>
      <c r="V25">
        <v>590</v>
      </c>
      <c r="W25">
        <v>2361</v>
      </c>
      <c r="X25">
        <v>3870</v>
      </c>
      <c r="Y25">
        <v>2485</v>
      </c>
      <c r="Z25">
        <v>4489</v>
      </c>
      <c r="AA25">
        <v>1934</v>
      </c>
      <c r="AB25">
        <v>746270</v>
      </c>
      <c r="AC25">
        <v>1009</v>
      </c>
      <c r="AD25">
        <v>750830</v>
      </c>
      <c r="AE25">
        <v>1070</v>
      </c>
      <c r="AF25">
        <v>183401</v>
      </c>
      <c r="AG25">
        <v>17839</v>
      </c>
      <c r="AH25">
        <v>5108</v>
      </c>
      <c r="AI25">
        <v>27090</v>
      </c>
      <c r="AJ25">
        <v>5435</v>
      </c>
      <c r="AK25">
        <v>90097</v>
      </c>
      <c r="AL25">
        <v>6959</v>
      </c>
      <c r="AM25">
        <v>2054</v>
      </c>
      <c r="AN25">
        <v>7364</v>
      </c>
      <c r="AO25">
        <v>1980</v>
      </c>
      <c r="AP25">
        <v>15193</v>
      </c>
      <c r="AQ25">
        <v>363</v>
      </c>
      <c r="AR25">
        <v>5180</v>
      </c>
      <c r="AS25">
        <v>312</v>
      </c>
      <c r="AT25">
        <v>4346</v>
      </c>
      <c r="AU25">
        <v>1043</v>
      </c>
      <c r="AV25">
        <v>1588</v>
      </c>
      <c r="AW25">
        <v>4156</v>
      </c>
      <c r="AX25">
        <v>1505</v>
      </c>
      <c r="AY25">
        <v>3534</v>
      </c>
      <c r="AZ25">
        <v>5117</v>
      </c>
      <c r="BA25">
        <v>4471</v>
      </c>
      <c r="BB25">
        <v>19998</v>
      </c>
      <c r="BC25">
        <v>4598</v>
      </c>
      <c r="BD25">
        <v>20076</v>
      </c>
      <c r="BE25">
        <v>3225</v>
      </c>
      <c r="BF25">
        <v>2254</v>
      </c>
      <c r="BG25">
        <v>2326</v>
      </c>
      <c r="BH25">
        <v>2047</v>
      </c>
      <c r="BI25">
        <v>1905</v>
      </c>
      <c r="BJ25">
        <v>2129</v>
      </c>
      <c r="BK25">
        <v>529</v>
      </c>
      <c r="BL25">
        <v>1919</v>
      </c>
      <c r="BM25">
        <v>587</v>
      </c>
      <c r="BN25">
        <v>2882</v>
      </c>
      <c r="BO25">
        <v>1007</v>
      </c>
      <c r="BP25">
        <v>176</v>
      </c>
      <c r="BQ25">
        <v>2773</v>
      </c>
      <c r="BR25">
        <v>163</v>
      </c>
      <c r="BS25">
        <v>2069</v>
      </c>
      <c r="BT25">
        <v>54</v>
      </c>
      <c r="BU25">
        <v>2350</v>
      </c>
      <c r="BV25">
        <v>610</v>
      </c>
      <c r="BW25">
        <v>7042</v>
      </c>
      <c r="BX25">
        <v>1140</v>
      </c>
      <c r="BY25">
        <v>10366</v>
      </c>
    </row>
    <row r="26" spans="1:77" x14ac:dyDescent="0.4">
      <c r="A26" s="1" t="s">
        <v>40</v>
      </c>
      <c r="B26" s="1" t="s">
        <v>41</v>
      </c>
      <c r="C26">
        <v>537289</v>
      </c>
      <c r="D26">
        <v>3537</v>
      </c>
      <c r="E26">
        <v>485374</v>
      </c>
      <c r="F26">
        <v>2955</v>
      </c>
      <c r="G26">
        <v>2058755</v>
      </c>
      <c r="H26">
        <v>317274</v>
      </c>
      <c r="I26">
        <v>3556</v>
      </c>
      <c r="J26">
        <v>326506</v>
      </c>
      <c r="K26">
        <v>4008</v>
      </c>
      <c r="L26">
        <v>137603</v>
      </c>
      <c r="M26">
        <v>325795</v>
      </c>
      <c r="N26">
        <v>1676</v>
      </c>
      <c r="O26">
        <v>377132</v>
      </c>
      <c r="P26">
        <v>2246</v>
      </c>
      <c r="Q26">
        <v>26271</v>
      </c>
      <c r="R26">
        <v>3128</v>
      </c>
      <c r="S26">
        <v>726</v>
      </c>
      <c r="T26">
        <v>2817</v>
      </c>
      <c r="U26">
        <v>687</v>
      </c>
      <c r="V26">
        <v>901</v>
      </c>
      <c r="W26">
        <v>2765</v>
      </c>
      <c r="X26">
        <v>4863</v>
      </c>
      <c r="Y26">
        <v>2848</v>
      </c>
      <c r="Z26">
        <v>6008</v>
      </c>
      <c r="AA26">
        <v>1872</v>
      </c>
      <c r="AB26">
        <v>657718</v>
      </c>
      <c r="AC26">
        <v>1010</v>
      </c>
      <c r="AD26">
        <v>660929</v>
      </c>
      <c r="AE26">
        <v>1069</v>
      </c>
      <c r="AF26">
        <v>180190</v>
      </c>
      <c r="AG26">
        <v>18634</v>
      </c>
      <c r="AH26">
        <v>6780</v>
      </c>
      <c r="AI26">
        <v>24998</v>
      </c>
      <c r="AJ26">
        <v>8884</v>
      </c>
      <c r="AK26">
        <v>100299</v>
      </c>
      <c r="AL26">
        <v>6236</v>
      </c>
      <c r="AM26">
        <v>2552</v>
      </c>
      <c r="AN26">
        <v>7130</v>
      </c>
      <c r="AO26">
        <v>2634</v>
      </c>
      <c r="AP26">
        <v>14294</v>
      </c>
      <c r="AQ26">
        <v>366</v>
      </c>
      <c r="AR26">
        <v>4256</v>
      </c>
      <c r="AS26">
        <v>449</v>
      </c>
      <c r="AT26">
        <v>6244</v>
      </c>
      <c r="AU26">
        <v>957</v>
      </c>
      <c r="AV26">
        <v>1703</v>
      </c>
      <c r="AW26">
        <v>4756</v>
      </c>
      <c r="AX26">
        <v>1819</v>
      </c>
      <c r="AY26">
        <v>4592</v>
      </c>
      <c r="AZ26">
        <v>4949</v>
      </c>
      <c r="BA26">
        <v>4785</v>
      </c>
      <c r="BB26">
        <v>22630</v>
      </c>
      <c r="BC26">
        <v>5452</v>
      </c>
      <c r="BD26">
        <v>23767</v>
      </c>
      <c r="BE26">
        <v>2865</v>
      </c>
      <c r="BF26">
        <v>2142</v>
      </c>
      <c r="BG26">
        <v>2116</v>
      </c>
      <c r="BH26">
        <v>2241</v>
      </c>
      <c r="BI26">
        <v>1918</v>
      </c>
      <c r="BJ26">
        <v>1878</v>
      </c>
      <c r="BK26">
        <v>455</v>
      </c>
      <c r="BL26">
        <v>2047</v>
      </c>
      <c r="BM26">
        <v>518</v>
      </c>
      <c r="BN26">
        <v>3265</v>
      </c>
      <c r="BO26">
        <v>943</v>
      </c>
      <c r="BP26">
        <v>254</v>
      </c>
      <c r="BQ26">
        <v>4188</v>
      </c>
      <c r="BR26">
        <v>244</v>
      </c>
      <c r="BS26">
        <v>4168</v>
      </c>
      <c r="BT26">
        <v>52</v>
      </c>
      <c r="BU26">
        <v>3145</v>
      </c>
      <c r="BV26">
        <v>838</v>
      </c>
      <c r="BW26">
        <v>13906</v>
      </c>
      <c r="BX26">
        <v>2247</v>
      </c>
      <c r="BY26">
        <v>5424</v>
      </c>
    </row>
    <row r="27" spans="1:77" x14ac:dyDescent="0.4">
      <c r="A27" s="1" t="s">
        <v>42</v>
      </c>
      <c r="B27" s="1" t="s">
        <v>43</v>
      </c>
      <c r="C27">
        <v>520214</v>
      </c>
      <c r="D27">
        <v>3624</v>
      </c>
      <c r="E27">
        <v>385561</v>
      </c>
      <c r="F27">
        <v>2885</v>
      </c>
      <c r="G27">
        <v>2193155</v>
      </c>
      <c r="H27">
        <v>355387</v>
      </c>
      <c r="I27">
        <v>3971</v>
      </c>
      <c r="J27">
        <v>349338</v>
      </c>
      <c r="K27">
        <v>4261</v>
      </c>
      <c r="L27">
        <v>143745</v>
      </c>
      <c r="M27">
        <v>188387</v>
      </c>
      <c r="N27">
        <v>1364</v>
      </c>
      <c r="O27">
        <v>142692</v>
      </c>
      <c r="P27">
        <v>914</v>
      </c>
      <c r="Q27">
        <v>71966</v>
      </c>
      <c r="R27">
        <v>1926</v>
      </c>
      <c r="S27">
        <v>480</v>
      </c>
      <c r="T27">
        <v>2092</v>
      </c>
      <c r="U27">
        <v>511</v>
      </c>
      <c r="V27">
        <v>735</v>
      </c>
      <c r="W27">
        <v>2741</v>
      </c>
      <c r="X27">
        <v>3799</v>
      </c>
      <c r="Y27">
        <v>2660</v>
      </c>
      <c r="Z27">
        <v>4281</v>
      </c>
      <c r="AA27">
        <v>1931</v>
      </c>
      <c r="AB27">
        <v>896323</v>
      </c>
      <c r="AC27">
        <v>1039</v>
      </c>
      <c r="AD27">
        <v>901135</v>
      </c>
      <c r="AE27">
        <v>1109</v>
      </c>
      <c r="AF27">
        <v>175378</v>
      </c>
      <c r="AG27">
        <v>20008</v>
      </c>
      <c r="AH27">
        <v>4265</v>
      </c>
      <c r="AI27">
        <v>21554</v>
      </c>
      <c r="AJ27">
        <v>3774</v>
      </c>
      <c r="AK27">
        <v>106220</v>
      </c>
      <c r="AL27">
        <v>5864</v>
      </c>
      <c r="AM27">
        <v>1306</v>
      </c>
      <c r="AN27">
        <v>5734</v>
      </c>
      <c r="AO27">
        <v>1372</v>
      </c>
      <c r="AP27">
        <v>14410</v>
      </c>
      <c r="AQ27">
        <v>297</v>
      </c>
      <c r="AR27">
        <v>2793</v>
      </c>
      <c r="AS27">
        <v>212</v>
      </c>
      <c r="AT27">
        <v>2091</v>
      </c>
      <c r="AU27">
        <v>1034</v>
      </c>
      <c r="AV27">
        <v>1443</v>
      </c>
      <c r="AW27">
        <v>3290</v>
      </c>
      <c r="AX27">
        <v>1054</v>
      </c>
      <c r="AY27">
        <v>2740</v>
      </c>
      <c r="AZ27">
        <v>5334</v>
      </c>
      <c r="BA27">
        <v>4093</v>
      </c>
      <c r="BB27">
        <v>15918</v>
      </c>
      <c r="BC27">
        <v>4039</v>
      </c>
      <c r="BD27">
        <v>15391</v>
      </c>
      <c r="BE27">
        <v>3032</v>
      </c>
      <c r="BF27">
        <v>1616</v>
      </c>
      <c r="BG27">
        <v>1664</v>
      </c>
      <c r="BH27">
        <v>1434</v>
      </c>
      <c r="BI27">
        <v>1138</v>
      </c>
      <c r="BJ27">
        <v>1911</v>
      </c>
      <c r="BK27">
        <v>405</v>
      </c>
      <c r="BL27">
        <v>1305</v>
      </c>
      <c r="BM27">
        <v>341</v>
      </c>
      <c r="BN27">
        <v>1232</v>
      </c>
      <c r="BO27">
        <v>1007</v>
      </c>
      <c r="BP27">
        <v>111</v>
      </c>
      <c r="BQ27">
        <v>2172</v>
      </c>
      <c r="BR27">
        <v>113</v>
      </c>
      <c r="BS27">
        <v>2378</v>
      </c>
      <c r="BT27">
        <v>46</v>
      </c>
      <c r="BU27">
        <v>2599</v>
      </c>
      <c r="BV27">
        <v>634</v>
      </c>
      <c r="BW27">
        <v>5969</v>
      </c>
      <c r="BX27">
        <v>1094</v>
      </c>
      <c r="BY27">
        <v>8096</v>
      </c>
    </row>
    <row r="28" spans="1:77" x14ac:dyDescent="0.4">
      <c r="A28" s="1" t="s">
        <v>44</v>
      </c>
      <c r="B28" s="1" t="s">
        <v>45</v>
      </c>
      <c r="C28">
        <v>508027</v>
      </c>
      <c r="D28">
        <v>3611</v>
      </c>
      <c r="E28">
        <v>442973</v>
      </c>
      <c r="F28">
        <v>3340</v>
      </c>
      <c r="G28">
        <v>2258224</v>
      </c>
      <c r="H28">
        <v>341482</v>
      </c>
      <c r="I28">
        <v>3798</v>
      </c>
      <c r="J28">
        <v>340235</v>
      </c>
      <c r="K28">
        <v>4226</v>
      </c>
      <c r="L28">
        <v>145002</v>
      </c>
      <c r="M28">
        <v>279899</v>
      </c>
      <c r="N28">
        <v>1800</v>
      </c>
      <c r="O28">
        <v>265955</v>
      </c>
      <c r="P28">
        <v>1803</v>
      </c>
      <c r="Q28">
        <v>85910</v>
      </c>
      <c r="R28">
        <v>2108</v>
      </c>
      <c r="S28">
        <v>410</v>
      </c>
      <c r="T28">
        <v>1184</v>
      </c>
      <c r="U28">
        <v>322</v>
      </c>
      <c r="V28">
        <v>1659</v>
      </c>
      <c r="W28">
        <v>2382</v>
      </c>
      <c r="X28">
        <v>3616</v>
      </c>
      <c r="Y28">
        <v>2453</v>
      </c>
      <c r="Z28">
        <v>4206</v>
      </c>
      <c r="AA28">
        <v>1879</v>
      </c>
      <c r="AB28">
        <v>695780</v>
      </c>
      <c r="AC28">
        <v>935</v>
      </c>
      <c r="AD28">
        <v>693162</v>
      </c>
      <c r="AE28">
        <v>974</v>
      </c>
      <c r="AF28">
        <v>177996</v>
      </c>
      <c r="AG28">
        <v>17354</v>
      </c>
      <c r="AH28">
        <v>4337</v>
      </c>
      <c r="AI28">
        <v>23351</v>
      </c>
      <c r="AJ28">
        <v>4315</v>
      </c>
      <c r="AK28">
        <v>102003</v>
      </c>
      <c r="AL28">
        <v>5754</v>
      </c>
      <c r="AM28">
        <v>1534</v>
      </c>
      <c r="AN28">
        <v>5694</v>
      </c>
      <c r="AO28">
        <v>1585</v>
      </c>
      <c r="AP28">
        <v>14438</v>
      </c>
      <c r="AQ28">
        <v>289</v>
      </c>
      <c r="AR28">
        <v>2630</v>
      </c>
      <c r="AS28">
        <v>260</v>
      </c>
      <c r="AT28">
        <v>2488</v>
      </c>
      <c r="AU28">
        <v>1055</v>
      </c>
      <c r="AV28">
        <v>1307</v>
      </c>
      <c r="AW28">
        <v>3010</v>
      </c>
      <c r="AX28">
        <v>1201</v>
      </c>
      <c r="AY28">
        <v>2765</v>
      </c>
      <c r="AZ28">
        <v>5349</v>
      </c>
      <c r="BA28">
        <v>3748</v>
      </c>
      <c r="BB28">
        <v>17382</v>
      </c>
      <c r="BC28">
        <v>3992</v>
      </c>
      <c r="BD28">
        <v>17497</v>
      </c>
      <c r="BE28">
        <v>2981</v>
      </c>
      <c r="BF28">
        <v>1628</v>
      </c>
      <c r="BG28">
        <v>1591</v>
      </c>
      <c r="BH28">
        <v>1442</v>
      </c>
      <c r="BI28">
        <v>1195</v>
      </c>
      <c r="BJ28">
        <v>1970</v>
      </c>
      <c r="BK28">
        <v>363</v>
      </c>
      <c r="BL28">
        <v>1305</v>
      </c>
      <c r="BM28">
        <v>371</v>
      </c>
      <c r="BN28">
        <v>1542</v>
      </c>
      <c r="BO28">
        <v>998</v>
      </c>
      <c r="BP28">
        <v>134</v>
      </c>
      <c r="BQ28">
        <v>2021</v>
      </c>
      <c r="BR28">
        <v>133</v>
      </c>
      <c r="BS28">
        <v>2135</v>
      </c>
      <c r="BT28">
        <v>44</v>
      </c>
      <c r="BU28">
        <v>2350</v>
      </c>
      <c r="BV28">
        <v>586</v>
      </c>
      <c r="BW28">
        <v>7989</v>
      </c>
      <c r="BX28">
        <v>1368</v>
      </c>
      <c r="BY28">
        <v>6615</v>
      </c>
    </row>
    <row r="29" spans="1:77" x14ac:dyDescent="0.4">
      <c r="A29" s="1" t="s">
        <v>46</v>
      </c>
      <c r="B29" s="1" t="s">
        <v>47</v>
      </c>
      <c r="C29">
        <v>517644</v>
      </c>
      <c r="D29">
        <v>3618</v>
      </c>
      <c r="E29">
        <v>449528</v>
      </c>
      <c r="F29">
        <v>3113</v>
      </c>
      <c r="G29">
        <v>2326510</v>
      </c>
      <c r="H29">
        <v>389495</v>
      </c>
      <c r="I29">
        <v>4389</v>
      </c>
      <c r="J29">
        <v>381539</v>
      </c>
      <c r="K29">
        <v>4674</v>
      </c>
      <c r="L29">
        <v>152970</v>
      </c>
      <c r="M29">
        <v>409027</v>
      </c>
      <c r="N29">
        <v>2369</v>
      </c>
      <c r="O29">
        <v>398786</v>
      </c>
      <c r="P29">
        <v>2426</v>
      </c>
      <c r="Q29">
        <v>96151</v>
      </c>
      <c r="R29">
        <v>2479</v>
      </c>
      <c r="S29">
        <v>687</v>
      </c>
      <c r="T29">
        <v>3587</v>
      </c>
      <c r="U29">
        <v>784</v>
      </c>
      <c r="V29">
        <v>551</v>
      </c>
      <c r="W29">
        <v>2844</v>
      </c>
      <c r="X29">
        <v>3641</v>
      </c>
      <c r="Y29">
        <v>2979</v>
      </c>
      <c r="Z29">
        <v>4206</v>
      </c>
      <c r="AA29">
        <v>1769</v>
      </c>
      <c r="AB29">
        <v>664060</v>
      </c>
      <c r="AC29">
        <v>998</v>
      </c>
      <c r="AD29">
        <v>659006</v>
      </c>
      <c r="AE29">
        <v>1033</v>
      </c>
      <c r="AF29">
        <v>183050</v>
      </c>
      <c r="AG29">
        <v>18072</v>
      </c>
      <c r="AH29">
        <v>4623</v>
      </c>
      <c r="AI29">
        <v>24640</v>
      </c>
      <c r="AJ29">
        <v>5031</v>
      </c>
      <c r="AK29">
        <v>102085</v>
      </c>
      <c r="AL29">
        <v>5823</v>
      </c>
      <c r="AM29">
        <v>1880</v>
      </c>
      <c r="AN29">
        <v>6200</v>
      </c>
      <c r="AO29">
        <v>1724</v>
      </c>
      <c r="AP29">
        <v>14027</v>
      </c>
      <c r="AQ29">
        <v>315</v>
      </c>
      <c r="AR29">
        <v>3203</v>
      </c>
      <c r="AS29">
        <v>348</v>
      </c>
      <c r="AT29">
        <v>3296</v>
      </c>
      <c r="AU29">
        <v>1004</v>
      </c>
      <c r="AV29">
        <v>1460</v>
      </c>
      <c r="AW29">
        <v>3394</v>
      </c>
      <c r="AX29">
        <v>1309</v>
      </c>
      <c r="AY29">
        <v>3231</v>
      </c>
      <c r="AZ29">
        <v>5428</v>
      </c>
      <c r="BA29">
        <v>4236</v>
      </c>
      <c r="BB29">
        <v>19130</v>
      </c>
      <c r="BC29">
        <v>4408</v>
      </c>
      <c r="BD29">
        <v>19969</v>
      </c>
      <c r="BE29">
        <v>2971</v>
      </c>
      <c r="BF29">
        <v>2258</v>
      </c>
      <c r="BG29">
        <v>1817</v>
      </c>
      <c r="BH29">
        <v>1986</v>
      </c>
      <c r="BI29">
        <v>1589</v>
      </c>
      <c r="BJ29">
        <v>2089</v>
      </c>
      <c r="BK29">
        <v>352</v>
      </c>
      <c r="BL29">
        <v>1397</v>
      </c>
      <c r="BM29">
        <v>312</v>
      </c>
      <c r="BN29">
        <v>1609</v>
      </c>
      <c r="BO29">
        <v>1038</v>
      </c>
      <c r="BP29">
        <v>167</v>
      </c>
      <c r="BQ29">
        <v>2322</v>
      </c>
      <c r="BR29">
        <v>150</v>
      </c>
      <c r="BS29">
        <v>1864</v>
      </c>
      <c r="BT29">
        <v>58</v>
      </c>
      <c r="BU29">
        <v>2148</v>
      </c>
      <c r="BV29">
        <v>615</v>
      </c>
      <c r="BW29">
        <v>9443</v>
      </c>
      <c r="BX29">
        <v>1538</v>
      </c>
      <c r="BY29">
        <v>7296</v>
      </c>
    </row>
    <row r="30" spans="1:77" x14ac:dyDescent="0.4">
      <c r="A30" s="1" t="s">
        <v>48</v>
      </c>
      <c r="B30" s="1" t="s">
        <v>49</v>
      </c>
      <c r="C30">
        <v>563741</v>
      </c>
      <c r="D30">
        <v>3953</v>
      </c>
      <c r="E30">
        <v>446963</v>
      </c>
      <c r="F30">
        <v>3127</v>
      </c>
      <c r="G30">
        <v>2444211</v>
      </c>
      <c r="H30">
        <v>376671</v>
      </c>
      <c r="I30">
        <v>4226</v>
      </c>
      <c r="J30">
        <v>373870</v>
      </c>
      <c r="K30">
        <v>4589</v>
      </c>
      <c r="L30">
        <v>155865</v>
      </c>
      <c r="M30">
        <v>413789</v>
      </c>
      <c r="N30">
        <v>2394</v>
      </c>
      <c r="O30">
        <v>445549</v>
      </c>
      <c r="P30">
        <v>2388</v>
      </c>
      <c r="Q30">
        <v>64391</v>
      </c>
      <c r="R30">
        <v>2217</v>
      </c>
      <c r="S30">
        <v>709</v>
      </c>
      <c r="T30">
        <v>2182</v>
      </c>
      <c r="U30">
        <v>681</v>
      </c>
      <c r="V30">
        <v>586</v>
      </c>
      <c r="W30">
        <v>3078</v>
      </c>
      <c r="X30">
        <v>4464</v>
      </c>
      <c r="Y30">
        <v>2921</v>
      </c>
      <c r="Z30">
        <v>4776</v>
      </c>
      <c r="AA30">
        <v>1943</v>
      </c>
      <c r="AB30">
        <v>873843</v>
      </c>
      <c r="AC30">
        <v>1105</v>
      </c>
      <c r="AD30">
        <v>863192</v>
      </c>
      <c r="AE30">
        <v>1123</v>
      </c>
      <c r="AF30">
        <v>193701</v>
      </c>
      <c r="AG30">
        <v>22890</v>
      </c>
      <c r="AH30">
        <v>4700</v>
      </c>
      <c r="AI30">
        <v>26406</v>
      </c>
      <c r="AJ30">
        <v>5109</v>
      </c>
      <c r="AK30">
        <v>105693</v>
      </c>
      <c r="AL30">
        <v>5932</v>
      </c>
      <c r="AM30">
        <v>1713</v>
      </c>
      <c r="AN30">
        <v>5739</v>
      </c>
      <c r="AO30">
        <v>1495</v>
      </c>
      <c r="AP30">
        <v>14176</v>
      </c>
      <c r="AQ30">
        <v>301</v>
      </c>
      <c r="AR30">
        <v>3521</v>
      </c>
      <c r="AS30">
        <v>249</v>
      </c>
      <c r="AT30">
        <v>2791</v>
      </c>
      <c r="AU30">
        <v>1040</v>
      </c>
      <c r="AV30">
        <v>1518</v>
      </c>
      <c r="AW30">
        <v>3294</v>
      </c>
      <c r="AX30">
        <v>1207</v>
      </c>
      <c r="AY30">
        <v>2944</v>
      </c>
      <c r="AZ30">
        <v>5593</v>
      </c>
      <c r="BA30">
        <v>5303</v>
      </c>
      <c r="BB30">
        <v>23014</v>
      </c>
      <c r="BC30">
        <v>5070</v>
      </c>
      <c r="BD30">
        <v>23263</v>
      </c>
      <c r="BE30">
        <v>3378</v>
      </c>
      <c r="BF30">
        <v>1694</v>
      </c>
      <c r="BG30">
        <v>1864</v>
      </c>
      <c r="BH30">
        <v>1641</v>
      </c>
      <c r="BI30">
        <v>1427</v>
      </c>
      <c r="BJ30">
        <v>2031</v>
      </c>
      <c r="BK30">
        <v>402</v>
      </c>
      <c r="BL30">
        <v>1598</v>
      </c>
      <c r="BM30">
        <v>382</v>
      </c>
      <c r="BN30">
        <v>1831</v>
      </c>
      <c r="BO30">
        <v>1057</v>
      </c>
      <c r="BP30">
        <v>168</v>
      </c>
      <c r="BQ30">
        <v>2165</v>
      </c>
      <c r="BR30">
        <v>169</v>
      </c>
      <c r="BS30">
        <v>2180</v>
      </c>
      <c r="BT30">
        <v>50</v>
      </c>
      <c r="BU30">
        <v>2721</v>
      </c>
      <c r="BV30">
        <v>707</v>
      </c>
      <c r="BW30">
        <v>5849</v>
      </c>
      <c r="BX30">
        <v>1184</v>
      </c>
      <c r="BY30">
        <v>8605</v>
      </c>
    </row>
    <row r="31" spans="1:77" x14ac:dyDescent="0.4">
      <c r="A31" s="1" t="s">
        <v>50</v>
      </c>
      <c r="B31" s="1" t="s">
        <v>51</v>
      </c>
      <c r="C31">
        <v>396002</v>
      </c>
      <c r="D31">
        <v>2733</v>
      </c>
      <c r="E31">
        <v>440640</v>
      </c>
      <c r="F31">
        <v>2912</v>
      </c>
      <c r="G31">
        <v>2400421</v>
      </c>
      <c r="H31">
        <v>318587</v>
      </c>
      <c r="I31">
        <v>3606</v>
      </c>
      <c r="J31">
        <v>330789</v>
      </c>
      <c r="K31">
        <v>4084</v>
      </c>
      <c r="L31">
        <v>143692</v>
      </c>
      <c r="M31">
        <v>369282</v>
      </c>
      <c r="N31">
        <v>1972</v>
      </c>
      <c r="O31">
        <v>380417</v>
      </c>
      <c r="P31">
        <v>2023</v>
      </c>
      <c r="Q31">
        <v>53256</v>
      </c>
      <c r="R31">
        <v>1815</v>
      </c>
      <c r="S31">
        <v>537</v>
      </c>
      <c r="T31">
        <v>1485</v>
      </c>
      <c r="U31">
        <v>500</v>
      </c>
      <c r="V31">
        <v>916</v>
      </c>
      <c r="W31">
        <v>2292</v>
      </c>
      <c r="X31">
        <v>4068</v>
      </c>
      <c r="Y31">
        <v>2290</v>
      </c>
      <c r="Z31">
        <v>4735</v>
      </c>
      <c r="AA31">
        <v>1968</v>
      </c>
      <c r="AB31">
        <v>684400</v>
      </c>
      <c r="AC31">
        <v>878</v>
      </c>
      <c r="AD31">
        <v>683013</v>
      </c>
      <c r="AE31">
        <v>916</v>
      </c>
      <c r="AF31">
        <v>195088</v>
      </c>
      <c r="AG31">
        <v>16062</v>
      </c>
      <c r="AH31">
        <v>4562</v>
      </c>
      <c r="AI31">
        <v>21835</v>
      </c>
      <c r="AJ31">
        <v>4884</v>
      </c>
      <c r="AK31">
        <v>100358</v>
      </c>
      <c r="AL31">
        <v>5754</v>
      </c>
      <c r="AM31">
        <v>1533</v>
      </c>
      <c r="AN31">
        <v>5822</v>
      </c>
      <c r="AO31">
        <v>1628</v>
      </c>
      <c r="AP31">
        <v>14066</v>
      </c>
      <c r="AQ31">
        <v>293</v>
      </c>
      <c r="AR31">
        <v>3579</v>
      </c>
      <c r="AS31">
        <v>239</v>
      </c>
      <c r="AT31">
        <v>2832</v>
      </c>
      <c r="AU31">
        <v>1061</v>
      </c>
      <c r="AV31">
        <v>1103</v>
      </c>
      <c r="AW31">
        <v>2887</v>
      </c>
      <c r="AX31">
        <v>1304</v>
      </c>
      <c r="AY31">
        <v>3102</v>
      </c>
      <c r="AZ31">
        <v>5177</v>
      </c>
      <c r="BA31">
        <v>4218</v>
      </c>
      <c r="BB31">
        <v>17274</v>
      </c>
      <c r="BC31">
        <v>4420</v>
      </c>
      <c r="BD31">
        <v>17081</v>
      </c>
      <c r="BE31">
        <v>3314</v>
      </c>
      <c r="BF31">
        <v>1822</v>
      </c>
      <c r="BG31">
        <v>1572</v>
      </c>
      <c r="BH31">
        <v>1538</v>
      </c>
      <c r="BI31">
        <v>1185</v>
      </c>
      <c r="BJ31">
        <v>2204</v>
      </c>
      <c r="BK31">
        <v>386</v>
      </c>
      <c r="BL31">
        <v>1423</v>
      </c>
      <c r="BM31">
        <v>428</v>
      </c>
      <c r="BN31">
        <v>1469</v>
      </c>
      <c r="BO31">
        <v>1014</v>
      </c>
      <c r="BP31">
        <v>135</v>
      </c>
      <c r="BQ31">
        <v>1484</v>
      </c>
      <c r="BR31">
        <v>137</v>
      </c>
      <c r="BS31">
        <v>1530</v>
      </c>
      <c r="BT31">
        <v>43</v>
      </c>
      <c r="BU31">
        <v>1778</v>
      </c>
      <c r="BV31">
        <v>522</v>
      </c>
      <c r="BW31">
        <v>5134</v>
      </c>
      <c r="BX31">
        <v>1210</v>
      </c>
      <c r="BY31">
        <v>9073</v>
      </c>
    </row>
    <row r="32" spans="1:77" x14ac:dyDescent="0.4">
      <c r="A32" s="1" t="s">
        <v>52</v>
      </c>
      <c r="B32" s="1" t="s">
        <v>53</v>
      </c>
      <c r="C32">
        <v>526100</v>
      </c>
      <c r="D32">
        <v>3380</v>
      </c>
      <c r="E32">
        <v>494402</v>
      </c>
      <c r="F32">
        <v>3255</v>
      </c>
      <c r="G32">
        <v>2432745</v>
      </c>
      <c r="H32">
        <v>370381</v>
      </c>
      <c r="I32">
        <v>4110</v>
      </c>
      <c r="J32">
        <v>367272</v>
      </c>
      <c r="K32">
        <v>4442</v>
      </c>
      <c r="L32">
        <v>146801</v>
      </c>
      <c r="M32">
        <v>319693</v>
      </c>
      <c r="N32">
        <v>1849</v>
      </c>
      <c r="O32">
        <v>327278</v>
      </c>
      <c r="P32">
        <v>2013</v>
      </c>
      <c r="Q32">
        <v>45671</v>
      </c>
      <c r="R32">
        <v>3485</v>
      </c>
      <c r="S32">
        <v>932</v>
      </c>
      <c r="T32">
        <v>3598</v>
      </c>
      <c r="U32">
        <v>925</v>
      </c>
      <c r="V32">
        <v>803</v>
      </c>
      <c r="W32">
        <v>2914</v>
      </c>
      <c r="X32">
        <v>4311</v>
      </c>
      <c r="Y32">
        <v>2729</v>
      </c>
      <c r="Z32">
        <v>4884</v>
      </c>
      <c r="AA32">
        <v>2174</v>
      </c>
      <c r="AB32">
        <v>790518</v>
      </c>
      <c r="AC32">
        <v>1006</v>
      </c>
      <c r="AD32">
        <v>797720</v>
      </c>
      <c r="AE32">
        <v>1088</v>
      </c>
      <c r="AF32">
        <v>187886</v>
      </c>
      <c r="AG32">
        <v>20299</v>
      </c>
      <c r="AH32">
        <v>6541</v>
      </c>
      <c r="AI32">
        <v>23040</v>
      </c>
      <c r="AJ32">
        <v>7446</v>
      </c>
      <c r="AK32">
        <v>100480</v>
      </c>
      <c r="AL32">
        <v>6133</v>
      </c>
      <c r="AM32">
        <v>1885</v>
      </c>
      <c r="AN32">
        <v>6029</v>
      </c>
      <c r="AO32">
        <v>2115</v>
      </c>
      <c r="AP32">
        <v>14149</v>
      </c>
      <c r="AQ32">
        <v>314</v>
      </c>
      <c r="AR32">
        <v>4099</v>
      </c>
      <c r="AS32">
        <v>296</v>
      </c>
      <c r="AT32">
        <v>4658</v>
      </c>
      <c r="AU32">
        <v>1041</v>
      </c>
      <c r="AV32">
        <v>1155</v>
      </c>
      <c r="AW32">
        <v>3179</v>
      </c>
      <c r="AX32">
        <v>1455</v>
      </c>
      <c r="AY32">
        <v>4310</v>
      </c>
      <c r="AZ32">
        <v>4740</v>
      </c>
      <c r="BA32">
        <v>5139</v>
      </c>
      <c r="BB32">
        <v>21096</v>
      </c>
      <c r="BC32">
        <v>5316</v>
      </c>
      <c r="BD32">
        <v>21160</v>
      </c>
      <c r="BE32">
        <v>3304</v>
      </c>
      <c r="BF32">
        <v>1873</v>
      </c>
      <c r="BG32">
        <v>1741</v>
      </c>
      <c r="BH32">
        <v>1725</v>
      </c>
      <c r="BI32">
        <v>1631</v>
      </c>
      <c r="BJ32">
        <v>2225</v>
      </c>
      <c r="BK32">
        <v>548</v>
      </c>
      <c r="BL32">
        <v>1725</v>
      </c>
      <c r="BM32">
        <v>594</v>
      </c>
      <c r="BN32">
        <v>3104</v>
      </c>
      <c r="BO32">
        <v>968</v>
      </c>
      <c r="BP32">
        <v>223</v>
      </c>
      <c r="BQ32">
        <v>3198</v>
      </c>
      <c r="BR32">
        <v>211</v>
      </c>
      <c r="BS32">
        <v>2920</v>
      </c>
      <c r="BT32">
        <v>55</v>
      </c>
      <c r="BU32">
        <v>2077</v>
      </c>
      <c r="BV32">
        <v>673</v>
      </c>
      <c r="BW32">
        <v>9385</v>
      </c>
      <c r="BX32">
        <v>1921</v>
      </c>
      <c r="BY32">
        <v>7192</v>
      </c>
    </row>
    <row r="33" spans="1:77" x14ac:dyDescent="0.4">
      <c r="A33" s="1" t="s">
        <v>54</v>
      </c>
      <c r="B33" s="1" t="s">
        <v>55</v>
      </c>
      <c r="C33">
        <v>549395</v>
      </c>
      <c r="D33">
        <v>3766</v>
      </c>
      <c r="E33">
        <v>439526</v>
      </c>
      <c r="F33">
        <v>3197</v>
      </c>
      <c r="G33">
        <v>2542681</v>
      </c>
      <c r="H33">
        <v>372012</v>
      </c>
      <c r="I33">
        <v>4183</v>
      </c>
      <c r="J33">
        <v>358681</v>
      </c>
      <c r="K33">
        <v>4368</v>
      </c>
      <c r="L33">
        <v>160176</v>
      </c>
      <c r="M33">
        <v>202393</v>
      </c>
      <c r="N33">
        <v>1590</v>
      </c>
      <c r="O33">
        <v>205917</v>
      </c>
      <c r="P33">
        <v>1529</v>
      </c>
      <c r="Q33">
        <v>42147</v>
      </c>
      <c r="R33">
        <v>3818</v>
      </c>
      <c r="S33">
        <v>1034</v>
      </c>
      <c r="T33">
        <v>3642</v>
      </c>
      <c r="U33">
        <v>1080</v>
      </c>
      <c r="V33">
        <v>979</v>
      </c>
      <c r="W33">
        <v>2936</v>
      </c>
      <c r="X33">
        <v>4207</v>
      </c>
      <c r="Y33">
        <v>2820</v>
      </c>
      <c r="Z33">
        <v>4754</v>
      </c>
      <c r="AA33">
        <v>2309</v>
      </c>
      <c r="AB33">
        <v>865444</v>
      </c>
      <c r="AC33">
        <v>1086</v>
      </c>
      <c r="AD33">
        <v>865965</v>
      </c>
      <c r="AE33">
        <v>1136</v>
      </c>
      <c r="AF33">
        <v>187365</v>
      </c>
      <c r="AG33">
        <v>22887</v>
      </c>
      <c r="AH33">
        <v>5673</v>
      </c>
      <c r="AI33">
        <v>24835</v>
      </c>
      <c r="AJ33">
        <v>4939</v>
      </c>
      <c r="AK33">
        <v>108659</v>
      </c>
      <c r="AL33">
        <v>5867</v>
      </c>
      <c r="AM33">
        <v>1542</v>
      </c>
      <c r="AN33">
        <v>5877</v>
      </c>
      <c r="AO33">
        <v>1584</v>
      </c>
      <c r="AP33">
        <v>14126</v>
      </c>
      <c r="AQ33">
        <v>329</v>
      </c>
      <c r="AR33">
        <v>3817</v>
      </c>
      <c r="AS33">
        <v>295</v>
      </c>
      <c r="AT33">
        <v>3536</v>
      </c>
      <c r="AU33">
        <v>1073</v>
      </c>
      <c r="AV33">
        <v>1408</v>
      </c>
      <c r="AW33">
        <v>3292</v>
      </c>
      <c r="AX33">
        <v>987</v>
      </c>
      <c r="AY33">
        <v>2641</v>
      </c>
      <c r="AZ33">
        <v>5104</v>
      </c>
      <c r="BA33">
        <v>4306</v>
      </c>
      <c r="BB33">
        <v>19486</v>
      </c>
      <c r="BC33">
        <v>4593</v>
      </c>
      <c r="BD33">
        <v>19423</v>
      </c>
      <c r="BE33">
        <v>3226</v>
      </c>
      <c r="BF33">
        <v>2081</v>
      </c>
      <c r="BG33">
        <v>2171</v>
      </c>
      <c r="BH33">
        <v>1832</v>
      </c>
      <c r="BI33">
        <v>1587</v>
      </c>
      <c r="BJ33">
        <v>2346</v>
      </c>
      <c r="BK33">
        <v>508</v>
      </c>
      <c r="BL33">
        <v>1671</v>
      </c>
      <c r="BM33">
        <v>464</v>
      </c>
      <c r="BN33">
        <v>1689</v>
      </c>
      <c r="BO33">
        <v>1011</v>
      </c>
      <c r="BP33">
        <v>153</v>
      </c>
      <c r="BQ33">
        <v>1449</v>
      </c>
      <c r="BR33">
        <v>134</v>
      </c>
      <c r="BS33">
        <v>1102</v>
      </c>
      <c r="BT33">
        <v>58</v>
      </c>
      <c r="BU33">
        <v>2108</v>
      </c>
      <c r="BV33">
        <v>616</v>
      </c>
      <c r="BW33">
        <v>7221</v>
      </c>
      <c r="BX33">
        <v>1173</v>
      </c>
      <c r="BY33">
        <v>7063</v>
      </c>
    </row>
    <row r="34" spans="1:77" x14ac:dyDescent="0.4">
      <c r="A34" s="1" t="s">
        <v>56</v>
      </c>
      <c r="B34" s="1" t="s">
        <v>57</v>
      </c>
      <c r="C34">
        <v>457898</v>
      </c>
      <c r="D34">
        <v>3072</v>
      </c>
      <c r="E34">
        <v>458846</v>
      </c>
      <c r="F34">
        <v>3094</v>
      </c>
      <c r="G34">
        <v>2432532</v>
      </c>
      <c r="H34">
        <v>334135</v>
      </c>
      <c r="I34">
        <v>3793</v>
      </c>
      <c r="J34">
        <v>329301</v>
      </c>
      <c r="K34">
        <v>4092</v>
      </c>
      <c r="L34">
        <v>165066</v>
      </c>
      <c r="M34">
        <v>151906</v>
      </c>
      <c r="N34">
        <v>1306</v>
      </c>
      <c r="O34">
        <v>145939</v>
      </c>
      <c r="P34">
        <v>1232</v>
      </c>
      <c r="Q34">
        <v>48114</v>
      </c>
      <c r="R34">
        <v>3001</v>
      </c>
      <c r="S34">
        <v>879</v>
      </c>
      <c r="T34">
        <v>3045</v>
      </c>
      <c r="U34">
        <v>853</v>
      </c>
      <c r="V34">
        <v>935</v>
      </c>
      <c r="W34">
        <v>2474</v>
      </c>
      <c r="X34">
        <v>4097</v>
      </c>
      <c r="Y34">
        <v>2684</v>
      </c>
      <c r="Z34">
        <v>4684</v>
      </c>
      <c r="AA34">
        <v>2111</v>
      </c>
      <c r="AB34">
        <v>860788</v>
      </c>
      <c r="AC34">
        <v>951</v>
      </c>
      <c r="AD34">
        <v>858557</v>
      </c>
      <c r="AE34">
        <v>1013</v>
      </c>
      <c r="AF34">
        <v>189596</v>
      </c>
      <c r="AG34">
        <v>17059</v>
      </c>
      <c r="AH34">
        <v>4899</v>
      </c>
      <c r="AI34">
        <v>21918</v>
      </c>
      <c r="AJ34">
        <v>4256</v>
      </c>
      <c r="AK34">
        <v>106184</v>
      </c>
      <c r="AL34">
        <v>6408</v>
      </c>
      <c r="AM34">
        <v>1671</v>
      </c>
      <c r="AN34">
        <v>6019</v>
      </c>
      <c r="AO34">
        <v>1694</v>
      </c>
      <c r="AP34">
        <v>14477</v>
      </c>
      <c r="AQ34">
        <v>300</v>
      </c>
      <c r="AR34">
        <v>3717</v>
      </c>
      <c r="AS34">
        <v>346</v>
      </c>
      <c r="AT34">
        <v>3908</v>
      </c>
      <c r="AU34">
        <v>1006</v>
      </c>
      <c r="AV34">
        <v>1132</v>
      </c>
      <c r="AW34">
        <v>2822</v>
      </c>
      <c r="AX34">
        <v>1321</v>
      </c>
      <c r="AY34">
        <v>3449</v>
      </c>
      <c r="AZ34">
        <v>4820</v>
      </c>
      <c r="BA34">
        <v>4076</v>
      </c>
      <c r="BB34">
        <v>16758</v>
      </c>
      <c r="BC34">
        <v>4139</v>
      </c>
      <c r="BD34">
        <v>16584</v>
      </c>
      <c r="BE34">
        <v>3318</v>
      </c>
      <c r="BF34">
        <v>1747</v>
      </c>
      <c r="BG34">
        <v>1605</v>
      </c>
      <c r="BH34">
        <v>1638</v>
      </c>
      <c r="BI34">
        <v>1766</v>
      </c>
      <c r="BJ34">
        <v>2344</v>
      </c>
      <c r="BK34">
        <v>417</v>
      </c>
      <c r="BL34">
        <v>1845</v>
      </c>
      <c r="BM34">
        <v>414</v>
      </c>
      <c r="BN34">
        <v>1992</v>
      </c>
      <c r="BO34">
        <v>1014</v>
      </c>
      <c r="BP34">
        <v>157</v>
      </c>
      <c r="BQ34">
        <v>2409</v>
      </c>
      <c r="BR34">
        <v>153</v>
      </c>
      <c r="BS34">
        <v>2623</v>
      </c>
      <c r="BT34">
        <v>51</v>
      </c>
      <c r="BU34">
        <v>1968</v>
      </c>
      <c r="BV34">
        <v>562</v>
      </c>
      <c r="BW34">
        <v>5515</v>
      </c>
      <c r="BX34">
        <v>1007</v>
      </c>
      <c r="BY34">
        <v>8553</v>
      </c>
    </row>
    <row r="35" spans="1:77" x14ac:dyDescent="0.4">
      <c r="A35" s="1" t="s">
        <v>58</v>
      </c>
      <c r="B35" s="1" t="s">
        <v>59</v>
      </c>
      <c r="C35">
        <v>468750</v>
      </c>
      <c r="D35">
        <v>3239</v>
      </c>
      <c r="E35">
        <v>454844</v>
      </c>
      <c r="F35">
        <v>3602</v>
      </c>
      <c r="G35">
        <v>2446367</v>
      </c>
      <c r="H35">
        <v>341125</v>
      </c>
      <c r="I35">
        <v>3847</v>
      </c>
      <c r="J35">
        <v>326008</v>
      </c>
      <c r="K35">
        <v>4048</v>
      </c>
      <c r="L35">
        <v>180183</v>
      </c>
      <c r="M35">
        <v>160706</v>
      </c>
      <c r="N35">
        <v>1310</v>
      </c>
      <c r="O35">
        <v>131784</v>
      </c>
      <c r="P35">
        <v>1092</v>
      </c>
      <c r="Q35">
        <v>77036</v>
      </c>
      <c r="R35">
        <v>2556</v>
      </c>
      <c r="S35">
        <v>743</v>
      </c>
      <c r="T35">
        <v>2328</v>
      </c>
      <c r="U35">
        <v>719</v>
      </c>
      <c r="V35">
        <v>1163</v>
      </c>
      <c r="W35">
        <v>2732</v>
      </c>
      <c r="X35">
        <v>4049</v>
      </c>
      <c r="Y35">
        <v>2542</v>
      </c>
      <c r="Z35">
        <v>4755</v>
      </c>
      <c r="AA35">
        <v>2312</v>
      </c>
      <c r="AB35">
        <v>849411</v>
      </c>
      <c r="AC35">
        <v>978</v>
      </c>
      <c r="AD35">
        <v>857444</v>
      </c>
      <c r="AE35">
        <v>1061</v>
      </c>
      <c r="AF35">
        <v>181563</v>
      </c>
      <c r="AG35">
        <v>19464</v>
      </c>
      <c r="AH35">
        <v>5502</v>
      </c>
      <c r="AI35">
        <v>24096</v>
      </c>
      <c r="AJ35">
        <v>5889</v>
      </c>
      <c r="AK35">
        <v>110822</v>
      </c>
      <c r="AL35">
        <v>6301</v>
      </c>
      <c r="AM35">
        <v>1759</v>
      </c>
      <c r="AN35">
        <v>5880</v>
      </c>
      <c r="AO35">
        <v>2000</v>
      </c>
      <c r="AP35">
        <v>14878</v>
      </c>
      <c r="AQ35">
        <v>329</v>
      </c>
      <c r="AR35">
        <v>4190</v>
      </c>
      <c r="AS35">
        <v>372</v>
      </c>
      <c r="AT35">
        <v>5195</v>
      </c>
      <c r="AU35">
        <v>940</v>
      </c>
      <c r="AV35">
        <v>1340</v>
      </c>
      <c r="AW35">
        <v>3290</v>
      </c>
      <c r="AX35">
        <v>1282</v>
      </c>
      <c r="AY35">
        <v>3581</v>
      </c>
      <c r="AZ35">
        <v>4786</v>
      </c>
      <c r="BA35">
        <v>4117</v>
      </c>
      <c r="BB35">
        <v>18273</v>
      </c>
      <c r="BC35">
        <v>4466</v>
      </c>
      <c r="BD35">
        <v>18694</v>
      </c>
      <c r="BE35">
        <v>3143</v>
      </c>
      <c r="BF35">
        <v>2151</v>
      </c>
      <c r="BG35">
        <v>1803</v>
      </c>
      <c r="BH35">
        <v>1908</v>
      </c>
      <c r="BI35">
        <v>1688</v>
      </c>
      <c r="BJ35">
        <v>2416</v>
      </c>
      <c r="BK35">
        <v>431</v>
      </c>
      <c r="BL35">
        <v>1923</v>
      </c>
      <c r="BM35">
        <v>613</v>
      </c>
      <c r="BN35">
        <v>2608</v>
      </c>
      <c r="BO35">
        <v>831</v>
      </c>
      <c r="BP35">
        <v>170</v>
      </c>
      <c r="BQ35">
        <v>2321</v>
      </c>
      <c r="BR35">
        <v>169</v>
      </c>
      <c r="BS35">
        <v>2014</v>
      </c>
      <c r="BT35">
        <v>57</v>
      </c>
      <c r="BU35">
        <v>2690</v>
      </c>
      <c r="BV35">
        <v>663</v>
      </c>
      <c r="BW35">
        <v>10005</v>
      </c>
      <c r="BX35">
        <v>1649</v>
      </c>
      <c r="BY35">
        <v>8274</v>
      </c>
    </row>
    <row r="36" spans="1:77" x14ac:dyDescent="0.4">
      <c r="A36" s="1" t="s">
        <v>60</v>
      </c>
      <c r="B36" s="1" t="s">
        <v>61</v>
      </c>
      <c r="C36">
        <v>455536</v>
      </c>
      <c r="D36">
        <v>3184</v>
      </c>
      <c r="E36">
        <v>469002</v>
      </c>
      <c r="F36">
        <v>3165</v>
      </c>
      <c r="G36">
        <v>2537330</v>
      </c>
      <c r="H36">
        <v>342418</v>
      </c>
      <c r="I36">
        <v>3922</v>
      </c>
      <c r="J36">
        <v>348199</v>
      </c>
      <c r="K36">
        <v>4318</v>
      </c>
      <c r="L36">
        <v>174402</v>
      </c>
      <c r="M36">
        <v>177931</v>
      </c>
      <c r="N36">
        <v>1335</v>
      </c>
      <c r="O36">
        <v>179564</v>
      </c>
      <c r="P36">
        <v>1218</v>
      </c>
      <c r="Q36">
        <v>75403</v>
      </c>
      <c r="R36">
        <v>3177</v>
      </c>
      <c r="S36">
        <v>876</v>
      </c>
      <c r="T36">
        <v>3397</v>
      </c>
      <c r="U36">
        <v>904</v>
      </c>
      <c r="V36">
        <v>943</v>
      </c>
      <c r="W36">
        <v>2471</v>
      </c>
      <c r="X36">
        <v>3330</v>
      </c>
      <c r="Y36">
        <v>2491</v>
      </c>
      <c r="Z36">
        <v>3946</v>
      </c>
      <c r="AA36">
        <v>2302</v>
      </c>
      <c r="AB36">
        <v>772183</v>
      </c>
      <c r="AC36">
        <v>977</v>
      </c>
      <c r="AD36">
        <v>775692</v>
      </c>
      <c r="AE36">
        <v>1028</v>
      </c>
      <c r="AF36">
        <v>178054</v>
      </c>
      <c r="AG36">
        <v>22583</v>
      </c>
      <c r="AH36">
        <v>6144</v>
      </c>
      <c r="AI36">
        <v>23492</v>
      </c>
      <c r="AJ36">
        <v>5021</v>
      </c>
      <c r="AK36">
        <v>112245</v>
      </c>
      <c r="AL36">
        <v>5750</v>
      </c>
      <c r="AM36">
        <v>1558</v>
      </c>
      <c r="AN36">
        <v>5799</v>
      </c>
      <c r="AO36">
        <v>1855</v>
      </c>
      <c r="AP36">
        <v>14778</v>
      </c>
      <c r="AQ36">
        <v>272</v>
      </c>
      <c r="AR36">
        <v>3607</v>
      </c>
      <c r="AS36">
        <v>288</v>
      </c>
      <c r="AT36">
        <v>3119</v>
      </c>
      <c r="AU36">
        <v>895</v>
      </c>
      <c r="AV36">
        <v>1342</v>
      </c>
      <c r="AW36">
        <v>2932</v>
      </c>
      <c r="AX36">
        <v>1317</v>
      </c>
      <c r="AY36">
        <v>3273</v>
      </c>
      <c r="AZ36">
        <v>4630</v>
      </c>
      <c r="BA36">
        <v>4602</v>
      </c>
      <c r="BB36">
        <v>21875</v>
      </c>
      <c r="BC36">
        <v>4592</v>
      </c>
      <c r="BD36">
        <v>22321</v>
      </c>
      <c r="BE36">
        <v>3152</v>
      </c>
      <c r="BF36">
        <v>2141</v>
      </c>
      <c r="BG36">
        <v>2000</v>
      </c>
      <c r="BH36">
        <v>1942</v>
      </c>
      <c r="BI36">
        <v>1607</v>
      </c>
      <c r="BJ36">
        <v>2503</v>
      </c>
      <c r="BK36">
        <v>533</v>
      </c>
      <c r="BL36">
        <v>1861</v>
      </c>
      <c r="BM36">
        <v>476</v>
      </c>
      <c r="BN36">
        <v>1896</v>
      </c>
      <c r="BO36">
        <v>888</v>
      </c>
      <c r="BP36">
        <v>160</v>
      </c>
      <c r="BQ36">
        <v>2031</v>
      </c>
      <c r="BR36">
        <v>152</v>
      </c>
      <c r="BS36">
        <v>1809</v>
      </c>
      <c r="BT36">
        <v>65</v>
      </c>
      <c r="BU36">
        <v>1951</v>
      </c>
      <c r="BV36">
        <v>533</v>
      </c>
      <c r="BW36">
        <v>6081</v>
      </c>
      <c r="BX36">
        <v>1067</v>
      </c>
      <c r="BY36">
        <v>9419</v>
      </c>
    </row>
    <row r="37" spans="1:77" x14ac:dyDescent="0.4">
      <c r="A37" s="1" t="s">
        <v>62</v>
      </c>
      <c r="B37" s="1" t="s">
        <v>63</v>
      </c>
      <c r="C37">
        <v>416012</v>
      </c>
      <c r="D37">
        <v>2811</v>
      </c>
      <c r="E37">
        <v>476664</v>
      </c>
      <c r="F37">
        <v>3432</v>
      </c>
      <c r="G37">
        <v>2476762</v>
      </c>
      <c r="H37">
        <v>378321</v>
      </c>
      <c r="I37">
        <v>4289</v>
      </c>
      <c r="J37">
        <v>379252</v>
      </c>
      <c r="K37">
        <v>4709</v>
      </c>
      <c r="L37">
        <v>173471</v>
      </c>
      <c r="M37">
        <v>234501</v>
      </c>
      <c r="N37">
        <v>1768</v>
      </c>
      <c r="O37">
        <v>230236</v>
      </c>
      <c r="P37">
        <v>1675</v>
      </c>
      <c r="Q37">
        <v>79668</v>
      </c>
      <c r="R37">
        <v>2905</v>
      </c>
      <c r="S37">
        <v>770</v>
      </c>
      <c r="T37">
        <v>2827</v>
      </c>
      <c r="U37">
        <v>810</v>
      </c>
      <c r="V37">
        <v>1021</v>
      </c>
      <c r="W37">
        <v>2802</v>
      </c>
      <c r="X37">
        <v>3997</v>
      </c>
      <c r="Y37">
        <v>2668</v>
      </c>
      <c r="Z37">
        <v>4566</v>
      </c>
      <c r="AA37">
        <v>2448</v>
      </c>
      <c r="AB37">
        <v>806087</v>
      </c>
      <c r="AC37">
        <v>1015</v>
      </c>
      <c r="AD37">
        <v>808017</v>
      </c>
      <c r="AE37">
        <v>1060</v>
      </c>
      <c r="AF37">
        <v>176124</v>
      </c>
      <c r="AG37">
        <v>21768</v>
      </c>
      <c r="AH37">
        <v>6208</v>
      </c>
      <c r="AI37">
        <v>27050</v>
      </c>
      <c r="AJ37">
        <v>5874</v>
      </c>
      <c r="AK37">
        <v>109156</v>
      </c>
      <c r="AL37">
        <v>6888</v>
      </c>
      <c r="AM37">
        <v>1705</v>
      </c>
      <c r="AN37">
        <v>5761</v>
      </c>
      <c r="AO37">
        <v>1897</v>
      </c>
      <c r="AP37">
        <v>15853</v>
      </c>
      <c r="AQ37">
        <v>282</v>
      </c>
      <c r="AR37">
        <v>3976</v>
      </c>
      <c r="AS37">
        <v>276</v>
      </c>
      <c r="AT37">
        <v>3660</v>
      </c>
      <c r="AU37">
        <v>851</v>
      </c>
      <c r="AV37">
        <v>1202</v>
      </c>
      <c r="AW37">
        <v>2987</v>
      </c>
      <c r="AX37">
        <v>1102</v>
      </c>
      <c r="AY37">
        <v>3285</v>
      </c>
      <c r="AZ37">
        <v>4519</v>
      </c>
      <c r="BA37">
        <v>5146</v>
      </c>
      <c r="BB37">
        <v>23673</v>
      </c>
      <c r="BC37">
        <v>5186</v>
      </c>
      <c r="BD37">
        <v>23783</v>
      </c>
      <c r="BE37">
        <v>3378</v>
      </c>
      <c r="BF37">
        <v>1938</v>
      </c>
      <c r="BG37">
        <v>2068</v>
      </c>
      <c r="BH37">
        <v>1933</v>
      </c>
      <c r="BI37">
        <v>1753</v>
      </c>
      <c r="BJ37">
        <v>2346</v>
      </c>
      <c r="BK37">
        <v>479</v>
      </c>
      <c r="BL37">
        <v>2075</v>
      </c>
      <c r="BM37">
        <v>502</v>
      </c>
      <c r="BN37">
        <v>2376</v>
      </c>
      <c r="BO37">
        <v>865</v>
      </c>
      <c r="BP37">
        <v>213</v>
      </c>
      <c r="BQ37">
        <v>2574</v>
      </c>
      <c r="BR37">
        <v>209</v>
      </c>
      <c r="BS37">
        <v>2887</v>
      </c>
      <c r="BT37">
        <v>65</v>
      </c>
      <c r="BU37">
        <v>2222</v>
      </c>
      <c r="BV37">
        <v>595</v>
      </c>
      <c r="BW37">
        <v>10886</v>
      </c>
      <c r="BX37">
        <v>1482</v>
      </c>
      <c r="BY37">
        <v>7420</v>
      </c>
    </row>
    <row r="38" spans="1:77" x14ac:dyDescent="0.4">
      <c r="A38" s="1" t="s">
        <v>64</v>
      </c>
      <c r="B38" s="1" t="s">
        <v>65</v>
      </c>
      <c r="C38">
        <v>493993</v>
      </c>
      <c r="D38">
        <v>3490</v>
      </c>
      <c r="E38">
        <v>568167</v>
      </c>
      <c r="F38">
        <v>4138</v>
      </c>
      <c r="G38">
        <v>2402826</v>
      </c>
      <c r="H38">
        <v>381672</v>
      </c>
      <c r="I38">
        <v>4288</v>
      </c>
      <c r="J38">
        <v>384317</v>
      </c>
      <c r="K38">
        <v>4673</v>
      </c>
      <c r="L38">
        <v>170826</v>
      </c>
      <c r="M38">
        <v>358392</v>
      </c>
      <c r="N38">
        <v>1986</v>
      </c>
      <c r="O38">
        <v>409650</v>
      </c>
      <c r="P38">
        <v>2621</v>
      </c>
      <c r="Q38">
        <v>28410</v>
      </c>
      <c r="R38">
        <v>2722</v>
      </c>
      <c r="S38">
        <v>726</v>
      </c>
      <c r="T38">
        <v>2929</v>
      </c>
      <c r="U38">
        <v>738</v>
      </c>
      <c r="V38">
        <v>814</v>
      </c>
      <c r="W38">
        <v>2713</v>
      </c>
      <c r="X38">
        <v>4170</v>
      </c>
      <c r="Y38">
        <v>3105</v>
      </c>
      <c r="Z38">
        <v>5439</v>
      </c>
      <c r="AA38">
        <v>2061</v>
      </c>
      <c r="AB38">
        <v>636147</v>
      </c>
      <c r="AC38">
        <v>992</v>
      </c>
      <c r="AD38">
        <v>639176</v>
      </c>
      <c r="AE38">
        <v>1061</v>
      </c>
      <c r="AF38">
        <v>173095</v>
      </c>
      <c r="AG38">
        <v>24614</v>
      </c>
      <c r="AH38">
        <v>7484</v>
      </c>
      <c r="AI38">
        <v>34578</v>
      </c>
      <c r="AJ38">
        <v>9109</v>
      </c>
      <c r="AK38">
        <v>106849</v>
      </c>
      <c r="AL38">
        <v>6894</v>
      </c>
      <c r="AM38">
        <v>2204</v>
      </c>
      <c r="AN38">
        <v>6912</v>
      </c>
      <c r="AO38">
        <v>2652</v>
      </c>
      <c r="AP38">
        <v>15837</v>
      </c>
      <c r="AQ38">
        <v>343</v>
      </c>
      <c r="AR38">
        <v>5228</v>
      </c>
      <c r="AS38">
        <v>446</v>
      </c>
      <c r="AT38">
        <v>7176</v>
      </c>
      <c r="AU38">
        <v>754</v>
      </c>
      <c r="AV38">
        <v>1729</v>
      </c>
      <c r="AW38">
        <v>3493</v>
      </c>
      <c r="AX38">
        <v>1908</v>
      </c>
      <c r="AY38">
        <v>4874</v>
      </c>
      <c r="AZ38">
        <v>4290</v>
      </c>
      <c r="BA38">
        <v>5112</v>
      </c>
      <c r="BB38">
        <v>25965</v>
      </c>
      <c r="BC38">
        <v>5283</v>
      </c>
      <c r="BD38">
        <v>26195</v>
      </c>
      <c r="BE38">
        <v>3393</v>
      </c>
      <c r="BF38">
        <v>2146</v>
      </c>
      <c r="BG38">
        <v>2102</v>
      </c>
      <c r="BH38">
        <v>2288</v>
      </c>
      <c r="BI38">
        <v>2140</v>
      </c>
      <c r="BJ38">
        <v>2118</v>
      </c>
      <c r="BK38">
        <v>539</v>
      </c>
      <c r="BL38">
        <v>1975</v>
      </c>
      <c r="BM38">
        <v>605</v>
      </c>
      <c r="BN38">
        <v>3416</v>
      </c>
      <c r="BO38">
        <v>798</v>
      </c>
      <c r="BP38">
        <v>273</v>
      </c>
      <c r="BQ38">
        <v>3935</v>
      </c>
      <c r="BR38">
        <v>270</v>
      </c>
      <c r="BS38">
        <v>3877</v>
      </c>
      <c r="BT38">
        <v>64</v>
      </c>
      <c r="BU38">
        <v>2526</v>
      </c>
      <c r="BV38">
        <v>638</v>
      </c>
      <c r="BW38">
        <v>10739</v>
      </c>
      <c r="BX38">
        <v>1810</v>
      </c>
      <c r="BY38">
        <v>6063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FF84-E5E9-4B87-8886-6CE8AE5BD08C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1680</v>
      </c>
      <c r="D3" t="s">
        <v>1680</v>
      </c>
      <c r="E3" t="s">
        <v>1680</v>
      </c>
      <c r="F3" t="s">
        <v>1680</v>
      </c>
      <c r="G3" t="s">
        <v>1680</v>
      </c>
      <c r="H3" t="s">
        <v>1682</v>
      </c>
      <c r="I3" t="s">
        <v>1682</v>
      </c>
      <c r="J3" t="s">
        <v>1682</v>
      </c>
      <c r="K3" t="s">
        <v>1682</v>
      </c>
      <c r="L3" t="s">
        <v>1682</v>
      </c>
      <c r="M3" t="s">
        <v>1684</v>
      </c>
      <c r="N3" t="s">
        <v>1684</v>
      </c>
      <c r="O3" t="s">
        <v>1684</v>
      </c>
      <c r="P3" t="s">
        <v>1684</v>
      </c>
      <c r="Q3" t="s">
        <v>1684</v>
      </c>
      <c r="R3" t="s">
        <v>1686</v>
      </c>
      <c r="S3" t="s">
        <v>1686</v>
      </c>
      <c r="T3" t="s">
        <v>1686</v>
      </c>
      <c r="U3" t="s">
        <v>1686</v>
      </c>
      <c r="V3" t="s">
        <v>1686</v>
      </c>
    </row>
    <row r="4" spans="1:22" x14ac:dyDescent="0.4">
      <c r="A4" s="1"/>
      <c r="B4" s="2" t="s">
        <v>1</v>
      </c>
      <c r="C4" t="s">
        <v>1681</v>
      </c>
      <c r="D4" t="s">
        <v>1681</v>
      </c>
      <c r="E4" t="s">
        <v>1681</v>
      </c>
      <c r="F4" t="s">
        <v>1681</v>
      </c>
      <c r="G4" t="s">
        <v>1681</v>
      </c>
      <c r="H4" t="s">
        <v>1683</v>
      </c>
      <c r="I4" t="s">
        <v>1683</v>
      </c>
      <c r="J4" t="s">
        <v>1683</v>
      </c>
      <c r="K4" t="s">
        <v>1683</v>
      </c>
      <c r="L4" t="s">
        <v>1683</v>
      </c>
      <c r="M4" t="s">
        <v>1685</v>
      </c>
      <c r="N4" t="s">
        <v>1685</v>
      </c>
      <c r="O4" t="s">
        <v>1685</v>
      </c>
      <c r="P4" t="s">
        <v>1685</v>
      </c>
      <c r="Q4" t="s">
        <v>1685</v>
      </c>
      <c r="R4" t="s">
        <v>1687</v>
      </c>
      <c r="S4" t="s">
        <v>1687</v>
      </c>
      <c r="T4" t="s">
        <v>1687</v>
      </c>
      <c r="U4" t="s">
        <v>1687</v>
      </c>
      <c r="V4" t="s">
        <v>1687</v>
      </c>
    </row>
    <row r="5" spans="1:2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</row>
    <row r="9" spans="1:22" x14ac:dyDescent="0.4">
      <c r="A9" s="1" t="s">
        <v>6</v>
      </c>
      <c r="B9" s="3" t="s">
        <v>7</v>
      </c>
      <c r="C9">
        <v>81210</v>
      </c>
      <c r="D9">
        <v>98326</v>
      </c>
      <c r="E9">
        <v>88297</v>
      </c>
      <c r="F9">
        <v>107708</v>
      </c>
      <c r="G9">
        <v>13441</v>
      </c>
      <c r="H9">
        <v>1859416</v>
      </c>
      <c r="I9">
        <v>108815</v>
      </c>
      <c r="J9">
        <v>3482781</v>
      </c>
      <c r="K9">
        <v>163416</v>
      </c>
      <c r="L9">
        <v>873364</v>
      </c>
      <c r="M9">
        <v>3331</v>
      </c>
      <c r="N9">
        <v>32512</v>
      </c>
      <c r="O9">
        <v>5657</v>
      </c>
      <c r="P9">
        <v>39376</v>
      </c>
      <c r="Q9">
        <v>1285</v>
      </c>
      <c r="R9">
        <v>166615</v>
      </c>
      <c r="S9">
        <v>24751</v>
      </c>
      <c r="T9">
        <v>166929</v>
      </c>
      <c r="U9">
        <v>27077</v>
      </c>
      <c r="V9">
        <v>4673</v>
      </c>
    </row>
    <row r="10" spans="1:22" x14ac:dyDescent="0.4">
      <c r="A10" s="1" t="s">
        <v>8</v>
      </c>
      <c r="B10" s="3" t="s">
        <v>9</v>
      </c>
      <c r="C10">
        <v>75442</v>
      </c>
      <c r="D10">
        <v>97784</v>
      </c>
      <c r="E10">
        <v>88186</v>
      </c>
      <c r="F10">
        <v>115023</v>
      </c>
      <c r="G10">
        <v>12932</v>
      </c>
      <c r="H10">
        <v>1858016</v>
      </c>
      <c r="I10">
        <v>130157</v>
      </c>
      <c r="J10">
        <v>3216679</v>
      </c>
      <c r="K10">
        <v>182262</v>
      </c>
      <c r="L10">
        <v>1047667</v>
      </c>
      <c r="M10">
        <v>4110</v>
      </c>
      <c r="N10">
        <v>34430</v>
      </c>
      <c r="O10">
        <v>6132</v>
      </c>
      <c r="P10">
        <v>42013</v>
      </c>
      <c r="Q10">
        <v>1335</v>
      </c>
      <c r="R10">
        <v>194868</v>
      </c>
      <c r="S10">
        <v>31181</v>
      </c>
      <c r="T10">
        <v>189445</v>
      </c>
      <c r="U10">
        <v>33628</v>
      </c>
      <c r="V10">
        <v>8194</v>
      </c>
    </row>
    <row r="11" spans="1:22" x14ac:dyDescent="0.4">
      <c r="A11" s="1" t="s">
        <v>10</v>
      </c>
      <c r="B11" s="3" t="s">
        <v>11</v>
      </c>
      <c r="C11">
        <v>77371</v>
      </c>
      <c r="D11">
        <v>101741</v>
      </c>
      <c r="E11">
        <v>79198</v>
      </c>
      <c r="F11">
        <v>106447</v>
      </c>
      <c r="G11">
        <v>19590</v>
      </c>
      <c r="H11">
        <v>1584003</v>
      </c>
      <c r="I11">
        <v>117221</v>
      </c>
      <c r="J11">
        <v>3273611</v>
      </c>
      <c r="K11">
        <v>208095</v>
      </c>
      <c r="L11">
        <v>1089206</v>
      </c>
      <c r="M11">
        <v>4285</v>
      </c>
      <c r="N11">
        <v>35806</v>
      </c>
      <c r="O11">
        <v>6111</v>
      </c>
      <c r="P11">
        <v>42426</v>
      </c>
      <c r="Q11">
        <v>849</v>
      </c>
      <c r="R11">
        <v>144024</v>
      </c>
      <c r="S11">
        <v>27403</v>
      </c>
      <c r="T11">
        <v>145585</v>
      </c>
      <c r="U11">
        <v>30178</v>
      </c>
      <c r="V11">
        <v>4815</v>
      </c>
    </row>
    <row r="12" spans="1:22" x14ac:dyDescent="0.4">
      <c r="A12" s="1" t="s">
        <v>12</v>
      </c>
      <c r="B12" s="3" t="s">
        <v>13</v>
      </c>
      <c r="C12">
        <v>74341</v>
      </c>
      <c r="D12">
        <v>93618</v>
      </c>
      <c r="E12">
        <v>79919</v>
      </c>
      <c r="F12">
        <v>113241</v>
      </c>
      <c r="G12">
        <v>12134</v>
      </c>
      <c r="H12">
        <v>1750303</v>
      </c>
      <c r="I12">
        <v>118927</v>
      </c>
      <c r="J12">
        <v>3552468</v>
      </c>
      <c r="K12">
        <v>227439</v>
      </c>
      <c r="L12">
        <v>1063026</v>
      </c>
      <c r="M12">
        <v>2855</v>
      </c>
      <c r="N12">
        <v>33704</v>
      </c>
      <c r="O12">
        <v>4778</v>
      </c>
      <c r="P12">
        <v>40404</v>
      </c>
      <c r="Q12">
        <v>831</v>
      </c>
      <c r="R12">
        <v>140741</v>
      </c>
      <c r="S12">
        <v>27969</v>
      </c>
      <c r="T12">
        <v>138464</v>
      </c>
      <c r="U12">
        <v>28886</v>
      </c>
      <c r="V12">
        <v>4696</v>
      </c>
    </row>
    <row r="13" spans="1:22" x14ac:dyDescent="0.4">
      <c r="A13" s="1" t="s">
        <v>14</v>
      </c>
      <c r="B13" s="3" t="s">
        <v>15</v>
      </c>
      <c r="C13">
        <v>79324</v>
      </c>
      <c r="D13">
        <v>105877</v>
      </c>
      <c r="E13">
        <v>75114</v>
      </c>
      <c r="F13">
        <v>111091</v>
      </c>
      <c r="G13">
        <v>14377</v>
      </c>
      <c r="H13">
        <v>1852710</v>
      </c>
      <c r="I13">
        <v>130537</v>
      </c>
      <c r="J13">
        <v>3724205</v>
      </c>
      <c r="K13">
        <v>249061</v>
      </c>
      <c r="L13">
        <v>1067182</v>
      </c>
      <c r="M13">
        <v>3173</v>
      </c>
      <c r="N13">
        <v>35623</v>
      </c>
      <c r="O13">
        <v>5318</v>
      </c>
      <c r="P13">
        <v>50304</v>
      </c>
      <c r="Q13">
        <v>1455</v>
      </c>
      <c r="R13">
        <v>143386</v>
      </c>
      <c r="S13">
        <v>25854</v>
      </c>
      <c r="T13">
        <v>142995</v>
      </c>
      <c r="U13">
        <v>28058</v>
      </c>
      <c r="V13">
        <v>12264</v>
      </c>
    </row>
    <row r="14" spans="1:22" x14ac:dyDescent="0.4">
      <c r="A14" s="1" t="s">
        <v>16</v>
      </c>
      <c r="B14" s="1" t="s">
        <v>17</v>
      </c>
      <c r="C14">
        <v>4040</v>
      </c>
      <c r="D14">
        <v>4909</v>
      </c>
      <c r="E14">
        <v>7615</v>
      </c>
      <c r="F14">
        <v>11367</v>
      </c>
      <c r="G14">
        <v>9819</v>
      </c>
      <c r="H14">
        <v>142643</v>
      </c>
      <c r="I14">
        <v>10036</v>
      </c>
      <c r="J14">
        <v>238907</v>
      </c>
      <c r="K14">
        <v>16395</v>
      </c>
      <c r="L14">
        <v>1169121</v>
      </c>
      <c r="M14">
        <v>287</v>
      </c>
      <c r="N14">
        <v>2709</v>
      </c>
      <c r="O14">
        <v>458</v>
      </c>
      <c r="P14">
        <v>3133</v>
      </c>
      <c r="Q14">
        <v>705</v>
      </c>
      <c r="R14">
        <v>11683</v>
      </c>
      <c r="S14">
        <v>2316</v>
      </c>
      <c r="T14">
        <v>12004</v>
      </c>
      <c r="U14">
        <v>2574</v>
      </c>
      <c r="V14">
        <v>6437</v>
      </c>
    </row>
    <row r="15" spans="1:22" x14ac:dyDescent="0.4">
      <c r="A15" s="1" t="s">
        <v>18</v>
      </c>
      <c r="B15" s="1" t="s">
        <v>19</v>
      </c>
      <c r="C15">
        <v>5105</v>
      </c>
      <c r="D15">
        <v>6065</v>
      </c>
      <c r="E15">
        <v>3165</v>
      </c>
      <c r="F15">
        <v>4495</v>
      </c>
      <c r="G15">
        <v>11119</v>
      </c>
      <c r="H15">
        <v>136301</v>
      </c>
      <c r="I15">
        <v>9506</v>
      </c>
      <c r="J15">
        <v>288365</v>
      </c>
      <c r="K15">
        <v>20959</v>
      </c>
      <c r="L15">
        <v>1131323</v>
      </c>
      <c r="M15">
        <v>281</v>
      </c>
      <c r="N15">
        <v>2756</v>
      </c>
      <c r="O15">
        <v>451</v>
      </c>
      <c r="P15">
        <v>3716</v>
      </c>
      <c r="Q15">
        <v>709</v>
      </c>
      <c r="R15">
        <v>13205</v>
      </c>
      <c r="S15">
        <v>2565</v>
      </c>
      <c r="T15">
        <v>12939</v>
      </c>
      <c r="U15">
        <v>2648</v>
      </c>
      <c r="V15">
        <v>6543</v>
      </c>
    </row>
    <row r="16" spans="1:22" x14ac:dyDescent="0.4">
      <c r="A16" s="1" t="s">
        <v>20</v>
      </c>
      <c r="B16" s="1" t="s">
        <v>21</v>
      </c>
      <c r="C16">
        <v>5891</v>
      </c>
      <c r="D16">
        <v>7510</v>
      </c>
      <c r="E16">
        <v>5542</v>
      </c>
      <c r="F16">
        <v>8058</v>
      </c>
      <c r="G16">
        <v>11699</v>
      </c>
      <c r="H16">
        <v>131501</v>
      </c>
      <c r="I16">
        <v>9371</v>
      </c>
      <c r="J16">
        <v>261008</v>
      </c>
      <c r="K16">
        <v>18696</v>
      </c>
      <c r="L16">
        <v>1116635</v>
      </c>
      <c r="M16">
        <v>271</v>
      </c>
      <c r="N16">
        <v>2678</v>
      </c>
      <c r="O16">
        <v>388</v>
      </c>
      <c r="P16">
        <v>2697</v>
      </c>
      <c r="Q16">
        <v>787</v>
      </c>
      <c r="R16">
        <v>11400</v>
      </c>
      <c r="S16">
        <v>2425</v>
      </c>
      <c r="T16">
        <v>11819</v>
      </c>
      <c r="U16">
        <v>2518</v>
      </c>
      <c r="V16">
        <v>5939</v>
      </c>
    </row>
    <row r="17" spans="1:22" x14ac:dyDescent="0.4">
      <c r="A17" s="1" t="s">
        <v>22</v>
      </c>
      <c r="B17" s="1" t="s">
        <v>23</v>
      </c>
      <c r="C17">
        <v>7544</v>
      </c>
      <c r="D17">
        <v>10390</v>
      </c>
      <c r="E17">
        <v>6483</v>
      </c>
      <c r="F17">
        <v>10142</v>
      </c>
      <c r="G17">
        <v>12574</v>
      </c>
      <c r="H17">
        <v>139524</v>
      </c>
      <c r="I17">
        <v>9425</v>
      </c>
      <c r="J17">
        <v>271090</v>
      </c>
      <c r="K17">
        <v>18994</v>
      </c>
      <c r="L17">
        <v>1094423</v>
      </c>
      <c r="M17">
        <v>246</v>
      </c>
      <c r="N17">
        <v>2934</v>
      </c>
      <c r="O17">
        <v>397</v>
      </c>
      <c r="P17">
        <v>2959</v>
      </c>
      <c r="Q17">
        <v>807</v>
      </c>
      <c r="R17">
        <v>12059</v>
      </c>
      <c r="S17">
        <v>2688</v>
      </c>
      <c r="T17">
        <v>12324</v>
      </c>
      <c r="U17">
        <v>2848</v>
      </c>
      <c r="V17">
        <v>5558</v>
      </c>
    </row>
    <row r="18" spans="1:22" x14ac:dyDescent="0.4">
      <c r="A18" s="1" t="s">
        <v>24</v>
      </c>
      <c r="B18" s="1" t="s">
        <v>25</v>
      </c>
      <c r="C18">
        <v>8369</v>
      </c>
      <c r="D18">
        <v>11229</v>
      </c>
      <c r="E18">
        <v>7236</v>
      </c>
      <c r="F18">
        <v>10511</v>
      </c>
      <c r="G18">
        <v>13379</v>
      </c>
      <c r="H18">
        <v>152640</v>
      </c>
      <c r="I18">
        <v>10349</v>
      </c>
      <c r="J18">
        <v>339684</v>
      </c>
      <c r="K18">
        <v>20045</v>
      </c>
      <c r="L18">
        <v>1092359</v>
      </c>
      <c r="M18">
        <v>242</v>
      </c>
      <c r="N18">
        <v>3287</v>
      </c>
      <c r="O18">
        <v>399</v>
      </c>
      <c r="P18">
        <v>3867</v>
      </c>
      <c r="Q18">
        <v>812</v>
      </c>
      <c r="R18">
        <v>11556</v>
      </c>
      <c r="S18">
        <v>2374</v>
      </c>
      <c r="T18">
        <v>9902</v>
      </c>
      <c r="U18">
        <v>2248</v>
      </c>
      <c r="V18">
        <v>6405</v>
      </c>
    </row>
    <row r="19" spans="1:22" x14ac:dyDescent="0.4">
      <c r="A19" s="1" t="s">
        <v>26</v>
      </c>
      <c r="B19" s="1" t="s">
        <v>27</v>
      </c>
      <c r="C19">
        <v>5419</v>
      </c>
      <c r="D19">
        <v>6780</v>
      </c>
      <c r="E19">
        <v>5274</v>
      </c>
      <c r="F19">
        <v>7357</v>
      </c>
      <c r="G19">
        <v>13622</v>
      </c>
      <c r="H19">
        <v>128915</v>
      </c>
      <c r="I19">
        <v>8215</v>
      </c>
      <c r="J19">
        <v>319068</v>
      </c>
      <c r="K19">
        <v>18777</v>
      </c>
      <c r="L19">
        <v>1060685</v>
      </c>
      <c r="M19">
        <v>183</v>
      </c>
      <c r="N19">
        <v>2909</v>
      </c>
      <c r="O19">
        <v>352</v>
      </c>
      <c r="P19">
        <v>3728</v>
      </c>
      <c r="Q19">
        <v>807</v>
      </c>
      <c r="R19">
        <v>12222</v>
      </c>
      <c r="S19">
        <v>2540</v>
      </c>
      <c r="T19">
        <v>12158</v>
      </c>
      <c r="U19">
        <v>2495</v>
      </c>
      <c r="V19">
        <v>6336</v>
      </c>
    </row>
    <row r="20" spans="1:22" x14ac:dyDescent="0.4">
      <c r="A20" s="1" t="s">
        <v>28</v>
      </c>
      <c r="B20" s="1" t="s">
        <v>29</v>
      </c>
      <c r="C20">
        <v>7205</v>
      </c>
      <c r="D20">
        <v>9043</v>
      </c>
      <c r="E20">
        <v>7250</v>
      </c>
      <c r="F20">
        <v>10136</v>
      </c>
      <c r="G20">
        <v>13847</v>
      </c>
      <c r="H20">
        <v>158299</v>
      </c>
      <c r="I20">
        <v>9862</v>
      </c>
      <c r="J20">
        <v>409687</v>
      </c>
      <c r="K20">
        <v>22996</v>
      </c>
      <c r="L20">
        <v>1024160</v>
      </c>
      <c r="M20">
        <v>215</v>
      </c>
      <c r="N20">
        <v>3294</v>
      </c>
      <c r="O20">
        <v>377</v>
      </c>
      <c r="P20">
        <v>4170</v>
      </c>
      <c r="Q20">
        <v>868</v>
      </c>
      <c r="R20">
        <v>10612</v>
      </c>
      <c r="S20">
        <v>2165</v>
      </c>
      <c r="T20">
        <v>11724</v>
      </c>
      <c r="U20">
        <v>2368</v>
      </c>
      <c r="V20">
        <v>4771</v>
      </c>
    </row>
    <row r="21" spans="1:22" x14ac:dyDescent="0.4">
      <c r="A21" s="1" t="s">
        <v>30</v>
      </c>
      <c r="B21" s="1" t="s">
        <v>31</v>
      </c>
      <c r="C21">
        <v>7022</v>
      </c>
      <c r="D21">
        <v>8607</v>
      </c>
      <c r="E21">
        <v>6923</v>
      </c>
      <c r="F21">
        <v>9630</v>
      </c>
      <c r="G21">
        <v>13280</v>
      </c>
      <c r="H21">
        <v>178554</v>
      </c>
      <c r="I21">
        <v>12002</v>
      </c>
      <c r="J21">
        <v>403882</v>
      </c>
      <c r="K21">
        <v>24380</v>
      </c>
      <c r="L21">
        <v>999734</v>
      </c>
      <c r="M21">
        <v>159</v>
      </c>
      <c r="N21">
        <v>2690</v>
      </c>
      <c r="O21">
        <v>332</v>
      </c>
      <c r="P21">
        <v>3379</v>
      </c>
      <c r="Q21">
        <v>903</v>
      </c>
      <c r="R21">
        <v>12667</v>
      </c>
      <c r="S21">
        <v>2558</v>
      </c>
      <c r="T21">
        <v>12199</v>
      </c>
      <c r="U21">
        <v>2517</v>
      </c>
      <c r="V21">
        <v>5104</v>
      </c>
    </row>
    <row r="22" spans="1:22" x14ac:dyDescent="0.4">
      <c r="A22" s="1" t="s">
        <v>32</v>
      </c>
      <c r="B22" s="1" t="s">
        <v>33</v>
      </c>
      <c r="C22">
        <v>6430</v>
      </c>
      <c r="D22">
        <v>8083</v>
      </c>
      <c r="E22">
        <v>7229</v>
      </c>
      <c r="F22">
        <v>10333</v>
      </c>
      <c r="G22">
        <v>12709</v>
      </c>
      <c r="H22">
        <v>162588</v>
      </c>
      <c r="I22">
        <v>11216</v>
      </c>
      <c r="J22">
        <v>328032</v>
      </c>
      <c r="K22">
        <v>21078</v>
      </c>
      <c r="L22">
        <v>997303</v>
      </c>
      <c r="M22">
        <v>211</v>
      </c>
      <c r="N22">
        <v>2728</v>
      </c>
      <c r="O22">
        <v>385</v>
      </c>
      <c r="P22">
        <v>3452</v>
      </c>
      <c r="Q22">
        <v>895</v>
      </c>
      <c r="R22">
        <v>12330</v>
      </c>
      <c r="S22">
        <v>2261</v>
      </c>
      <c r="T22">
        <v>11941</v>
      </c>
      <c r="U22">
        <v>2180</v>
      </c>
      <c r="V22">
        <v>5379</v>
      </c>
    </row>
    <row r="23" spans="1:22" x14ac:dyDescent="0.4">
      <c r="A23" s="1" t="s">
        <v>34</v>
      </c>
      <c r="B23" s="1" t="s">
        <v>35</v>
      </c>
      <c r="C23">
        <v>7435</v>
      </c>
      <c r="D23">
        <v>9514</v>
      </c>
      <c r="E23">
        <v>8193</v>
      </c>
      <c r="F23">
        <v>11348</v>
      </c>
      <c r="G23">
        <v>12134</v>
      </c>
      <c r="H23">
        <v>170264</v>
      </c>
      <c r="I23">
        <v>11721</v>
      </c>
      <c r="J23">
        <v>266841</v>
      </c>
      <c r="K23">
        <v>17104</v>
      </c>
      <c r="L23">
        <v>1063026</v>
      </c>
      <c r="M23">
        <v>218</v>
      </c>
      <c r="N23">
        <v>2745</v>
      </c>
      <c r="O23">
        <v>406</v>
      </c>
      <c r="P23">
        <v>3408</v>
      </c>
      <c r="Q23">
        <v>831</v>
      </c>
      <c r="R23">
        <v>12260</v>
      </c>
      <c r="S23">
        <v>2501</v>
      </c>
      <c r="T23">
        <v>12779</v>
      </c>
      <c r="U23">
        <v>2659</v>
      </c>
      <c r="V23">
        <v>4696</v>
      </c>
    </row>
    <row r="24" spans="1:22" x14ac:dyDescent="0.4">
      <c r="A24" s="1" t="s">
        <v>36</v>
      </c>
      <c r="B24" s="1" t="s">
        <v>37</v>
      </c>
      <c r="C24">
        <v>5896</v>
      </c>
      <c r="D24">
        <v>7524</v>
      </c>
      <c r="E24">
        <v>4968</v>
      </c>
      <c r="F24">
        <v>7218</v>
      </c>
      <c r="G24">
        <v>12762</v>
      </c>
      <c r="H24">
        <v>144361</v>
      </c>
      <c r="I24">
        <v>9963</v>
      </c>
      <c r="J24">
        <v>235441</v>
      </c>
      <c r="K24">
        <v>16361</v>
      </c>
      <c r="L24">
        <v>1080922</v>
      </c>
      <c r="M24">
        <v>198</v>
      </c>
      <c r="N24">
        <v>2389</v>
      </c>
      <c r="O24">
        <v>349</v>
      </c>
      <c r="P24">
        <v>3065</v>
      </c>
      <c r="Q24">
        <v>1558</v>
      </c>
      <c r="R24">
        <v>10346</v>
      </c>
      <c r="S24">
        <v>1963</v>
      </c>
      <c r="T24">
        <v>8292</v>
      </c>
      <c r="U24">
        <v>1870</v>
      </c>
      <c r="V24">
        <v>15551</v>
      </c>
    </row>
    <row r="25" spans="1:22" x14ac:dyDescent="0.4">
      <c r="A25" s="1" t="s">
        <v>38</v>
      </c>
      <c r="B25" s="1" t="s">
        <v>39</v>
      </c>
      <c r="C25">
        <v>6615</v>
      </c>
      <c r="D25">
        <v>8207</v>
      </c>
      <c r="E25">
        <v>8198</v>
      </c>
      <c r="F25">
        <v>11339</v>
      </c>
      <c r="G25">
        <v>10954</v>
      </c>
      <c r="H25">
        <v>137491</v>
      </c>
      <c r="I25">
        <v>9890</v>
      </c>
      <c r="J25">
        <v>252389</v>
      </c>
      <c r="K25">
        <v>17777</v>
      </c>
      <c r="L25">
        <v>1075618</v>
      </c>
      <c r="M25">
        <v>243</v>
      </c>
      <c r="N25">
        <v>2494</v>
      </c>
      <c r="O25">
        <v>375</v>
      </c>
      <c r="P25">
        <v>2961</v>
      </c>
      <c r="Q25">
        <v>1458</v>
      </c>
      <c r="R25">
        <v>11586</v>
      </c>
      <c r="S25">
        <v>2185</v>
      </c>
      <c r="T25">
        <v>11629</v>
      </c>
      <c r="U25">
        <v>2324</v>
      </c>
      <c r="V25">
        <v>15399</v>
      </c>
    </row>
    <row r="26" spans="1:22" x14ac:dyDescent="0.4">
      <c r="A26" s="1" t="s">
        <v>40</v>
      </c>
      <c r="B26" s="1" t="s">
        <v>41</v>
      </c>
      <c r="C26">
        <v>7637</v>
      </c>
      <c r="D26">
        <v>10373</v>
      </c>
      <c r="E26">
        <v>8455</v>
      </c>
      <c r="F26">
        <v>12511</v>
      </c>
      <c r="G26">
        <v>10148</v>
      </c>
      <c r="H26">
        <v>161442</v>
      </c>
      <c r="I26">
        <v>10481</v>
      </c>
      <c r="J26">
        <v>289665</v>
      </c>
      <c r="K26">
        <v>18847</v>
      </c>
      <c r="L26">
        <v>1099266</v>
      </c>
      <c r="M26">
        <v>241</v>
      </c>
      <c r="N26">
        <v>2874</v>
      </c>
      <c r="O26">
        <v>370</v>
      </c>
      <c r="P26">
        <v>3394</v>
      </c>
      <c r="Q26">
        <v>1411</v>
      </c>
      <c r="R26">
        <v>12332</v>
      </c>
      <c r="S26">
        <v>2436</v>
      </c>
      <c r="T26">
        <v>11852</v>
      </c>
      <c r="U26">
        <v>2341</v>
      </c>
      <c r="V26">
        <v>15399</v>
      </c>
    </row>
    <row r="27" spans="1:22" x14ac:dyDescent="0.4">
      <c r="A27" s="1" t="s">
        <v>42</v>
      </c>
      <c r="B27" s="1" t="s">
        <v>43</v>
      </c>
      <c r="C27">
        <v>5583</v>
      </c>
      <c r="D27">
        <v>6845</v>
      </c>
      <c r="E27">
        <v>4729</v>
      </c>
      <c r="F27">
        <v>6953</v>
      </c>
      <c r="G27">
        <v>10624</v>
      </c>
      <c r="H27">
        <v>160260</v>
      </c>
      <c r="I27">
        <v>10982</v>
      </c>
      <c r="J27">
        <v>309589</v>
      </c>
      <c r="K27">
        <v>20996</v>
      </c>
      <c r="L27">
        <v>1080287</v>
      </c>
      <c r="M27">
        <v>257</v>
      </c>
      <c r="N27">
        <v>3035</v>
      </c>
      <c r="O27">
        <v>438</v>
      </c>
      <c r="P27">
        <v>4425</v>
      </c>
      <c r="Q27">
        <v>1488</v>
      </c>
      <c r="R27">
        <v>11570</v>
      </c>
      <c r="S27">
        <v>1979</v>
      </c>
      <c r="T27">
        <v>13768</v>
      </c>
      <c r="U27">
        <v>2608</v>
      </c>
      <c r="V27">
        <v>13016</v>
      </c>
    </row>
    <row r="28" spans="1:22" x14ac:dyDescent="0.4">
      <c r="A28" s="1" t="s">
        <v>44</v>
      </c>
      <c r="B28" s="1" t="s">
        <v>45</v>
      </c>
      <c r="C28">
        <v>6412</v>
      </c>
      <c r="D28">
        <v>7778</v>
      </c>
      <c r="E28">
        <v>5332</v>
      </c>
      <c r="F28">
        <v>7085</v>
      </c>
      <c r="G28">
        <v>11599</v>
      </c>
      <c r="H28">
        <v>131223</v>
      </c>
      <c r="I28">
        <v>9480</v>
      </c>
      <c r="J28">
        <v>291811</v>
      </c>
      <c r="K28">
        <v>19847</v>
      </c>
      <c r="L28">
        <v>1063391</v>
      </c>
      <c r="M28">
        <v>252</v>
      </c>
      <c r="N28">
        <v>3182</v>
      </c>
      <c r="O28">
        <v>381</v>
      </c>
      <c r="P28">
        <v>4328</v>
      </c>
      <c r="Q28">
        <v>1603</v>
      </c>
      <c r="R28">
        <v>11794</v>
      </c>
      <c r="S28">
        <v>2098</v>
      </c>
      <c r="T28">
        <v>11212</v>
      </c>
      <c r="U28">
        <v>2051</v>
      </c>
      <c r="V28">
        <v>13467</v>
      </c>
    </row>
    <row r="29" spans="1:22" x14ac:dyDescent="0.4">
      <c r="A29" s="1" t="s">
        <v>46</v>
      </c>
      <c r="B29" s="1" t="s">
        <v>47</v>
      </c>
      <c r="C29">
        <v>7176</v>
      </c>
      <c r="D29">
        <v>8905</v>
      </c>
      <c r="E29">
        <v>7643</v>
      </c>
      <c r="F29">
        <v>10464</v>
      </c>
      <c r="G29">
        <v>10499</v>
      </c>
      <c r="H29">
        <v>154094</v>
      </c>
      <c r="I29">
        <v>11140</v>
      </c>
      <c r="J29">
        <v>295031</v>
      </c>
      <c r="K29">
        <v>19489</v>
      </c>
      <c r="L29">
        <v>1086574</v>
      </c>
      <c r="M29">
        <v>304</v>
      </c>
      <c r="N29">
        <v>3092</v>
      </c>
      <c r="O29">
        <v>495</v>
      </c>
      <c r="P29">
        <v>4644</v>
      </c>
      <c r="Q29">
        <v>1579</v>
      </c>
      <c r="R29">
        <v>12736</v>
      </c>
      <c r="S29">
        <v>2183</v>
      </c>
      <c r="T29">
        <v>13354</v>
      </c>
      <c r="U29">
        <v>2390</v>
      </c>
      <c r="V29">
        <v>12735</v>
      </c>
    </row>
    <row r="30" spans="1:22" x14ac:dyDescent="0.4">
      <c r="A30" s="1" t="s">
        <v>48</v>
      </c>
      <c r="B30" s="1" t="s">
        <v>49</v>
      </c>
      <c r="C30">
        <v>7728</v>
      </c>
      <c r="D30">
        <v>11199</v>
      </c>
      <c r="E30">
        <v>5842</v>
      </c>
      <c r="F30">
        <v>9145</v>
      </c>
      <c r="G30">
        <v>12644</v>
      </c>
      <c r="H30">
        <v>162206</v>
      </c>
      <c r="I30">
        <v>11501</v>
      </c>
      <c r="J30">
        <v>354594</v>
      </c>
      <c r="K30">
        <v>23413</v>
      </c>
      <c r="L30">
        <v>1049591</v>
      </c>
      <c r="M30">
        <v>327</v>
      </c>
      <c r="N30">
        <v>2921</v>
      </c>
      <c r="O30">
        <v>524</v>
      </c>
      <c r="P30">
        <v>4425</v>
      </c>
      <c r="Q30">
        <v>1619</v>
      </c>
      <c r="R30">
        <v>13301</v>
      </c>
      <c r="S30">
        <v>2097</v>
      </c>
      <c r="T30">
        <v>13087</v>
      </c>
      <c r="U30">
        <v>2467</v>
      </c>
      <c r="V30">
        <v>12897</v>
      </c>
    </row>
    <row r="31" spans="1:22" x14ac:dyDescent="0.4">
      <c r="A31" s="1" t="s">
        <v>50</v>
      </c>
      <c r="B31" s="1" t="s">
        <v>51</v>
      </c>
      <c r="C31">
        <v>4999</v>
      </c>
      <c r="D31">
        <v>7138</v>
      </c>
      <c r="E31">
        <v>4050</v>
      </c>
      <c r="F31">
        <v>6563</v>
      </c>
      <c r="G31">
        <v>13886</v>
      </c>
      <c r="H31">
        <v>125540</v>
      </c>
      <c r="I31">
        <v>9094</v>
      </c>
      <c r="J31">
        <v>250491</v>
      </c>
      <c r="K31">
        <v>17140</v>
      </c>
      <c r="L31">
        <v>1048429</v>
      </c>
      <c r="M31">
        <v>264</v>
      </c>
      <c r="N31">
        <v>2938</v>
      </c>
      <c r="O31">
        <v>453</v>
      </c>
      <c r="P31">
        <v>3784</v>
      </c>
      <c r="Q31">
        <v>1604</v>
      </c>
      <c r="R31">
        <v>10277</v>
      </c>
      <c r="S31">
        <v>1803</v>
      </c>
      <c r="T31">
        <v>11264</v>
      </c>
      <c r="U31">
        <v>2112</v>
      </c>
      <c r="V31">
        <v>11816</v>
      </c>
    </row>
    <row r="32" spans="1:22" x14ac:dyDescent="0.4">
      <c r="A32" s="1" t="s">
        <v>52</v>
      </c>
      <c r="B32" s="1" t="s">
        <v>53</v>
      </c>
      <c r="C32">
        <v>7384</v>
      </c>
      <c r="D32">
        <v>10514</v>
      </c>
      <c r="E32">
        <v>6544</v>
      </c>
      <c r="F32">
        <v>10561</v>
      </c>
      <c r="G32">
        <v>14379</v>
      </c>
      <c r="H32">
        <v>171740</v>
      </c>
      <c r="I32">
        <v>12522</v>
      </c>
      <c r="J32">
        <v>359559</v>
      </c>
      <c r="K32">
        <v>25274</v>
      </c>
      <c r="L32">
        <v>1014875</v>
      </c>
      <c r="M32">
        <v>278</v>
      </c>
      <c r="N32">
        <v>3488</v>
      </c>
      <c r="O32">
        <v>452</v>
      </c>
      <c r="P32">
        <v>4997</v>
      </c>
      <c r="Q32">
        <v>1541</v>
      </c>
      <c r="R32">
        <v>12417</v>
      </c>
      <c r="S32">
        <v>2303</v>
      </c>
      <c r="T32">
        <v>12380</v>
      </c>
      <c r="U32">
        <v>2439</v>
      </c>
      <c r="V32">
        <v>11708</v>
      </c>
    </row>
    <row r="33" spans="1:22" x14ac:dyDescent="0.4">
      <c r="A33" s="1" t="s">
        <v>54</v>
      </c>
      <c r="B33" s="1" t="s">
        <v>55</v>
      </c>
      <c r="C33">
        <v>6191</v>
      </c>
      <c r="D33">
        <v>8403</v>
      </c>
      <c r="E33">
        <v>5877</v>
      </c>
      <c r="F33">
        <v>9268</v>
      </c>
      <c r="G33">
        <v>15375</v>
      </c>
      <c r="H33">
        <v>180058</v>
      </c>
      <c r="I33">
        <v>12978</v>
      </c>
      <c r="J33">
        <v>390151</v>
      </c>
      <c r="K33">
        <v>25522</v>
      </c>
      <c r="L33">
        <v>1019196</v>
      </c>
      <c r="M33">
        <v>316</v>
      </c>
      <c r="N33">
        <v>3434</v>
      </c>
      <c r="O33">
        <v>524</v>
      </c>
      <c r="P33">
        <v>4959</v>
      </c>
      <c r="Q33">
        <v>1580</v>
      </c>
      <c r="R33">
        <v>14098</v>
      </c>
      <c r="S33">
        <v>2606</v>
      </c>
      <c r="T33">
        <v>12382</v>
      </c>
      <c r="U33">
        <v>2511</v>
      </c>
      <c r="V33">
        <v>13303</v>
      </c>
    </row>
    <row r="34" spans="1:22" x14ac:dyDescent="0.4">
      <c r="A34" s="1" t="s">
        <v>56</v>
      </c>
      <c r="B34" s="1" t="s">
        <v>57</v>
      </c>
      <c r="C34">
        <v>6802</v>
      </c>
      <c r="D34">
        <v>9217</v>
      </c>
      <c r="E34">
        <v>6920</v>
      </c>
      <c r="F34">
        <v>10369</v>
      </c>
      <c r="G34">
        <v>15324</v>
      </c>
      <c r="H34">
        <v>150792</v>
      </c>
      <c r="I34">
        <v>10414</v>
      </c>
      <c r="J34">
        <v>356805</v>
      </c>
      <c r="K34">
        <v>22926</v>
      </c>
      <c r="L34">
        <v>1007747</v>
      </c>
      <c r="M34">
        <v>253</v>
      </c>
      <c r="N34">
        <v>2845</v>
      </c>
      <c r="O34">
        <v>460</v>
      </c>
      <c r="P34">
        <v>4532</v>
      </c>
      <c r="Q34">
        <v>1583</v>
      </c>
      <c r="R34">
        <v>10909</v>
      </c>
      <c r="S34">
        <v>2085</v>
      </c>
      <c r="T34">
        <v>11212</v>
      </c>
      <c r="U34">
        <v>2350</v>
      </c>
      <c r="V34">
        <v>12910</v>
      </c>
    </row>
    <row r="35" spans="1:22" x14ac:dyDescent="0.4">
      <c r="A35" s="1" t="s">
        <v>58</v>
      </c>
      <c r="B35" s="1" t="s">
        <v>59</v>
      </c>
      <c r="C35">
        <v>6901</v>
      </c>
      <c r="D35">
        <v>9774</v>
      </c>
      <c r="E35">
        <v>6556</v>
      </c>
      <c r="F35">
        <v>9615</v>
      </c>
      <c r="G35">
        <v>14377</v>
      </c>
      <c r="H35">
        <v>173503</v>
      </c>
      <c r="I35">
        <v>12092</v>
      </c>
      <c r="J35">
        <v>338679</v>
      </c>
      <c r="K35">
        <v>21469</v>
      </c>
      <c r="L35">
        <v>1067182</v>
      </c>
      <c r="M35">
        <v>240</v>
      </c>
      <c r="N35">
        <v>2931</v>
      </c>
      <c r="O35">
        <v>497</v>
      </c>
      <c r="P35">
        <v>4790</v>
      </c>
      <c r="Q35">
        <v>1455</v>
      </c>
      <c r="R35">
        <v>12020</v>
      </c>
      <c r="S35">
        <v>2116</v>
      </c>
      <c r="T35">
        <v>12563</v>
      </c>
      <c r="U35">
        <v>2595</v>
      </c>
      <c r="V35">
        <v>12264</v>
      </c>
    </row>
    <row r="36" spans="1:22" x14ac:dyDescent="0.4">
      <c r="A36" s="1" t="s">
        <v>60</v>
      </c>
      <c r="B36" s="1" t="s">
        <v>61</v>
      </c>
      <c r="C36">
        <v>7243</v>
      </c>
      <c r="D36">
        <v>10323</v>
      </c>
      <c r="E36">
        <v>5363</v>
      </c>
      <c r="F36">
        <v>9104</v>
      </c>
      <c r="G36">
        <v>16133</v>
      </c>
      <c r="H36">
        <v>156894</v>
      </c>
      <c r="I36">
        <v>10862</v>
      </c>
      <c r="J36">
        <v>273730</v>
      </c>
      <c r="K36">
        <v>18865</v>
      </c>
      <c r="L36">
        <v>1110499</v>
      </c>
      <c r="M36">
        <v>272</v>
      </c>
      <c r="N36">
        <v>2589</v>
      </c>
      <c r="O36">
        <v>446</v>
      </c>
      <c r="P36">
        <v>3576</v>
      </c>
      <c r="Q36">
        <v>1390</v>
      </c>
      <c r="R36">
        <v>11225</v>
      </c>
      <c r="S36">
        <v>2335</v>
      </c>
      <c r="T36">
        <v>11035</v>
      </c>
      <c r="U36">
        <v>2436</v>
      </c>
      <c r="V36">
        <v>12355</v>
      </c>
    </row>
    <row r="37" spans="1:22" x14ac:dyDescent="0.4">
      <c r="A37" s="1" t="s">
        <v>62</v>
      </c>
      <c r="B37" s="1" t="s">
        <v>63</v>
      </c>
      <c r="C37">
        <v>6053</v>
      </c>
      <c r="D37">
        <v>8348</v>
      </c>
      <c r="E37">
        <v>6350</v>
      </c>
      <c r="F37">
        <v>10264</v>
      </c>
      <c r="G37">
        <v>15410</v>
      </c>
      <c r="H37">
        <v>154253</v>
      </c>
      <c r="I37">
        <v>10690</v>
      </c>
      <c r="J37">
        <v>295490</v>
      </c>
      <c r="K37">
        <v>18924</v>
      </c>
      <c r="L37">
        <v>1151821</v>
      </c>
      <c r="M37">
        <v>289</v>
      </c>
      <c r="N37">
        <v>2646</v>
      </c>
      <c r="O37">
        <v>465</v>
      </c>
      <c r="P37">
        <v>3743</v>
      </c>
      <c r="Q37">
        <v>1303</v>
      </c>
      <c r="R37">
        <v>11018</v>
      </c>
      <c r="S37">
        <v>2099</v>
      </c>
      <c r="T37">
        <v>9965</v>
      </c>
      <c r="U37">
        <v>2167</v>
      </c>
      <c r="V37">
        <v>13281</v>
      </c>
    </row>
    <row r="38" spans="1:22" x14ac:dyDescent="0.4">
      <c r="A38" s="1" t="s">
        <v>64</v>
      </c>
      <c r="B38" s="1" t="s">
        <v>65</v>
      </c>
      <c r="C38">
        <v>8018</v>
      </c>
      <c r="D38">
        <v>12378</v>
      </c>
      <c r="E38">
        <v>8943</v>
      </c>
      <c r="F38">
        <v>15985</v>
      </c>
      <c r="G38">
        <v>14608</v>
      </c>
      <c r="H38">
        <v>179382</v>
      </c>
      <c r="I38">
        <v>12055</v>
      </c>
      <c r="J38">
        <v>344501</v>
      </c>
      <c r="K38">
        <v>22735</v>
      </c>
      <c r="L38">
        <v>1193969</v>
      </c>
      <c r="M38">
        <v>245</v>
      </c>
      <c r="N38">
        <v>2824</v>
      </c>
      <c r="O38">
        <v>468</v>
      </c>
      <c r="P38">
        <v>4253</v>
      </c>
      <c r="Q38">
        <v>1175</v>
      </c>
      <c r="R38">
        <v>12522</v>
      </c>
      <c r="S38">
        <v>2394</v>
      </c>
      <c r="T38">
        <v>11371</v>
      </c>
      <c r="U38">
        <v>2358</v>
      </c>
      <c r="V38">
        <v>14298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AF996-D9BF-4A82-922C-E4876A4B9F91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1688</v>
      </c>
      <c r="D3" t="s">
        <v>1688</v>
      </c>
      <c r="E3" t="s">
        <v>1690</v>
      </c>
      <c r="F3" t="s">
        <v>1690</v>
      </c>
      <c r="G3" t="s">
        <v>1692</v>
      </c>
      <c r="H3" t="s">
        <v>1692</v>
      </c>
      <c r="I3" t="s">
        <v>1694</v>
      </c>
      <c r="J3" t="s">
        <v>1694</v>
      </c>
      <c r="K3" t="s">
        <v>1696</v>
      </c>
      <c r="L3" t="s">
        <v>1696</v>
      </c>
      <c r="M3" t="s">
        <v>1698</v>
      </c>
      <c r="N3" t="s">
        <v>1698</v>
      </c>
      <c r="O3" t="s">
        <v>1700</v>
      </c>
      <c r="P3" t="s">
        <v>1700</v>
      </c>
      <c r="Q3" t="s">
        <v>1702</v>
      </c>
      <c r="R3" t="s">
        <v>1702</v>
      </c>
      <c r="S3" t="s">
        <v>1704</v>
      </c>
      <c r="T3" t="s">
        <v>1704</v>
      </c>
    </row>
    <row r="4" spans="1:20" x14ac:dyDescent="0.4">
      <c r="A4" s="1"/>
      <c r="B4" s="2" t="s">
        <v>1</v>
      </c>
      <c r="C4" t="s">
        <v>1689</v>
      </c>
      <c r="D4" t="s">
        <v>1689</v>
      </c>
      <c r="E4" t="s">
        <v>1691</v>
      </c>
      <c r="F4" t="s">
        <v>1691</v>
      </c>
      <c r="G4" t="s">
        <v>1693</v>
      </c>
      <c r="H4" t="s">
        <v>1693</v>
      </c>
      <c r="I4" t="s">
        <v>1695</v>
      </c>
      <c r="J4" t="s">
        <v>1695</v>
      </c>
      <c r="K4" t="s">
        <v>1697</v>
      </c>
      <c r="L4" t="s">
        <v>1697</v>
      </c>
      <c r="M4" t="s">
        <v>1699</v>
      </c>
      <c r="N4" t="s">
        <v>1699</v>
      </c>
      <c r="O4" t="s">
        <v>1701</v>
      </c>
      <c r="P4" t="s">
        <v>1701</v>
      </c>
      <c r="Q4" t="s">
        <v>1703</v>
      </c>
      <c r="R4" t="s">
        <v>1703</v>
      </c>
      <c r="S4" t="s">
        <v>1705</v>
      </c>
      <c r="T4" t="s">
        <v>1705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3721354</v>
      </c>
      <c r="D9">
        <v>11319755</v>
      </c>
      <c r="E9">
        <v>1723184</v>
      </c>
      <c r="F9">
        <v>6114027</v>
      </c>
      <c r="G9">
        <v>72946085</v>
      </c>
      <c r="H9">
        <v>99854936</v>
      </c>
      <c r="I9">
        <v>5198737</v>
      </c>
      <c r="J9">
        <v>13130997</v>
      </c>
      <c r="K9">
        <v>877240</v>
      </c>
      <c r="L9">
        <v>7284956</v>
      </c>
      <c r="M9">
        <v>90701</v>
      </c>
      <c r="N9">
        <v>3291402</v>
      </c>
      <c r="O9">
        <v>26463215</v>
      </c>
      <c r="P9">
        <v>82489751</v>
      </c>
      <c r="Q9">
        <v>13854970</v>
      </c>
      <c r="R9">
        <v>23343517</v>
      </c>
      <c r="S9">
        <v>1291957</v>
      </c>
      <c r="T9">
        <v>21438884</v>
      </c>
    </row>
    <row r="10" spans="1:20" x14ac:dyDescent="0.4">
      <c r="A10" s="1" t="s">
        <v>8</v>
      </c>
      <c r="B10" s="3" t="s">
        <v>9</v>
      </c>
      <c r="C10">
        <v>3237281</v>
      </c>
      <c r="D10">
        <v>10555953</v>
      </c>
      <c r="E10">
        <v>1449514</v>
      </c>
      <c r="F10">
        <v>5188967</v>
      </c>
      <c r="G10">
        <v>64748933</v>
      </c>
      <c r="H10">
        <v>92661445</v>
      </c>
      <c r="I10">
        <v>4994559</v>
      </c>
      <c r="J10">
        <v>13329468</v>
      </c>
      <c r="K10">
        <v>926811</v>
      </c>
      <c r="L10">
        <v>7979534</v>
      </c>
      <c r="M10">
        <v>59318</v>
      </c>
      <c r="N10">
        <v>2327003</v>
      </c>
      <c r="O10">
        <v>23064561</v>
      </c>
      <c r="P10">
        <v>96685310</v>
      </c>
      <c r="Q10">
        <v>14749273</v>
      </c>
      <c r="R10">
        <v>25739470</v>
      </c>
      <c r="S10">
        <v>1386057</v>
      </c>
      <c r="T10">
        <v>22857325</v>
      </c>
    </row>
    <row r="11" spans="1:20" x14ac:dyDescent="0.4">
      <c r="A11" s="1" t="s">
        <v>10</v>
      </c>
      <c r="B11" s="3" t="s">
        <v>11</v>
      </c>
      <c r="C11">
        <v>3204622</v>
      </c>
      <c r="D11">
        <v>11148668</v>
      </c>
      <c r="E11">
        <v>1273289</v>
      </c>
      <c r="F11">
        <v>4973649</v>
      </c>
      <c r="G11">
        <v>63695999</v>
      </c>
      <c r="H11">
        <v>95833441</v>
      </c>
      <c r="I11">
        <v>4284966</v>
      </c>
      <c r="J11">
        <v>12762484</v>
      </c>
      <c r="K11">
        <v>795824</v>
      </c>
      <c r="L11">
        <v>7735771</v>
      </c>
      <c r="M11">
        <v>71271</v>
      </c>
      <c r="N11">
        <v>2192514</v>
      </c>
      <c r="O11">
        <v>21166083</v>
      </c>
      <c r="P11">
        <v>80874276</v>
      </c>
      <c r="Q11">
        <v>14083826</v>
      </c>
      <c r="R11">
        <v>24430648</v>
      </c>
      <c r="S11">
        <v>1123314</v>
      </c>
      <c r="T11">
        <v>21978079</v>
      </c>
    </row>
    <row r="12" spans="1:20" x14ac:dyDescent="0.4">
      <c r="A12" s="1" t="s">
        <v>12</v>
      </c>
      <c r="B12" s="3" t="s">
        <v>13</v>
      </c>
      <c r="C12">
        <v>2859005</v>
      </c>
      <c r="D12">
        <v>11004269</v>
      </c>
      <c r="E12">
        <v>1118110</v>
      </c>
      <c r="F12">
        <v>4793336</v>
      </c>
      <c r="G12">
        <v>56504588</v>
      </c>
      <c r="H12">
        <v>86390770</v>
      </c>
      <c r="I12">
        <v>3502468</v>
      </c>
      <c r="J12">
        <v>11899351</v>
      </c>
      <c r="K12">
        <v>762039</v>
      </c>
      <c r="L12">
        <v>8966978</v>
      </c>
      <c r="M12">
        <v>52371</v>
      </c>
      <c r="N12">
        <v>2149585</v>
      </c>
      <c r="O12">
        <v>20117114</v>
      </c>
      <c r="P12">
        <v>66413875</v>
      </c>
      <c r="Q12">
        <v>17194213</v>
      </c>
      <c r="R12">
        <v>29168567</v>
      </c>
      <c r="S12">
        <v>1186866</v>
      </c>
      <c r="T12">
        <v>20000243</v>
      </c>
    </row>
    <row r="13" spans="1:20" x14ac:dyDescent="0.4">
      <c r="A13" s="1" t="s">
        <v>14</v>
      </c>
      <c r="B13" s="3" t="s">
        <v>15</v>
      </c>
      <c r="C13">
        <v>2876840</v>
      </c>
      <c r="D13">
        <v>11117362</v>
      </c>
      <c r="E13">
        <v>1096757</v>
      </c>
      <c r="F13">
        <v>4851725</v>
      </c>
      <c r="G13">
        <v>55794625</v>
      </c>
      <c r="H13">
        <v>86946184</v>
      </c>
      <c r="I13">
        <v>3495942</v>
      </c>
      <c r="J13">
        <v>12090782</v>
      </c>
      <c r="K13">
        <v>689258</v>
      </c>
      <c r="L13">
        <v>8852885</v>
      </c>
      <c r="M13">
        <v>61705</v>
      </c>
      <c r="N13">
        <v>2503341</v>
      </c>
      <c r="O13">
        <v>19364109</v>
      </c>
      <c r="P13">
        <v>57637614</v>
      </c>
      <c r="Q13">
        <v>15875137</v>
      </c>
      <c r="R13">
        <v>24913734</v>
      </c>
      <c r="S13">
        <v>1173406</v>
      </c>
      <c r="T13">
        <v>20108215</v>
      </c>
    </row>
    <row r="14" spans="1:20" x14ac:dyDescent="0.4">
      <c r="A14" s="1" t="s">
        <v>16</v>
      </c>
      <c r="B14" s="1" t="s">
        <v>17</v>
      </c>
      <c r="C14">
        <v>249809</v>
      </c>
      <c r="D14">
        <v>975917</v>
      </c>
      <c r="E14">
        <v>104521</v>
      </c>
      <c r="F14">
        <v>410460</v>
      </c>
      <c r="G14">
        <v>4824987</v>
      </c>
      <c r="H14">
        <v>7613223</v>
      </c>
      <c r="I14">
        <v>297744</v>
      </c>
      <c r="J14">
        <v>904733</v>
      </c>
      <c r="K14">
        <v>65467</v>
      </c>
      <c r="L14">
        <v>784379</v>
      </c>
      <c r="M14">
        <v>4305</v>
      </c>
      <c r="N14">
        <v>172731</v>
      </c>
      <c r="O14">
        <v>1663265</v>
      </c>
      <c r="P14">
        <v>6056616</v>
      </c>
      <c r="Q14">
        <v>1419293</v>
      </c>
      <c r="R14">
        <v>2281025</v>
      </c>
      <c r="S14">
        <v>95619</v>
      </c>
      <c r="T14">
        <v>1606814</v>
      </c>
    </row>
    <row r="15" spans="1:20" x14ac:dyDescent="0.4">
      <c r="A15" s="1" t="s">
        <v>18</v>
      </c>
      <c r="B15" s="1" t="s">
        <v>19</v>
      </c>
      <c r="C15">
        <v>239430</v>
      </c>
      <c r="D15">
        <v>983366</v>
      </c>
      <c r="E15">
        <v>93805</v>
      </c>
      <c r="F15">
        <v>376143</v>
      </c>
      <c r="G15">
        <v>4620031</v>
      </c>
      <c r="H15">
        <v>7031137</v>
      </c>
      <c r="I15">
        <v>307116</v>
      </c>
      <c r="J15">
        <v>977596</v>
      </c>
      <c r="K15">
        <v>63821</v>
      </c>
      <c r="L15">
        <v>746009</v>
      </c>
      <c r="M15">
        <v>3381</v>
      </c>
      <c r="N15">
        <v>198659</v>
      </c>
      <c r="O15">
        <v>1650353</v>
      </c>
      <c r="P15">
        <v>5725218</v>
      </c>
      <c r="Q15">
        <v>1384824</v>
      </c>
      <c r="R15">
        <v>2428913</v>
      </c>
      <c r="S15">
        <v>101356</v>
      </c>
      <c r="T15">
        <v>1669615</v>
      </c>
    </row>
    <row r="16" spans="1:20" x14ac:dyDescent="0.4">
      <c r="A16" s="1" t="s">
        <v>20</v>
      </c>
      <c r="B16" s="1" t="s">
        <v>21</v>
      </c>
      <c r="C16">
        <v>232971</v>
      </c>
      <c r="D16">
        <v>952672</v>
      </c>
      <c r="E16">
        <v>82920</v>
      </c>
      <c r="F16">
        <v>372716</v>
      </c>
      <c r="G16">
        <v>4554577</v>
      </c>
      <c r="H16">
        <v>6897788</v>
      </c>
      <c r="I16">
        <v>295342</v>
      </c>
      <c r="J16">
        <v>1047626</v>
      </c>
      <c r="K16">
        <v>65877</v>
      </c>
      <c r="L16">
        <v>767504</v>
      </c>
      <c r="M16">
        <v>3415</v>
      </c>
      <c r="N16">
        <v>194822</v>
      </c>
      <c r="O16">
        <v>1595850</v>
      </c>
      <c r="P16">
        <v>5324037</v>
      </c>
      <c r="Q16">
        <v>1435565</v>
      </c>
      <c r="R16">
        <v>2429837</v>
      </c>
      <c r="S16">
        <v>107711</v>
      </c>
      <c r="T16">
        <v>1669087</v>
      </c>
    </row>
    <row r="17" spans="1:20" x14ac:dyDescent="0.4">
      <c r="A17" s="1" t="s">
        <v>22</v>
      </c>
      <c r="B17" s="1" t="s">
        <v>23</v>
      </c>
      <c r="C17">
        <v>244664</v>
      </c>
      <c r="D17">
        <v>883623</v>
      </c>
      <c r="E17">
        <v>101558</v>
      </c>
      <c r="F17">
        <v>443012</v>
      </c>
      <c r="G17">
        <v>4888837</v>
      </c>
      <c r="H17">
        <v>7279043</v>
      </c>
      <c r="I17">
        <v>303905</v>
      </c>
      <c r="J17">
        <v>967609</v>
      </c>
      <c r="K17">
        <v>63933</v>
      </c>
      <c r="L17">
        <v>738095</v>
      </c>
      <c r="M17">
        <v>3478</v>
      </c>
      <c r="N17">
        <v>184901</v>
      </c>
      <c r="O17">
        <v>1733476</v>
      </c>
      <c r="P17">
        <v>5558004</v>
      </c>
      <c r="Q17">
        <v>1468488</v>
      </c>
      <c r="R17">
        <v>2526661</v>
      </c>
      <c r="S17">
        <v>100677</v>
      </c>
      <c r="T17">
        <v>1716998</v>
      </c>
    </row>
    <row r="18" spans="1:20" x14ac:dyDescent="0.4">
      <c r="A18" s="1" t="s">
        <v>24</v>
      </c>
      <c r="B18" s="1" t="s">
        <v>25</v>
      </c>
      <c r="C18">
        <v>270745</v>
      </c>
      <c r="D18">
        <v>1040674</v>
      </c>
      <c r="E18">
        <v>102098</v>
      </c>
      <c r="F18">
        <v>482068</v>
      </c>
      <c r="G18">
        <v>5354789</v>
      </c>
      <c r="H18">
        <v>7978212</v>
      </c>
      <c r="I18">
        <v>302719</v>
      </c>
      <c r="J18">
        <v>1041005</v>
      </c>
      <c r="K18">
        <v>68618</v>
      </c>
      <c r="L18">
        <v>792955</v>
      </c>
      <c r="M18">
        <v>5049</v>
      </c>
      <c r="N18">
        <v>151851</v>
      </c>
      <c r="O18">
        <v>1913366</v>
      </c>
      <c r="P18">
        <v>5801335</v>
      </c>
      <c r="Q18">
        <v>1543718</v>
      </c>
      <c r="R18">
        <v>2644977</v>
      </c>
      <c r="S18">
        <v>112757</v>
      </c>
      <c r="T18">
        <v>1929558</v>
      </c>
    </row>
    <row r="19" spans="1:20" x14ac:dyDescent="0.4">
      <c r="A19" s="1" t="s">
        <v>26</v>
      </c>
      <c r="B19" s="1" t="s">
        <v>27</v>
      </c>
      <c r="C19">
        <v>213245</v>
      </c>
      <c r="D19">
        <v>834716</v>
      </c>
      <c r="E19">
        <v>85663</v>
      </c>
      <c r="F19">
        <v>361185</v>
      </c>
      <c r="G19">
        <v>3912405</v>
      </c>
      <c r="H19">
        <v>5962094</v>
      </c>
      <c r="I19">
        <v>248268</v>
      </c>
      <c r="J19">
        <v>914462</v>
      </c>
      <c r="K19">
        <v>58152</v>
      </c>
      <c r="L19">
        <v>651559</v>
      </c>
      <c r="M19">
        <v>4158</v>
      </c>
      <c r="N19">
        <v>137477</v>
      </c>
      <c r="O19">
        <v>1446390</v>
      </c>
      <c r="P19">
        <v>4799627</v>
      </c>
      <c r="Q19">
        <v>1427665</v>
      </c>
      <c r="R19">
        <v>2396450</v>
      </c>
      <c r="S19">
        <v>84514</v>
      </c>
      <c r="T19">
        <v>1579964</v>
      </c>
    </row>
    <row r="20" spans="1:20" x14ac:dyDescent="0.4">
      <c r="A20" s="1" t="s">
        <v>28</v>
      </c>
      <c r="B20" s="1" t="s">
        <v>29</v>
      </c>
      <c r="C20">
        <v>239708</v>
      </c>
      <c r="D20">
        <v>921657</v>
      </c>
      <c r="E20">
        <v>95390</v>
      </c>
      <c r="F20">
        <v>375604</v>
      </c>
      <c r="G20">
        <v>4742020</v>
      </c>
      <c r="H20">
        <v>7472864</v>
      </c>
      <c r="I20">
        <v>279505</v>
      </c>
      <c r="J20">
        <v>1114789</v>
      </c>
      <c r="K20">
        <v>60515</v>
      </c>
      <c r="L20">
        <v>736511</v>
      </c>
      <c r="M20">
        <v>4742</v>
      </c>
      <c r="N20">
        <v>182331</v>
      </c>
      <c r="O20">
        <v>1827542</v>
      </c>
      <c r="P20">
        <v>5574879</v>
      </c>
      <c r="Q20">
        <v>1501894</v>
      </c>
      <c r="R20">
        <v>2524567</v>
      </c>
      <c r="S20">
        <v>101971</v>
      </c>
      <c r="T20">
        <v>1847828</v>
      </c>
    </row>
    <row r="21" spans="1:20" x14ac:dyDescent="0.4">
      <c r="A21" s="1" t="s">
        <v>30</v>
      </c>
      <c r="B21" s="1" t="s">
        <v>31</v>
      </c>
      <c r="C21">
        <v>255469</v>
      </c>
      <c r="D21">
        <v>933123</v>
      </c>
      <c r="E21">
        <v>89705</v>
      </c>
      <c r="F21">
        <v>410577</v>
      </c>
      <c r="G21">
        <v>5058674</v>
      </c>
      <c r="H21">
        <v>7712659</v>
      </c>
      <c r="I21">
        <v>306778</v>
      </c>
      <c r="J21">
        <v>1069808</v>
      </c>
      <c r="K21">
        <v>74813</v>
      </c>
      <c r="L21">
        <v>820866</v>
      </c>
      <c r="M21">
        <v>5329</v>
      </c>
      <c r="N21">
        <v>202314</v>
      </c>
      <c r="O21">
        <v>1825777</v>
      </c>
      <c r="P21">
        <v>5875490</v>
      </c>
      <c r="Q21">
        <v>1486512</v>
      </c>
      <c r="R21">
        <v>2574059</v>
      </c>
      <c r="S21">
        <v>117443</v>
      </c>
      <c r="T21">
        <v>1820929</v>
      </c>
    </row>
    <row r="22" spans="1:20" x14ac:dyDescent="0.4">
      <c r="A22" s="1" t="s">
        <v>32</v>
      </c>
      <c r="B22" s="1" t="s">
        <v>33</v>
      </c>
      <c r="C22">
        <v>236130</v>
      </c>
      <c r="D22">
        <v>904827</v>
      </c>
      <c r="E22">
        <v>93209</v>
      </c>
      <c r="F22">
        <v>447416</v>
      </c>
      <c r="G22">
        <v>4703591</v>
      </c>
      <c r="H22">
        <v>7417472</v>
      </c>
      <c r="I22">
        <v>300199</v>
      </c>
      <c r="J22">
        <v>1083108</v>
      </c>
      <c r="K22">
        <v>63367</v>
      </c>
      <c r="L22">
        <v>773712</v>
      </c>
      <c r="M22">
        <v>5136</v>
      </c>
      <c r="N22">
        <v>188123</v>
      </c>
      <c r="O22">
        <v>1714388</v>
      </c>
      <c r="P22">
        <v>5691310</v>
      </c>
      <c r="Q22">
        <v>1425117</v>
      </c>
      <c r="R22">
        <v>2434313</v>
      </c>
      <c r="S22">
        <v>91523</v>
      </c>
      <c r="T22">
        <v>1660810</v>
      </c>
    </row>
    <row r="23" spans="1:20" x14ac:dyDescent="0.4">
      <c r="A23" s="1" t="s">
        <v>34</v>
      </c>
      <c r="B23" s="1" t="s">
        <v>35</v>
      </c>
      <c r="C23">
        <v>214938</v>
      </c>
      <c r="D23">
        <v>799029</v>
      </c>
      <c r="E23">
        <v>77146</v>
      </c>
      <c r="F23">
        <v>325715</v>
      </c>
      <c r="G23">
        <v>4487317</v>
      </c>
      <c r="H23">
        <v>7028173</v>
      </c>
      <c r="I23">
        <v>305481</v>
      </c>
      <c r="J23">
        <v>1053283</v>
      </c>
      <c r="K23">
        <v>55258</v>
      </c>
      <c r="L23">
        <v>686674</v>
      </c>
      <c r="M23">
        <v>3769</v>
      </c>
      <c r="N23">
        <v>196852</v>
      </c>
      <c r="O23">
        <v>1612917</v>
      </c>
      <c r="P23">
        <v>4470625</v>
      </c>
      <c r="Q23">
        <v>1392070</v>
      </c>
      <c r="R23">
        <v>2359176</v>
      </c>
      <c r="S23">
        <v>89187</v>
      </c>
      <c r="T23">
        <v>1376355</v>
      </c>
    </row>
    <row r="24" spans="1:20" x14ac:dyDescent="0.4">
      <c r="A24" s="1" t="s">
        <v>36</v>
      </c>
      <c r="B24" s="1" t="s">
        <v>37</v>
      </c>
      <c r="C24">
        <v>228333</v>
      </c>
      <c r="D24">
        <v>848558</v>
      </c>
      <c r="E24">
        <v>80337</v>
      </c>
      <c r="F24">
        <v>298044</v>
      </c>
      <c r="G24">
        <v>4602064</v>
      </c>
      <c r="H24">
        <v>7121737</v>
      </c>
      <c r="I24">
        <v>251453</v>
      </c>
      <c r="J24">
        <v>890472</v>
      </c>
      <c r="K24">
        <v>62610</v>
      </c>
      <c r="L24">
        <v>737134</v>
      </c>
      <c r="M24">
        <v>5943</v>
      </c>
      <c r="N24">
        <v>174665</v>
      </c>
      <c r="O24">
        <v>1537031</v>
      </c>
      <c r="P24">
        <v>4291300</v>
      </c>
      <c r="Q24">
        <v>1265996</v>
      </c>
      <c r="R24">
        <v>2158599</v>
      </c>
      <c r="S24">
        <v>91719</v>
      </c>
      <c r="T24">
        <v>1498350</v>
      </c>
    </row>
    <row r="25" spans="1:20" x14ac:dyDescent="0.4">
      <c r="A25" s="1" t="s">
        <v>38</v>
      </c>
      <c r="B25" s="1" t="s">
        <v>39</v>
      </c>
      <c r="C25">
        <v>221167</v>
      </c>
      <c r="D25">
        <v>835886</v>
      </c>
      <c r="E25">
        <v>84155</v>
      </c>
      <c r="F25">
        <v>366092</v>
      </c>
      <c r="G25">
        <v>4653696</v>
      </c>
      <c r="H25">
        <v>7167898</v>
      </c>
      <c r="I25">
        <v>267389</v>
      </c>
      <c r="J25">
        <v>938559</v>
      </c>
      <c r="K25">
        <v>62778</v>
      </c>
      <c r="L25">
        <v>760228</v>
      </c>
      <c r="M25">
        <v>5161</v>
      </c>
      <c r="N25">
        <v>160076</v>
      </c>
      <c r="O25">
        <v>1543889</v>
      </c>
      <c r="P25">
        <v>4635964</v>
      </c>
      <c r="Q25">
        <v>1315787</v>
      </c>
      <c r="R25">
        <v>2130264</v>
      </c>
      <c r="S25">
        <v>100247</v>
      </c>
      <c r="T25">
        <v>1731826</v>
      </c>
    </row>
    <row r="26" spans="1:20" x14ac:dyDescent="0.4">
      <c r="A26" s="1" t="s">
        <v>40</v>
      </c>
      <c r="B26" s="1" t="s">
        <v>41</v>
      </c>
      <c r="C26">
        <v>226947</v>
      </c>
      <c r="D26">
        <v>878615</v>
      </c>
      <c r="E26">
        <v>88390</v>
      </c>
      <c r="F26">
        <v>401460</v>
      </c>
      <c r="G26">
        <v>4866606</v>
      </c>
      <c r="H26">
        <v>7722685</v>
      </c>
      <c r="I26">
        <v>300631</v>
      </c>
      <c r="J26">
        <v>1001931</v>
      </c>
      <c r="K26">
        <v>61056</v>
      </c>
      <c r="L26">
        <v>781353</v>
      </c>
      <c r="M26">
        <v>6622</v>
      </c>
      <c r="N26">
        <v>207847</v>
      </c>
      <c r="O26">
        <v>1615550</v>
      </c>
      <c r="P26">
        <v>4727729</v>
      </c>
      <c r="Q26">
        <v>1353819</v>
      </c>
      <c r="R26">
        <v>2177633</v>
      </c>
      <c r="S26">
        <v>105900</v>
      </c>
      <c r="T26">
        <v>1706042</v>
      </c>
    </row>
    <row r="27" spans="1:20" x14ac:dyDescent="0.4">
      <c r="A27" s="1" t="s">
        <v>42</v>
      </c>
      <c r="B27" s="1" t="s">
        <v>43</v>
      </c>
      <c r="C27">
        <v>220997</v>
      </c>
      <c r="D27">
        <v>863711</v>
      </c>
      <c r="E27">
        <v>93231</v>
      </c>
      <c r="F27">
        <v>415043</v>
      </c>
      <c r="G27">
        <v>4478872</v>
      </c>
      <c r="H27">
        <v>6867705</v>
      </c>
      <c r="I27">
        <v>288901</v>
      </c>
      <c r="J27">
        <v>1032577</v>
      </c>
      <c r="K27">
        <v>62847</v>
      </c>
      <c r="L27">
        <v>734107</v>
      </c>
      <c r="M27">
        <v>5649</v>
      </c>
      <c r="N27">
        <v>255119</v>
      </c>
      <c r="O27">
        <v>1631026</v>
      </c>
      <c r="P27">
        <v>4914193</v>
      </c>
      <c r="Q27">
        <v>1295369</v>
      </c>
      <c r="R27">
        <v>2109173</v>
      </c>
      <c r="S27">
        <v>105036</v>
      </c>
      <c r="T27">
        <v>1635433</v>
      </c>
    </row>
    <row r="28" spans="1:20" x14ac:dyDescent="0.4">
      <c r="A28" s="1" t="s">
        <v>44</v>
      </c>
      <c r="B28" s="1" t="s">
        <v>45</v>
      </c>
      <c r="C28">
        <v>234648</v>
      </c>
      <c r="D28">
        <v>811163</v>
      </c>
      <c r="E28">
        <v>93811</v>
      </c>
      <c r="F28">
        <v>371408</v>
      </c>
      <c r="G28">
        <v>4412186</v>
      </c>
      <c r="H28">
        <v>6821624</v>
      </c>
      <c r="I28">
        <v>283520</v>
      </c>
      <c r="J28">
        <v>1000998</v>
      </c>
      <c r="K28">
        <v>55401</v>
      </c>
      <c r="L28">
        <v>749161</v>
      </c>
      <c r="M28">
        <v>3438</v>
      </c>
      <c r="N28">
        <v>224798</v>
      </c>
      <c r="O28">
        <v>1519544</v>
      </c>
      <c r="P28">
        <v>4417187</v>
      </c>
      <c r="Q28">
        <v>1323835</v>
      </c>
      <c r="R28">
        <v>1993355</v>
      </c>
      <c r="S28">
        <v>90720</v>
      </c>
      <c r="T28">
        <v>1533421</v>
      </c>
    </row>
    <row r="29" spans="1:20" x14ac:dyDescent="0.4">
      <c r="A29" s="1" t="s">
        <v>46</v>
      </c>
      <c r="B29" s="1" t="s">
        <v>47</v>
      </c>
      <c r="C29">
        <v>250422</v>
      </c>
      <c r="D29">
        <v>942326</v>
      </c>
      <c r="E29">
        <v>98842</v>
      </c>
      <c r="F29">
        <v>431491</v>
      </c>
      <c r="G29">
        <v>4812558</v>
      </c>
      <c r="H29">
        <v>7450464</v>
      </c>
      <c r="I29">
        <v>285434</v>
      </c>
      <c r="J29">
        <v>988363</v>
      </c>
      <c r="K29">
        <v>56446</v>
      </c>
      <c r="L29">
        <v>775375</v>
      </c>
      <c r="M29">
        <v>4391</v>
      </c>
      <c r="N29">
        <v>207302</v>
      </c>
      <c r="O29">
        <v>1646925</v>
      </c>
      <c r="P29">
        <v>4663740</v>
      </c>
      <c r="Q29">
        <v>1316294</v>
      </c>
      <c r="R29">
        <v>2036255</v>
      </c>
      <c r="S29">
        <v>98747</v>
      </c>
      <c r="T29">
        <v>1702638</v>
      </c>
    </row>
    <row r="30" spans="1:20" x14ac:dyDescent="0.4">
      <c r="A30" s="1" t="s">
        <v>48</v>
      </c>
      <c r="B30" s="1" t="s">
        <v>49</v>
      </c>
      <c r="C30">
        <v>283335</v>
      </c>
      <c r="D30">
        <v>1074277</v>
      </c>
      <c r="E30">
        <v>105289</v>
      </c>
      <c r="F30">
        <v>490742</v>
      </c>
      <c r="G30">
        <v>5315677</v>
      </c>
      <c r="H30">
        <v>8185701</v>
      </c>
      <c r="I30">
        <v>325718</v>
      </c>
      <c r="J30">
        <v>1076096</v>
      </c>
      <c r="K30">
        <v>58301</v>
      </c>
      <c r="L30">
        <v>806093</v>
      </c>
      <c r="M30">
        <v>4833</v>
      </c>
      <c r="N30">
        <v>240758</v>
      </c>
      <c r="O30">
        <v>1830362</v>
      </c>
      <c r="P30">
        <v>5072527</v>
      </c>
      <c r="Q30">
        <v>1353702</v>
      </c>
      <c r="R30">
        <v>2139875</v>
      </c>
      <c r="S30">
        <v>100103</v>
      </c>
      <c r="T30">
        <v>1846634</v>
      </c>
    </row>
    <row r="31" spans="1:20" x14ac:dyDescent="0.4">
      <c r="A31" s="1" t="s">
        <v>50</v>
      </c>
      <c r="B31" s="1" t="s">
        <v>51</v>
      </c>
      <c r="C31">
        <v>202304</v>
      </c>
      <c r="D31">
        <v>819732</v>
      </c>
      <c r="E31">
        <v>86856</v>
      </c>
      <c r="F31">
        <v>413406</v>
      </c>
      <c r="G31">
        <v>3712927</v>
      </c>
      <c r="H31">
        <v>5840079</v>
      </c>
      <c r="I31">
        <v>238896</v>
      </c>
      <c r="J31">
        <v>916104</v>
      </c>
      <c r="K31">
        <v>42911</v>
      </c>
      <c r="L31">
        <v>604572</v>
      </c>
      <c r="M31">
        <v>4603</v>
      </c>
      <c r="N31">
        <v>202312</v>
      </c>
      <c r="O31">
        <v>1322218</v>
      </c>
      <c r="P31">
        <v>4006112</v>
      </c>
      <c r="Q31">
        <v>1250224</v>
      </c>
      <c r="R31">
        <v>1849076</v>
      </c>
      <c r="S31">
        <v>80449</v>
      </c>
      <c r="T31">
        <v>1536373</v>
      </c>
    </row>
    <row r="32" spans="1:20" x14ac:dyDescent="0.4">
      <c r="A32" s="1" t="s">
        <v>52</v>
      </c>
      <c r="B32" s="1" t="s">
        <v>53</v>
      </c>
      <c r="C32">
        <v>274766</v>
      </c>
      <c r="D32">
        <v>1108194</v>
      </c>
      <c r="E32">
        <v>96908</v>
      </c>
      <c r="F32">
        <v>443215</v>
      </c>
      <c r="G32">
        <v>4976618</v>
      </c>
      <c r="H32">
        <v>7795628</v>
      </c>
      <c r="I32">
        <v>310521</v>
      </c>
      <c r="J32">
        <v>1080468</v>
      </c>
      <c r="K32">
        <v>59737</v>
      </c>
      <c r="L32">
        <v>738760</v>
      </c>
      <c r="M32">
        <v>4851</v>
      </c>
      <c r="N32">
        <v>202743</v>
      </c>
      <c r="O32">
        <v>1780159</v>
      </c>
      <c r="P32">
        <v>5147542</v>
      </c>
      <c r="Q32">
        <v>1336230</v>
      </c>
      <c r="R32">
        <v>2064411</v>
      </c>
      <c r="S32">
        <v>100248</v>
      </c>
      <c r="T32">
        <v>1855623</v>
      </c>
    </row>
    <row r="33" spans="1:20" x14ac:dyDescent="0.4">
      <c r="A33" s="1" t="s">
        <v>54</v>
      </c>
      <c r="B33" s="1" t="s">
        <v>55</v>
      </c>
      <c r="C33">
        <v>255671</v>
      </c>
      <c r="D33">
        <v>1002385</v>
      </c>
      <c r="E33">
        <v>101868</v>
      </c>
      <c r="F33">
        <v>446457</v>
      </c>
      <c r="G33">
        <v>5165101</v>
      </c>
      <c r="H33">
        <v>8016167</v>
      </c>
      <c r="I33">
        <v>324815</v>
      </c>
      <c r="J33">
        <v>1059172</v>
      </c>
      <c r="K33">
        <v>56354</v>
      </c>
      <c r="L33">
        <v>762806</v>
      </c>
      <c r="M33">
        <v>6508</v>
      </c>
      <c r="N33">
        <v>213054</v>
      </c>
      <c r="O33">
        <v>1758268</v>
      </c>
      <c r="P33">
        <v>5721826</v>
      </c>
      <c r="Q33">
        <v>1373722</v>
      </c>
      <c r="R33">
        <v>2105520</v>
      </c>
      <c r="S33">
        <v>107278</v>
      </c>
      <c r="T33">
        <v>1795578</v>
      </c>
    </row>
    <row r="34" spans="1:20" x14ac:dyDescent="0.4">
      <c r="A34" s="1" t="s">
        <v>56</v>
      </c>
      <c r="B34" s="1" t="s">
        <v>57</v>
      </c>
      <c r="C34">
        <v>234537</v>
      </c>
      <c r="D34">
        <v>943253</v>
      </c>
      <c r="E34">
        <v>88854</v>
      </c>
      <c r="F34">
        <v>404814</v>
      </c>
      <c r="G34">
        <v>4363084</v>
      </c>
      <c r="H34">
        <v>6920542</v>
      </c>
      <c r="I34">
        <v>299798</v>
      </c>
      <c r="J34">
        <v>1035094</v>
      </c>
      <c r="K34">
        <v>50176</v>
      </c>
      <c r="L34">
        <v>667329</v>
      </c>
      <c r="M34">
        <v>5206</v>
      </c>
      <c r="N34">
        <v>208036</v>
      </c>
      <c r="O34">
        <v>1558384</v>
      </c>
      <c r="P34">
        <v>4846101</v>
      </c>
      <c r="Q34">
        <v>1322912</v>
      </c>
      <c r="R34">
        <v>2065349</v>
      </c>
      <c r="S34">
        <v>96606</v>
      </c>
      <c r="T34">
        <v>1686822</v>
      </c>
    </row>
    <row r="35" spans="1:20" x14ac:dyDescent="0.4">
      <c r="A35" s="1" t="s">
        <v>58</v>
      </c>
      <c r="B35" s="1" t="s">
        <v>59</v>
      </c>
      <c r="C35">
        <v>243713</v>
      </c>
      <c r="D35">
        <v>989262</v>
      </c>
      <c r="E35">
        <v>78216</v>
      </c>
      <c r="F35">
        <v>369553</v>
      </c>
      <c r="G35">
        <v>4435236</v>
      </c>
      <c r="H35">
        <v>7035954</v>
      </c>
      <c r="I35">
        <v>318866</v>
      </c>
      <c r="J35">
        <v>1070948</v>
      </c>
      <c r="K35">
        <v>60641</v>
      </c>
      <c r="L35">
        <v>735967</v>
      </c>
      <c r="M35">
        <v>4500</v>
      </c>
      <c r="N35">
        <v>206631</v>
      </c>
      <c r="O35">
        <v>1620753</v>
      </c>
      <c r="P35">
        <v>5193393</v>
      </c>
      <c r="Q35">
        <v>1367247</v>
      </c>
      <c r="R35">
        <v>2084224</v>
      </c>
      <c r="S35">
        <v>96353</v>
      </c>
      <c r="T35">
        <v>1579475</v>
      </c>
    </row>
    <row r="36" spans="1:20" x14ac:dyDescent="0.4">
      <c r="A36" s="1" t="s">
        <v>60</v>
      </c>
      <c r="B36" s="1" t="s">
        <v>61</v>
      </c>
      <c r="C36">
        <v>215218</v>
      </c>
      <c r="D36">
        <v>872689</v>
      </c>
      <c r="E36">
        <v>84155</v>
      </c>
      <c r="F36">
        <v>415588</v>
      </c>
      <c r="G36">
        <v>4285733</v>
      </c>
      <c r="H36">
        <v>6857292</v>
      </c>
      <c r="I36">
        <v>295555</v>
      </c>
      <c r="J36">
        <v>1010775</v>
      </c>
      <c r="K36">
        <v>61824</v>
      </c>
      <c r="L36">
        <v>739773</v>
      </c>
      <c r="M36">
        <v>4796</v>
      </c>
      <c r="N36">
        <v>222594</v>
      </c>
      <c r="O36">
        <v>1456784</v>
      </c>
      <c r="P36">
        <v>5066124</v>
      </c>
      <c r="Q36">
        <v>1329623</v>
      </c>
      <c r="R36">
        <v>2062801</v>
      </c>
      <c r="S36">
        <v>99014</v>
      </c>
      <c r="T36">
        <v>1719108</v>
      </c>
    </row>
    <row r="37" spans="1:20" x14ac:dyDescent="0.4">
      <c r="A37" s="1" t="s">
        <v>62</v>
      </c>
      <c r="B37" s="1" t="s">
        <v>63</v>
      </c>
      <c r="C37">
        <v>231181</v>
      </c>
      <c r="D37">
        <v>929298</v>
      </c>
      <c r="E37">
        <v>97251</v>
      </c>
      <c r="F37">
        <v>410829</v>
      </c>
      <c r="G37">
        <v>4470003</v>
      </c>
      <c r="H37">
        <v>7141919</v>
      </c>
      <c r="I37">
        <v>334255</v>
      </c>
      <c r="J37">
        <v>1191407</v>
      </c>
      <c r="K37">
        <v>53904</v>
      </c>
      <c r="L37">
        <v>705804</v>
      </c>
      <c r="M37">
        <v>4753</v>
      </c>
      <c r="N37">
        <v>207243</v>
      </c>
      <c r="O37">
        <v>1443303</v>
      </c>
      <c r="P37">
        <v>5340143</v>
      </c>
      <c r="Q37">
        <v>1407186</v>
      </c>
      <c r="R37">
        <v>2025384</v>
      </c>
      <c r="S37">
        <v>103463</v>
      </c>
      <c r="T37">
        <v>1721274</v>
      </c>
    </row>
    <row r="38" spans="1:20" x14ac:dyDescent="0.4">
      <c r="A38" s="1" t="s">
        <v>64</v>
      </c>
      <c r="B38" s="1" t="s">
        <v>65</v>
      </c>
      <c r="C38">
        <v>245094</v>
      </c>
      <c r="D38">
        <v>986613</v>
      </c>
      <c r="E38">
        <v>98403</v>
      </c>
      <c r="F38">
        <v>420691</v>
      </c>
      <c r="G38">
        <v>4899722</v>
      </c>
      <c r="H38">
        <v>8043716</v>
      </c>
      <c r="I38">
        <v>338735</v>
      </c>
      <c r="J38">
        <v>1218610</v>
      </c>
      <c r="K38">
        <v>67442</v>
      </c>
      <c r="L38">
        <v>858758</v>
      </c>
      <c r="M38">
        <v>6145</v>
      </c>
      <c r="N38">
        <v>246452</v>
      </c>
      <c r="O38">
        <v>1717813</v>
      </c>
      <c r="P38">
        <v>6259677</v>
      </c>
      <c r="Q38">
        <v>1443331</v>
      </c>
      <c r="R38">
        <v>2132999</v>
      </c>
      <c r="S38">
        <v>109821</v>
      </c>
      <c r="T38">
        <v>2116567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9F9C6-3CF0-49FE-AC79-DFC25A7EBC55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1706</v>
      </c>
      <c r="D3" t="s">
        <v>1706</v>
      </c>
      <c r="E3" t="s">
        <v>1708</v>
      </c>
      <c r="F3" t="s">
        <v>1708</v>
      </c>
      <c r="G3" t="s">
        <v>1710</v>
      </c>
      <c r="H3" t="s">
        <v>1710</v>
      </c>
      <c r="I3" t="s">
        <v>1712</v>
      </c>
      <c r="J3" t="s">
        <v>1712</v>
      </c>
      <c r="K3" t="s">
        <v>1714</v>
      </c>
      <c r="L3" t="s">
        <v>1714</v>
      </c>
      <c r="M3" t="s">
        <v>1716</v>
      </c>
      <c r="N3" t="s">
        <v>1716</v>
      </c>
      <c r="O3" t="s">
        <v>1718</v>
      </c>
      <c r="P3" t="s">
        <v>1718</v>
      </c>
      <c r="Q3" t="s">
        <v>1720</v>
      </c>
      <c r="R3" t="s">
        <v>1720</v>
      </c>
      <c r="S3" t="s">
        <v>1722</v>
      </c>
      <c r="T3" t="s">
        <v>1722</v>
      </c>
      <c r="U3" t="s">
        <v>1724</v>
      </c>
      <c r="V3" t="s">
        <v>1724</v>
      </c>
      <c r="W3" t="s">
        <v>1726</v>
      </c>
      <c r="X3" t="s">
        <v>1726</v>
      </c>
      <c r="Y3" t="s">
        <v>1728</v>
      </c>
      <c r="Z3" t="s">
        <v>1728</v>
      </c>
      <c r="AA3" t="s">
        <v>1730</v>
      </c>
      <c r="AB3" t="s">
        <v>1730</v>
      </c>
      <c r="AC3" t="s">
        <v>1732</v>
      </c>
      <c r="AD3" t="s">
        <v>1732</v>
      </c>
      <c r="AE3" t="s">
        <v>1734</v>
      </c>
      <c r="AF3" t="s">
        <v>1734</v>
      </c>
    </row>
    <row r="4" spans="1:32" x14ac:dyDescent="0.4">
      <c r="A4" s="1"/>
      <c r="B4" s="2" t="s">
        <v>1</v>
      </c>
      <c r="C4" t="s">
        <v>1707</v>
      </c>
      <c r="D4" t="s">
        <v>1707</v>
      </c>
      <c r="E4" t="s">
        <v>1709</v>
      </c>
      <c r="F4" t="s">
        <v>1709</v>
      </c>
      <c r="G4" t="s">
        <v>1711</v>
      </c>
      <c r="H4" t="s">
        <v>1711</v>
      </c>
      <c r="I4" t="s">
        <v>1713</v>
      </c>
      <c r="J4" t="s">
        <v>1713</v>
      </c>
      <c r="K4" t="s">
        <v>1715</v>
      </c>
      <c r="L4" t="s">
        <v>1715</v>
      </c>
      <c r="M4" t="s">
        <v>1717</v>
      </c>
      <c r="N4" t="s">
        <v>1717</v>
      </c>
      <c r="O4" t="s">
        <v>1719</v>
      </c>
      <c r="P4" t="s">
        <v>1719</v>
      </c>
      <c r="Q4" t="s">
        <v>1721</v>
      </c>
      <c r="R4" t="s">
        <v>1721</v>
      </c>
      <c r="S4" t="s">
        <v>1723</v>
      </c>
      <c r="T4" t="s">
        <v>1723</v>
      </c>
      <c r="U4" t="s">
        <v>1725</v>
      </c>
      <c r="V4" t="s">
        <v>1725</v>
      </c>
      <c r="W4" t="s">
        <v>1727</v>
      </c>
      <c r="X4" t="s">
        <v>1727</v>
      </c>
      <c r="Y4" t="s">
        <v>1729</v>
      </c>
      <c r="Z4" t="s">
        <v>1729</v>
      </c>
      <c r="AA4" t="s">
        <v>1731</v>
      </c>
      <c r="AB4" t="s">
        <v>1731</v>
      </c>
      <c r="AC4" t="s">
        <v>1733</v>
      </c>
      <c r="AD4" t="s">
        <v>1733</v>
      </c>
      <c r="AE4" t="s">
        <v>1735</v>
      </c>
      <c r="AF4" t="s">
        <v>1735</v>
      </c>
    </row>
    <row r="5" spans="1:32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338</v>
      </c>
      <c r="AD5" t="s">
        <v>257</v>
      </c>
      <c r="AE5" t="s">
        <v>338</v>
      </c>
      <c r="AF5" t="s">
        <v>257</v>
      </c>
    </row>
    <row r="6" spans="1:32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340</v>
      </c>
      <c r="AD6" t="s">
        <v>259</v>
      </c>
      <c r="AE6" t="s">
        <v>340</v>
      </c>
      <c r="AF6" t="s">
        <v>259</v>
      </c>
    </row>
    <row r="7" spans="1:32" x14ac:dyDescent="0.4">
      <c r="A7" s="1"/>
      <c r="B7" s="2" t="s">
        <v>4</v>
      </c>
      <c r="C7" t="s">
        <v>70</v>
      </c>
      <c r="D7" t="s">
        <v>341</v>
      </c>
      <c r="E7" t="s">
        <v>70</v>
      </c>
      <c r="F7" t="s">
        <v>341</v>
      </c>
      <c r="G7" t="s">
        <v>70</v>
      </c>
      <c r="H7" t="s">
        <v>341</v>
      </c>
      <c r="I7" t="s">
        <v>70</v>
      </c>
      <c r="J7" t="s">
        <v>341</v>
      </c>
      <c r="K7" t="s">
        <v>70</v>
      </c>
      <c r="L7" t="s">
        <v>341</v>
      </c>
      <c r="M7" t="s">
        <v>70</v>
      </c>
      <c r="N7" t="s">
        <v>341</v>
      </c>
      <c r="O7" t="s">
        <v>70</v>
      </c>
      <c r="P7" t="s">
        <v>341</v>
      </c>
      <c r="Q7" t="s">
        <v>70</v>
      </c>
      <c r="R7" t="s">
        <v>341</v>
      </c>
      <c r="S7" t="s">
        <v>70</v>
      </c>
      <c r="T7" t="s">
        <v>341</v>
      </c>
      <c r="U7" t="s">
        <v>70</v>
      </c>
      <c r="V7" t="s">
        <v>341</v>
      </c>
      <c r="W7" t="s">
        <v>70</v>
      </c>
      <c r="X7" t="s">
        <v>341</v>
      </c>
      <c r="Y7" t="s">
        <v>339</v>
      </c>
      <c r="Z7" t="s">
        <v>341</v>
      </c>
      <c r="AA7" t="s">
        <v>339</v>
      </c>
      <c r="AB7" t="s">
        <v>341</v>
      </c>
      <c r="AC7" t="s">
        <v>339</v>
      </c>
      <c r="AD7" t="s">
        <v>341</v>
      </c>
      <c r="AE7" t="s">
        <v>339</v>
      </c>
      <c r="AF7" t="s">
        <v>341</v>
      </c>
    </row>
    <row r="8" spans="1:32" x14ac:dyDescent="0.4">
      <c r="A8" s="1" t="s">
        <v>67</v>
      </c>
      <c r="B8" s="2" t="s">
        <v>5</v>
      </c>
      <c r="C8" t="s">
        <v>70</v>
      </c>
      <c r="D8" t="s">
        <v>342</v>
      </c>
      <c r="E8" t="s">
        <v>70</v>
      </c>
      <c r="F8" t="s">
        <v>342</v>
      </c>
      <c r="G8" t="s">
        <v>70</v>
      </c>
      <c r="H8" t="s">
        <v>342</v>
      </c>
      <c r="I8" t="s">
        <v>70</v>
      </c>
      <c r="J8" t="s">
        <v>342</v>
      </c>
      <c r="K8" t="s">
        <v>70</v>
      </c>
      <c r="L8" t="s">
        <v>342</v>
      </c>
      <c r="M8" t="s">
        <v>70</v>
      </c>
      <c r="N8" t="s">
        <v>342</v>
      </c>
      <c r="O8" t="s">
        <v>70</v>
      </c>
      <c r="P8" t="s">
        <v>342</v>
      </c>
      <c r="Q8" t="s">
        <v>70</v>
      </c>
      <c r="R8" t="s">
        <v>342</v>
      </c>
      <c r="S8" t="s">
        <v>70</v>
      </c>
      <c r="T8" t="s">
        <v>342</v>
      </c>
      <c r="U8" t="s">
        <v>70</v>
      </c>
      <c r="V8" t="s">
        <v>342</v>
      </c>
      <c r="W8" t="s">
        <v>70</v>
      </c>
      <c r="X8" t="s">
        <v>342</v>
      </c>
      <c r="Y8" t="s">
        <v>339</v>
      </c>
      <c r="Z8" t="s">
        <v>342</v>
      </c>
      <c r="AA8" t="s">
        <v>339</v>
      </c>
      <c r="AB8" t="s">
        <v>342</v>
      </c>
      <c r="AC8" t="s">
        <v>339</v>
      </c>
      <c r="AD8" t="s">
        <v>342</v>
      </c>
      <c r="AE8" t="s">
        <v>339</v>
      </c>
      <c r="AF8" t="s">
        <v>342</v>
      </c>
    </row>
    <row r="9" spans="1:32" x14ac:dyDescent="0.4">
      <c r="A9" s="1" t="s">
        <v>6</v>
      </c>
      <c r="B9" s="3" t="s">
        <v>7</v>
      </c>
      <c r="C9">
        <v>243282</v>
      </c>
      <c r="D9">
        <v>66850008</v>
      </c>
      <c r="E9">
        <v>1503172</v>
      </c>
      <c r="F9">
        <v>374802044</v>
      </c>
      <c r="G9">
        <v>126381</v>
      </c>
      <c r="H9">
        <v>45217236</v>
      </c>
      <c r="I9">
        <v>28624</v>
      </c>
      <c r="J9">
        <v>7911003</v>
      </c>
      <c r="K9">
        <v>18211</v>
      </c>
      <c r="L9">
        <v>4446330</v>
      </c>
      <c r="M9">
        <v>68789</v>
      </c>
      <c r="N9">
        <v>21802333</v>
      </c>
      <c r="O9">
        <v>117755</v>
      </c>
      <c r="P9">
        <v>20769980</v>
      </c>
      <c r="Q9">
        <v>80111</v>
      </c>
      <c r="R9">
        <v>16747354</v>
      </c>
      <c r="S9">
        <v>54550</v>
      </c>
      <c r="T9">
        <v>12171505</v>
      </c>
      <c r="U9">
        <v>99667</v>
      </c>
      <c r="V9">
        <v>28111636</v>
      </c>
      <c r="W9">
        <v>5802</v>
      </c>
      <c r="X9">
        <v>1827014</v>
      </c>
      <c r="Y9">
        <v>30662553</v>
      </c>
      <c r="Z9">
        <v>24556464</v>
      </c>
      <c r="AA9">
        <v>6936023</v>
      </c>
      <c r="AB9">
        <v>14767737</v>
      </c>
      <c r="AC9">
        <v>7159817</v>
      </c>
      <c r="AD9">
        <v>6367077</v>
      </c>
      <c r="AE9">
        <v>6786572</v>
      </c>
      <c r="AF9">
        <v>5465330</v>
      </c>
    </row>
    <row r="10" spans="1:32" x14ac:dyDescent="0.4">
      <c r="A10" s="1" t="s">
        <v>8</v>
      </c>
      <c r="B10" s="3" t="s">
        <v>9</v>
      </c>
      <c r="C10">
        <v>247213</v>
      </c>
      <c r="D10">
        <v>76416846</v>
      </c>
      <c r="E10">
        <v>1467898</v>
      </c>
      <c r="F10">
        <v>400422686</v>
      </c>
      <c r="G10">
        <v>124891</v>
      </c>
      <c r="H10">
        <v>47908745</v>
      </c>
      <c r="I10">
        <v>33347</v>
      </c>
      <c r="J10">
        <v>9459989</v>
      </c>
      <c r="K10">
        <v>19574</v>
      </c>
      <c r="L10">
        <v>5127351</v>
      </c>
      <c r="M10">
        <v>82816</v>
      </c>
      <c r="N10">
        <v>26287534</v>
      </c>
      <c r="O10">
        <v>119925</v>
      </c>
      <c r="P10">
        <v>23416903</v>
      </c>
      <c r="Q10">
        <v>75494</v>
      </c>
      <c r="R10">
        <v>17323151</v>
      </c>
      <c r="S10">
        <v>58308</v>
      </c>
      <c r="T10">
        <v>13598875</v>
      </c>
      <c r="U10">
        <v>92109</v>
      </c>
      <c r="V10">
        <v>28577944</v>
      </c>
      <c r="W10">
        <v>5393</v>
      </c>
      <c r="X10">
        <v>2239482</v>
      </c>
      <c r="Y10">
        <v>31632831</v>
      </c>
      <c r="Z10">
        <v>28991158</v>
      </c>
      <c r="AA10">
        <v>7609460</v>
      </c>
      <c r="AB10">
        <v>17152806</v>
      </c>
      <c r="AC10">
        <v>7093882</v>
      </c>
      <c r="AD10">
        <v>6501932</v>
      </c>
      <c r="AE10">
        <v>5751037</v>
      </c>
      <c r="AF10">
        <v>5570489</v>
      </c>
    </row>
    <row r="11" spans="1:32" x14ac:dyDescent="0.4">
      <c r="A11" s="1" t="s">
        <v>10</v>
      </c>
      <c r="B11" s="3" t="s">
        <v>11</v>
      </c>
      <c r="C11">
        <v>229744</v>
      </c>
      <c r="D11">
        <v>82286000</v>
      </c>
      <c r="E11">
        <v>1540701</v>
      </c>
      <c r="F11">
        <v>459305173</v>
      </c>
      <c r="G11">
        <v>106541</v>
      </c>
      <c r="H11">
        <v>46815277</v>
      </c>
      <c r="I11">
        <v>34137</v>
      </c>
      <c r="J11">
        <v>10252545</v>
      </c>
      <c r="K11">
        <v>18961</v>
      </c>
      <c r="L11">
        <v>5882344</v>
      </c>
      <c r="M11">
        <v>60299</v>
      </c>
      <c r="N11">
        <v>19164943</v>
      </c>
      <c r="O11">
        <v>114649</v>
      </c>
      <c r="P11">
        <v>23026648</v>
      </c>
      <c r="Q11">
        <v>78131</v>
      </c>
      <c r="R11">
        <v>19306351</v>
      </c>
      <c r="S11">
        <v>56066</v>
      </c>
      <c r="T11">
        <v>13549238</v>
      </c>
      <c r="U11">
        <v>90340</v>
      </c>
      <c r="V11">
        <v>30810938</v>
      </c>
      <c r="W11">
        <v>4479</v>
      </c>
      <c r="X11">
        <v>2043074</v>
      </c>
      <c r="Y11">
        <v>42921174</v>
      </c>
      <c r="Z11">
        <v>38237454</v>
      </c>
      <c r="AA11">
        <v>6252272</v>
      </c>
      <c r="AB11">
        <v>17124354</v>
      </c>
      <c r="AC11">
        <v>7294451</v>
      </c>
      <c r="AD11">
        <v>6838896</v>
      </c>
      <c r="AE11">
        <v>5430546</v>
      </c>
      <c r="AF11">
        <v>5608828</v>
      </c>
    </row>
    <row r="12" spans="1:32" x14ac:dyDescent="0.4">
      <c r="A12" s="1" t="s">
        <v>12</v>
      </c>
      <c r="B12" s="3" t="s">
        <v>13</v>
      </c>
      <c r="C12">
        <v>187430</v>
      </c>
      <c r="D12">
        <v>69589626</v>
      </c>
      <c r="E12">
        <v>1448784</v>
      </c>
      <c r="F12">
        <v>444108681</v>
      </c>
      <c r="G12">
        <v>98190</v>
      </c>
      <c r="H12">
        <v>48105576</v>
      </c>
      <c r="I12">
        <v>31013</v>
      </c>
      <c r="J12">
        <v>9895066</v>
      </c>
      <c r="K12">
        <v>21879</v>
      </c>
      <c r="L12">
        <v>6319764</v>
      </c>
      <c r="M12">
        <v>65701</v>
      </c>
      <c r="N12">
        <v>20950708</v>
      </c>
      <c r="O12">
        <v>97494</v>
      </c>
      <c r="P12">
        <v>20001349</v>
      </c>
      <c r="Q12">
        <v>73263</v>
      </c>
      <c r="R12">
        <v>17951297</v>
      </c>
      <c r="S12">
        <v>49336</v>
      </c>
      <c r="T12">
        <v>12127970</v>
      </c>
      <c r="U12">
        <v>86675</v>
      </c>
      <c r="V12">
        <v>32196401</v>
      </c>
      <c r="W12">
        <v>4387</v>
      </c>
      <c r="X12">
        <v>2007616</v>
      </c>
      <c r="Y12">
        <v>46745387</v>
      </c>
      <c r="Z12">
        <v>43412394</v>
      </c>
      <c r="AA12">
        <v>6608704</v>
      </c>
      <c r="AB12">
        <v>18919702</v>
      </c>
      <c r="AC12">
        <v>8815604</v>
      </c>
      <c r="AD12">
        <v>7377800</v>
      </c>
      <c r="AE12">
        <v>4195048</v>
      </c>
      <c r="AF12">
        <v>8160050</v>
      </c>
    </row>
    <row r="13" spans="1:32" x14ac:dyDescent="0.4">
      <c r="A13" s="1" t="s">
        <v>14</v>
      </c>
      <c r="B13" s="3" t="s">
        <v>15</v>
      </c>
      <c r="C13">
        <v>201127</v>
      </c>
      <c r="D13">
        <v>74954095</v>
      </c>
      <c r="E13">
        <v>1460693</v>
      </c>
      <c r="F13">
        <v>448665325</v>
      </c>
      <c r="G13">
        <v>95599</v>
      </c>
      <c r="H13">
        <v>50602890</v>
      </c>
      <c r="I13">
        <v>31812</v>
      </c>
      <c r="J13">
        <v>10285591</v>
      </c>
      <c r="K13">
        <v>22143</v>
      </c>
      <c r="L13">
        <v>6516152</v>
      </c>
      <c r="M13">
        <v>70355</v>
      </c>
      <c r="N13">
        <v>22469194</v>
      </c>
      <c r="O13">
        <v>98815</v>
      </c>
      <c r="P13">
        <v>20056429</v>
      </c>
      <c r="Q13">
        <v>72547</v>
      </c>
      <c r="R13">
        <v>18424962</v>
      </c>
      <c r="S13">
        <v>47698</v>
      </c>
      <c r="T13">
        <v>11810810</v>
      </c>
      <c r="U13">
        <v>84188</v>
      </c>
      <c r="V13">
        <v>31552882</v>
      </c>
      <c r="W13">
        <v>2858</v>
      </c>
      <c r="X13">
        <v>1705840</v>
      </c>
      <c r="Y13">
        <v>45224111</v>
      </c>
      <c r="Z13">
        <v>44468813</v>
      </c>
      <c r="AA13">
        <v>6326181</v>
      </c>
      <c r="AB13">
        <v>20406899</v>
      </c>
      <c r="AC13">
        <v>9154995</v>
      </c>
      <c r="AD13">
        <v>7769139</v>
      </c>
      <c r="AE13">
        <v>3823480</v>
      </c>
      <c r="AF13">
        <v>8184858</v>
      </c>
    </row>
    <row r="14" spans="1:32" x14ac:dyDescent="0.4">
      <c r="A14" s="1" t="s">
        <v>16</v>
      </c>
      <c r="B14" s="1" t="s">
        <v>17</v>
      </c>
      <c r="C14">
        <v>16000</v>
      </c>
      <c r="D14">
        <v>5771757</v>
      </c>
      <c r="E14">
        <v>119760</v>
      </c>
      <c r="F14">
        <v>37212775</v>
      </c>
      <c r="G14">
        <v>8574</v>
      </c>
      <c r="H14">
        <v>4258373</v>
      </c>
      <c r="I14">
        <v>3007</v>
      </c>
      <c r="J14">
        <v>929217</v>
      </c>
      <c r="K14">
        <v>2142</v>
      </c>
      <c r="L14">
        <v>588708</v>
      </c>
      <c r="M14">
        <v>5324</v>
      </c>
      <c r="N14">
        <v>1702629</v>
      </c>
      <c r="O14">
        <v>8381</v>
      </c>
      <c r="P14">
        <v>1700315</v>
      </c>
      <c r="Q14">
        <v>6072</v>
      </c>
      <c r="R14">
        <v>1293374</v>
      </c>
      <c r="S14">
        <v>4140</v>
      </c>
      <c r="T14">
        <v>1008686</v>
      </c>
      <c r="U14">
        <v>7433</v>
      </c>
      <c r="V14">
        <v>2671140</v>
      </c>
      <c r="W14">
        <v>354</v>
      </c>
      <c r="X14">
        <v>156638</v>
      </c>
      <c r="Y14">
        <v>4256046</v>
      </c>
      <c r="Z14">
        <v>3776626</v>
      </c>
      <c r="AA14">
        <v>522606</v>
      </c>
      <c r="AB14">
        <v>1541187</v>
      </c>
      <c r="AC14">
        <v>666850</v>
      </c>
      <c r="AD14">
        <v>561053</v>
      </c>
      <c r="AE14">
        <v>315575</v>
      </c>
      <c r="AF14">
        <v>519114</v>
      </c>
    </row>
    <row r="15" spans="1:32" x14ac:dyDescent="0.4">
      <c r="A15" s="1" t="s">
        <v>18</v>
      </c>
      <c r="B15" s="1" t="s">
        <v>19</v>
      </c>
      <c r="C15">
        <v>16349</v>
      </c>
      <c r="D15">
        <v>5858754</v>
      </c>
      <c r="E15">
        <v>118442</v>
      </c>
      <c r="F15">
        <v>36692739</v>
      </c>
      <c r="G15">
        <v>8429</v>
      </c>
      <c r="H15">
        <v>4156110</v>
      </c>
      <c r="I15">
        <v>2551</v>
      </c>
      <c r="J15">
        <v>781789</v>
      </c>
      <c r="K15">
        <v>2020</v>
      </c>
      <c r="L15">
        <v>558201</v>
      </c>
      <c r="M15">
        <v>5868</v>
      </c>
      <c r="N15">
        <v>1882176</v>
      </c>
      <c r="O15">
        <v>8822</v>
      </c>
      <c r="P15">
        <v>1785895</v>
      </c>
      <c r="Q15">
        <v>5928</v>
      </c>
      <c r="R15">
        <v>1455715</v>
      </c>
      <c r="S15">
        <v>4531</v>
      </c>
      <c r="T15">
        <v>1103649</v>
      </c>
      <c r="U15">
        <v>7445</v>
      </c>
      <c r="V15">
        <v>2676012</v>
      </c>
      <c r="W15">
        <v>365</v>
      </c>
      <c r="X15">
        <v>164596</v>
      </c>
      <c r="Y15">
        <v>3789868</v>
      </c>
      <c r="Z15">
        <v>3492641</v>
      </c>
      <c r="AA15">
        <v>494514</v>
      </c>
      <c r="AB15">
        <v>1448470</v>
      </c>
      <c r="AC15">
        <v>840037</v>
      </c>
      <c r="AD15">
        <v>625421</v>
      </c>
      <c r="AE15">
        <v>348305</v>
      </c>
      <c r="AF15">
        <v>784690</v>
      </c>
    </row>
    <row r="16" spans="1:32" x14ac:dyDescent="0.4">
      <c r="A16" s="1" t="s">
        <v>20</v>
      </c>
      <c r="B16" s="1" t="s">
        <v>21</v>
      </c>
      <c r="C16">
        <v>15961</v>
      </c>
      <c r="D16">
        <v>5807858</v>
      </c>
      <c r="E16">
        <v>116016</v>
      </c>
      <c r="F16">
        <v>35960377</v>
      </c>
      <c r="G16">
        <v>7540</v>
      </c>
      <c r="H16">
        <v>3638136</v>
      </c>
      <c r="I16">
        <v>2374</v>
      </c>
      <c r="J16">
        <v>781567</v>
      </c>
      <c r="K16">
        <v>1642</v>
      </c>
      <c r="L16">
        <v>475956</v>
      </c>
      <c r="M16">
        <v>5384</v>
      </c>
      <c r="N16">
        <v>1717853</v>
      </c>
      <c r="O16">
        <v>7736</v>
      </c>
      <c r="P16">
        <v>1500331</v>
      </c>
      <c r="Q16">
        <v>5993</v>
      </c>
      <c r="R16">
        <v>1437019</v>
      </c>
      <c r="S16">
        <v>4056</v>
      </c>
      <c r="T16">
        <v>1024588</v>
      </c>
      <c r="U16">
        <v>7245</v>
      </c>
      <c r="V16">
        <v>2634229</v>
      </c>
      <c r="W16">
        <v>390</v>
      </c>
      <c r="X16">
        <v>175229</v>
      </c>
      <c r="Y16">
        <v>3835700</v>
      </c>
      <c r="Z16">
        <v>3542534</v>
      </c>
      <c r="AA16">
        <v>502209</v>
      </c>
      <c r="AB16">
        <v>1479883</v>
      </c>
      <c r="AC16">
        <v>726194</v>
      </c>
      <c r="AD16">
        <v>596885</v>
      </c>
      <c r="AE16">
        <v>344459</v>
      </c>
      <c r="AF16">
        <v>743172</v>
      </c>
    </row>
    <row r="17" spans="1:32" x14ac:dyDescent="0.4">
      <c r="A17" s="1" t="s">
        <v>22</v>
      </c>
      <c r="B17" s="1" t="s">
        <v>23</v>
      </c>
      <c r="C17">
        <v>16010</v>
      </c>
      <c r="D17">
        <v>5798380</v>
      </c>
      <c r="E17">
        <v>121613</v>
      </c>
      <c r="F17">
        <v>37215859</v>
      </c>
      <c r="G17">
        <v>8833</v>
      </c>
      <c r="H17">
        <v>4099322</v>
      </c>
      <c r="I17">
        <v>2485</v>
      </c>
      <c r="J17">
        <v>861335</v>
      </c>
      <c r="K17">
        <v>2086</v>
      </c>
      <c r="L17">
        <v>605017</v>
      </c>
      <c r="M17">
        <v>5614</v>
      </c>
      <c r="N17">
        <v>1786344</v>
      </c>
      <c r="O17">
        <v>8011</v>
      </c>
      <c r="P17">
        <v>1660928</v>
      </c>
      <c r="Q17">
        <v>6341</v>
      </c>
      <c r="R17">
        <v>1526572</v>
      </c>
      <c r="S17">
        <v>4126</v>
      </c>
      <c r="T17">
        <v>1010955</v>
      </c>
      <c r="U17">
        <v>7433</v>
      </c>
      <c r="V17">
        <v>2703175</v>
      </c>
      <c r="W17">
        <v>388</v>
      </c>
      <c r="X17">
        <v>168966</v>
      </c>
      <c r="Y17">
        <v>3970893</v>
      </c>
      <c r="Z17">
        <v>3646231</v>
      </c>
      <c r="AA17">
        <v>527210</v>
      </c>
      <c r="AB17">
        <v>1609016</v>
      </c>
      <c r="AC17">
        <v>761693</v>
      </c>
      <c r="AD17">
        <v>636919</v>
      </c>
      <c r="AE17">
        <v>353532</v>
      </c>
      <c r="AF17">
        <v>635771</v>
      </c>
    </row>
    <row r="18" spans="1:32" x14ac:dyDescent="0.4">
      <c r="A18" s="1" t="s">
        <v>24</v>
      </c>
      <c r="B18" s="1" t="s">
        <v>25</v>
      </c>
      <c r="C18">
        <v>16787</v>
      </c>
      <c r="D18">
        <v>6296345</v>
      </c>
      <c r="E18">
        <v>138398</v>
      </c>
      <c r="F18">
        <v>42143546</v>
      </c>
      <c r="G18">
        <v>8748</v>
      </c>
      <c r="H18">
        <v>4279670</v>
      </c>
      <c r="I18">
        <v>2669</v>
      </c>
      <c r="J18">
        <v>884310</v>
      </c>
      <c r="K18">
        <v>1881</v>
      </c>
      <c r="L18">
        <v>579012</v>
      </c>
      <c r="M18">
        <v>6090</v>
      </c>
      <c r="N18">
        <v>1932713</v>
      </c>
      <c r="O18">
        <v>9094</v>
      </c>
      <c r="P18">
        <v>1791504</v>
      </c>
      <c r="Q18">
        <v>6979</v>
      </c>
      <c r="R18">
        <v>1699922</v>
      </c>
      <c r="S18">
        <v>4359</v>
      </c>
      <c r="T18">
        <v>1055809</v>
      </c>
      <c r="U18">
        <v>8446</v>
      </c>
      <c r="V18">
        <v>3155613</v>
      </c>
      <c r="W18">
        <v>419</v>
      </c>
      <c r="X18">
        <v>196266</v>
      </c>
      <c r="Y18">
        <v>4151864</v>
      </c>
      <c r="Z18">
        <v>3939836</v>
      </c>
      <c r="AA18">
        <v>573504</v>
      </c>
      <c r="AB18">
        <v>1648193</v>
      </c>
      <c r="AC18">
        <v>759737</v>
      </c>
      <c r="AD18">
        <v>676681</v>
      </c>
      <c r="AE18">
        <v>352334</v>
      </c>
      <c r="AF18">
        <v>737315</v>
      </c>
    </row>
    <row r="19" spans="1:32" x14ac:dyDescent="0.4">
      <c r="A19" s="1" t="s">
        <v>26</v>
      </c>
      <c r="B19" s="1" t="s">
        <v>27</v>
      </c>
      <c r="C19">
        <v>12803</v>
      </c>
      <c r="D19">
        <v>5136219</v>
      </c>
      <c r="E19">
        <v>98868</v>
      </c>
      <c r="F19">
        <v>30224965</v>
      </c>
      <c r="G19">
        <v>7119</v>
      </c>
      <c r="H19">
        <v>3714100</v>
      </c>
      <c r="I19">
        <v>2122</v>
      </c>
      <c r="J19">
        <v>711929</v>
      </c>
      <c r="K19">
        <v>1323</v>
      </c>
      <c r="L19">
        <v>394548</v>
      </c>
      <c r="M19">
        <v>5115</v>
      </c>
      <c r="N19">
        <v>1640012</v>
      </c>
      <c r="O19">
        <v>6785</v>
      </c>
      <c r="P19">
        <v>1421647</v>
      </c>
      <c r="Q19">
        <v>5100</v>
      </c>
      <c r="R19">
        <v>1212342</v>
      </c>
      <c r="S19">
        <v>3322</v>
      </c>
      <c r="T19">
        <v>805673</v>
      </c>
      <c r="U19">
        <v>6086</v>
      </c>
      <c r="V19">
        <v>2392999</v>
      </c>
      <c r="W19">
        <v>282</v>
      </c>
      <c r="X19">
        <v>131722</v>
      </c>
      <c r="Y19">
        <v>3277027</v>
      </c>
      <c r="Z19">
        <v>3162611</v>
      </c>
      <c r="AA19">
        <v>564706</v>
      </c>
      <c r="AB19">
        <v>1565574</v>
      </c>
      <c r="AC19">
        <v>720203</v>
      </c>
      <c r="AD19">
        <v>612591</v>
      </c>
      <c r="AE19">
        <v>327312</v>
      </c>
      <c r="AF19">
        <v>609713</v>
      </c>
    </row>
    <row r="20" spans="1:32" x14ac:dyDescent="0.4">
      <c r="A20" s="1" t="s">
        <v>28</v>
      </c>
      <c r="B20" s="1" t="s">
        <v>29</v>
      </c>
      <c r="C20">
        <v>15787</v>
      </c>
      <c r="D20">
        <v>5881926</v>
      </c>
      <c r="E20">
        <v>122664</v>
      </c>
      <c r="F20">
        <v>37665667</v>
      </c>
      <c r="G20">
        <v>7905</v>
      </c>
      <c r="H20">
        <v>3887170</v>
      </c>
      <c r="I20">
        <v>2724</v>
      </c>
      <c r="J20">
        <v>886627</v>
      </c>
      <c r="K20">
        <v>1929</v>
      </c>
      <c r="L20">
        <v>552660</v>
      </c>
      <c r="M20">
        <v>6047</v>
      </c>
      <c r="N20">
        <v>1915439</v>
      </c>
      <c r="O20">
        <v>8189</v>
      </c>
      <c r="P20">
        <v>1805684</v>
      </c>
      <c r="Q20">
        <v>6202</v>
      </c>
      <c r="R20">
        <v>1791662</v>
      </c>
      <c r="S20">
        <v>4392</v>
      </c>
      <c r="T20">
        <v>1081175</v>
      </c>
      <c r="U20">
        <v>7024</v>
      </c>
      <c r="V20">
        <v>2733652</v>
      </c>
      <c r="W20">
        <v>375</v>
      </c>
      <c r="X20">
        <v>166881</v>
      </c>
      <c r="Y20">
        <v>3999961</v>
      </c>
      <c r="Z20">
        <v>3715985</v>
      </c>
      <c r="AA20">
        <v>636792</v>
      </c>
      <c r="AB20">
        <v>1715443</v>
      </c>
      <c r="AC20">
        <v>708051</v>
      </c>
      <c r="AD20">
        <v>602037</v>
      </c>
      <c r="AE20">
        <v>362757</v>
      </c>
      <c r="AF20">
        <v>697451</v>
      </c>
    </row>
    <row r="21" spans="1:32" x14ac:dyDescent="0.4">
      <c r="A21" s="1" t="s">
        <v>30</v>
      </c>
      <c r="B21" s="1" t="s">
        <v>31</v>
      </c>
      <c r="C21">
        <v>16686</v>
      </c>
      <c r="D21">
        <v>6165085</v>
      </c>
      <c r="E21">
        <v>137191</v>
      </c>
      <c r="F21">
        <v>41619293</v>
      </c>
      <c r="G21">
        <v>8170</v>
      </c>
      <c r="H21">
        <v>3931410</v>
      </c>
      <c r="I21">
        <v>2966</v>
      </c>
      <c r="J21">
        <v>935839</v>
      </c>
      <c r="K21">
        <v>1777</v>
      </c>
      <c r="L21">
        <v>534453</v>
      </c>
      <c r="M21">
        <v>5534</v>
      </c>
      <c r="N21">
        <v>1758702</v>
      </c>
      <c r="O21">
        <v>8463</v>
      </c>
      <c r="P21">
        <v>1834015</v>
      </c>
      <c r="Q21">
        <v>6823</v>
      </c>
      <c r="R21">
        <v>1672901</v>
      </c>
      <c r="S21">
        <v>4654</v>
      </c>
      <c r="T21">
        <v>1148762</v>
      </c>
      <c r="U21">
        <v>7689</v>
      </c>
      <c r="V21">
        <v>2923012</v>
      </c>
      <c r="W21">
        <v>390</v>
      </c>
      <c r="X21">
        <v>180798</v>
      </c>
      <c r="Y21">
        <v>4141886</v>
      </c>
      <c r="Z21">
        <v>3904283</v>
      </c>
      <c r="AA21">
        <v>654088</v>
      </c>
      <c r="AB21">
        <v>1764099</v>
      </c>
      <c r="AC21">
        <v>799594</v>
      </c>
      <c r="AD21">
        <v>649089</v>
      </c>
      <c r="AE21">
        <v>363430</v>
      </c>
      <c r="AF21">
        <v>719107</v>
      </c>
    </row>
    <row r="22" spans="1:32" x14ac:dyDescent="0.4">
      <c r="A22" s="1" t="s">
        <v>32</v>
      </c>
      <c r="B22" s="1" t="s">
        <v>33</v>
      </c>
      <c r="C22">
        <v>15122</v>
      </c>
      <c r="D22">
        <v>5953351</v>
      </c>
      <c r="E22">
        <v>126633</v>
      </c>
      <c r="F22">
        <v>38695394</v>
      </c>
      <c r="G22">
        <v>7949</v>
      </c>
      <c r="H22">
        <v>4166422</v>
      </c>
      <c r="I22">
        <v>2641</v>
      </c>
      <c r="J22">
        <v>834674</v>
      </c>
      <c r="K22">
        <v>2030</v>
      </c>
      <c r="L22">
        <v>578101</v>
      </c>
      <c r="M22">
        <v>5138</v>
      </c>
      <c r="N22">
        <v>1641874</v>
      </c>
      <c r="O22">
        <v>8295</v>
      </c>
      <c r="P22">
        <v>1768973</v>
      </c>
      <c r="Q22">
        <v>6473</v>
      </c>
      <c r="R22">
        <v>1613659</v>
      </c>
      <c r="S22">
        <v>4183</v>
      </c>
      <c r="T22">
        <v>1028780</v>
      </c>
      <c r="U22">
        <v>7012</v>
      </c>
      <c r="V22">
        <v>2639309</v>
      </c>
      <c r="W22">
        <v>349</v>
      </c>
      <c r="X22">
        <v>171276</v>
      </c>
      <c r="Y22">
        <v>3840715</v>
      </c>
      <c r="Z22">
        <v>3669552</v>
      </c>
      <c r="AA22">
        <v>588063</v>
      </c>
      <c r="AB22">
        <v>1717313</v>
      </c>
      <c r="AC22">
        <v>693887</v>
      </c>
      <c r="AD22">
        <v>596010</v>
      </c>
      <c r="AE22">
        <v>362690</v>
      </c>
      <c r="AF22">
        <v>730090</v>
      </c>
    </row>
    <row r="23" spans="1:32" x14ac:dyDescent="0.4">
      <c r="A23" s="1" t="s">
        <v>34</v>
      </c>
      <c r="B23" s="1" t="s">
        <v>35</v>
      </c>
      <c r="C23">
        <v>14990</v>
      </c>
      <c r="D23">
        <v>5777675</v>
      </c>
      <c r="E23">
        <v>119222</v>
      </c>
      <c r="F23">
        <v>36092761</v>
      </c>
      <c r="G23">
        <v>7830</v>
      </c>
      <c r="H23">
        <v>4029314</v>
      </c>
      <c r="I23">
        <v>2210</v>
      </c>
      <c r="J23">
        <v>733655</v>
      </c>
      <c r="K23">
        <v>1914</v>
      </c>
      <c r="L23">
        <v>542635</v>
      </c>
      <c r="M23">
        <v>5397</v>
      </c>
      <c r="N23">
        <v>1715299</v>
      </c>
      <c r="O23">
        <v>7506</v>
      </c>
      <c r="P23">
        <v>1584372</v>
      </c>
      <c r="Q23">
        <v>5481</v>
      </c>
      <c r="R23">
        <v>1355135</v>
      </c>
      <c r="S23">
        <v>3586</v>
      </c>
      <c r="T23">
        <v>890544</v>
      </c>
      <c r="U23">
        <v>6573</v>
      </c>
      <c r="V23">
        <v>2491504</v>
      </c>
      <c r="W23">
        <v>360</v>
      </c>
      <c r="X23">
        <v>166418</v>
      </c>
      <c r="Y23">
        <v>3920432</v>
      </c>
      <c r="Z23">
        <v>3722993</v>
      </c>
      <c r="AA23">
        <v>584940</v>
      </c>
      <c r="AB23">
        <v>1739042</v>
      </c>
      <c r="AC23">
        <v>725038</v>
      </c>
      <c r="AD23">
        <v>613980</v>
      </c>
      <c r="AE23">
        <v>382443</v>
      </c>
      <c r="AF23">
        <v>730223</v>
      </c>
    </row>
    <row r="24" spans="1:32" x14ac:dyDescent="0.4">
      <c r="A24" s="1" t="s">
        <v>36</v>
      </c>
      <c r="B24" s="1" t="s">
        <v>37</v>
      </c>
      <c r="C24">
        <v>16017</v>
      </c>
      <c r="D24">
        <v>6315264</v>
      </c>
      <c r="E24">
        <v>120544</v>
      </c>
      <c r="F24">
        <v>36326237</v>
      </c>
      <c r="G24">
        <v>7006</v>
      </c>
      <c r="H24">
        <v>3616931</v>
      </c>
      <c r="I24">
        <v>2491</v>
      </c>
      <c r="J24">
        <v>778800</v>
      </c>
      <c r="K24">
        <v>1440</v>
      </c>
      <c r="L24">
        <v>404609</v>
      </c>
      <c r="M24">
        <v>5335</v>
      </c>
      <c r="N24">
        <v>1693181</v>
      </c>
      <c r="O24">
        <v>7108</v>
      </c>
      <c r="P24">
        <v>1459839</v>
      </c>
      <c r="Q24">
        <v>5930</v>
      </c>
      <c r="R24">
        <v>1435196</v>
      </c>
      <c r="S24">
        <v>4253</v>
      </c>
      <c r="T24">
        <v>1028199</v>
      </c>
      <c r="U24">
        <v>6930</v>
      </c>
      <c r="V24">
        <v>2630943</v>
      </c>
      <c r="W24">
        <v>235</v>
      </c>
      <c r="X24">
        <v>137332</v>
      </c>
      <c r="Y24">
        <v>3932649</v>
      </c>
      <c r="Z24">
        <v>3776610</v>
      </c>
      <c r="AA24">
        <v>473995</v>
      </c>
      <c r="AB24">
        <v>1588465</v>
      </c>
      <c r="AC24">
        <v>715376</v>
      </c>
      <c r="AD24">
        <v>603307</v>
      </c>
      <c r="AE24">
        <v>335658</v>
      </c>
      <c r="AF24">
        <v>748051</v>
      </c>
    </row>
    <row r="25" spans="1:32" x14ac:dyDescent="0.4">
      <c r="A25" s="1" t="s">
        <v>38</v>
      </c>
      <c r="B25" s="1" t="s">
        <v>39</v>
      </c>
      <c r="C25">
        <v>16843</v>
      </c>
      <c r="D25">
        <v>5952607</v>
      </c>
      <c r="E25">
        <v>119583</v>
      </c>
      <c r="F25">
        <v>36742534</v>
      </c>
      <c r="G25">
        <v>7837</v>
      </c>
      <c r="H25">
        <v>4048253</v>
      </c>
      <c r="I25">
        <v>2643</v>
      </c>
      <c r="J25">
        <v>808793</v>
      </c>
      <c r="K25">
        <v>2040</v>
      </c>
      <c r="L25">
        <v>582663</v>
      </c>
      <c r="M25">
        <v>5557</v>
      </c>
      <c r="N25">
        <v>1754740</v>
      </c>
      <c r="O25">
        <v>8554</v>
      </c>
      <c r="P25">
        <v>1718217</v>
      </c>
      <c r="Q25">
        <v>5840</v>
      </c>
      <c r="R25">
        <v>1429824</v>
      </c>
      <c r="S25">
        <v>4003</v>
      </c>
      <c r="T25">
        <v>1003944</v>
      </c>
      <c r="U25">
        <v>6916</v>
      </c>
      <c r="V25">
        <v>2592219</v>
      </c>
      <c r="W25">
        <v>253</v>
      </c>
      <c r="X25">
        <v>136490</v>
      </c>
      <c r="Y25">
        <v>3706605</v>
      </c>
      <c r="Z25">
        <v>3568935</v>
      </c>
      <c r="AA25">
        <v>582841</v>
      </c>
      <c r="AB25">
        <v>1867417</v>
      </c>
      <c r="AC25">
        <v>734136</v>
      </c>
      <c r="AD25">
        <v>619202</v>
      </c>
      <c r="AE25">
        <v>347234</v>
      </c>
      <c r="AF25">
        <v>708444</v>
      </c>
    </row>
    <row r="26" spans="1:32" x14ac:dyDescent="0.4">
      <c r="A26" s="1" t="s">
        <v>40</v>
      </c>
      <c r="B26" s="1" t="s">
        <v>41</v>
      </c>
      <c r="C26">
        <v>17205</v>
      </c>
      <c r="D26">
        <v>6251604</v>
      </c>
      <c r="E26">
        <v>124966</v>
      </c>
      <c r="F26">
        <v>39201391</v>
      </c>
      <c r="G26">
        <v>7653</v>
      </c>
      <c r="H26">
        <v>4087470</v>
      </c>
      <c r="I26">
        <v>2971</v>
      </c>
      <c r="J26">
        <v>927485</v>
      </c>
      <c r="K26">
        <v>2242</v>
      </c>
      <c r="L26">
        <v>603137</v>
      </c>
      <c r="M26">
        <v>5954</v>
      </c>
      <c r="N26">
        <v>1893491</v>
      </c>
      <c r="O26">
        <v>8013</v>
      </c>
      <c r="P26">
        <v>1705115</v>
      </c>
      <c r="Q26">
        <v>6440</v>
      </c>
      <c r="R26">
        <v>2113620</v>
      </c>
      <c r="S26">
        <v>4478</v>
      </c>
      <c r="T26">
        <v>1117766</v>
      </c>
      <c r="U26">
        <v>7099</v>
      </c>
      <c r="V26">
        <v>2719095</v>
      </c>
      <c r="W26">
        <v>239</v>
      </c>
      <c r="X26">
        <v>136344</v>
      </c>
      <c r="Y26">
        <v>4312556</v>
      </c>
      <c r="Z26">
        <v>4208792</v>
      </c>
      <c r="AA26">
        <v>540402</v>
      </c>
      <c r="AB26">
        <v>1750156</v>
      </c>
      <c r="AC26">
        <v>728181</v>
      </c>
      <c r="AD26">
        <v>642223</v>
      </c>
      <c r="AE26">
        <v>335307</v>
      </c>
      <c r="AF26">
        <v>723943</v>
      </c>
    </row>
    <row r="27" spans="1:32" x14ac:dyDescent="0.4">
      <c r="A27" s="1" t="s">
        <v>42</v>
      </c>
      <c r="B27" s="1" t="s">
        <v>43</v>
      </c>
      <c r="C27">
        <v>17130</v>
      </c>
      <c r="D27">
        <v>6224644</v>
      </c>
      <c r="E27">
        <v>119366</v>
      </c>
      <c r="F27">
        <v>36722896</v>
      </c>
      <c r="G27">
        <v>7755</v>
      </c>
      <c r="H27">
        <v>4020681</v>
      </c>
      <c r="I27">
        <v>2244</v>
      </c>
      <c r="J27">
        <v>782079</v>
      </c>
      <c r="K27">
        <v>2214</v>
      </c>
      <c r="L27">
        <v>614340</v>
      </c>
      <c r="M27">
        <v>6064</v>
      </c>
      <c r="N27">
        <v>1940025</v>
      </c>
      <c r="O27">
        <v>8902</v>
      </c>
      <c r="P27">
        <v>1871946</v>
      </c>
      <c r="Q27">
        <v>5903</v>
      </c>
      <c r="R27">
        <v>1443449</v>
      </c>
      <c r="S27">
        <v>4146</v>
      </c>
      <c r="T27">
        <v>1023810</v>
      </c>
      <c r="U27">
        <v>6996</v>
      </c>
      <c r="V27">
        <v>2614409</v>
      </c>
      <c r="W27">
        <v>244</v>
      </c>
      <c r="X27">
        <v>142254</v>
      </c>
      <c r="Y27">
        <v>3622669</v>
      </c>
      <c r="Z27">
        <v>3703737</v>
      </c>
      <c r="AA27">
        <v>549600</v>
      </c>
      <c r="AB27">
        <v>1727526</v>
      </c>
      <c r="AC27">
        <v>736051</v>
      </c>
      <c r="AD27">
        <v>635011</v>
      </c>
      <c r="AE27">
        <v>316034</v>
      </c>
      <c r="AF27">
        <v>663057</v>
      </c>
    </row>
    <row r="28" spans="1:32" x14ac:dyDescent="0.4">
      <c r="A28" s="1" t="s">
        <v>44</v>
      </c>
      <c r="B28" s="1" t="s">
        <v>45</v>
      </c>
      <c r="C28">
        <v>16932</v>
      </c>
      <c r="D28">
        <v>6041078</v>
      </c>
      <c r="E28">
        <v>116233</v>
      </c>
      <c r="F28">
        <v>35551617</v>
      </c>
      <c r="G28">
        <v>7321</v>
      </c>
      <c r="H28">
        <v>3742789</v>
      </c>
      <c r="I28">
        <v>2813</v>
      </c>
      <c r="J28">
        <v>861736</v>
      </c>
      <c r="K28">
        <v>1922</v>
      </c>
      <c r="L28">
        <v>541235</v>
      </c>
      <c r="M28">
        <v>5906</v>
      </c>
      <c r="N28">
        <v>1877477</v>
      </c>
      <c r="O28">
        <v>8529</v>
      </c>
      <c r="P28">
        <v>1795128</v>
      </c>
      <c r="Q28">
        <v>5830</v>
      </c>
      <c r="R28">
        <v>1438366</v>
      </c>
      <c r="S28">
        <v>3979</v>
      </c>
      <c r="T28">
        <v>984518</v>
      </c>
      <c r="U28">
        <v>6834</v>
      </c>
      <c r="V28">
        <v>2593301</v>
      </c>
      <c r="W28">
        <v>229</v>
      </c>
      <c r="X28">
        <v>138975</v>
      </c>
      <c r="Y28">
        <v>3272243</v>
      </c>
      <c r="Z28">
        <v>3311925</v>
      </c>
      <c r="AA28">
        <v>450067</v>
      </c>
      <c r="AB28">
        <v>1587180</v>
      </c>
      <c r="AC28">
        <v>745856</v>
      </c>
      <c r="AD28">
        <v>645325</v>
      </c>
      <c r="AE28">
        <v>295693</v>
      </c>
      <c r="AF28">
        <v>619508</v>
      </c>
    </row>
    <row r="29" spans="1:32" x14ac:dyDescent="0.4">
      <c r="A29" s="1" t="s">
        <v>46</v>
      </c>
      <c r="B29" s="1" t="s">
        <v>47</v>
      </c>
      <c r="C29">
        <v>17678</v>
      </c>
      <c r="D29">
        <v>6410932</v>
      </c>
      <c r="E29">
        <v>127567</v>
      </c>
      <c r="F29">
        <v>39334270</v>
      </c>
      <c r="G29">
        <v>8094</v>
      </c>
      <c r="H29">
        <v>4418400</v>
      </c>
      <c r="I29">
        <v>2954</v>
      </c>
      <c r="J29">
        <v>994178</v>
      </c>
      <c r="K29">
        <v>2138</v>
      </c>
      <c r="L29">
        <v>621417</v>
      </c>
      <c r="M29">
        <v>5746</v>
      </c>
      <c r="N29">
        <v>1837684</v>
      </c>
      <c r="O29">
        <v>9096</v>
      </c>
      <c r="P29">
        <v>1775117</v>
      </c>
      <c r="Q29">
        <v>6240</v>
      </c>
      <c r="R29">
        <v>1525848</v>
      </c>
      <c r="S29">
        <v>4173</v>
      </c>
      <c r="T29">
        <v>1035266</v>
      </c>
      <c r="U29">
        <v>7513</v>
      </c>
      <c r="V29">
        <v>2783999</v>
      </c>
      <c r="W29">
        <v>242</v>
      </c>
      <c r="X29">
        <v>139732</v>
      </c>
      <c r="Y29">
        <v>3628923</v>
      </c>
      <c r="Z29">
        <v>3630140</v>
      </c>
      <c r="AA29">
        <v>553619</v>
      </c>
      <c r="AB29">
        <v>1899852</v>
      </c>
      <c r="AC29">
        <v>751961</v>
      </c>
      <c r="AD29">
        <v>654006</v>
      </c>
      <c r="AE29">
        <v>299947</v>
      </c>
      <c r="AF29">
        <v>706718</v>
      </c>
    </row>
    <row r="30" spans="1:32" x14ac:dyDescent="0.4">
      <c r="A30" s="1" t="s">
        <v>48</v>
      </c>
      <c r="B30" s="1" t="s">
        <v>49</v>
      </c>
      <c r="C30">
        <v>17765</v>
      </c>
      <c r="D30">
        <v>6384551</v>
      </c>
      <c r="E30">
        <v>134561</v>
      </c>
      <c r="F30">
        <v>41653279</v>
      </c>
      <c r="G30">
        <v>8628</v>
      </c>
      <c r="H30">
        <v>4669342</v>
      </c>
      <c r="I30">
        <v>2879</v>
      </c>
      <c r="J30">
        <v>915635</v>
      </c>
      <c r="K30">
        <v>2101</v>
      </c>
      <c r="L30">
        <v>598504</v>
      </c>
      <c r="M30">
        <v>5509</v>
      </c>
      <c r="N30">
        <v>1773616</v>
      </c>
      <c r="O30">
        <v>9232</v>
      </c>
      <c r="P30">
        <v>1847940</v>
      </c>
      <c r="Q30">
        <v>6592</v>
      </c>
      <c r="R30">
        <v>1636375</v>
      </c>
      <c r="S30">
        <v>4443</v>
      </c>
      <c r="T30">
        <v>1093800</v>
      </c>
      <c r="U30">
        <v>8237</v>
      </c>
      <c r="V30">
        <v>2946692</v>
      </c>
      <c r="W30">
        <v>278</v>
      </c>
      <c r="X30">
        <v>172777</v>
      </c>
      <c r="Y30">
        <v>3873710</v>
      </c>
      <c r="Z30">
        <v>3807532</v>
      </c>
      <c r="AA30">
        <v>621903</v>
      </c>
      <c r="AB30">
        <v>1893792</v>
      </c>
      <c r="AC30">
        <v>808498</v>
      </c>
      <c r="AD30">
        <v>714262</v>
      </c>
      <c r="AE30">
        <v>307899</v>
      </c>
      <c r="AF30">
        <v>757195</v>
      </c>
    </row>
    <row r="31" spans="1:32" x14ac:dyDescent="0.4">
      <c r="A31" s="1" t="s">
        <v>50</v>
      </c>
      <c r="B31" s="1" t="s">
        <v>51</v>
      </c>
      <c r="C31">
        <v>13089</v>
      </c>
      <c r="D31">
        <v>4822207</v>
      </c>
      <c r="E31">
        <v>96801</v>
      </c>
      <c r="F31">
        <v>29465270</v>
      </c>
      <c r="G31">
        <v>7329</v>
      </c>
      <c r="H31">
        <v>3755178</v>
      </c>
      <c r="I31">
        <v>1975</v>
      </c>
      <c r="J31">
        <v>679304</v>
      </c>
      <c r="K31">
        <v>1410</v>
      </c>
      <c r="L31">
        <v>425390</v>
      </c>
      <c r="M31">
        <v>5838</v>
      </c>
      <c r="N31">
        <v>1873879</v>
      </c>
      <c r="O31">
        <v>6792</v>
      </c>
      <c r="P31">
        <v>1319973</v>
      </c>
      <c r="Q31">
        <v>4959</v>
      </c>
      <c r="R31">
        <v>1245355</v>
      </c>
      <c r="S31">
        <v>2906</v>
      </c>
      <c r="T31">
        <v>720143</v>
      </c>
      <c r="U31">
        <v>5609</v>
      </c>
      <c r="V31">
        <v>2153621</v>
      </c>
      <c r="W31">
        <v>194</v>
      </c>
      <c r="X31">
        <v>118066</v>
      </c>
      <c r="Y31">
        <v>2824876</v>
      </c>
      <c r="Z31">
        <v>2801517</v>
      </c>
      <c r="AA31">
        <v>463702</v>
      </c>
      <c r="AB31">
        <v>1483925</v>
      </c>
      <c r="AC31">
        <v>741549</v>
      </c>
      <c r="AD31">
        <v>614795</v>
      </c>
      <c r="AE31">
        <v>288725</v>
      </c>
      <c r="AF31">
        <v>623209</v>
      </c>
    </row>
    <row r="32" spans="1:32" x14ac:dyDescent="0.4">
      <c r="A32" s="1" t="s">
        <v>52</v>
      </c>
      <c r="B32" s="1" t="s">
        <v>53</v>
      </c>
      <c r="C32">
        <v>17801</v>
      </c>
      <c r="D32">
        <v>7792426</v>
      </c>
      <c r="E32">
        <v>130989</v>
      </c>
      <c r="F32">
        <v>40185270</v>
      </c>
      <c r="G32">
        <v>8669</v>
      </c>
      <c r="H32">
        <v>4715186</v>
      </c>
      <c r="I32">
        <v>2713</v>
      </c>
      <c r="J32">
        <v>917598</v>
      </c>
      <c r="K32">
        <v>1065</v>
      </c>
      <c r="L32">
        <v>457545</v>
      </c>
      <c r="M32">
        <v>5765</v>
      </c>
      <c r="N32">
        <v>1851834</v>
      </c>
      <c r="O32">
        <v>9276</v>
      </c>
      <c r="P32">
        <v>1753774</v>
      </c>
      <c r="Q32">
        <v>6439</v>
      </c>
      <c r="R32">
        <v>1670465</v>
      </c>
      <c r="S32">
        <v>4115</v>
      </c>
      <c r="T32">
        <v>1008808</v>
      </c>
      <c r="U32">
        <v>7459</v>
      </c>
      <c r="V32">
        <v>2765186</v>
      </c>
      <c r="W32">
        <v>245</v>
      </c>
      <c r="X32">
        <v>153856</v>
      </c>
      <c r="Y32">
        <v>3954052</v>
      </c>
      <c r="Z32">
        <v>3922815</v>
      </c>
      <c r="AA32">
        <v>506146</v>
      </c>
      <c r="AB32">
        <v>1663557</v>
      </c>
      <c r="AC32">
        <v>802404</v>
      </c>
      <c r="AD32">
        <v>654279</v>
      </c>
      <c r="AE32">
        <v>324324</v>
      </c>
      <c r="AF32">
        <v>641388</v>
      </c>
    </row>
    <row r="33" spans="1:32" x14ac:dyDescent="0.4">
      <c r="A33" s="1" t="s">
        <v>54</v>
      </c>
      <c r="B33" s="1" t="s">
        <v>55</v>
      </c>
      <c r="C33">
        <v>17798</v>
      </c>
      <c r="D33">
        <v>6486417</v>
      </c>
      <c r="E33">
        <v>134865</v>
      </c>
      <c r="F33">
        <v>41609031</v>
      </c>
      <c r="G33">
        <v>8995</v>
      </c>
      <c r="H33">
        <v>4613927</v>
      </c>
      <c r="I33">
        <v>2898</v>
      </c>
      <c r="J33">
        <v>979163</v>
      </c>
      <c r="K33">
        <v>1442</v>
      </c>
      <c r="L33">
        <v>496045</v>
      </c>
      <c r="M33">
        <v>6308</v>
      </c>
      <c r="N33">
        <v>2018200</v>
      </c>
      <c r="O33">
        <v>7857</v>
      </c>
      <c r="P33">
        <v>1692886</v>
      </c>
      <c r="Q33">
        <v>6677</v>
      </c>
      <c r="R33">
        <v>1617740</v>
      </c>
      <c r="S33">
        <v>4319</v>
      </c>
      <c r="T33">
        <v>1062345</v>
      </c>
      <c r="U33">
        <v>7545</v>
      </c>
      <c r="V33">
        <v>2794473</v>
      </c>
      <c r="W33">
        <v>258</v>
      </c>
      <c r="X33">
        <v>164694</v>
      </c>
      <c r="Y33">
        <v>4205188</v>
      </c>
      <c r="Z33">
        <v>4076676</v>
      </c>
      <c r="AA33">
        <v>509229</v>
      </c>
      <c r="AB33">
        <v>1557436</v>
      </c>
      <c r="AC33">
        <v>868561</v>
      </c>
      <c r="AD33">
        <v>721538</v>
      </c>
      <c r="AE33">
        <v>351720</v>
      </c>
      <c r="AF33">
        <v>712902</v>
      </c>
    </row>
    <row r="34" spans="1:32" x14ac:dyDescent="0.4">
      <c r="A34" s="1" t="s">
        <v>56</v>
      </c>
      <c r="B34" s="1" t="s">
        <v>57</v>
      </c>
      <c r="C34">
        <v>16260</v>
      </c>
      <c r="D34">
        <v>5905565</v>
      </c>
      <c r="E34">
        <v>117249</v>
      </c>
      <c r="F34">
        <v>35812989</v>
      </c>
      <c r="G34">
        <v>8262</v>
      </c>
      <c r="H34">
        <v>4246185</v>
      </c>
      <c r="I34">
        <v>2724</v>
      </c>
      <c r="J34">
        <v>826261</v>
      </c>
      <c r="K34">
        <v>2229</v>
      </c>
      <c r="L34">
        <v>629167</v>
      </c>
      <c r="M34">
        <v>6000</v>
      </c>
      <c r="N34">
        <v>1911095</v>
      </c>
      <c r="O34">
        <v>8254</v>
      </c>
      <c r="P34">
        <v>1557136</v>
      </c>
      <c r="Q34">
        <v>5954</v>
      </c>
      <c r="R34">
        <v>1440820</v>
      </c>
      <c r="S34">
        <v>3622</v>
      </c>
      <c r="T34">
        <v>904721</v>
      </c>
      <c r="U34">
        <v>6506</v>
      </c>
      <c r="V34">
        <v>2468369</v>
      </c>
      <c r="W34">
        <v>217</v>
      </c>
      <c r="X34">
        <v>146526</v>
      </c>
      <c r="Y34">
        <v>3900267</v>
      </c>
      <c r="Z34">
        <v>3800122</v>
      </c>
      <c r="AA34">
        <v>501751</v>
      </c>
      <c r="AB34">
        <v>1562902</v>
      </c>
      <c r="AC34">
        <v>756855</v>
      </c>
      <c r="AD34">
        <v>628706</v>
      </c>
      <c r="AE34">
        <v>304987</v>
      </c>
      <c r="AF34">
        <v>631186</v>
      </c>
    </row>
    <row r="35" spans="1:32" x14ac:dyDescent="0.4">
      <c r="A35" s="1" t="s">
        <v>58</v>
      </c>
      <c r="B35" s="1" t="s">
        <v>59</v>
      </c>
      <c r="C35">
        <v>16609</v>
      </c>
      <c r="D35">
        <v>6366800</v>
      </c>
      <c r="E35">
        <v>117969</v>
      </c>
      <c r="F35">
        <v>36060541</v>
      </c>
      <c r="G35">
        <v>8050</v>
      </c>
      <c r="H35">
        <v>4668548</v>
      </c>
      <c r="I35">
        <v>2507</v>
      </c>
      <c r="J35">
        <v>814559</v>
      </c>
      <c r="K35">
        <v>1900</v>
      </c>
      <c r="L35">
        <v>542100</v>
      </c>
      <c r="M35">
        <v>6373</v>
      </c>
      <c r="N35">
        <v>2043972</v>
      </c>
      <c r="O35">
        <v>7202</v>
      </c>
      <c r="P35">
        <v>1559358</v>
      </c>
      <c r="Q35">
        <v>5743</v>
      </c>
      <c r="R35">
        <v>1427904</v>
      </c>
      <c r="S35">
        <v>3261</v>
      </c>
      <c r="T35">
        <v>827490</v>
      </c>
      <c r="U35">
        <v>6544</v>
      </c>
      <c r="V35">
        <v>2490575</v>
      </c>
      <c r="W35">
        <v>224</v>
      </c>
      <c r="X35">
        <v>118794</v>
      </c>
      <c r="Y35">
        <v>3990373</v>
      </c>
      <c r="Z35">
        <v>3860012</v>
      </c>
      <c r="AA35">
        <v>572926</v>
      </c>
      <c r="AB35">
        <v>1824691</v>
      </c>
      <c r="AC35">
        <v>765567</v>
      </c>
      <c r="AD35">
        <v>636485</v>
      </c>
      <c r="AE35">
        <v>315952</v>
      </c>
      <c r="AF35">
        <v>649257</v>
      </c>
    </row>
    <row r="36" spans="1:32" x14ac:dyDescent="0.4">
      <c r="A36" s="1" t="s">
        <v>60</v>
      </c>
      <c r="B36" s="1" t="s">
        <v>61</v>
      </c>
      <c r="C36">
        <v>16471</v>
      </c>
      <c r="D36">
        <v>6051405</v>
      </c>
      <c r="E36">
        <v>112924</v>
      </c>
      <c r="F36">
        <v>34825712</v>
      </c>
      <c r="G36">
        <v>7575</v>
      </c>
      <c r="H36">
        <v>4225036</v>
      </c>
      <c r="I36">
        <v>2728</v>
      </c>
      <c r="J36">
        <v>875636</v>
      </c>
      <c r="K36">
        <v>1668</v>
      </c>
      <c r="L36">
        <v>501823</v>
      </c>
      <c r="M36">
        <v>6355</v>
      </c>
      <c r="N36">
        <v>2047389</v>
      </c>
      <c r="O36">
        <v>7209</v>
      </c>
      <c r="P36">
        <v>1457586</v>
      </c>
      <c r="Q36">
        <v>5694</v>
      </c>
      <c r="R36">
        <v>1416629</v>
      </c>
      <c r="S36">
        <v>3288</v>
      </c>
      <c r="T36">
        <v>815478</v>
      </c>
      <c r="U36">
        <v>6453</v>
      </c>
      <c r="V36">
        <v>2452683</v>
      </c>
      <c r="W36">
        <v>229</v>
      </c>
      <c r="X36">
        <v>121827</v>
      </c>
      <c r="Y36">
        <v>3782995</v>
      </c>
      <c r="Z36">
        <v>3677194</v>
      </c>
      <c r="AA36">
        <v>519429</v>
      </c>
      <c r="AB36">
        <v>1453808</v>
      </c>
      <c r="AC36">
        <v>799856</v>
      </c>
      <c r="AD36">
        <v>670420</v>
      </c>
      <c r="AE36">
        <v>292065</v>
      </c>
      <c r="AF36">
        <v>572794</v>
      </c>
    </row>
    <row r="37" spans="1:32" x14ac:dyDescent="0.4">
      <c r="A37" s="1" t="s">
        <v>62</v>
      </c>
      <c r="B37" s="1" t="s">
        <v>63</v>
      </c>
      <c r="C37">
        <v>16900</v>
      </c>
      <c r="D37">
        <v>6235417</v>
      </c>
      <c r="E37">
        <v>121965</v>
      </c>
      <c r="F37">
        <v>37358176</v>
      </c>
      <c r="G37">
        <v>8237</v>
      </c>
      <c r="H37">
        <v>4535290</v>
      </c>
      <c r="I37">
        <v>2624</v>
      </c>
      <c r="J37">
        <v>876978</v>
      </c>
      <c r="K37">
        <v>1880</v>
      </c>
      <c r="L37">
        <v>529009</v>
      </c>
      <c r="M37">
        <v>6612</v>
      </c>
      <c r="N37">
        <v>2123054</v>
      </c>
      <c r="O37">
        <v>9713</v>
      </c>
      <c r="P37">
        <v>1830926</v>
      </c>
      <c r="Q37">
        <v>5811</v>
      </c>
      <c r="R37">
        <v>1481006</v>
      </c>
      <c r="S37">
        <v>3361</v>
      </c>
      <c r="T37">
        <v>831598</v>
      </c>
      <c r="U37">
        <v>6793</v>
      </c>
      <c r="V37">
        <v>2472460</v>
      </c>
      <c r="W37">
        <v>210</v>
      </c>
      <c r="X37">
        <v>120779</v>
      </c>
      <c r="Y37">
        <v>4102152</v>
      </c>
      <c r="Z37">
        <v>4059522</v>
      </c>
      <c r="AA37">
        <v>632985</v>
      </c>
      <c r="AB37">
        <v>1796776</v>
      </c>
      <c r="AC37">
        <v>733798</v>
      </c>
      <c r="AD37">
        <v>651732</v>
      </c>
      <c r="AE37">
        <v>279646</v>
      </c>
      <c r="AF37">
        <v>532271</v>
      </c>
    </row>
    <row r="38" spans="1:32" x14ac:dyDescent="0.4">
      <c r="A38" s="1" t="s">
        <v>64</v>
      </c>
      <c r="B38" s="1" t="s">
        <v>65</v>
      </c>
      <c r="C38">
        <v>18430</v>
      </c>
      <c r="D38">
        <v>6922647</v>
      </c>
      <c r="E38">
        <v>133080</v>
      </c>
      <c r="F38">
        <v>41073390</v>
      </c>
      <c r="G38">
        <v>8170</v>
      </c>
      <c r="H38">
        <v>4691593</v>
      </c>
      <c r="I38">
        <v>2953</v>
      </c>
      <c r="J38">
        <v>889759</v>
      </c>
      <c r="K38">
        <v>1866</v>
      </c>
      <c r="L38">
        <v>559471</v>
      </c>
      <c r="M38">
        <v>7123</v>
      </c>
      <c r="N38">
        <v>2292103</v>
      </c>
      <c r="O38">
        <v>9365</v>
      </c>
      <c r="P38">
        <v>1845299</v>
      </c>
      <c r="Q38">
        <v>6512</v>
      </c>
      <c r="R38">
        <v>1622458</v>
      </c>
      <c r="S38">
        <v>4004</v>
      </c>
      <c r="T38">
        <v>980768</v>
      </c>
      <c r="U38">
        <v>7397</v>
      </c>
      <c r="V38">
        <v>2712855</v>
      </c>
      <c r="W38">
        <v>234</v>
      </c>
      <c r="X38">
        <v>125088</v>
      </c>
      <c r="Y38">
        <v>4133734</v>
      </c>
      <c r="Z38">
        <v>4034695</v>
      </c>
      <c r="AA38">
        <v>596741</v>
      </c>
      <c r="AB38">
        <v>1763894</v>
      </c>
      <c r="AC38">
        <v>794270</v>
      </c>
      <c r="AD38">
        <v>693043</v>
      </c>
      <c r="AE38">
        <v>331764</v>
      </c>
      <c r="AF38">
        <v>622448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C602B-E942-4CBF-BD2B-F0C607497B59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1736</v>
      </c>
      <c r="D3" t="s">
        <v>1736</v>
      </c>
      <c r="E3" t="s">
        <v>1738</v>
      </c>
      <c r="F3" t="s">
        <v>1738</v>
      </c>
      <c r="G3" t="s">
        <v>1740</v>
      </c>
      <c r="H3" t="s">
        <v>1740</v>
      </c>
      <c r="I3" t="s">
        <v>1742</v>
      </c>
      <c r="J3" t="s">
        <v>1742</v>
      </c>
      <c r="K3" t="s">
        <v>1744</v>
      </c>
      <c r="L3" t="s">
        <v>1744</v>
      </c>
      <c r="M3" t="s">
        <v>1746</v>
      </c>
      <c r="N3" t="s">
        <v>1746</v>
      </c>
      <c r="O3" t="s">
        <v>1748</v>
      </c>
      <c r="P3" t="s">
        <v>1748</v>
      </c>
      <c r="Q3" t="s">
        <v>1750</v>
      </c>
      <c r="R3" t="s">
        <v>1750</v>
      </c>
      <c r="S3" t="s">
        <v>1752</v>
      </c>
      <c r="T3" t="s">
        <v>1752</v>
      </c>
      <c r="U3" t="s">
        <v>1754</v>
      </c>
      <c r="V3" t="s">
        <v>1754</v>
      </c>
      <c r="W3" t="s">
        <v>1756</v>
      </c>
      <c r="X3" t="s">
        <v>1756</v>
      </c>
      <c r="Y3" t="s">
        <v>1758</v>
      </c>
      <c r="Z3" t="s">
        <v>1758</v>
      </c>
      <c r="AA3" t="s">
        <v>1760</v>
      </c>
      <c r="AB3" t="s">
        <v>1760</v>
      </c>
      <c r="AC3" t="s">
        <v>1762</v>
      </c>
      <c r="AD3" t="s">
        <v>1762</v>
      </c>
    </row>
    <row r="4" spans="1:30" x14ac:dyDescent="0.4">
      <c r="A4" s="1"/>
      <c r="B4" s="2" t="s">
        <v>1</v>
      </c>
      <c r="C4" t="s">
        <v>1737</v>
      </c>
      <c r="D4" t="s">
        <v>1737</v>
      </c>
      <c r="E4" t="s">
        <v>1739</v>
      </c>
      <c r="F4" t="s">
        <v>1739</v>
      </c>
      <c r="G4" t="s">
        <v>1741</v>
      </c>
      <c r="H4" t="s">
        <v>1741</v>
      </c>
      <c r="I4" t="s">
        <v>1743</v>
      </c>
      <c r="J4" t="s">
        <v>1743</v>
      </c>
      <c r="K4" t="s">
        <v>1745</v>
      </c>
      <c r="L4" t="s">
        <v>1745</v>
      </c>
      <c r="M4" t="s">
        <v>1747</v>
      </c>
      <c r="N4" t="s">
        <v>1747</v>
      </c>
      <c r="O4" t="s">
        <v>1749</v>
      </c>
      <c r="P4" t="s">
        <v>1749</v>
      </c>
      <c r="Q4" t="s">
        <v>1751</v>
      </c>
      <c r="R4" t="s">
        <v>1751</v>
      </c>
      <c r="S4" t="s">
        <v>1753</v>
      </c>
      <c r="T4" t="s">
        <v>1753</v>
      </c>
      <c r="U4" t="s">
        <v>1755</v>
      </c>
      <c r="V4" t="s">
        <v>1755</v>
      </c>
      <c r="W4" t="s">
        <v>1757</v>
      </c>
      <c r="X4" t="s">
        <v>1757</v>
      </c>
      <c r="Y4" t="s">
        <v>1759</v>
      </c>
      <c r="Z4" t="s">
        <v>1759</v>
      </c>
      <c r="AA4" t="s">
        <v>1761</v>
      </c>
      <c r="AB4" t="s">
        <v>1761</v>
      </c>
      <c r="AC4" t="s">
        <v>1763</v>
      </c>
      <c r="AD4" t="s">
        <v>1763</v>
      </c>
    </row>
    <row r="5" spans="1:3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398</v>
      </c>
      <c r="P5" t="s">
        <v>400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398</v>
      </c>
      <c r="AD5" t="s">
        <v>400</v>
      </c>
    </row>
    <row r="6" spans="1:3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399</v>
      </c>
      <c r="P6" t="s">
        <v>401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399</v>
      </c>
      <c r="AD6" t="s">
        <v>401</v>
      </c>
    </row>
    <row r="7" spans="1:3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70</v>
      </c>
      <c r="P7" t="s">
        <v>70</v>
      </c>
      <c r="Q7" t="s">
        <v>70</v>
      </c>
      <c r="R7" t="s">
        <v>258</v>
      </c>
      <c r="S7" t="s">
        <v>70</v>
      </c>
      <c r="T7" t="s">
        <v>258</v>
      </c>
      <c r="U7" t="s">
        <v>70</v>
      </c>
      <c r="V7" t="s">
        <v>258</v>
      </c>
      <c r="W7" t="s">
        <v>70</v>
      </c>
      <c r="X7" t="s">
        <v>258</v>
      </c>
      <c r="Y7" t="s">
        <v>70</v>
      </c>
      <c r="Z7" t="s">
        <v>258</v>
      </c>
      <c r="AA7" t="s">
        <v>70</v>
      </c>
      <c r="AB7" t="s">
        <v>258</v>
      </c>
      <c r="AC7" t="s">
        <v>70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70</v>
      </c>
      <c r="P8" t="s">
        <v>70</v>
      </c>
      <c r="Q8" t="s">
        <v>70</v>
      </c>
      <c r="R8" t="s">
        <v>260</v>
      </c>
      <c r="S8" t="s">
        <v>70</v>
      </c>
      <c r="T8" t="s">
        <v>260</v>
      </c>
      <c r="U8" t="s">
        <v>70</v>
      </c>
      <c r="V8" t="s">
        <v>260</v>
      </c>
      <c r="W8" t="s">
        <v>70</v>
      </c>
      <c r="X8" t="s">
        <v>260</v>
      </c>
      <c r="Y8" t="s">
        <v>70</v>
      </c>
      <c r="Z8" t="s">
        <v>260</v>
      </c>
      <c r="AA8" t="s">
        <v>70</v>
      </c>
      <c r="AB8" t="s">
        <v>260</v>
      </c>
      <c r="AC8" t="s">
        <v>70</v>
      </c>
      <c r="AD8" t="s">
        <v>70</v>
      </c>
    </row>
    <row r="9" spans="1:30" x14ac:dyDescent="0.4">
      <c r="A9" s="1" t="s">
        <v>6</v>
      </c>
      <c r="B9" s="3" t="s">
        <v>7</v>
      </c>
      <c r="C9">
        <v>195206</v>
      </c>
      <c r="D9">
        <v>50231</v>
      </c>
      <c r="E9">
        <v>78445</v>
      </c>
      <c r="F9">
        <v>17542</v>
      </c>
      <c r="G9">
        <v>211373</v>
      </c>
      <c r="H9">
        <v>65740</v>
      </c>
      <c r="I9">
        <v>1165442</v>
      </c>
      <c r="J9">
        <v>205398</v>
      </c>
      <c r="K9">
        <v>123977</v>
      </c>
      <c r="L9">
        <v>30175</v>
      </c>
      <c r="M9">
        <v>56743</v>
      </c>
      <c r="N9">
        <v>16571</v>
      </c>
      <c r="O9">
        <v>1152652</v>
      </c>
      <c r="P9">
        <v>53790</v>
      </c>
      <c r="Q9">
        <v>239203</v>
      </c>
      <c r="R9">
        <v>67607</v>
      </c>
      <c r="S9">
        <v>13102</v>
      </c>
      <c r="T9">
        <v>2996</v>
      </c>
      <c r="U9">
        <v>132768</v>
      </c>
      <c r="V9">
        <v>38581</v>
      </c>
      <c r="W9">
        <v>821204</v>
      </c>
      <c r="X9">
        <v>175027</v>
      </c>
      <c r="Y9">
        <v>46217</v>
      </c>
      <c r="Z9">
        <v>11655</v>
      </c>
      <c r="AA9">
        <v>86671</v>
      </c>
      <c r="AB9">
        <v>26082</v>
      </c>
      <c r="AC9">
        <v>964068</v>
      </c>
      <c r="AD9">
        <v>39820</v>
      </c>
    </row>
    <row r="10" spans="1:30" x14ac:dyDescent="0.4">
      <c r="A10" s="1" t="s">
        <v>8</v>
      </c>
      <c r="B10" s="3" t="s">
        <v>9</v>
      </c>
      <c r="C10">
        <v>191492</v>
      </c>
      <c r="D10">
        <v>55690</v>
      </c>
      <c r="E10">
        <v>94001</v>
      </c>
      <c r="F10">
        <v>23564</v>
      </c>
      <c r="G10">
        <v>206966</v>
      </c>
      <c r="H10">
        <v>73212</v>
      </c>
      <c r="I10">
        <v>1127841</v>
      </c>
      <c r="J10">
        <v>216872</v>
      </c>
      <c r="K10">
        <v>126141</v>
      </c>
      <c r="L10">
        <v>32515</v>
      </c>
      <c r="M10">
        <v>53417</v>
      </c>
      <c r="N10">
        <v>17723</v>
      </c>
      <c r="O10">
        <v>1130839</v>
      </c>
      <c r="P10">
        <v>55040</v>
      </c>
      <c r="Q10">
        <v>223709</v>
      </c>
      <c r="R10">
        <v>71067</v>
      </c>
      <c r="S10">
        <v>12834</v>
      </c>
      <c r="T10">
        <v>3186</v>
      </c>
      <c r="U10">
        <v>133352</v>
      </c>
      <c r="V10">
        <v>41477</v>
      </c>
      <c r="W10">
        <v>808043</v>
      </c>
      <c r="X10">
        <v>179525</v>
      </c>
      <c r="Y10">
        <v>52977</v>
      </c>
      <c r="Z10">
        <v>14583</v>
      </c>
      <c r="AA10">
        <v>84321</v>
      </c>
      <c r="AB10">
        <v>27313</v>
      </c>
      <c r="AC10">
        <v>932431</v>
      </c>
      <c r="AD10">
        <v>38380</v>
      </c>
    </row>
    <row r="11" spans="1:30" x14ac:dyDescent="0.4">
      <c r="A11" s="1" t="s">
        <v>10</v>
      </c>
      <c r="B11" s="3" t="s">
        <v>11</v>
      </c>
      <c r="C11">
        <v>168966</v>
      </c>
      <c r="D11">
        <v>54657</v>
      </c>
      <c r="E11">
        <v>84556</v>
      </c>
      <c r="F11">
        <v>23629</v>
      </c>
      <c r="G11">
        <v>188313</v>
      </c>
      <c r="H11">
        <v>73946</v>
      </c>
      <c r="I11">
        <v>1176456</v>
      </c>
      <c r="J11">
        <v>235354</v>
      </c>
      <c r="K11">
        <v>117840</v>
      </c>
      <c r="L11">
        <v>34139</v>
      </c>
      <c r="M11">
        <v>47475</v>
      </c>
      <c r="N11">
        <v>16126</v>
      </c>
      <c r="O11">
        <v>1102076</v>
      </c>
      <c r="P11">
        <v>53413</v>
      </c>
      <c r="Q11">
        <v>200249</v>
      </c>
      <c r="R11">
        <v>65776</v>
      </c>
      <c r="S11">
        <v>10138</v>
      </c>
      <c r="T11">
        <v>2615</v>
      </c>
      <c r="U11">
        <v>119571</v>
      </c>
      <c r="V11">
        <v>39026</v>
      </c>
      <c r="W11">
        <v>840326</v>
      </c>
      <c r="X11">
        <v>192019</v>
      </c>
      <c r="Y11">
        <v>50752</v>
      </c>
      <c r="Z11">
        <v>15438</v>
      </c>
      <c r="AA11">
        <v>75639</v>
      </c>
      <c r="AB11">
        <v>26938</v>
      </c>
      <c r="AC11">
        <v>888439</v>
      </c>
      <c r="AD11">
        <v>38855</v>
      </c>
    </row>
    <row r="12" spans="1:30" x14ac:dyDescent="0.4">
      <c r="A12" s="1" t="s">
        <v>12</v>
      </c>
      <c r="B12" s="3" t="s">
        <v>13</v>
      </c>
      <c r="C12">
        <v>148289</v>
      </c>
      <c r="D12">
        <v>49030</v>
      </c>
      <c r="E12">
        <v>76225</v>
      </c>
      <c r="F12">
        <v>21943</v>
      </c>
      <c r="G12">
        <v>170471</v>
      </c>
      <c r="H12">
        <v>67872</v>
      </c>
      <c r="I12">
        <v>1106429</v>
      </c>
      <c r="J12">
        <v>217471</v>
      </c>
      <c r="K12">
        <v>99596</v>
      </c>
      <c r="L12">
        <v>29147</v>
      </c>
      <c r="M12">
        <v>46387</v>
      </c>
      <c r="N12">
        <v>15737</v>
      </c>
      <c r="O12">
        <v>1008970</v>
      </c>
      <c r="P12">
        <v>51908</v>
      </c>
      <c r="Q12">
        <v>186303</v>
      </c>
      <c r="R12">
        <v>62964</v>
      </c>
      <c r="S12">
        <v>9780</v>
      </c>
      <c r="T12">
        <v>2642</v>
      </c>
      <c r="U12">
        <v>104767</v>
      </c>
      <c r="V12">
        <v>35676</v>
      </c>
      <c r="W12">
        <v>796450</v>
      </c>
      <c r="X12">
        <v>182667</v>
      </c>
      <c r="Y12">
        <v>47488</v>
      </c>
      <c r="Z12">
        <v>14299</v>
      </c>
      <c r="AA12">
        <v>73814</v>
      </c>
      <c r="AB12">
        <v>28124</v>
      </c>
      <c r="AC12">
        <v>823191</v>
      </c>
      <c r="AD12">
        <v>37950</v>
      </c>
    </row>
    <row r="13" spans="1:30" x14ac:dyDescent="0.4">
      <c r="A13" s="1" t="s">
        <v>14</v>
      </c>
      <c r="B13" s="3" t="s">
        <v>15</v>
      </c>
      <c r="C13">
        <v>144878</v>
      </c>
      <c r="D13">
        <v>49476</v>
      </c>
      <c r="E13">
        <v>70210</v>
      </c>
      <c r="F13">
        <v>20575</v>
      </c>
      <c r="G13">
        <v>172249</v>
      </c>
      <c r="H13">
        <v>71643</v>
      </c>
      <c r="I13">
        <v>1135535</v>
      </c>
      <c r="J13">
        <v>219963</v>
      </c>
      <c r="K13">
        <v>98899</v>
      </c>
      <c r="L13">
        <v>30601</v>
      </c>
      <c r="M13">
        <v>40385</v>
      </c>
      <c r="N13">
        <v>13829</v>
      </c>
      <c r="O13">
        <v>1009637</v>
      </c>
      <c r="P13">
        <v>54354</v>
      </c>
      <c r="Q13">
        <v>183651</v>
      </c>
      <c r="R13">
        <v>64676</v>
      </c>
      <c r="S13">
        <v>8731</v>
      </c>
      <c r="T13">
        <v>2469</v>
      </c>
      <c r="U13">
        <v>105056</v>
      </c>
      <c r="V13">
        <v>35521</v>
      </c>
      <c r="W13">
        <v>831953</v>
      </c>
      <c r="X13">
        <v>190169</v>
      </c>
      <c r="Y13">
        <v>48593</v>
      </c>
      <c r="Z13">
        <v>14647</v>
      </c>
      <c r="AA13">
        <v>71975</v>
      </c>
      <c r="AB13">
        <v>26982</v>
      </c>
      <c r="AC13">
        <v>850110</v>
      </c>
      <c r="AD13">
        <v>38501</v>
      </c>
    </row>
    <row r="14" spans="1:30" x14ac:dyDescent="0.4">
      <c r="A14" s="1" t="s">
        <v>16</v>
      </c>
      <c r="B14" s="1" t="s">
        <v>17</v>
      </c>
      <c r="C14">
        <v>13015</v>
      </c>
      <c r="D14">
        <v>4287</v>
      </c>
      <c r="E14">
        <v>6887</v>
      </c>
      <c r="F14">
        <v>1929</v>
      </c>
      <c r="G14">
        <v>14236</v>
      </c>
      <c r="H14">
        <v>5888</v>
      </c>
      <c r="I14">
        <v>90602</v>
      </c>
      <c r="J14">
        <v>18109</v>
      </c>
      <c r="K14">
        <v>8686</v>
      </c>
      <c r="L14">
        <v>2468</v>
      </c>
      <c r="M14">
        <v>3972</v>
      </c>
      <c r="N14">
        <v>1350</v>
      </c>
      <c r="O14">
        <v>84712</v>
      </c>
      <c r="P14">
        <v>53137</v>
      </c>
      <c r="Q14">
        <v>15568</v>
      </c>
      <c r="R14">
        <v>5095</v>
      </c>
      <c r="S14">
        <v>895</v>
      </c>
      <c r="T14">
        <v>226</v>
      </c>
      <c r="U14">
        <v>8899</v>
      </c>
      <c r="V14">
        <v>2948</v>
      </c>
      <c r="W14">
        <v>65471</v>
      </c>
      <c r="X14">
        <v>15146</v>
      </c>
      <c r="Y14">
        <v>4205</v>
      </c>
      <c r="Z14">
        <v>1259</v>
      </c>
      <c r="AA14">
        <v>6377</v>
      </c>
      <c r="AB14">
        <v>2464</v>
      </c>
      <c r="AC14">
        <v>69024</v>
      </c>
      <c r="AD14">
        <v>38499</v>
      </c>
    </row>
    <row r="15" spans="1:30" x14ac:dyDescent="0.4">
      <c r="A15" s="1" t="s">
        <v>18</v>
      </c>
      <c r="B15" s="1" t="s">
        <v>19</v>
      </c>
      <c r="C15">
        <v>13253</v>
      </c>
      <c r="D15">
        <v>4322</v>
      </c>
      <c r="E15">
        <v>6664</v>
      </c>
      <c r="F15">
        <v>1934</v>
      </c>
      <c r="G15">
        <v>14817</v>
      </c>
      <c r="H15">
        <v>5755</v>
      </c>
      <c r="I15">
        <v>93787</v>
      </c>
      <c r="J15">
        <v>18166</v>
      </c>
      <c r="K15">
        <v>8106</v>
      </c>
      <c r="L15">
        <v>2376</v>
      </c>
      <c r="M15">
        <v>4177</v>
      </c>
      <c r="N15">
        <v>1456</v>
      </c>
      <c r="O15">
        <v>85432</v>
      </c>
      <c r="P15">
        <v>53664</v>
      </c>
      <c r="Q15">
        <v>15744</v>
      </c>
      <c r="R15">
        <v>5157</v>
      </c>
      <c r="S15">
        <v>781</v>
      </c>
      <c r="T15">
        <v>207</v>
      </c>
      <c r="U15">
        <v>9515</v>
      </c>
      <c r="V15">
        <v>3248</v>
      </c>
      <c r="W15">
        <v>66502</v>
      </c>
      <c r="X15">
        <v>15302</v>
      </c>
      <c r="Y15">
        <v>3978</v>
      </c>
      <c r="Z15">
        <v>1188</v>
      </c>
      <c r="AA15">
        <v>6081</v>
      </c>
      <c r="AB15">
        <v>2282</v>
      </c>
      <c r="AC15">
        <v>66883</v>
      </c>
      <c r="AD15">
        <v>38992</v>
      </c>
    </row>
    <row r="16" spans="1:30" x14ac:dyDescent="0.4">
      <c r="A16" s="1" t="s">
        <v>20</v>
      </c>
      <c r="B16" s="1" t="s">
        <v>21</v>
      </c>
      <c r="C16">
        <v>12226</v>
      </c>
      <c r="D16">
        <v>4135</v>
      </c>
      <c r="E16">
        <v>6471</v>
      </c>
      <c r="F16">
        <v>1874</v>
      </c>
      <c r="G16">
        <v>13638</v>
      </c>
      <c r="H16">
        <v>5365</v>
      </c>
      <c r="I16">
        <v>92200</v>
      </c>
      <c r="J16">
        <v>17944</v>
      </c>
      <c r="K16">
        <v>7729</v>
      </c>
      <c r="L16">
        <v>2222</v>
      </c>
      <c r="M16">
        <v>3963</v>
      </c>
      <c r="N16">
        <v>1380</v>
      </c>
      <c r="O16">
        <v>83612</v>
      </c>
      <c r="P16">
        <v>52839</v>
      </c>
      <c r="Q16">
        <v>15001</v>
      </c>
      <c r="R16">
        <v>5059</v>
      </c>
      <c r="S16">
        <v>781</v>
      </c>
      <c r="T16">
        <v>208</v>
      </c>
      <c r="U16">
        <v>9126</v>
      </c>
      <c r="V16">
        <v>3127</v>
      </c>
      <c r="W16">
        <v>65225</v>
      </c>
      <c r="X16">
        <v>14770</v>
      </c>
      <c r="Y16">
        <v>4011</v>
      </c>
      <c r="Z16">
        <v>1199</v>
      </c>
      <c r="AA16">
        <v>5767</v>
      </c>
      <c r="AB16">
        <v>2162</v>
      </c>
      <c r="AC16">
        <v>67634</v>
      </c>
      <c r="AD16">
        <v>38148</v>
      </c>
    </row>
    <row r="17" spans="1:30" x14ac:dyDescent="0.4">
      <c r="A17" s="1" t="s">
        <v>22</v>
      </c>
      <c r="B17" s="1" t="s">
        <v>23</v>
      </c>
      <c r="C17">
        <v>12734</v>
      </c>
      <c r="D17">
        <v>4241</v>
      </c>
      <c r="E17">
        <v>6241</v>
      </c>
      <c r="F17">
        <v>1816</v>
      </c>
      <c r="G17">
        <v>14503</v>
      </c>
      <c r="H17">
        <v>5844</v>
      </c>
      <c r="I17">
        <v>93126</v>
      </c>
      <c r="J17">
        <v>18472</v>
      </c>
      <c r="K17">
        <v>7956</v>
      </c>
      <c r="L17">
        <v>2241</v>
      </c>
      <c r="M17">
        <v>3828</v>
      </c>
      <c r="N17">
        <v>1308</v>
      </c>
      <c r="O17">
        <v>87866</v>
      </c>
      <c r="P17">
        <v>50664</v>
      </c>
      <c r="Q17">
        <v>15721</v>
      </c>
      <c r="R17">
        <v>5429</v>
      </c>
      <c r="S17">
        <v>840</v>
      </c>
      <c r="T17">
        <v>222</v>
      </c>
      <c r="U17">
        <v>9283</v>
      </c>
      <c r="V17">
        <v>3233</v>
      </c>
      <c r="W17">
        <v>66266</v>
      </c>
      <c r="X17">
        <v>15330</v>
      </c>
      <c r="Y17">
        <v>4097</v>
      </c>
      <c r="Z17">
        <v>1228</v>
      </c>
      <c r="AA17">
        <v>6179</v>
      </c>
      <c r="AB17">
        <v>2404</v>
      </c>
      <c r="AC17">
        <v>69840</v>
      </c>
      <c r="AD17">
        <v>39964</v>
      </c>
    </row>
    <row r="18" spans="1:30" x14ac:dyDescent="0.4">
      <c r="A18" s="1" t="s">
        <v>24</v>
      </c>
      <c r="B18" s="1" t="s">
        <v>25</v>
      </c>
      <c r="C18">
        <v>13121</v>
      </c>
      <c r="D18">
        <v>4379</v>
      </c>
      <c r="E18">
        <v>6533</v>
      </c>
      <c r="F18">
        <v>1960</v>
      </c>
      <c r="G18">
        <v>14481</v>
      </c>
      <c r="H18">
        <v>5542</v>
      </c>
      <c r="I18">
        <v>108316</v>
      </c>
      <c r="J18">
        <v>21137</v>
      </c>
      <c r="K18">
        <v>8603</v>
      </c>
      <c r="L18">
        <v>2498</v>
      </c>
      <c r="M18">
        <v>4197</v>
      </c>
      <c r="N18">
        <v>1386</v>
      </c>
      <c r="O18">
        <v>93797</v>
      </c>
      <c r="P18">
        <v>50774</v>
      </c>
      <c r="Q18">
        <v>16745</v>
      </c>
      <c r="R18">
        <v>5688</v>
      </c>
      <c r="S18">
        <v>845</v>
      </c>
      <c r="T18">
        <v>224</v>
      </c>
      <c r="U18">
        <v>9545</v>
      </c>
      <c r="V18">
        <v>3344</v>
      </c>
      <c r="W18">
        <v>76907</v>
      </c>
      <c r="X18">
        <v>17447</v>
      </c>
      <c r="Y18">
        <v>4232</v>
      </c>
      <c r="Z18">
        <v>1267</v>
      </c>
      <c r="AA18">
        <v>6443</v>
      </c>
      <c r="AB18">
        <v>2498</v>
      </c>
      <c r="AC18">
        <v>74950</v>
      </c>
      <c r="AD18">
        <v>41348</v>
      </c>
    </row>
    <row r="19" spans="1:30" x14ac:dyDescent="0.4">
      <c r="A19" s="1" t="s">
        <v>26</v>
      </c>
      <c r="B19" s="1" t="s">
        <v>27</v>
      </c>
      <c r="C19">
        <v>10330</v>
      </c>
      <c r="D19">
        <v>3439</v>
      </c>
      <c r="E19">
        <v>5487</v>
      </c>
      <c r="F19">
        <v>1590</v>
      </c>
      <c r="G19">
        <v>12843</v>
      </c>
      <c r="H19">
        <v>5148</v>
      </c>
      <c r="I19">
        <v>74501</v>
      </c>
      <c r="J19">
        <v>14754</v>
      </c>
      <c r="K19">
        <v>6914</v>
      </c>
      <c r="L19">
        <v>2069</v>
      </c>
      <c r="M19">
        <v>3165</v>
      </c>
      <c r="N19">
        <v>1115</v>
      </c>
      <c r="O19">
        <v>71033</v>
      </c>
      <c r="P19">
        <v>51791</v>
      </c>
      <c r="Q19">
        <v>13802</v>
      </c>
      <c r="R19">
        <v>4745</v>
      </c>
      <c r="S19">
        <v>731</v>
      </c>
      <c r="T19">
        <v>203</v>
      </c>
      <c r="U19">
        <v>7403</v>
      </c>
      <c r="V19">
        <v>2477</v>
      </c>
      <c r="W19">
        <v>55107</v>
      </c>
      <c r="X19">
        <v>12725</v>
      </c>
      <c r="Y19">
        <v>3295</v>
      </c>
      <c r="Z19">
        <v>981</v>
      </c>
      <c r="AA19">
        <v>5509</v>
      </c>
      <c r="AB19">
        <v>2122</v>
      </c>
      <c r="AC19">
        <v>59514</v>
      </c>
      <c r="AD19">
        <v>39566</v>
      </c>
    </row>
    <row r="20" spans="1:30" x14ac:dyDescent="0.4">
      <c r="A20" s="1" t="s">
        <v>28</v>
      </c>
      <c r="B20" s="1" t="s">
        <v>29</v>
      </c>
      <c r="C20">
        <v>11965</v>
      </c>
      <c r="D20">
        <v>3980</v>
      </c>
      <c r="E20">
        <v>6400</v>
      </c>
      <c r="F20">
        <v>1805</v>
      </c>
      <c r="G20">
        <v>14827</v>
      </c>
      <c r="H20">
        <v>6071</v>
      </c>
      <c r="I20">
        <v>94047</v>
      </c>
      <c r="J20">
        <v>18511</v>
      </c>
      <c r="K20">
        <v>8267</v>
      </c>
      <c r="L20">
        <v>2379</v>
      </c>
      <c r="M20">
        <v>3859</v>
      </c>
      <c r="N20">
        <v>1285</v>
      </c>
      <c r="O20">
        <v>86039</v>
      </c>
      <c r="P20">
        <v>50748</v>
      </c>
      <c r="Q20">
        <v>16832</v>
      </c>
      <c r="R20">
        <v>5712</v>
      </c>
      <c r="S20">
        <v>889</v>
      </c>
      <c r="T20">
        <v>241</v>
      </c>
      <c r="U20">
        <v>8395</v>
      </c>
      <c r="V20">
        <v>2924</v>
      </c>
      <c r="W20">
        <v>67336</v>
      </c>
      <c r="X20">
        <v>15459</v>
      </c>
      <c r="Y20">
        <v>4061</v>
      </c>
      <c r="Z20">
        <v>1245</v>
      </c>
      <c r="AA20">
        <v>6290</v>
      </c>
      <c r="AB20">
        <v>2376</v>
      </c>
      <c r="AC20">
        <v>71441</v>
      </c>
      <c r="AD20">
        <v>38704</v>
      </c>
    </row>
    <row r="21" spans="1:30" x14ac:dyDescent="0.4">
      <c r="A21" s="1" t="s">
        <v>30</v>
      </c>
      <c r="B21" s="1" t="s">
        <v>31</v>
      </c>
      <c r="C21">
        <v>12879</v>
      </c>
      <c r="D21">
        <v>4262</v>
      </c>
      <c r="E21">
        <v>6338</v>
      </c>
      <c r="F21">
        <v>1822</v>
      </c>
      <c r="G21">
        <v>15511</v>
      </c>
      <c r="H21">
        <v>6113</v>
      </c>
      <c r="I21">
        <v>107851</v>
      </c>
      <c r="J21">
        <v>20541</v>
      </c>
      <c r="K21">
        <v>9297</v>
      </c>
      <c r="L21">
        <v>2685</v>
      </c>
      <c r="M21">
        <v>4316</v>
      </c>
      <c r="N21">
        <v>1365</v>
      </c>
      <c r="O21">
        <v>93829</v>
      </c>
      <c r="P21">
        <v>51286</v>
      </c>
      <c r="Q21">
        <v>17035</v>
      </c>
      <c r="R21">
        <v>5903</v>
      </c>
      <c r="S21">
        <v>911</v>
      </c>
      <c r="T21">
        <v>251</v>
      </c>
      <c r="U21">
        <v>8895</v>
      </c>
      <c r="V21">
        <v>2947</v>
      </c>
      <c r="W21">
        <v>76512</v>
      </c>
      <c r="X21">
        <v>17236</v>
      </c>
      <c r="Y21">
        <v>4171</v>
      </c>
      <c r="Z21">
        <v>1279</v>
      </c>
      <c r="AA21">
        <v>7017</v>
      </c>
      <c r="AB21">
        <v>2678</v>
      </c>
      <c r="AC21">
        <v>75653</v>
      </c>
      <c r="AD21">
        <v>39114</v>
      </c>
    </row>
    <row r="22" spans="1:30" x14ac:dyDescent="0.4">
      <c r="A22" s="1" t="s">
        <v>32</v>
      </c>
      <c r="B22" s="1" t="s">
        <v>33</v>
      </c>
      <c r="C22">
        <v>12227</v>
      </c>
      <c r="D22">
        <v>4050</v>
      </c>
      <c r="E22">
        <v>6345</v>
      </c>
      <c r="F22">
        <v>1809</v>
      </c>
      <c r="G22">
        <v>13852</v>
      </c>
      <c r="H22">
        <v>5575</v>
      </c>
      <c r="I22">
        <v>95612</v>
      </c>
      <c r="J22">
        <v>18675</v>
      </c>
      <c r="K22">
        <v>7963</v>
      </c>
      <c r="L22">
        <v>2405</v>
      </c>
      <c r="M22">
        <v>4024</v>
      </c>
      <c r="N22">
        <v>1291</v>
      </c>
      <c r="O22">
        <v>84459</v>
      </c>
      <c r="P22">
        <v>52245</v>
      </c>
      <c r="Q22">
        <v>15816</v>
      </c>
      <c r="R22">
        <v>5419</v>
      </c>
      <c r="S22">
        <v>860</v>
      </c>
      <c r="T22">
        <v>243</v>
      </c>
      <c r="U22">
        <v>8360</v>
      </c>
      <c r="V22">
        <v>2966</v>
      </c>
      <c r="W22">
        <v>68658</v>
      </c>
      <c r="X22">
        <v>15735</v>
      </c>
      <c r="Y22">
        <v>3861</v>
      </c>
      <c r="Z22">
        <v>1170</v>
      </c>
      <c r="AA22">
        <v>6281</v>
      </c>
      <c r="AB22">
        <v>2422</v>
      </c>
      <c r="AC22">
        <v>70400</v>
      </c>
      <c r="AD22">
        <v>38647</v>
      </c>
    </row>
    <row r="23" spans="1:30" x14ac:dyDescent="0.4">
      <c r="A23" s="1" t="s">
        <v>34</v>
      </c>
      <c r="B23" s="1" t="s">
        <v>35</v>
      </c>
      <c r="C23">
        <v>11531</v>
      </c>
      <c r="D23">
        <v>3856</v>
      </c>
      <c r="E23">
        <v>5788</v>
      </c>
      <c r="F23">
        <v>1664</v>
      </c>
      <c r="G23">
        <v>13841</v>
      </c>
      <c r="H23">
        <v>5570</v>
      </c>
      <c r="I23">
        <v>89188</v>
      </c>
      <c r="J23">
        <v>17447</v>
      </c>
      <c r="K23">
        <v>8592</v>
      </c>
      <c r="L23">
        <v>2422</v>
      </c>
      <c r="M23">
        <v>3509</v>
      </c>
      <c r="N23">
        <v>1283</v>
      </c>
      <c r="O23">
        <v>80697</v>
      </c>
      <c r="P23">
        <v>51908</v>
      </c>
      <c r="Q23">
        <v>14957</v>
      </c>
      <c r="R23">
        <v>5120</v>
      </c>
      <c r="S23">
        <v>851</v>
      </c>
      <c r="T23">
        <v>251</v>
      </c>
      <c r="U23">
        <v>8222</v>
      </c>
      <c r="V23">
        <v>2837</v>
      </c>
      <c r="W23">
        <v>65400</v>
      </c>
      <c r="X23">
        <v>14837</v>
      </c>
      <c r="Y23">
        <v>3754</v>
      </c>
      <c r="Z23">
        <v>1131</v>
      </c>
      <c r="AA23">
        <v>5942</v>
      </c>
      <c r="AB23">
        <v>2227</v>
      </c>
      <c r="AC23">
        <v>67068</v>
      </c>
      <c r="AD23">
        <v>37950</v>
      </c>
    </row>
    <row r="24" spans="1:30" x14ac:dyDescent="0.4">
      <c r="A24" s="1" t="s">
        <v>36</v>
      </c>
      <c r="B24" s="1" t="s">
        <v>37</v>
      </c>
      <c r="C24">
        <v>11822</v>
      </c>
      <c r="D24">
        <v>3973</v>
      </c>
      <c r="E24">
        <v>5918</v>
      </c>
      <c r="F24">
        <v>1728</v>
      </c>
      <c r="G24">
        <v>13605</v>
      </c>
      <c r="H24">
        <v>5538</v>
      </c>
      <c r="I24">
        <v>91214</v>
      </c>
      <c r="J24">
        <v>17643</v>
      </c>
      <c r="K24">
        <v>8037</v>
      </c>
      <c r="L24">
        <v>2376</v>
      </c>
      <c r="M24">
        <v>3351</v>
      </c>
      <c r="N24">
        <v>1122</v>
      </c>
      <c r="O24">
        <v>80939</v>
      </c>
      <c r="P24">
        <v>52282</v>
      </c>
      <c r="Q24">
        <v>14104</v>
      </c>
      <c r="R24">
        <v>4958</v>
      </c>
      <c r="S24">
        <v>870</v>
      </c>
      <c r="T24">
        <v>254</v>
      </c>
      <c r="U24">
        <v>7999</v>
      </c>
      <c r="V24">
        <v>2618</v>
      </c>
      <c r="W24">
        <v>66847</v>
      </c>
      <c r="X24">
        <v>15283</v>
      </c>
      <c r="Y24">
        <v>3814</v>
      </c>
      <c r="Z24">
        <v>1142</v>
      </c>
      <c r="AA24">
        <v>5738</v>
      </c>
      <c r="AB24">
        <v>2174</v>
      </c>
      <c r="AC24">
        <v>68466</v>
      </c>
      <c r="AD24">
        <v>39732</v>
      </c>
    </row>
    <row r="25" spans="1:30" x14ac:dyDescent="0.4">
      <c r="A25" s="1" t="s">
        <v>38</v>
      </c>
      <c r="B25" s="1" t="s">
        <v>39</v>
      </c>
      <c r="C25">
        <v>11859</v>
      </c>
      <c r="D25">
        <v>3911</v>
      </c>
      <c r="E25">
        <v>5796</v>
      </c>
      <c r="F25">
        <v>1708</v>
      </c>
      <c r="G25">
        <v>14342</v>
      </c>
      <c r="H25">
        <v>5916</v>
      </c>
      <c r="I25">
        <v>93732</v>
      </c>
      <c r="J25">
        <v>18364</v>
      </c>
      <c r="K25">
        <v>8070</v>
      </c>
      <c r="L25">
        <v>2385</v>
      </c>
      <c r="M25">
        <v>3394</v>
      </c>
      <c r="N25">
        <v>1182</v>
      </c>
      <c r="O25">
        <v>83455</v>
      </c>
      <c r="P25">
        <v>52781</v>
      </c>
      <c r="Q25">
        <v>15187</v>
      </c>
      <c r="R25">
        <v>5328</v>
      </c>
      <c r="S25">
        <v>815</v>
      </c>
      <c r="T25">
        <v>228</v>
      </c>
      <c r="U25">
        <v>8808</v>
      </c>
      <c r="V25">
        <v>3063</v>
      </c>
      <c r="W25">
        <v>67436</v>
      </c>
      <c r="X25">
        <v>15588</v>
      </c>
      <c r="Y25">
        <v>3861</v>
      </c>
      <c r="Z25">
        <v>1185</v>
      </c>
      <c r="AA25">
        <v>5874</v>
      </c>
      <c r="AB25">
        <v>2208</v>
      </c>
      <c r="AC25">
        <v>70506</v>
      </c>
      <c r="AD25">
        <v>39898</v>
      </c>
    </row>
    <row r="26" spans="1:30" x14ac:dyDescent="0.4">
      <c r="A26" s="1" t="s">
        <v>40</v>
      </c>
      <c r="B26" s="1" t="s">
        <v>41</v>
      </c>
      <c r="C26">
        <v>12422</v>
      </c>
      <c r="D26">
        <v>4045</v>
      </c>
      <c r="E26">
        <v>6479</v>
      </c>
      <c r="F26">
        <v>1810</v>
      </c>
      <c r="G26">
        <v>14630</v>
      </c>
      <c r="H26">
        <v>6198</v>
      </c>
      <c r="I26">
        <v>97178</v>
      </c>
      <c r="J26">
        <v>18895</v>
      </c>
      <c r="K26">
        <v>8145</v>
      </c>
      <c r="L26">
        <v>2463</v>
      </c>
      <c r="M26">
        <v>3430</v>
      </c>
      <c r="N26">
        <v>1202</v>
      </c>
      <c r="O26">
        <v>85770</v>
      </c>
      <c r="P26">
        <v>52927</v>
      </c>
      <c r="Q26">
        <v>15761</v>
      </c>
      <c r="R26">
        <v>5468</v>
      </c>
      <c r="S26">
        <v>828</v>
      </c>
      <c r="T26">
        <v>241</v>
      </c>
      <c r="U26">
        <v>8838</v>
      </c>
      <c r="V26">
        <v>3013</v>
      </c>
      <c r="W26">
        <v>70521</v>
      </c>
      <c r="X26">
        <v>16145</v>
      </c>
      <c r="Y26">
        <v>4115</v>
      </c>
      <c r="Z26">
        <v>1237</v>
      </c>
      <c r="AA26">
        <v>6040</v>
      </c>
      <c r="AB26">
        <v>2302</v>
      </c>
      <c r="AC26">
        <v>73000</v>
      </c>
      <c r="AD26">
        <v>39839</v>
      </c>
    </row>
    <row r="27" spans="1:30" x14ac:dyDescent="0.4">
      <c r="A27" s="1" t="s">
        <v>42</v>
      </c>
      <c r="B27" s="1" t="s">
        <v>43</v>
      </c>
      <c r="C27">
        <v>12845</v>
      </c>
      <c r="D27">
        <v>4300</v>
      </c>
      <c r="E27">
        <v>6273</v>
      </c>
      <c r="F27">
        <v>1824</v>
      </c>
      <c r="G27">
        <v>14377</v>
      </c>
      <c r="H27">
        <v>5776</v>
      </c>
      <c r="I27">
        <v>93899</v>
      </c>
      <c r="J27">
        <v>17855</v>
      </c>
      <c r="K27">
        <v>8135</v>
      </c>
      <c r="L27">
        <v>2431</v>
      </c>
      <c r="M27">
        <v>3260</v>
      </c>
      <c r="N27">
        <v>1220</v>
      </c>
      <c r="O27">
        <v>82941</v>
      </c>
      <c r="P27">
        <v>53468</v>
      </c>
      <c r="Q27">
        <v>16051</v>
      </c>
      <c r="R27">
        <v>5702</v>
      </c>
      <c r="S27">
        <v>782</v>
      </c>
      <c r="T27">
        <v>226</v>
      </c>
      <c r="U27">
        <v>9113</v>
      </c>
      <c r="V27">
        <v>3126</v>
      </c>
      <c r="W27">
        <v>69728</v>
      </c>
      <c r="X27">
        <v>15566</v>
      </c>
      <c r="Y27">
        <v>3974</v>
      </c>
      <c r="Z27">
        <v>1209</v>
      </c>
      <c r="AA27">
        <v>5820</v>
      </c>
      <c r="AB27">
        <v>2194</v>
      </c>
      <c r="AC27">
        <v>69309</v>
      </c>
      <c r="AD27">
        <v>40338</v>
      </c>
    </row>
    <row r="28" spans="1:30" x14ac:dyDescent="0.4">
      <c r="A28" s="1" t="s">
        <v>44</v>
      </c>
      <c r="B28" s="1" t="s">
        <v>45</v>
      </c>
      <c r="C28">
        <v>11760</v>
      </c>
      <c r="D28">
        <v>4000</v>
      </c>
      <c r="E28">
        <v>5697</v>
      </c>
      <c r="F28">
        <v>1690</v>
      </c>
      <c r="G28">
        <v>13787</v>
      </c>
      <c r="H28">
        <v>5471</v>
      </c>
      <c r="I28">
        <v>89368</v>
      </c>
      <c r="J28">
        <v>16968</v>
      </c>
      <c r="K28">
        <v>7492</v>
      </c>
      <c r="L28">
        <v>2241</v>
      </c>
      <c r="M28">
        <v>3179</v>
      </c>
      <c r="N28">
        <v>1136</v>
      </c>
      <c r="O28">
        <v>81054</v>
      </c>
      <c r="P28">
        <v>53009</v>
      </c>
      <c r="Q28">
        <v>14949</v>
      </c>
      <c r="R28">
        <v>5202</v>
      </c>
      <c r="S28">
        <v>791</v>
      </c>
      <c r="T28">
        <v>228</v>
      </c>
      <c r="U28">
        <v>8721</v>
      </c>
      <c r="V28">
        <v>2932</v>
      </c>
      <c r="W28">
        <v>65891</v>
      </c>
      <c r="X28">
        <v>15136</v>
      </c>
      <c r="Y28">
        <v>4020</v>
      </c>
      <c r="Z28">
        <v>1198</v>
      </c>
      <c r="AA28">
        <v>5618</v>
      </c>
      <c r="AB28">
        <v>2248</v>
      </c>
      <c r="AC28">
        <v>67294</v>
      </c>
      <c r="AD28">
        <v>39389</v>
      </c>
    </row>
    <row r="29" spans="1:30" x14ac:dyDescent="0.4">
      <c r="A29" s="1" t="s">
        <v>46</v>
      </c>
      <c r="B29" s="1" t="s">
        <v>47</v>
      </c>
      <c r="C29">
        <v>12491</v>
      </c>
      <c r="D29">
        <v>4355</v>
      </c>
      <c r="E29">
        <v>5867</v>
      </c>
      <c r="F29">
        <v>1717</v>
      </c>
      <c r="G29">
        <v>15193</v>
      </c>
      <c r="H29">
        <v>6360</v>
      </c>
      <c r="I29">
        <v>99515</v>
      </c>
      <c r="J29">
        <v>19217</v>
      </c>
      <c r="K29">
        <v>8482</v>
      </c>
      <c r="L29">
        <v>2550</v>
      </c>
      <c r="M29">
        <v>3377</v>
      </c>
      <c r="N29">
        <v>1134</v>
      </c>
      <c r="O29">
        <v>89207</v>
      </c>
      <c r="P29">
        <v>51753</v>
      </c>
      <c r="Q29">
        <v>16350</v>
      </c>
      <c r="R29">
        <v>5771</v>
      </c>
      <c r="S29">
        <v>778</v>
      </c>
      <c r="T29">
        <v>218</v>
      </c>
      <c r="U29">
        <v>9084</v>
      </c>
      <c r="V29">
        <v>3030</v>
      </c>
      <c r="W29">
        <v>72467</v>
      </c>
      <c r="X29">
        <v>16856</v>
      </c>
      <c r="Y29">
        <v>4365</v>
      </c>
      <c r="Z29">
        <v>1318</v>
      </c>
      <c r="AA29">
        <v>6462</v>
      </c>
      <c r="AB29">
        <v>2431</v>
      </c>
      <c r="AC29">
        <v>74454</v>
      </c>
      <c r="AD29">
        <v>39646</v>
      </c>
    </row>
    <row r="30" spans="1:30" x14ac:dyDescent="0.4">
      <c r="A30" s="1" t="s">
        <v>48</v>
      </c>
      <c r="B30" s="1" t="s">
        <v>49</v>
      </c>
      <c r="C30">
        <v>13066</v>
      </c>
      <c r="D30">
        <v>4568</v>
      </c>
      <c r="E30">
        <v>5980</v>
      </c>
      <c r="F30">
        <v>1765</v>
      </c>
      <c r="G30">
        <v>15180</v>
      </c>
      <c r="H30">
        <v>6360</v>
      </c>
      <c r="I30">
        <v>107709</v>
      </c>
      <c r="J30">
        <v>20853</v>
      </c>
      <c r="K30">
        <v>8850</v>
      </c>
      <c r="L30">
        <v>2750</v>
      </c>
      <c r="M30">
        <v>3485</v>
      </c>
      <c r="N30">
        <v>1184</v>
      </c>
      <c r="O30">
        <v>92306</v>
      </c>
      <c r="P30">
        <v>52724</v>
      </c>
      <c r="Q30">
        <v>16272</v>
      </c>
      <c r="R30">
        <v>5776</v>
      </c>
      <c r="S30">
        <v>698</v>
      </c>
      <c r="T30">
        <v>195</v>
      </c>
      <c r="U30">
        <v>9750</v>
      </c>
      <c r="V30">
        <v>3259</v>
      </c>
      <c r="W30">
        <v>77952</v>
      </c>
      <c r="X30">
        <v>17627</v>
      </c>
      <c r="Y30">
        <v>4463</v>
      </c>
      <c r="Z30">
        <v>1349</v>
      </c>
      <c r="AA30">
        <v>6327</v>
      </c>
      <c r="AB30">
        <v>2321</v>
      </c>
      <c r="AC30">
        <v>78155</v>
      </c>
      <c r="AD30">
        <v>39623</v>
      </c>
    </row>
    <row r="31" spans="1:30" x14ac:dyDescent="0.4">
      <c r="A31" s="1" t="s">
        <v>50</v>
      </c>
      <c r="B31" s="1" t="s">
        <v>51</v>
      </c>
      <c r="C31">
        <v>10200</v>
      </c>
      <c r="D31">
        <v>3453</v>
      </c>
      <c r="E31">
        <v>5022</v>
      </c>
      <c r="F31">
        <v>1434</v>
      </c>
      <c r="G31">
        <v>12037</v>
      </c>
      <c r="H31">
        <v>5076</v>
      </c>
      <c r="I31">
        <v>73240</v>
      </c>
      <c r="J31">
        <v>14308</v>
      </c>
      <c r="K31">
        <v>6975</v>
      </c>
      <c r="L31">
        <v>2361</v>
      </c>
      <c r="M31">
        <v>2775</v>
      </c>
      <c r="N31">
        <v>936</v>
      </c>
      <c r="O31">
        <v>66315</v>
      </c>
      <c r="P31">
        <v>52416</v>
      </c>
      <c r="Q31">
        <v>12595</v>
      </c>
      <c r="R31">
        <v>4529</v>
      </c>
      <c r="S31">
        <v>519</v>
      </c>
      <c r="T31">
        <v>149</v>
      </c>
      <c r="U31">
        <v>7229</v>
      </c>
      <c r="V31">
        <v>2404</v>
      </c>
      <c r="W31">
        <v>55404</v>
      </c>
      <c r="X31">
        <v>12566</v>
      </c>
      <c r="Y31">
        <v>3306</v>
      </c>
      <c r="Z31">
        <v>985</v>
      </c>
      <c r="AA31">
        <v>5083</v>
      </c>
      <c r="AB31">
        <v>1861</v>
      </c>
      <c r="AC31">
        <v>57822</v>
      </c>
      <c r="AD31">
        <v>37870</v>
      </c>
    </row>
    <row r="32" spans="1:30" x14ac:dyDescent="0.4">
      <c r="A32" s="1" t="s">
        <v>52</v>
      </c>
      <c r="B32" s="1" t="s">
        <v>53</v>
      </c>
      <c r="C32">
        <v>11982</v>
      </c>
      <c r="D32">
        <v>4096</v>
      </c>
      <c r="E32">
        <v>6195</v>
      </c>
      <c r="F32">
        <v>1821</v>
      </c>
      <c r="G32">
        <v>14287</v>
      </c>
      <c r="H32">
        <v>6031</v>
      </c>
      <c r="I32">
        <v>100313</v>
      </c>
      <c r="J32">
        <v>19490</v>
      </c>
      <c r="K32">
        <v>8441</v>
      </c>
      <c r="L32">
        <v>2707</v>
      </c>
      <c r="M32">
        <v>3614</v>
      </c>
      <c r="N32">
        <v>1179</v>
      </c>
      <c r="O32">
        <v>87375</v>
      </c>
      <c r="P32">
        <v>53171</v>
      </c>
      <c r="Q32">
        <v>16181</v>
      </c>
      <c r="R32">
        <v>5673</v>
      </c>
      <c r="S32">
        <v>749</v>
      </c>
      <c r="T32">
        <v>212</v>
      </c>
      <c r="U32">
        <v>8946</v>
      </c>
      <c r="V32">
        <v>3054</v>
      </c>
      <c r="W32">
        <v>74689</v>
      </c>
      <c r="X32">
        <v>16937</v>
      </c>
      <c r="Y32">
        <v>4330</v>
      </c>
      <c r="Z32">
        <v>1313</v>
      </c>
      <c r="AA32">
        <v>6083</v>
      </c>
      <c r="AB32">
        <v>2227</v>
      </c>
      <c r="AC32">
        <v>73978</v>
      </c>
      <c r="AD32">
        <v>37567</v>
      </c>
    </row>
    <row r="33" spans="1:30" x14ac:dyDescent="0.4">
      <c r="A33" s="1" t="s">
        <v>54</v>
      </c>
      <c r="B33" s="1" t="s">
        <v>55</v>
      </c>
      <c r="C33">
        <v>12759</v>
      </c>
      <c r="D33">
        <v>4536</v>
      </c>
      <c r="E33">
        <v>6226</v>
      </c>
      <c r="F33">
        <v>1854</v>
      </c>
      <c r="G33">
        <v>15597</v>
      </c>
      <c r="H33">
        <v>6379</v>
      </c>
      <c r="I33">
        <v>107231</v>
      </c>
      <c r="J33">
        <v>20691</v>
      </c>
      <c r="K33">
        <v>9270</v>
      </c>
      <c r="L33">
        <v>2937</v>
      </c>
      <c r="M33">
        <v>3866</v>
      </c>
      <c r="N33">
        <v>1263</v>
      </c>
      <c r="O33">
        <v>93474</v>
      </c>
      <c r="P33">
        <v>53072</v>
      </c>
      <c r="Q33">
        <v>16040</v>
      </c>
      <c r="R33">
        <v>5693</v>
      </c>
      <c r="S33">
        <v>674</v>
      </c>
      <c r="T33">
        <v>186</v>
      </c>
      <c r="U33">
        <v>9505</v>
      </c>
      <c r="V33">
        <v>3159</v>
      </c>
      <c r="W33">
        <v>78682</v>
      </c>
      <c r="X33">
        <v>18021</v>
      </c>
      <c r="Y33">
        <v>4208</v>
      </c>
      <c r="Z33">
        <v>1270</v>
      </c>
      <c r="AA33">
        <v>6499</v>
      </c>
      <c r="AB33">
        <v>2407</v>
      </c>
      <c r="AC33">
        <v>78206</v>
      </c>
      <c r="AD33">
        <v>38109</v>
      </c>
    </row>
    <row r="34" spans="1:30" x14ac:dyDescent="0.4">
      <c r="A34" s="1" t="s">
        <v>56</v>
      </c>
      <c r="B34" s="1" t="s">
        <v>57</v>
      </c>
      <c r="C34">
        <v>11667</v>
      </c>
      <c r="D34">
        <v>4069</v>
      </c>
      <c r="E34">
        <v>5386</v>
      </c>
      <c r="F34">
        <v>1623</v>
      </c>
      <c r="G34">
        <v>14670</v>
      </c>
      <c r="H34">
        <v>6241</v>
      </c>
      <c r="I34">
        <v>91131</v>
      </c>
      <c r="J34">
        <v>17905</v>
      </c>
      <c r="K34">
        <v>8319</v>
      </c>
      <c r="L34">
        <v>2623</v>
      </c>
      <c r="M34">
        <v>3488</v>
      </c>
      <c r="N34">
        <v>1166</v>
      </c>
      <c r="O34">
        <v>84146</v>
      </c>
      <c r="P34">
        <v>54743</v>
      </c>
      <c r="Q34">
        <v>14927</v>
      </c>
      <c r="R34">
        <v>5249</v>
      </c>
      <c r="S34">
        <v>573</v>
      </c>
      <c r="T34">
        <v>156</v>
      </c>
      <c r="U34">
        <v>8527</v>
      </c>
      <c r="V34">
        <v>2951</v>
      </c>
      <c r="W34">
        <v>65908</v>
      </c>
      <c r="X34">
        <v>15311</v>
      </c>
      <c r="Y34">
        <v>4038</v>
      </c>
      <c r="Z34">
        <v>1222</v>
      </c>
      <c r="AA34">
        <v>6291</v>
      </c>
      <c r="AB34">
        <v>2345</v>
      </c>
      <c r="AC34">
        <v>69522</v>
      </c>
      <c r="AD34">
        <v>38324</v>
      </c>
    </row>
    <row r="35" spans="1:30" x14ac:dyDescent="0.4">
      <c r="A35" s="1" t="s">
        <v>58</v>
      </c>
      <c r="B35" s="1" t="s">
        <v>59</v>
      </c>
      <c r="C35">
        <v>12005</v>
      </c>
      <c r="D35">
        <v>4170</v>
      </c>
      <c r="E35">
        <v>5371</v>
      </c>
      <c r="F35">
        <v>1601</v>
      </c>
      <c r="G35">
        <v>14544</v>
      </c>
      <c r="H35">
        <v>6297</v>
      </c>
      <c r="I35">
        <v>91005</v>
      </c>
      <c r="J35">
        <v>17774</v>
      </c>
      <c r="K35">
        <v>8683</v>
      </c>
      <c r="L35">
        <v>2777</v>
      </c>
      <c r="M35">
        <v>3166</v>
      </c>
      <c r="N35">
        <v>1105</v>
      </c>
      <c r="O35">
        <v>82655</v>
      </c>
      <c r="P35">
        <v>54354</v>
      </c>
      <c r="Q35">
        <v>15234</v>
      </c>
      <c r="R35">
        <v>5327</v>
      </c>
      <c r="S35">
        <v>654</v>
      </c>
      <c r="T35">
        <v>176</v>
      </c>
      <c r="U35">
        <v>8536</v>
      </c>
      <c r="V35">
        <v>2912</v>
      </c>
      <c r="W35">
        <v>66428</v>
      </c>
      <c r="X35">
        <v>15133</v>
      </c>
      <c r="Y35">
        <v>4099</v>
      </c>
      <c r="Z35">
        <v>1219</v>
      </c>
      <c r="AA35">
        <v>6140</v>
      </c>
      <c r="AB35">
        <v>2264</v>
      </c>
      <c r="AC35">
        <v>69398</v>
      </c>
      <c r="AD35">
        <v>38501</v>
      </c>
    </row>
    <row r="36" spans="1:30" x14ac:dyDescent="0.4">
      <c r="A36" s="1" t="s">
        <v>60</v>
      </c>
      <c r="B36" s="1" t="s">
        <v>61</v>
      </c>
      <c r="C36">
        <v>11629</v>
      </c>
      <c r="D36">
        <v>4014</v>
      </c>
      <c r="E36">
        <v>5873</v>
      </c>
      <c r="F36">
        <v>1681</v>
      </c>
      <c r="G36">
        <v>15129</v>
      </c>
      <c r="H36">
        <v>6581</v>
      </c>
      <c r="I36">
        <v>90393</v>
      </c>
      <c r="J36">
        <v>17621</v>
      </c>
      <c r="K36">
        <v>8579</v>
      </c>
      <c r="L36">
        <v>2757</v>
      </c>
      <c r="M36">
        <v>3207</v>
      </c>
      <c r="N36">
        <v>1112</v>
      </c>
      <c r="O36">
        <v>80906</v>
      </c>
      <c r="P36">
        <v>55440</v>
      </c>
      <c r="Q36">
        <v>14694</v>
      </c>
      <c r="R36">
        <v>5225</v>
      </c>
      <c r="S36">
        <v>652</v>
      </c>
      <c r="T36">
        <v>171</v>
      </c>
      <c r="U36">
        <v>8244</v>
      </c>
      <c r="V36">
        <v>2801</v>
      </c>
      <c r="W36">
        <v>65812</v>
      </c>
      <c r="X36">
        <v>14784</v>
      </c>
      <c r="Y36">
        <v>3745</v>
      </c>
      <c r="Z36">
        <v>1129</v>
      </c>
      <c r="AA36">
        <v>6044</v>
      </c>
      <c r="AB36">
        <v>2255</v>
      </c>
      <c r="AC36">
        <v>68198</v>
      </c>
      <c r="AD36">
        <v>38359</v>
      </c>
    </row>
    <row r="37" spans="1:30" x14ac:dyDescent="0.4">
      <c r="A37" s="1" t="s">
        <v>62</v>
      </c>
      <c r="B37" s="1" t="s">
        <v>63</v>
      </c>
      <c r="C37">
        <v>11773</v>
      </c>
      <c r="D37">
        <v>4160</v>
      </c>
      <c r="E37">
        <v>5822</v>
      </c>
      <c r="F37">
        <v>1717</v>
      </c>
      <c r="G37">
        <v>15155</v>
      </c>
      <c r="H37">
        <v>6790</v>
      </c>
      <c r="I37">
        <v>95059</v>
      </c>
      <c r="J37">
        <v>18545</v>
      </c>
      <c r="K37">
        <v>8973</v>
      </c>
      <c r="L37">
        <v>2904</v>
      </c>
      <c r="M37">
        <v>3276</v>
      </c>
      <c r="N37">
        <v>1267</v>
      </c>
      <c r="O37">
        <v>87188</v>
      </c>
      <c r="P37">
        <v>54957</v>
      </c>
      <c r="Q37">
        <v>15463</v>
      </c>
      <c r="R37">
        <v>5460</v>
      </c>
      <c r="S37">
        <v>883</v>
      </c>
      <c r="T37">
        <v>249</v>
      </c>
      <c r="U37">
        <v>9213</v>
      </c>
      <c r="V37">
        <v>3072</v>
      </c>
      <c r="W37">
        <v>68362</v>
      </c>
      <c r="X37">
        <v>15714</v>
      </c>
      <c r="Y37">
        <v>3965</v>
      </c>
      <c r="Z37">
        <v>1225</v>
      </c>
      <c r="AA37">
        <v>5978</v>
      </c>
      <c r="AB37">
        <v>2230</v>
      </c>
      <c r="AC37">
        <v>72213</v>
      </c>
      <c r="AD37">
        <v>38669</v>
      </c>
    </row>
    <row r="38" spans="1:30" x14ac:dyDescent="0.4">
      <c r="A38" s="1" t="s">
        <v>64</v>
      </c>
      <c r="B38" s="1" t="s">
        <v>65</v>
      </c>
      <c r="C38">
        <v>12864</v>
      </c>
      <c r="D38">
        <v>4513</v>
      </c>
      <c r="E38">
        <v>6876</v>
      </c>
      <c r="F38">
        <v>1977</v>
      </c>
      <c r="G38">
        <v>15896</v>
      </c>
      <c r="H38">
        <v>6794</v>
      </c>
      <c r="I38">
        <v>103756</v>
      </c>
      <c r="J38">
        <v>20576</v>
      </c>
      <c r="K38">
        <v>9454</v>
      </c>
      <c r="L38">
        <v>3144</v>
      </c>
      <c r="M38">
        <v>3698</v>
      </c>
      <c r="N38">
        <v>1342</v>
      </c>
      <c r="O38">
        <v>93753</v>
      </c>
      <c r="P38">
        <v>55328</v>
      </c>
      <c r="Q38">
        <v>16455</v>
      </c>
      <c r="R38">
        <v>5775</v>
      </c>
      <c r="S38">
        <v>886</v>
      </c>
      <c r="T38">
        <v>239</v>
      </c>
      <c r="U38">
        <v>9796</v>
      </c>
      <c r="V38">
        <v>3356</v>
      </c>
      <c r="W38">
        <v>75552</v>
      </c>
      <c r="X38">
        <v>17357</v>
      </c>
      <c r="Y38">
        <v>4248</v>
      </c>
      <c r="Z38">
        <v>1330</v>
      </c>
      <c r="AA38">
        <v>6211</v>
      </c>
      <c r="AB38">
        <v>2314</v>
      </c>
      <c r="AC38">
        <v>76722</v>
      </c>
      <c r="AD38">
        <v>40105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C896F-58D7-4CDE-ACA8-F821784990B7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1764</v>
      </c>
      <c r="D3" t="s">
        <v>1764</v>
      </c>
      <c r="E3" t="s">
        <v>1766</v>
      </c>
      <c r="F3" t="s">
        <v>1766</v>
      </c>
      <c r="G3" t="s">
        <v>1768</v>
      </c>
      <c r="H3" t="s">
        <v>1768</v>
      </c>
      <c r="I3" t="s">
        <v>1770</v>
      </c>
      <c r="J3" t="s">
        <v>1770</v>
      </c>
      <c r="K3" t="s">
        <v>1772</v>
      </c>
      <c r="L3" t="s">
        <v>1772</v>
      </c>
      <c r="M3" t="s">
        <v>1774</v>
      </c>
      <c r="N3" t="s">
        <v>1774</v>
      </c>
    </row>
    <row r="4" spans="1:14" x14ac:dyDescent="0.4">
      <c r="A4" s="1"/>
      <c r="B4" s="2" t="s">
        <v>1</v>
      </c>
      <c r="C4" t="s">
        <v>1765</v>
      </c>
      <c r="D4" t="s">
        <v>1765</v>
      </c>
      <c r="E4" t="s">
        <v>1767</v>
      </c>
      <c r="F4" t="s">
        <v>1767</v>
      </c>
      <c r="G4" t="s">
        <v>1769</v>
      </c>
      <c r="H4" t="s">
        <v>1769</v>
      </c>
      <c r="I4" t="s">
        <v>1771</v>
      </c>
      <c r="J4" t="s">
        <v>1771</v>
      </c>
      <c r="K4" t="s">
        <v>1773</v>
      </c>
      <c r="L4" t="s">
        <v>1773</v>
      </c>
      <c r="M4" t="s">
        <v>1775</v>
      </c>
      <c r="N4" t="s">
        <v>1775</v>
      </c>
    </row>
    <row r="5" spans="1:14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</row>
    <row r="6" spans="1:14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</row>
    <row r="7" spans="1:14" x14ac:dyDescent="0.4">
      <c r="A7" s="1"/>
      <c r="B7" s="2" t="s">
        <v>4</v>
      </c>
      <c r="C7" t="s">
        <v>70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70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</row>
    <row r="9" spans="1:14" x14ac:dyDescent="0.4">
      <c r="A9" s="1" t="s">
        <v>6</v>
      </c>
      <c r="B9" s="3" t="s">
        <v>7</v>
      </c>
      <c r="C9">
        <v>29834</v>
      </c>
      <c r="D9">
        <v>12236443</v>
      </c>
      <c r="E9">
        <v>1033137</v>
      </c>
      <c r="F9">
        <v>26802325</v>
      </c>
      <c r="G9">
        <v>704377</v>
      </c>
      <c r="H9">
        <v>4791676</v>
      </c>
      <c r="I9">
        <v>2672458</v>
      </c>
      <c r="J9">
        <v>17017792</v>
      </c>
      <c r="K9">
        <v>103929</v>
      </c>
      <c r="L9">
        <v>2047929</v>
      </c>
      <c r="M9">
        <v>198991</v>
      </c>
      <c r="N9">
        <v>1312432</v>
      </c>
    </row>
    <row r="10" spans="1:14" x14ac:dyDescent="0.4">
      <c r="A10" s="1" t="s">
        <v>8</v>
      </c>
      <c r="B10" s="3" t="s">
        <v>9</v>
      </c>
      <c r="C10">
        <v>29357</v>
      </c>
      <c r="D10">
        <v>12423879</v>
      </c>
      <c r="E10">
        <v>1098359</v>
      </c>
      <c r="F10">
        <v>29899596</v>
      </c>
      <c r="G10">
        <v>677681</v>
      </c>
      <c r="H10">
        <v>4920985</v>
      </c>
      <c r="I10">
        <v>2324117</v>
      </c>
      <c r="J10">
        <v>15037790</v>
      </c>
      <c r="K10">
        <v>115472</v>
      </c>
      <c r="L10">
        <v>5536836</v>
      </c>
      <c r="M10">
        <v>223034</v>
      </c>
      <c r="N10">
        <v>1605076</v>
      </c>
    </row>
    <row r="11" spans="1:14" x14ac:dyDescent="0.4">
      <c r="A11" s="1" t="s">
        <v>10</v>
      </c>
      <c r="B11" s="3" t="s">
        <v>11</v>
      </c>
      <c r="C11">
        <v>28883</v>
      </c>
      <c r="D11">
        <v>12760070</v>
      </c>
      <c r="E11">
        <v>1160251</v>
      </c>
      <c r="F11">
        <v>35390657</v>
      </c>
      <c r="G11">
        <v>562226</v>
      </c>
      <c r="H11">
        <v>4562430</v>
      </c>
      <c r="I11">
        <v>2189960</v>
      </c>
      <c r="J11">
        <v>16164255</v>
      </c>
      <c r="K11">
        <v>132709</v>
      </c>
      <c r="L11">
        <v>7313616</v>
      </c>
      <c r="M11">
        <v>164587</v>
      </c>
      <c r="N11">
        <v>1485741</v>
      </c>
    </row>
    <row r="12" spans="1:14" x14ac:dyDescent="0.4">
      <c r="A12" s="1" t="s">
        <v>12</v>
      </c>
      <c r="B12" s="3" t="s">
        <v>13</v>
      </c>
      <c r="C12">
        <v>27088</v>
      </c>
      <c r="D12">
        <v>13186491</v>
      </c>
      <c r="E12">
        <v>1206771</v>
      </c>
      <c r="F12">
        <v>40291162</v>
      </c>
      <c r="G12">
        <v>486341</v>
      </c>
      <c r="H12">
        <v>4398634</v>
      </c>
      <c r="I12">
        <v>2034895</v>
      </c>
      <c r="J12">
        <v>16198186</v>
      </c>
      <c r="K12">
        <v>162818</v>
      </c>
      <c r="L12">
        <v>10278968</v>
      </c>
      <c r="M12">
        <v>182467</v>
      </c>
      <c r="N12">
        <v>1767861</v>
      </c>
    </row>
    <row r="13" spans="1:14" x14ac:dyDescent="0.4">
      <c r="A13" s="1" t="s">
        <v>14</v>
      </c>
      <c r="B13" s="3" t="s">
        <v>15</v>
      </c>
      <c r="C13">
        <v>25212</v>
      </c>
      <c r="D13">
        <v>12251494</v>
      </c>
      <c r="E13">
        <v>1259575</v>
      </c>
      <c r="F13">
        <v>45547286</v>
      </c>
      <c r="G13">
        <v>449197</v>
      </c>
      <c r="H13">
        <v>4154952</v>
      </c>
      <c r="I13">
        <v>2229081</v>
      </c>
      <c r="J13">
        <v>17954026</v>
      </c>
      <c r="K13">
        <v>162449</v>
      </c>
      <c r="L13">
        <v>12360809</v>
      </c>
      <c r="M13">
        <v>195080</v>
      </c>
      <c r="N13">
        <v>2048598</v>
      </c>
    </row>
    <row r="14" spans="1:14" x14ac:dyDescent="0.4">
      <c r="A14" s="1" t="s">
        <v>16</v>
      </c>
      <c r="B14" s="1" t="s">
        <v>17</v>
      </c>
      <c r="C14">
        <v>2346</v>
      </c>
      <c r="D14">
        <v>1089078</v>
      </c>
      <c r="E14">
        <v>96261</v>
      </c>
      <c r="F14">
        <v>3020402</v>
      </c>
      <c r="G14">
        <v>42282</v>
      </c>
      <c r="H14">
        <v>402417</v>
      </c>
      <c r="I14">
        <v>178850</v>
      </c>
      <c r="J14">
        <v>1494627</v>
      </c>
      <c r="K14">
        <v>16824</v>
      </c>
      <c r="L14">
        <v>907074</v>
      </c>
      <c r="M14">
        <v>12601</v>
      </c>
      <c r="N14">
        <v>115086</v>
      </c>
    </row>
    <row r="15" spans="1:14" x14ac:dyDescent="0.4">
      <c r="A15" s="1" t="s">
        <v>18</v>
      </c>
      <c r="B15" s="1" t="s">
        <v>19</v>
      </c>
      <c r="C15">
        <v>2392</v>
      </c>
      <c r="D15">
        <v>1102680</v>
      </c>
      <c r="E15">
        <v>107070</v>
      </c>
      <c r="F15">
        <v>3365827</v>
      </c>
      <c r="G15">
        <v>41729</v>
      </c>
      <c r="H15">
        <v>361951</v>
      </c>
      <c r="I15">
        <v>148649</v>
      </c>
      <c r="J15">
        <v>1238705</v>
      </c>
      <c r="K15">
        <v>12561</v>
      </c>
      <c r="L15">
        <v>923108</v>
      </c>
      <c r="M15">
        <v>15690</v>
      </c>
      <c r="N15">
        <v>153006</v>
      </c>
    </row>
    <row r="16" spans="1:14" x14ac:dyDescent="0.4">
      <c r="A16" s="1" t="s">
        <v>20</v>
      </c>
      <c r="B16" s="1" t="s">
        <v>21</v>
      </c>
      <c r="C16">
        <v>2286</v>
      </c>
      <c r="D16">
        <v>1103026</v>
      </c>
      <c r="E16">
        <v>103353</v>
      </c>
      <c r="F16">
        <v>3465806</v>
      </c>
      <c r="G16">
        <v>39646</v>
      </c>
      <c r="H16">
        <v>402387</v>
      </c>
      <c r="I16">
        <v>185068</v>
      </c>
      <c r="J16">
        <v>1441010</v>
      </c>
      <c r="K16">
        <v>10914</v>
      </c>
      <c r="L16">
        <v>853154</v>
      </c>
      <c r="M16">
        <v>14851</v>
      </c>
      <c r="N16">
        <v>144352</v>
      </c>
    </row>
    <row r="17" spans="1:14" x14ac:dyDescent="0.4">
      <c r="A17" s="1" t="s">
        <v>22</v>
      </c>
      <c r="B17" s="1" t="s">
        <v>23</v>
      </c>
      <c r="C17">
        <v>2321</v>
      </c>
      <c r="D17">
        <v>1132728</v>
      </c>
      <c r="E17">
        <v>102507</v>
      </c>
      <c r="F17">
        <v>3470475</v>
      </c>
      <c r="G17">
        <v>36918</v>
      </c>
      <c r="H17">
        <v>337217</v>
      </c>
      <c r="I17">
        <v>160985</v>
      </c>
      <c r="J17">
        <v>1280389</v>
      </c>
      <c r="K17">
        <v>11135</v>
      </c>
      <c r="L17">
        <v>894950</v>
      </c>
      <c r="M17">
        <v>13899</v>
      </c>
      <c r="N17">
        <v>148286</v>
      </c>
    </row>
    <row r="18" spans="1:14" x14ac:dyDescent="0.4">
      <c r="A18" s="1" t="s">
        <v>24</v>
      </c>
      <c r="B18" s="1" t="s">
        <v>25</v>
      </c>
      <c r="C18">
        <v>2536</v>
      </c>
      <c r="D18">
        <v>1282876</v>
      </c>
      <c r="E18">
        <v>96555</v>
      </c>
      <c r="F18">
        <v>3700145</v>
      </c>
      <c r="G18">
        <v>39534</v>
      </c>
      <c r="H18">
        <v>369224</v>
      </c>
      <c r="I18">
        <v>171454</v>
      </c>
      <c r="J18">
        <v>1323770</v>
      </c>
      <c r="K18">
        <v>11787</v>
      </c>
      <c r="L18">
        <v>813036</v>
      </c>
      <c r="M18">
        <v>15623</v>
      </c>
      <c r="N18">
        <v>136657</v>
      </c>
    </row>
    <row r="19" spans="1:14" x14ac:dyDescent="0.4">
      <c r="A19" s="1" t="s">
        <v>26</v>
      </c>
      <c r="B19" s="1" t="s">
        <v>27</v>
      </c>
      <c r="C19">
        <v>1845</v>
      </c>
      <c r="D19">
        <v>925809</v>
      </c>
      <c r="E19">
        <v>105972</v>
      </c>
      <c r="F19">
        <v>3006316</v>
      </c>
      <c r="G19">
        <v>34271</v>
      </c>
      <c r="H19">
        <v>318216</v>
      </c>
      <c r="I19">
        <v>152154</v>
      </c>
      <c r="J19">
        <v>1184403</v>
      </c>
      <c r="K19">
        <v>10445</v>
      </c>
      <c r="L19">
        <v>670274</v>
      </c>
      <c r="M19">
        <v>16346</v>
      </c>
      <c r="N19">
        <v>120613</v>
      </c>
    </row>
    <row r="20" spans="1:14" x14ac:dyDescent="0.4">
      <c r="A20" s="1" t="s">
        <v>28</v>
      </c>
      <c r="B20" s="1" t="s">
        <v>29</v>
      </c>
      <c r="C20">
        <v>2195</v>
      </c>
      <c r="D20">
        <v>1159096</v>
      </c>
      <c r="E20">
        <v>98131</v>
      </c>
      <c r="F20">
        <v>3266714</v>
      </c>
      <c r="G20">
        <v>43495</v>
      </c>
      <c r="H20">
        <v>368824</v>
      </c>
      <c r="I20">
        <v>183230</v>
      </c>
      <c r="J20">
        <v>1496592</v>
      </c>
      <c r="K20">
        <v>14657</v>
      </c>
      <c r="L20">
        <v>908349</v>
      </c>
      <c r="M20">
        <v>19215</v>
      </c>
      <c r="N20">
        <v>179691</v>
      </c>
    </row>
    <row r="21" spans="1:14" x14ac:dyDescent="0.4">
      <c r="A21" s="1" t="s">
        <v>30</v>
      </c>
      <c r="B21" s="1" t="s">
        <v>31</v>
      </c>
      <c r="C21">
        <v>2411</v>
      </c>
      <c r="D21">
        <v>1243116</v>
      </c>
      <c r="E21">
        <v>99279</v>
      </c>
      <c r="F21">
        <v>3526223</v>
      </c>
      <c r="G21">
        <v>46266</v>
      </c>
      <c r="H21">
        <v>412565</v>
      </c>
      <c r="I21">
        <v>178771</v>
      </c>
      <c r="J21">
        <v>1463508</v>
      </c>
      <c r="K21">
        <v>13099</v>
      </c>
      <c r="L21">
        <v>864657</v>
      </c>
      <c r="M21">
        <v>15148</v>
      </c>
      <c r="N21">
        <v>165111</v>
      </c>
    </row>
    <row r="22" spans="1:14" x14ac:dyDescent="0.4">
      <c r="A22" s="1" t="s">
        <v>32</v>
      </c>
      <c r="B22" s="1" t="s">
        <v>33</v>
      </c>
      <c r="C22">
        <v>2362</v>
      </c>
      <c r="D22">
        <v>1205265</v>
      </c>
      <c r="E22">
        <v>103354</v>
      </c>
      <c r="F22">
        <v>3592456</v>
      </c>
      <c r="G22">
        <v>37984</v>
      </c>
      <c r="H22">
        <v>389477</v>
      </c>
      <c r="I22">
        <v>179828</v>
      </c>
      <c r="J22">
        <v>1423816</v>
      </c>
      <c r="K22">
        <v>26766</v>
      </c>
      <c r="L22">
        <v>1017398</v>
      </c>
      <c r="M22">
        <v>15749</v>
      </c>
      <c r="N22">
        <v>168621</v>
      </c>
    </row>
    <row r="23" spans="1:14" x14ac:dyDescent="0.4">
      <c r="A23" s="1" t="s">
        <v>34</v>
      </c>
      <c r="B23" s="1" t="s">
        <v>35</v>
      </c>
      <c r="C23">
        <v>2047</v>
      </c>
      <c r="D23">
        <v>1009556</v>
      </c>
      <c r="E23">
        <v>99278</v>
      </c>
      <c r="F23">
        <v>3324061</v>
      </c>
      <c r="G23">
        <v>42992</v>
      </c>
      <c r="H23">
        <v>370900</v>
      </c>
      <c r="I23">
        <v>198983</v>
      </c>
      <c r="J23">
        <v>1546136</v>
      </c>
      <c r="K23">
        <v>11332</v>
      </c>
      <c r="L23">
        <v>1065358</v>
      </c>
      <c r="M23">
        <v>16771</v>
      </c>
      <c r="N23">
        <v>155840</v>
      </c>
    </row>
    <row r="24" spans="1:14" x14ac:dyDescent="0.4">
      <c r="A24" s="1" t="s">
        <v>36</v>
      </c>
      <c r="B24" s="1" t="s">
        <v>37</v>
      </c>
      <c r="C24">
        <v>2143</v>
      </c>
      <c r="D24">
        <v>1029754</v>
      </c>
      <c r="E24">
        <v>97960</v>
      </c>
      <c r="F24">
        <v>3354976</v>
      </c>
      <c r="G24">
        <v>37823</v>
      </c>
      <c r="H24">
        <v>375193</v>
      </c>
      <c r="I24">
        <v>176059</v>
      </c>
      <c r="J24">
        <v>1417293</v>
      </c>
      <c r="K24">
        <v>19526</v>
      </c>
      <c r="L24">
        <v>856674</v>
      </c>
      <c r="M24">
        <v>14530</v>
      </c>
      <c r="N24">
        <v>172259</v>
      </c>
    </row>
    <row r="25" spans="1:14" x14ac:dyDescent="0.4">
      <c r="A25" s="1" t="s">
        <v>38</v>
      </c>
      <c r="B25" s="1" t="s">
        <v>39</v>
      </c>
      <c r="C25">
        <v>2203</v>
      </c>
      <c r="D25">
        <v>1035455</v>
      </c>
      <c r="E25">
        <v>103350</v>
      </c>
      <c r="F25">
        <v>3565362</v>
      </c>
      <c r="G25">
        <v>36762</v>
      </c>
      <c r="H25">
        <v>318505</v>
      </c>
      <c r="I25">
        <v>164902</v>
      </c>
      <c r="J25">
        <v>1347150</v>
      </c>
      <c r="K25">
        <v>11265</v>
      </c>
      <c r="L25">
        <v>949986</v>
      </c>
      <c r="M25">
        <v>18201</v>
      </c>
      <c r="N25">
        <v>177478</v>
      </c>
    </row>
    <row r="26" spans="1:14" x14ac:dyDescent="0.4">
      <c r="A26" s="1" t="s">
        <v>40</v>
      </c>
      <c r="B26" s="1" t="s">
        <v>41</v>
      </c>
      <c r="C26">
        <v>2169</v>
      </c>
      <c r="D26">
        <v>1017468</v>
      </c>
      <c r="E26">
        <v>99052</v>
      </c>
      <c r="F26">
        <v>3379819</v>
      </c>
      <c r="G26">
        <v>33783</v>
      </c>
      <c r="H26">
        <v>323546</v>
      </c>
      <c r="I26">
        <v>197585</v>
      </c>
      <c r="J26">
        <v>1624716</v>
      </c>
      <c r="K26">
        <v>12366</v>
      </c>
      <c r="L26">
        <v>967347</v>
      </c>
      <c r="M26">
        <v>16190</v>
      </c>
      <c r="N26">
        <v>162382</v>
      </c>
    </row>
    <row r="27" spans="1:14" x14ac:dyDescent="0.4">
      <c r="A27" s="1" t="s">
        <v>42</v>
      </c>
      <c r="B27" s="1" t="s">
        <v>43</v>
      </c>
      <c r="C27">
        <v>2083</v>
      </c>
      <c r="D27">
        <v>1011704</v>
      </c>
      <c r="E27">
        <v>104291</v>
      </c>
      <c r="F27">
        <v>3903954</v>
      </c>
      <c r="G27">
        <v>40032</v>
      </c>
      <c r="H27">
        <v>385010</v>
      </c>
      <c r="I27">
        <v>175187</v>
      </c>
      <c r="J27">
        <v>1453099</v>
      </c>
      <c r="K27">
        <v>14147</v>
      </c>
      <c r="L27">
        <v>929024</v>
      </c>
      <c r="M27">
        <v>19538</v>
      </c>
      <c r="N27">
        <v>180374</v>
      </c>
    </row>
    <row r="28" spans="1:14" x14ac:dyDescent="0.4">
      <c r="A28" s="1" t="s">
        <v>44</v>
      </c>
      <c r="B28" s="1" t="s">
        <v>45</v>
      </c>
      <c r="C28">
        <v>2002</v>
      </c>
      <c r="D28">
        <v>995784</v>
      </c>
      <c r="E28">
        <v>112426</v>
      </c>
      <c r="F28">
        <v>3799897</v>
      </c>
      <c r="G28">
        <v>35082</v>
      </c>
      <c r="H28">
        <v>359170</v>
      </c>
      <c r="I28">
        <v>190539</v>
      </c>
      <c r="J28">
        <v>1443910</v>
      </c>
      <c r="K28">
        <v>10802</v>
      </c>
      <c r="L28">
        <v>781051</v>
      </c>
      <c r="M28">
        <v>15712</v>
      </c>
      <c r="N28">
        <v>123744</v>
      </c>
    </row>
    <row r="29" spans="1:14" x14ac:dyDescent="0.4">
      <c r="A29" s="1" t="s">
        <v>46</v>
      </c>
      <c r="B29" s="1" t="s">
        <v>47</v>
      </c>
      <c r="C29">
        <v>2256</v>
      </c>
      <c r="D29">
        <v>1168394</v>
      </c>
      <c r="E29">
        <v>98680</v>
      </c>
      <c r="F29">
        <v>3648199</v>
      </c>
      <c r="G29">
        <v>36241</v>
      </c>
      <c r="H29">
        <v>317614</v>
      </c>
      <c r="I29">
        <v>203280</v>
      </c>
      <c r="J29">
        <v>1613340</v>
      </c>
      <c r="K29">
        <v>12951</v>
      </c>
      <c r="L29">
        <v>1194334</v>
      </c>
      <c r="M29">
        <v>15024</v>
      </c>
      <c r="N29">
        <v>189522</v>
      </c>
    </row>
    <row r="30" spans="1:14" x14ac:dyDescent="0.4">
      <c r="A30" s="1" t="s">
        <v>48</v>
      </c>
      <c r="B30" s="1" t="s">
        <v>49</v>
      </c>
      <c r="C30">
        <v>2188</v>
      </c>
      <c r="D30">
        <v>1044297</v>
      </c>
      <c r="E30">
        <v>123380</v>
      </c>
      <c r="F30">
        <v>4415698</v>
      </c>
      <c r="G30">
        <v>45039</v>
      </c>
      <c r="H30">
        <v>393761</v>
      </c>
      <c r="I30">
        <v>185392</v>
      </c>
      <c r="J30">
        <v>1487190</v>
      </c>
      <c r="K30">
        <v>15721</v>
      </c>
      <c r="L30">
        <v>998022</v>
      </c>
      <c r="M30">
        <v>16941</v>
      </c>
      <c r="N30">
        <v>171138</v>
      </c>
    </row>
    <row r="31" spans="1:14" x14ac:dyDescent="0.4">
      <c r="A31" s="1" t="s">
        <v>50</v>
      </c>
      <c r="B31" s="1" t="s">
        <v>51</v>
      </c>
      <c r="C31">
        <v>1646</v>
      </c>
      <c r="D31">
        <v>783006</v>
      </c>
      <c r="E31">
        <v>96806</v>
      </c>
      <c r="F31">
        <v>3574439</v>
      </c>
      <c r="G31">
        <v>30957</v>
      </c>
      <c r="H31">
        <v>331310</v>
      </c>
      <c r="I31">
        <v>170068</v>
      </c>
      <c r="J31">
        <v>1355841</v>
      </c>
      <c r="K31">
        <v>12648</v>
      </c>
      <c r="L31">
        <v>1084983</v>
      </c>
      <c r="M31">
        <v>12759</v>
      </c>
      <c r="N31">
        <v>141685</v>
      </c>
    </row>
    <row r="32" spans="1:14" x14ac:dyDescent="0.4">
      <c r="A32" s="1" t="s">
        <v>52</v>
      </c>
      <c r="B32" s="1" t="s">
        <v>53</v>
      </c>
      <c r="C32">
        <v>2204</v>
      </c>
      <c r="D32">
        <v>1074902</v>
      </c>
      <c r="E32">
        <v>101613</v>
      </c>
      <c r="F32">
        <v>3685198</v>
      </c>
      <c r="G32">
        <v>37689</v>
      </c>
      <c r="H32">
        <v>319136</v>
      </c>
      <c r="I32">
        <v>186226</v>
      </c>
      <c r="J32">
        <v>1542418</v>
      </c>
      <c r="K32">
        <v>13575</v>
      </c>
      <c r="L32">
        <v>1270194</v>
      </c>
      <c r="M32">
        <v>20158</v>
      </c>
      <c r="N32">
        <v>204598</v>
      </c>
    </row>
    <row r="33" spans="1:14" x14ac:dyDescent="0.4">
      <c r="A33" s="1" t="s">
        <v>54</v>
      </c>
      <c r="B33" s="1" t="s">
        <v>55</v>
      </c>
      <c r="C33">
        <v>2324</v>
      </c>
      <c r="D33">
        <v>1147081</v>
      </c>
      <c r="E33">
        <v>113702</v>
      </c>
      <c r="F33">
        <v>4389929</v>
      </c>
      <c r="G33">
        <v>45836</v>
      </c>
      <c r="H33">
        <v>436825</v>
      </c>
      <c r="I33">
        <v>191664</v>
      </c>
      <c r="J33">
        <v>1608836</v>
      </c>
      <c r="K33">
        <v>12593</v>
      </c>
      <c r="L33">
        <v>1079652</v>
      </c>
      <c r="M33">
        <v>18405</v>
      </c>
      <c r="N33">
        <v>197817</v>
      </c>
    </row>
    <row r="34" spans="1:14" x14ac:dyDescent="0.4">
      <c r="A34" s="1" t="s">
        <v>56</v>
      </c>
      <c r="B34" s="1" t="s">
        <v>57</v>
      </c>
      <c r="C34">
        <v>2083</v>
      </c>
      <c r="D34">
        <v>1008052</v>
      </c>
      <c r="E34">
        <v>101587</v>
      </c>
      <c r="F34">
        <v>3792752</v>
      </c>
      <c r="G34">
        <v>37108</v>
      </c>
      <c r="H34">
        <v>309413</v>
      </c>
      <c r="I34">
        <v>193083</v>
      </c>
      <c r="J34">
        <v>1559474</v>
      </c>
      <c r="K34">
        <v>13675</v>
      </c>
      <c r="L34">
        <v>1059009</v>
      </c>
      <c r="M34">
        <v>13569</v>
      </c>
      <c r="N34">
        <v>173542</v>
      </c>
    </row>
    <row r="35" spans="1:14" x14ac:dyDescent="0.4">
      <c r="A35" s="1" t="s">
        <v>58</v>
      </c>
      <c r="B35" s="1" t="s">
        <v>59</v>
      </c>
      <c r="C35">
        <v>1911</v>
      </c>
      <c r="D35">
        <v>935597</v>
      </c>
      <c r="E35">
        <v>106728</v>
      </c>
      <c r="F35">
        <v>4037063</v>
      </c>
      <c r="G35">
        <v>32845</v>
      </c>
      <c r="H35">
        <v>285469</v>
      </c>
      <c r="I35">
        <v>195096</v>
      </c>
      <c r="J35">
        <v>1500759</v>
      </c>
      <c r="K35">
        <v>13180</v>
      </c>
      <c r="L35">
        <v>1190533</v>
      </c>
      <c r="M35">
        <v>14053</v>
      </c>
      <c r="N35">
        <v>154059</v>
      </c>
    </row>
    <row r="36" spans="1:14" x14ac:dyDescent="0.4">
      <c r="A36" s="1" t="s">
        <v>60</v>
      </c>
      <c r="B36" s="1" t="s">
        <v>61</v>
      </c>
      <c r="C36">
        <v>1883</v>
      </c>
      <c r="D36">
        <v>958742</v>
      </c>
      <c r="E36">
        <v>106797</v>
      </c>
      <c r="F36">
        <v>3958426</v>
      </c>
      <c r="G36">
        <v>36403</v>
      </c>
      <c r="H36">
        <v>358157</v>
      </c>
      <c r="I36">
        <v>168295</v>
      </c>
      <c r="J36">
        <v>1205961</v>
      </c>
      <c r="K36">
        <v>14601</v>
      </c>
      <c r="L36">
        <v>1250967</v>
      </c>
      <c r="M36">
        <v>13623</v>
      </c>
      <c r="N36">
        <v>163356</v>
      </c>
    </row>
    <row r="37" spans="1:14" x14ac:dyDescent="0.4">
      <c r="A37" s="1" t="s">
        <v>62</v>
      </c>
      <c r="B37" s="1" t="s">
        <v>63</v>
      </c>
      <c r="C37">
        <v>1882</v>
      </c>
      <c r="D37">
        <v>960037</v>
      </c>
      <c r="E37">
        <v>97036</v>
      </c>
      <c r="F37">
        <v>3502888</v>
      </c>
      <c r="G37">
        <v>33422</v>
      </c>
      <c r="H37">
        <v>340301</v>
      </c>
      <c r="I37">
        <v>184397</v>
      </c>
      <c r="J37">
        <v>1435996</v>
      </c>
      <c r="K37">
        <v>13472</v>
      </c>
      <c r="L37">
        <v>1160418</v>
      </c>
      <c r="M37">
        <v>15705</v>
      </c>
      <c r="N37">
        <v>169035</v>
      </c>
    </row>
    <row r="38" spans="1:14" x14ac:dyDescent="0.4">
      <c r="A38" s="1" t="s">
        <v>64</v>
      </c>
      <c r="B38" s="1" t="s">
        <v>65</v>
      </c>
      <c r="C38">
        <v>2208</v>
      </c>
      <c r="D38">
        <v>1017552</v>
      </c>
      <c r="E38">
        <v>121822</v>
      </c>
      <c r="F38">
        <v>4513926</v>
      </c>
      <c r="G38">
        <v>48247</v>
      </c>
      <c r="H38">
        <v>454490</v>
      </c>
      <c r="I38">
        <v>211334</v>
      </c>
      <c r="J38">
        <v>1640692</v>
      </c>
      <c r="K38">
        <v>15978</v>
      </c>
      <c r="L38">
        <v>1342001</v>
      </c>
      <c r="M38">
        <v>14635</v>
      </c>
      <c r="N38">
        <v>168934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350BF-3A66-4C58-926A-99DFE0C9277B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1776</v>
      </c>
      <c r="D3" t="s">
        <v>1776</v>
      </c>
      <c r="E3" t="s">
        <v>1778</v>
      </c>
      <c r="F3" t="s">
        <v>1778</v>
      </c>
      <c r="G3" t="s">
        <v>1780</v>
      </c>
      <c r="H3" t="s">
        <v>1780</v>
      </c>
      <c r="I3" t="s">
        <v>1782</v>
      </c>
      <c r="J3" t="s">
        <v>1782</v>
      </c>
      <c r="K3" t="s">
        <v>1784</v>
      </c>
      <c r="L3" t="s">
        <v>1784</v>
      </c>
      <c r="M3" t="s">
        <v>1786</v>
      </c>
      <c r="N3" t="s">
        <v>1786</v>
      </c>
      <c r="O3" t="s">
        <v>1788</v>
      </c>
      <c r="P3" t="s">
        <v>1788</v>
      </c>
      <c r="Q3" t="s">
        <v>1790</v>
      </c>
      <c r="R3" t="s">
        <v>1790</v>
      </c>
      <c r="S3" t="s">
        <v>1792</v>
      </c>
      <c r="T3" t="s">
        <v>1792</v>
      </c>
    </row>
    <row r="4" spans="1:20" x14ac:dyDescent="0.4">
      <c r="A4" s="1"/>
      <c r="B4" s="2" t="s">
        <v>1</v>
      </c>
      <c r="C4" t="s">
        <v>1777</v>
      </c>
      <c r="D4" t="s">
        <v>1777</v>
      </c>
      <c r="E4" t="s">
        <v>1779</v>
      </c>
      <c r="F4" t="s">
        <v>1779</v>
      </c>
      <c r="G4" t="s">
        <v>1781</v>
      </c>
      <c r="H4" t="s">
        <v>1781</v>
      </c>
      <c r="I4" t="s">
        <v>1783</v>
      </c>
      <c r="J4" t="s">
        <v>1783</v>
      </c>
      <c r="K4" t="s">
        <v>1785</v>
      </c>
      <c r="L4" t="s">
        <v>1785</v>
      </c>
      <c r="M4" t="s">
        <v>1787</v>
      </c>
      <c r="N4" t="s">
        <v>1787</v>
      </c>
      <c r="O4" t="s">
        <v>1789</v>
      </c>
      <c r="P4" t="s">
        <v>1789</v>
      </c>
      <c r="Q4" t="s">
        <v>1791</v>
      </c>
      <c r="R4" t="s">
        <v>1791</v>
      </c>
      <c r="S4" t="s">
        <v>1793</v>
      </c>
      <c r="T4" t="s">
        <v>1793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10500457</v>
      </c>
      <c r="D9">
        <v>18546979</v>
      </c>
      <c r="E9">
        <v>8038753</v>
      </c>
      <c r="F9">
        <v>10868030</v>
      </c>
      <c r="G9">
        <v>21371026</v>
      </c>
      <c r="H9">
        <v>27043560</v>
      </c>
      <c r="I9">
        <v>13594527</v>
      </c>
      <c r="J9">
        <v>19124653</v>
      </c>
      <c r="K9">
        <v>6080014</v>
      </c>
      <c r="L9">
        <v>9489957</v>
      </c>
      <c r="M9">
        <v>7578106</v>
      </c>
      <c r="N9">
        <v>9202667</v>
      </c>
      <c r="O9">
        <v>346252737</v>
      </c>
      <c r="P9">
        <v>226899313</v>
      </c>
      <c r="Q9">
        <v>9631732</v>
      </c>
      <c r="R9">
        <v>14616443</v>
      </c>
      <c r="S9">
        <v>10579470</v>
      </c>
      <c r="T9">
        <v>10844709</v>
      </c>
    </row>
    <row r="10" spans="1:20" x14ac:dyDescent="0.4">
      <c r="A10" s="1" t="s">
        <v>8</v>
      </c>
      <c r="B10" s="3" t="s">
        <v>9</v>
      </c>
      <c r="C10">
        <v>10152554</v>
      </c>
      <c r="D10">
        <v>19954571</v>
      </c>
      <c r="E10">
        <v>8531525</v>
      </c>
      <c r="F10">
        <v>12589234</v>
      </c>
      <c r="G10">
        <v>20427478</v>
      </c>
      <c r="H10">
        <v>28810712</v>
      </c>
      <c r="I10">
        <v>13896435</v>
      </c>
      <c r="J10">
        <v>23562156</v>
      </c>
      <c r="K10">
        <v>5861654</v>
      </c>
      <c r="L10">
        <v>11152903</v>
      </c>
      <c r="M10">
        <v>7648652</v>
      </c>
      <c r="N10">
        <v>10259344</v>
      </c>
      <c r="O10">
        <v>337221383</v>
      </c>
      <c r="P10">
        <v>242122233</v>
      </c>
      <c r="Q10">
        <v>9480762</v>
      </c>
      <c r="R10">
        <v>15510322</v>
      </c>
      <c r="S10">
        <v>9509899</v>
      </c>
      <c r="T10">
        <v>10396066</v>
      </c>
    </row>
    <row r="11" spans="1:20" x14ac:dyDescent="0.4">
      <c r="A11" s="1" t="s">
        <v>10</v>
      </c>
      <c r="B11" s="3" t="s">
        <v>11</v>
      </c>
      <c r="C11">
        <v>9338649</v>
      </c>
      <c r="D11">
        <v>19961122</v>
      </c>
      <c r="E11">
        <v>7817058</v>
      </c>
      <c r="F11">
        <v>12302128</v>
      </c>
      <c r="G11">
        <v>19440886</v>
      </c>
      <c r="H11">
        <v>28910801</v>
      </c>
      <c r="I11">
        <v>15644818</v>
      </c>
      <c r="J11">
        <v>27938304</v>
      </c>
      <c r="K11">
        <v>5206746</v>
      </c>
      <c r="L11">
        <v>10374824</v>
      </c>
      <c r="M11">
        <v>6459128</v>
      </c>
      <c r="N11">
        <v>9370215</v>
      </c>
      <c r="O11">
        <v>366790172</v>
      </c>
      <c r="P11">
        <v>264929714</v>
      </c>
      <c r="Q11">
        <v>8547503</v>
      </c>
      <c r="R11">
        <v>14939374</v>
      </c>
      <c r="S11">
        <v>9062679</v>
      </c>
      <c r="T11">
        <v>10169403</v>
      </c>
    </row>
    <row r="12" spans="1:20" x14ac:dyDescent="0.4">
      <c r="A12" s="1" t="s">
        <v>12</v>
      </c>
      <c r="B12" s="3" t="s">
        <v>13</v>
      </c>
      <c r="C12">
        <v>8745956</v>
      </c>
      <c r="D12">
        <v>20236719</v>
      </c>
      <c r="E12">
        <v>7310227</v>
      </c>
      <c r="F12">
        <v>12224601</v>
      </c>
      <c r="G12">
        <v>19210494</v>
      </c>
      <c r="H12">
        <v>30676435</v>
      </c>
      <c r="I12">
        <v>16881010</v>
      </c>
      <c r="J12">
        <v>32314437</v>
      </c>
      <c r="K12">
        <v>5274949</v>
      </c>
      <c r="L12">
        <v>11066873</v>
      </c>
      <c r="M12">
        <v>5441490</v>
      </c>
      <c r="N12">
        <v>8500378</v>
      </c>
      <c r="O12">
        <v>342675114</v>
      </c>
      <c r="P12">
        <v>255189469</v>
      </c>
      <c r="Q12">
        <v>7272858</v>
      </c>
      <c r="R12">
        <v>12734455</v>
      </c>
      <c r="S12">
        <v>8337655</v>
      </c>
      <c r="T12">
        <v>10223375</v>
      </c>
    </row>
    <row r="13" spans="1:20" x14ac:dyDescent="0.4">
      <c r="A13" s="1" t="s">
        <v>14</v>
      </c>
      <c r="B13" s="3" t="s">
        <v>15</v>
      </c>
      <c r="C13">
        <v>9158941</v>
      </c>
      <c r="D13">
        <v>22074626</v>
      </c>
      <c r="E13">
        <v>7563314</v>
      </c>
      <c r="F13">
        <v>13136398</v>
      </c>
      <c r="G13">
        <v>19781551</v>
      </c>
      <c r="H13">
        <v>33829767</v>
      </c>
      <c r="I13">
        <v>17551141</v>
      </c>
      <c r="J13">
        <v>37263103</v>
      </c>
      <c r="K13">
        <v>5261021</v>
      </c>
      <c r="L13">
        <v>11469567</v>
      </c>
      <c r="M13">
        <v>5199284</v>
      </c>
      <c r="N13">
        <v>9172667</v>
      </c>
      <c r="O13">
        <v>344728047</v>
      </c>
      <c r="P13">
        <v>262495685</v>
      </c>
      <c r="Q13">
        <v>7345877</v>
      </c>
      <c r="R13">
        <v>14333422</v>
      </c>
      <c r="S13">
        <v>7959368</v>
      </c>
      <c r="T13">
        <v>9943672</v>
      </c>
    </row>
    <row r="14" spans="1:20" x14ac:dyDescent="0.4">
      <c r="A14" s="1" t="s">
        <v>16</v>
      </c>
      <c r="B14" s="1" t="s">
        <v>17</v>
      </c>
      <c r="C14">
        <v>738574</v>
      </c>
      <c r="D14">
        <v>1661378</v>
      </c>
      <c r="E14">
        <v>644850</v>
      </c>
      <c r="F14">
        <v>1019412</v>
      </c>
      <c r="G14">
        <v>1566182</v>
      </c>
      <c r="H14">
        <v>2316010</v>
      </c>
      <c r="I14">
        <v>1479739</v>
      </c>
      <c r="J14">
        <v>2691593</v>
      </c>
      <c r="K14">
        <v>444808</v>
      </c>
      <c r="L14">
        <v>920957</v>
      </c>
      <c r="M14">
        <v>471225</v>
      </c>
      <c r="N14">
        <v>725156</v>
      </c>
      <c r="O14">
        <v>27719274</v>
      </c>
      <c r="P14">
        <v>20832017</v>
      </c>
      <c r="Q14">
        <v>599451</v>
      </c>
      <c r="R14">
        <v>1014272</v>
      </c>
      <c r="S14">
        <v>636295</v>
      </c>
      <c r="T14">
        <v>835286</v>
      </c>
    </row>
    <row r="15" spans="1:20" x14ac:dyDescent="0.4">
      <c r="A15" s="1" t="s">
        <v>18</v>
      </c>
      <c r="B15" s="1" t="s">
        <v>19</v>
      </c>
      <c r="C15">
        <v>770586</v>
      </c>
      <c r="D15">
        <v>1656269</v>
      </c>
      <c r="E15">
        <v>611875</v>
      </c>
      <c r="F15">
        <v>1010918</v>
      </c>
      <c r="G15">
        <v>1697518</v>
      </c>
      <c r="H15">
        <v>2621434</v>
      </c>
      <c r="I15">
        <v>1460768</v>
      </c>
      <c r="J15">
        <v>2660170</v>
      </c>
      <c r="K15">
        <v>424312</v>
      </c>
      <c r="L15">
        <v>881685</v>
      </c>
      <c r="M15">
        <v>477200</v>
      </c>
      <c r="N15">
        <v>727418</v>
      </c>
      <c r="O15">
        <v>29125792</v>
      </c>
      <c r="P15">
        <v>21391087</v>
      </c>
      <c r="Q15">
        <v>666336</v>
      </c>
      <c r="R15">
        <v>1174913</v>
      </c>
      <c r="S15">
        <v>666602</v>
      </c>
      <c r="T15">
        <v>811672</v>
      </c>
    </row>
    <row r="16" spans="1:20" x14ac:dyDescent="0.4">
      <c r="A16" s="1" t="s">
        <v>20</v>
      </c>
      <c r="B16" s="1" t="s">
        <v>21</v>
      </c>
      <c r="C16">
        <v>741391</v>
      </c>
      <c r="D16">
        <v>1665648</v>
      </c>
      <c r="E16">
        <v>565711</v>
      </c>
      <c r="F16">
        <v>961090</v>
      </c>
      <c r="G16">
        <v>1604122</v>
      </c>
      <c r="H16">
        <v>2555651</v>
      </c>
      <c r="I16">
        <v>1390907</v>
      </c>
      <c r="J16">
        <v>2629570</v>
      </c>
      <c r="K16">
        <v>468438</v>
      </c>
      <c r="L16">
        <v>901063</v>
      </c>
      <c r="M16">
        <v>438318</v>
      </c>
      <c r="N16">
        <v>681786</v>
      </c>
      <c r="O16">
        <v>28873925</v>
      </c>
      <c r="P16">
        <v>21203223</v>
      </c>
      <c r="Q16">
        <v>594371</v>
      </c>
      <c r="R16">
        <v>1008903</v>
      </c>
      <c r="S16">
        <v>598183</v>
      </c>
      <c r="T16">
        <v>768483</v>
      </c>
    </row>
    <row r="17" spans="1:20" x14ac:dyDescent="0.4">
      <c r="A17" s="1" t="s">
        <v>22</v>
      </c>
      <c r="B17" s="1" t="s">
        <v>23</v>
      </c>
      <c r="C17">
        <v>748605</v>
      </c>
      <c r="D17">
        <v>1728750</v>
      </c>
      <c r="E17">
        <v>639661</v>
      </c>
      <c r="F17">
        <v>1080460</v>
      </c>
      <c r="G17">
        <v>1594074</v>
      </c>
      <c r="H17">
        <v>2569301</v>
      </c>
      <c r="I17">
        <v>1392991</v>
      </c>
      <c r="J17">
        <v>2742315</v>
      </c>
      <c r="K17">
        <v>448027</v>
      </c>
      <c r="L17">
        <v>983678</v>
      </c>
      <c r="M17">
        <v>440234</v>
      </c>
      <c r="N17">
        <v>685243</v>
      </c>
      <c r="O17">
        <v>28847399</v>
      </c>
      <c r="P17">
        <v>21340129</v>
      </c>
      <c r="Q17">
        <v>607574</v>
      </c>
      <c r="R17">
        <v>1028494</v>
      </c>
      <c r="S17">
        <v>649889</v>
      </c>
      <c r="T17">
        <v>801089</v>
      </c>
    </row>
    <row r="18" spans="1:20" x14ac:dyDescent="0.4">
      <c r="A18" s="1" t="s">
        <v>24</v>
      </c>
      <c r="B18" s="1" t="s">
        <v>25</v>
      </c>
      <c r="C18">
        <v>729166</v>
      </c>
      <c r="D18">
        <v>1711301</v>
      </c>
      <c r="E18">
        <v>686543</v>
      </c>
      <c r="F18">
        <v>1141818</v>
      </c>
      <c r="G18">
        <v>1632028</v>
      </c>
      <c r="H18">
        <v>2698839</v>
      </c>
      <c r="I18">
        <v>1340501</v>
      </c>
      <c r="J18">
        <v>2729089</v>
      </c>
      <c r="K18">
        <v>470540</v>
      </c>
      <c r="L18">
        <v>1043921</v>
      </c>
      <c r="M18">
        <v>465975</v>
      </c>
      <c r="N18">
        <v>769255</v>
      </c>
      <c r="O18">
        <v>33567026</v>
      </c>
      <c r="P18">
        <v>24989644</v>
      </c>
      <c r="Q18">
        <v>646451</v>
      </c>
      <c r="R18">
        <v>1111369</v>
      </c>
      <c r="S18">
        <v>763605</v>
      </c>
      <c r="T18">
        <v>905664</v>
      </c>
    </row>
    <row r="19" spans="1:20" x14ac:dyDescent="0.4">
      <c r="A19" s="1" t="s">
        <v>26</v>
      </c>
      <c r="B19" s="1" t="s">
        <v>27</v>
      </c>
      <c r="C19">
        <v>654034</v>
      </c>
      <c r="D19">
        <v>1499582</v>
      </c>
      <c r="E19">
        <v>543641</v>
      </c>
      <c r="F19">
        <v>952187</v>
      </c>
      <c r="G19">
        <v>1453412</v>
      </c>
      <c r="H19">
        <v>2361727</v>
      </c>
      <c r="I19">
        <v>1286990</v>
      </c>
      <c r="J19">
        <v>2621419</v>
      </c>
      <c r="K19">
        <v>373590</v>
      </c>
      <c r="L19">
        <v>799823</v>
      </c>
      <c r="M19">
        <v>403346</v>
      </c>
      <c r="N19">
        <v>631995</v>
      </c>
      <c r="O19">
        <v>22161969</v>
      </c>
      <c r="P19">
        <v>16604680</v>
      </c>
      <c r="Q19">
        <v>448814</v>
      </c>
      <c r="R19">
        <v>896582</v>
      </c>
      <c r="S19">
        <v>553457</v>
      </c>
      <c r="T19">
        <v>696354</v>
      </c>
    </row>
    <row r="20" spans="1:20" x14ac:dyDescent="0.4">
      <c r="A20" s="1" t="s">
        <v>28</v>
      </c>
      <c r="B20" s="1" t="s">
        <v>29</v>
      </c>
      <c r="C20">
        <v>722921</v>
      </c>
      <c r="D20">
        <v>1762363</v>
      </c>
      <c r="E20">
        <v>613164</v>
      </c>
      <c r="F20">
        <v>1068638</v>
      </c>
      <c r="G20">
        <v>1616521</v>
      </c>
      <c r="H20">
        <v>2677028</v>
      </c>
      <c r="I20">
        <v>1364306</v>
      </c>
      <c r="J20">
        <v>2727845</v>
      </c>
      <c r="K20">
        <v>397248</v>
      </c>
      <c r="L20">
        <v>869060</v>
      </c>
      <c r="M20">
        <v>442139</v>
      </c>
      <c r="N20">
        <v>694103</v>
      </c>
      <c r="O20">
        <v>29303185</v>
      </c>
      <c r="P20">
        <v>21978857</v>
      </c>
      <c r="Q20">
        <v>572571</v>
      </c>
      <c r="R20">
        <v>1035400</v>
      </c>
      <c r="S20">
        <v>705942</v>
      </c>
      <c r="T20">
        <v>865392</v>
      </c>
    </row>
    <row r="21" spans="1:20" x14ac:dyDescent="0.4">
      <c r="A21" s="1" t="s">
        <v>30</v>
      </c>
      <c r="B21" s="1" t="s">
        <v>31</v>
      </c>
      <c r="C21">
        <v>772779</v>
      </c>
      <c r="D21">
        <v>1909731</v>
      </c>
      <c r="E21">
        <v>704073</v>
      </c>
      <c r="F21">
        <v>1213413</v>
      </c>
      <c r="G21">
        <v>1680548</v>
      </c>
      <c r="H21">
        <v>2824667</v>
      </c>
      <c r="I21">
        <v>1514530</v>
      </c>
      <c r="J21">
        <v>2948685</v>
      </c>
      <c r="K21">
        <v>467597</v>
      </c>
      <c r="L21">
        <v>994276</v>
      </c>
      <c r="M21">
        <v>479646</v>
      </c>
      <c r="N21">
        <v>782386</v>
      </c>
      <c r="O21">
        <v>33252333</v>
      </c>
      <c r="P21">
        <v>24929309</v>
      </c>
      <c r="Q21">
        <v>697830</v>
      </c>
      <c r="R21">
        <v>1180132</v>
      </c>
      <c r="S21">
        <v>821977</v>
      </c>
      <c r="T21">
        <v>978255</v>
      </c>
    </row>
    <row r="22" spans="1:20" x14ac:dyDescent="0.4">
      <c r="A22" s="1" t="s">
        <v>32</v>
      </c>
      <c r="B22" s="1" t="s">
        <v>33</v>
      </c>
      <c r="C22">
        <v>697027</v>
      </c>
      <c r="D22">
        <v>1705008</v>
      </c>
      <c r="E22">
        <v>599272</v>
      </c>
      <c r="F22">
        <v>1036640</v>
      </c>
      <c r="G22">
        <v>1596824</v>
      </c>
      <c r="H22">
        <v>2635994</v>
      </c>
      <c r="I22">
        <v>1480409</v>
      </c>
      <c r="J22">
        <v>2871264</v>
      </c>
      <c r="K22">
        <v>469465</v>
      </c>
      <c r="L22">
        <v>988831</v>
      </c>
      <c r="M22">
        <v>474124</v>
      </c>
      <c r="N22">
        <v>752679</v>
      </c>
      <c r="O22">
        <v>30134959</v>
      </c>
      <c r="P22">
        <v>22503672</v>
      </c>
      <c r="Q22">
        <v>632191</v>
      </c>
      <c r="R22">
        <v>1125460</v>
      </c>
      <c r="S22">
        <v>778827</v>
      </c>
      <c r="T22">
        <v>962765</v>
      </c>
    </row>
    <row r="23" spans="1:20" x14ac:dyDescent="0.4">
      <c r="A23" s="1" t="s">
        <v>34</v>
      </c>
      <c r="B23" s="1" t="s">
        <v>35</v>
      </c>
      <c r="C23">
        <v>743055</v>
      </c>
      <c r="D23">
        <v>1796520</v>
      </c>
      <c r="E23">
        <v>541301</v>
      </c>
      <c r="F23">
        <v>968210</v>
      </c>
      <c r="G23">
        <v>1623609</v>
      </c>
      <c r="H23">
        <v>2664010</v>
      </c>
      <c r="I23">
        <v>1445609</v>
      </c>
      <c r="J23">
        <v>2843113</v>
      </c>
      <c r="K23">
        <v>446592</v>
      </c>
      <c r="L23">
        <v>953041</v>
      </c>
      <c r="M23">
        <v>451752</v>
      </c>
      <c r="N23">
        <v>730449</v>
      </c>
      <c r="O23">
        <v>27626953</v>
      </c>
      <c r="P23">
        <v>20968118</v>
      </c>
      <c r="Q23">
        <v>577860</v>
      </c>
      <c r="R23">
        <v>1077671</v>
      </c>
      <c r="S23">
        <v>731137</v>
      </c>
      <c r="T23">
        <v>925543</v>
      </c>
    </row>
    <row r="24" spans="1:20" x14ac:dyDescent="0.4">
      <c r="A24" s="1" t="s">
        <v>36</v>
      </c>
      <c r="B24" s="1" t="s">
        <v>37</v>
      </c>
      <c r="C24">
        <v>686208</v>
      </c>
      <c r="D24">
        <v>1611563</v>
      </c>
      <c r="E24">
        <v>538587</v>
      </c>
      <c r="F24">
        <v>970787</v>
      </c>
      <c r="G24">
        <v>1686075</v>
      </c>
      <c r="H24">
        <v>2677943</v>
      </c>
      <c r="I24">
        <v>1347625</v>
      </c>
      <c r="J24">
        <v>2670816</v>
      </c>
      <c r="K24">
        <v>454146</v>
      </c>
      <c r="L24">
        <v>960888</v>
      </c>
      <c r="M24">
        <v>391691</v>
      </c>
      <c r="N24">
        <v>684324</v>
      </c>
      <c r="O24">
        <v>27567268</v>
      </c>
      <c r="P24">
        <v>20425002</v>
      </c>
      <c r="Q24">
        <v>580256</v>
      </c>
      <c r="R24">
        <v>988998</v>
      </c>
      <c r="S24">
        <v>621117</v>
      </c>
      <c r="T24">
        <v>773363</v>
      </c>
    </row>
    <row r="25" spans="1:20" x14ac:dyDescent="0.4">
      <c r="A25" s="1" t="s">
        <v>38</v>
      </c>
      <c r="B25" s="1" t="s">
        <v>39</v>
      </c>
      <c r="C25">
        <v>728843</v>
      </c>
      <c r="D25">
        <v>1739438</v>
      </c>
      <c r="E25">
        <v>610880</v>
      </c>
      <c r="F25">
        <v>1009992</v>
      </c>
      <c r="G25">
        <v>1395030</v>
      </c>
      <c r="H25">
        <v>2318342</v>
      </c>
      <c r="I25">
        <v>1381857</v>
      </c>
      <c r="J25">
        <v>2873987</v>
      </c>
      <c r="K25">
        <v>413251</v>
      </c>
      <c r="L25">
        <v>875266</v>
      </c>
      <c r="M25">
        <v>438290</v>
      </c>
      <c r="N25">
        <v>769002</v>
      </c>
      <c r="O25">
        <v>27641935</v>
      </c>
      <c r="P25">
        <v>20988033</v>
      </c>
      <c r="Q25">
        <v>600856</v>
      </c>
      <c r="R25">
        <v>1101450</v>
      </c>
      <c r="S25">
        <v>568627</v>
      </c>
      <c r="T25">
        <v>771145</v>
      </c>
    </row>
    <row r="26" spans="1:20" x14ac:dyDescent="0.4">
      <c r="A26" s="1" t="s">
        <v>40</v>
      </c>
      <c r="B26" s="1" t="s">
        <v>41</v>
      </c>
      <c r="C26">
        <v>787487</v>
      </c>
      <c r="D26">
        <v>1989266</v>
      </c>
      <c r="E26">
        <v>649524</v>
      </c>
      <c r="F26">
        <v>1094680</v>
      </c>
      <c r="G26">
        <v>1502956</v>
      </c>
      <c r="H26">
        <v>2500199</v>
      </c>
      <c r="I26">
        <v>1417361</v>
      </c>
      <c r="J26">
        <v>2918404</v>
      </c>
      <c r="K26">
        <v>471176</v>
      </c>
      <c r="L26">
        <v>988597</v>
      </c>
      <c r="M26">
        <v>451542</v>
      </c>
      <c r="N26">
        <v>793967</v>
      </c>
      <c r="O26">
        <v>29873125</v>
      </c>
      <c r="P26">
        <v>22489761</v>
      </c>
      <c r="Q26">
        <v>611567</v>
      </c>
      <c r="R26">
        <v>1117315</v>
      </c>
      <c r="S26">
        <v>611614</v>
      </c>
      <c r="T26">
        <v>792420</v>
      </c>
    </row>
    <row r="27" spans="1:20" x14ac:dyDescent="0.4">
      <c r="A27" s="1" t="s">
        <v>42</v>
      </c>
      <c r="B27" s="1" t="s">
        <v>43</v>
      </c>
      <c r="C27">
        <v>790495</v>
      </c>
      <c r="D27">
        <v>1910060</v>
      </c>
      <c r="E27">
        <v>668975</v>
      </c>
      <c r="F27">
        <v>1146047</v>
      </c>
      <c r="G27">
        <v>1597869</v>
      </c>
      <c r="H27">
        <v>2807624</v>
      </c>
      <c r="I27">
        <v>1510511</v>
      </c>
      <c r="J27">
        <v>3147712</v>
      </c>
      <c r="K27">
        <v>465460</v>
      </c>
      <c r="L27">
        <v>1054451</v>
      </c>
      <c r="M27">
        <v>461420</v>
      </c>
      <c r="N27">
        <v>791996</v>
      </c>
      <c r="O27">
        <v>28540758</v>
      </c>
      <c r="P27">
        <v>21606202</v>
      </c>
      <c r="Q27">
        <v>602911</v>
      </c>
      <c r="R27">
        <v>1108002</v>
      </c>
      <c r="S27">
        <v>591052</v>
      </c>
      <c r="T27">
        <v>838801</v>
      </c>
    </row>
    <row r="28" spans="1:20" x14ac:dyDescent="0.4">
      <c r="A28" s="1" t="s">
        <v>44</v>
      </c>
      <c r="B28" s="1" t="s">
        <v>45</v>
      </c>
      <c r="C28">
        <v>758112</v>
      </c>
      <c r="D28">
        <v>1865496</v>
      </c>
      <c r="E28">
        <v>605999</v>
      </c>
      <c r="F28">
        <v>1019517</v>
      </c>
      <c r="G28">
        <v>1470686</v>
      </c>
      <c r="H28">
        <v>2554110</v>
      </c>
      <c r="I28">
        <v>1391471</v>
      </c>
      <c r="J28">
        <v>2907936</v>
      </c>
      <c r="K28">
        <v>391249</v>
      </c>
      <c r="L28">
        <v>881884</v>
      </c>
      <c r="M28">
        <v>426824</v>
      </c>
      <c r="N28">
        <v>738336</v>
      </c>
      <c r="O28">
        <v>26971268</v>
      </c>
      <c r="P28">
        <v>20641754</v>
      </c>
      <c r="Q28">
        <v>572663</v>
      </c>
      <c r="R28">
        <v>1081398</v>
      </c>
      <c r="S28">
        <v>648227</v>
      </c>
      <c r="T28">
        <v>811049</v>
      </c>
    </row>
    <row r="29" spans="1:20" x14ac:dyDescent="0.4">
      <c r="A29" s="1" t="s">
        <v>46</v>
      </c>
      <c r="B29" s="1" t="s">
        <v>47</v>
      </c>
      <c r="C29">
        <v>836218</v>
      </c>
      <c r="D29">
        <v>1942566</v>
      </c>
      <c r="E29">
        <v>682498</v>
      </c>
      <c r="F29">
        <v>1137817</v>
      </c>
      <c r="G29">
        <v>1750475</v>
      </c>
      <c r="H29">
        <v>3006901</v>
      </c>
      <c r="I29">
        <v>1602276</v>
      </c>
      <c r="J29">
        <v>3317563</v>
      </c>
      <c r="K29">
        <v>492299</v>
      </c>
      <c r="L29">
        <v>1051408</v>
      </c>
      <c r="M29">
        <v>459036</v>
      </c>
      <c r="N29">
        <v>822031</v>
      </c>
      <c r="O29">
        <v>30429783</v>
      </c>
      <c r="P29">
        <v>23291920</v>
      </c>
      <c r="Q29">
        <v>644761</v>
      </c>
      <c r="R29">
        <v>1180632</v>
      </c>
      <c r="S29">
        <v>691114</v>
      </c>
      <c r="T29">
        <v>846073</v>
      </c>
    </row>
    <row r="30" spans="1:20" x14ac:dyDescent="0.4">
      <c r="A30" s="1" t="s">
        <v>48</v>
      </c>
      <c r="B30" s="1" t="s">
        <v>49</v>
      </c>
      <c r="C30">
        <v>785573</v>
      </c>
      <c r="D30">
        <v>1913574</v>
      </c>
      <c r="E30">
        <v>641302</v>
      </c>
      <c r="F30">
        <v>1130034</v>
      </c>
      <c r="G30">
        <v>1756913</v>
      </c>
      <c r="H30">
        <v>3046963</v>
      </c>
      <c r="I30">
        <v>1586372</v>
      </c>
      <c r="J30">
        <v>3400820</v>
      </c>
      <c r="K30">
        <v>461673</v>
      </c>
      <c r="L30">
        <v>1001506</v>
      </c>
      <c r="M30">
        <v>456651</v>
      </c>
      <c r="N30">
        <v>790228</v>
      </c>
      <c r="O30">
        <v>32641346</v>
      </c>
      <c r="P30">
        <v>24826828</v>
      </c>
      <c r="Q30">
        <v>678027</v>
      </c>
      <c r="R30">
        <v>1246765</v>
      </c>
      <c r="S30">
        <v>709947</v>
      </c>
      <c r="T30">
        <v>866653</v>
      </c>
    </row>
    <row r="31" spans="1:20" x14ac:dyDescent="0.4">
      <c r="A31" s="1" t="s">
        <v>50</v>
      </c>
      <c r="B31" s="1" t="s">
        <v>51</v>
      </c>
      <c r="C31">
        <v>681323</v>
      </c>
      <c r="D31">
        <v>1614491</v>
      </c>
      <c r="E31">
        <v>487700</v>
      </c>
      <c r="F31">
        <v>923076</v>
      </c>
      <c r="G31">
        <v>1572579</v>
      </c>
      <c r="H31">
        <v>2635371</v>
      </c>
      <c r="I31">
        <v>1269494</v>
      </c>
      <c r="J31">
        <v>2804057</v>
      </c>
      <c r="K31">
        <v>413139</v>
      </c>
      <c r="L31">
        <v>876016</v>
      </c>
      <c r="M31">
        <v>364157</v>
      </c>
      <c r="N31">
        <v>640669</v>
      </c>
      <c r="O31">
        <v>22531965</v>
      </c>
      <c r="P31">
        <v>17245946</v>
      </c>
      <c r="Q31">
        <v>483832</v>
      </c>
      <c r="R31">
        <v>1059671</v>
      </c>
      <c r="S31">
        <v>558011</v>
      </c>
      <c r="T31">
        <v>727436</v>
      </c>
    </row>
    <row r="32" spans="1:20" x14ac:dyDescent="0.4">
      <c r="A32" s="1" t="s">
        <v>52</v>
      </c>
      <c r="B32" s="1" t="s">
        <v>53</v>
      </c>
      <c r="C32">
        <v>783526</v>
      </c>
      <c r="D32">
        <v>1824213</v>
      </c>
      <c r="E32">
        <v>643255</v>
      </c>
      <c r="F32">
        <v>1144732</v>
      </c>
      <c r="G32">
        <v>1756472</v>
      </c>
      <c r="H32">
        <v>2975187</v>
      </c>
      <c r="I32">
        <v>1565541</v>
      </c>
      <c r="J32">
        <v>3309477</v>
      </c>
      <c r="K32">
        <v>403057</v>
      </c>
      <c r="L32">
        <v>897604</v>
      </c>
      <c r="M32">
        <v>451257</v>
      </c>
      <c r="N32">
        <v>772866</v>
      </c>
      <c r="O32">
        <v>30605358</v>
      </c>
      <c r="P32">
        <v>23598493</v>
      </c>
      <c r="Q32">
        <v>655507</v>
      </c>
      <c r="R32">
        <v>1260687</v>
      </c>
      <c r="S32">
        <v>667033</v>
      </c>
      <c r="T32">
        <v>806088</v>
      </c>
    </row>
    <row r="33" spans="1:20" x14ac:dyDescent="0.4">
      <c r="A33" s="1" t="s">
        <v>54</v>
      </c>
      <c r="B33" s="1" t="s">
        <v>55</v>
      </c>
      <c r="C33">
        <v>839617</v>
      </c>
      <c r="D33">
        <v>2053697</v>
      </c>
      <c r="E33">
        <v>740829</v>
      </c>
      <c r="F33">
        <v>1250315</v>
      </c>
      <c r="G33">
        <v>1818648</v>
      </c>
      <c r="H33">
        <v>3156720</v>
      </c>
      <c r="I33">
        <v>1566302</v>
      </c>
      <c r="J33">
        <v>3370954</v>
      </c>
      <c r="K33">
        <v>436479</v>
      </c>
      <c r="L33">
        <v>957401</v>
      </c>
      <c r="M33">
        <v>466865</v>
      </c>
      <c r="N33">
        <v>865810</v>
      </c>
      <c r="O33">
        <v>32358500</v>
      </c>
      <c r="P33">
        <v>24866927</v>
      </c>
      <c r="Q33">
        <v>692168</v>
      </c>
      <c r="R33">
        <v>1352925</v>
      </c>
      <c r="S33">
        <v>822998</v>
      </c>
      <c r="T33">
        <v>975061</v>
      </c>
    </row>
    <row r="34" spans="1:20" x14ac:dyDescent="0.4">
      <c r="A34" s="1" t="s">
        <v>56</v>
      </c>
      <c r="B34" s="1" t="s">
        <v>57</v>
      </c>
      <c r="C34">
        <v>742827</v>
      </c>
      <c r="D34">
        <v>1818574</v>
      </c>
      <c r="E34">
        <v>657414</v>
      </c>
      <c r="F34">
        <v>1141556</v>
      </c>
      <c r="G34">
        <v>1648889</v>
      </c>
      <c r="H34">
        <v>2842866</v>
      </c>
      <c r="I34">
        <v>1483334</v>
      </c>
      <c r="J34">
        <v>3343203</v>
      </c>
      <c r="K34">
        <v>420442</v>
      </c>
      <c r="L34">
        <v>935895</v>
      </c>
      <c r="M34">
        <v>411852</v>
      </c>
      <c r="N34">
        <v>734362</v>
      </c>
      <c r="O34">
        <v>28083433</v>
      </c>
      <c r="P34">
        <v>21580206</v>
      </c>
      <c r="Q34">
        <v>621519</v>
      </c>
      <c r="R34">
        <v>1391228</v>
      </c>
      <c r="S34">
        <v>737772</v>
      </c>
      <c r="T34">
        <v>858079</v>
      </c>
    </row>
    <row r="35" spans="1:20" x14ac:dyDescent="0.4">
      <c r="A35" s="1" t="s">
        <v>58</v>
      </c>
      <c r="B35" s="1" t="s">
        <v>59</v>
      </c>
      <c r="C35">
        <v>738712</v>
      </c>
      <c r="D35">
        <v>1791688</v>
      </c>
      <c r="E35">
        <v>636351</v>
      </c>
      <c r="F35">
        <v>1167845</v>
      </c>
      <c r="G35">
        <v>1824959</v>
      </c>
      <c r="H35">
        <v>3307541</v>
      </c>
      <c r="I35">
        <v>1428997</v>
      </c>
      <c r="J35">
        <v>3198174</v>
      </c>
      <c r="K35">
        <v>438650</v>
      </c>
      <c r="L35">
        <v>988651</v>
      </c>
      <c r="M35">
        <v>419699</v>
      </c>
      <c r="N35">
        <v>769076</v>
      </c>
      <c r="O35">
        <v>27483308</v>
      </c>
      <c r="P35">
        <v>20934613</v>
      </c>
      <c r="Q35">
        <v>601810</v>
      </c>
      <c r="R35">
        <v>1444351</v>
      </c>
      <c r="S35">
        <v>731856</v>
      </c>
      <c r="T35">
        <v>877504</v>
      </c>
    </row>
    <row r="36" spans="1:20" x14ac:dyDescent="0.4">
      <c r="A36" s="1" t="s">
        <v>60</v>
      </c>
      <c r="B36" s="1" t="s">
        <v>61</v>
      </c>
      <c r="C36">
        <v>720078</v>
      </c>
      <c r="D36">
        <v>1745253</v>
      </c>
      <c r="E36">
        <v>570345</v>
      </c>
      <c r="F36">
        <v>1104119</v>
      </c>
      <c r="G36">
        <v>1836249</v>
      </c>
      <c r="H36">
        <v>3063809</v>
      </c>
      <c r="I36">
        <v>1520452</v>
      </c>
      <c r="J36">
        <v>3373606</v>
      </c>
      <c r="K36">
        <v>423597</v>
      </c>
      <c r="L36">
        <v>973628</v>
      </c>
      <c r="M36">
        <v>430983</v>
      </c>
      <c r="N36">
        <v>784119</v>
      </c>
      <c r="O36">
        <v>27721837</v>
      </c>
      <c r="P36">
        <v>20916051</v>
      </c>
      <c r="Q36">
        <v>578869</v>
      </c>
      <c r="R36">
        <v>1411133</v>
      </c>
      <c r="S36">
        <v>705193</v>
      </c>
      <c r="T36">
        <v>893931</v>
      </c>
    </row>
    <row r="37" spans="1:20" x14ac:dyDescent="0.4">
      <c r="A37" s="1" t="s">
        <v>62</v>
      </c>
      <c r="B37" s="1" t="s">
        <v>63</v>
      </c>
      <c r="C37">
        <v>688666</v>
      </c>
      <c r="D37">
        <v>1758245</v>
      </c>
      <c r="E37">
        <v>573440</v>
      </c>
      <c r="F37">
        <v>1095071</v>
      </c>
      <c r="G37">
        <v>1681393</v>
      </c>
      <c r="H37">
        <v>3146725</v>
      </c>
      <c r="I37">
        <v>1482082</v>
      </c>
      <c r="J37">
        <v>3534827</v>
      </c>
      <c r="K37">
        <v>370865</v>
      </c>
      <c r="L37">
        <v>910184</v>
      </c>
      <c r="M37">
        <v>463712</v>
      </c>
      <c r="N37">
        <v>830352</v>
      </c>
      <c r="O37">
        <v>29372389</v>
      </c>
      <c r="P37">
        <v>22400743</v>
      </c>
      <c r="Q37">
        <v>624015</v>
      </c>
      <c r="R37">
        <v>1401710</v>
      </c>
      <c r="S37">
        <v>576409</v>
      </c>
      <c r="T37">
        <v>810339</v>
      </c>
    </row>
    <row r="38" spans="1:20" x14ac:dyDescent="0.4">
      <c r="A38" s="1" t="s">
        <v>64</v>
      </c>
      <c r="B38" s="1" t="s">
        <v>65</v>
      </c>
      <c r="C38">
        <v>729455</v>
      </c>
      <c r="D38">
        <v>1982990</v>
      </c>
      <c r="E38">
        <v>657843</v>
      </c>
      <c r="F38">
        <v>1230464</v>
      </c>
      <c r="G38">
        <v>1726173</v>
      </c>
      <c r="H38">
        <v>3422835</v>
      </c>
      <c r="I38">
        <v>1630520</v>
      </c>
      <c r="J38">
        <v>4407168</v>
      </c>
      <c r="K38">
        <v>445651</v>
      </c>
      <c r="L38">
        <v>1111651</v>
      </c>
      <c r="M38">
        <v>491027</v>
      </c>
      <c r="N38">
        <v>908546</v>
      </c>
      <c r="O38">
        <v>32397305</v>
      </c>
      <c r="P38">
        <v>24515885</v>
      </c>
      <c r="Q38">
        <v>590135</v>
      </c>
      <c r="R38">
        <v>1347313</v>
      </c>
      <c r="S38">
        <v>660971</v>
      </c>
      <c r="T38">
        <v>880051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9D917-76FA-4F4F-8F45-EB1BFD60E2CC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1794</v>
      </c>
      <c r="D3" t="s">
        <v>1794</v>
      </c>
      <c r="E3" t="s">
        <v>1796</v>
      </c>
      <c r="F3" t="s">
        <v>1796</v>
      </c>
      <c r="G3" t="s">
        <v>1798</v>
      </c>
      <c r="H3" t="s">
        <v>1798</v>
      </c>
      <c r="I3" t="s">
        <v>1800</v>
      </c>
      <c r="J3" t="s">
        <v>1800</v>
      </c>
      <c r="K3" t="s">
        <v>1802</v>
      </c>
      <c r="L3" t="s">
        <v>1802</v>
      </c>
      <c r="M3" t="s">
        <v>1804</v>
      </c>
      <c r="N3" t="s">
        <v>1804</v>
      </c>
      <c r="O3" t="s">
        <v>1806</v>
      </c>
      <c r="P3" t="s">
        <v>1806</v>
      </c>
      <c r="Q3" t="s">
        <v>1808</v>
      </c>
      <c r="R3" t="s">
        <v>1808</v>
      </c>
    </row>
    <row r="4" spans="1:18" x14ac:dyDescent="0.4">
      <c r="A4" s="1"/>
      <c r="B4" s="2" t="s">
        <v>1</v>
      </c>
      <c r="C4" t="s">
        <v>1795</v>
      </c>
      <c r="D4" t="s">
        <v>1795</v>
      </c>
      <c r="E4" t="s">
        <v>1797</v>
      </c>
      <c r="F4" t="s">
        <v>1797</v>
      </c>
      <c r="G4" t="s">
        <v>1799</v>
      </c>
      <c r="H4" t="s">
        <v>1799</v>
      </c>
      <c r="I4" t="s">
        <v>1801</v>
      </c>
      <c r="J4" t="s">
        <v>1801</v>
      </c>
      <c r="K4" t="s">
        <v>1803</v>
      </c>
      <c r="L4" t="s">
        <v>1803</v>
      </c>
      <c r="M4" t="s">
        <v>1805</v>
      </c>
      <c r="N4" t="s">
        <v>1805</v>
      </c>
      <c r="O4" t="s">
        <v>1807</v>
      </c>
      <c r="P4" t="s">
        <v>1807</v>
      </c>
      <c r="Q4" t="s">
        <v>1809</v>
      </c>
      <c r="R4" t="s">
        <v>1809</v>
      </c>
    </row>
    <row r="5" spans="1:18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</row>
    <row r="6" spans="1:18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</row>
    <row r="7" spans="1:18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</row>
    <row r="8" spans="1:18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</row>
    <row r="9" spans="1:18" x14ac:dyDescent="0.4">
      <c r="A9" s="1" t="s">
        <v>6</v>
      </c>
      <c r="B9" s="3" t="s">
        <v>7</v>
      </c>
      <c r="C9">
        <v>31483050</v>
      </c>
      <c r="D9">
        <v>27088671</v>
      </c>
      <c r="E9">
        <v>17598400</v>
      </c>
      <c r="F9">
        <v>21022351</v>
      </c>
      <c r="G9">
        <v>798454752</v>
      </c>
      <c r="H9">
        <v>479482725</v>
      </c>
      <c r="I9">
        <v>22975566</v>
      </c>
      <c r="J9">
        <v>15482843</v>
      </c>
      <c r="K9">
        <v>33928083</v>
      </c>
      <c r="L9">
        <v>27814057</v>
      </c>
      <c r="M9">
        <v>7873732</v>
      </c>
      <c r="N9">
        <v>21697171</v>
      </c>
      <c r="O9">
        <v>9053167</v>
      </c>
      <c r="P9">
        <v>10480364</v>
      </c>
      <c r="Q9">
        <v>3919597</v>
      </c>
      <c r="R9">
        <v>3683624</v>
      </c>
    </row>
    <row r="10" spans="1:18" x14ac:dyDescent="0.4">
      <c r="A10" s="1" t="s">
        <v>8</v>
      </c>
      <c r="B10" s="3" t="s">
        <v>9</v>
      </c>
      <c r="C10">
        <v>29739694</v>
      </c>
      <c r="D10">
        <v>28155158</v>
      </c>
      <c r="E10">
        <v>16795049</v>
      </c>
      <c r="F10">
        <v>21294564</v>
      </c>
      <c r="G10">
        <v>771770562</v>
      </c>
      <c r="H10">
        <v>511773448</v>
      </c>
      <c r="I10">
        <v>21879535</v>
      </c>
      <c r="J10">
        <v>16160261</v>
      </c>
      <c r="K10">
        <v>35670805</v>
      </c>
      <c r="L10">
        <v>30091454</v>
      </c>
      <c r="M10">
        <v>7379247</v>
      </c>
      <c r="N10">
        <v>24659692</v>
      </c>
      <c r="O10">
        <v>8349124</v>
      </c>
      <c r="P10">
        <v>11605822</v>
      </c>
      <c r="Q10">
        <v>3328171</v>
      </c>
      <c r="R10">
        <v>4014217</v>
      </c>
    </row>
    <row r="11" spans="1:18" x14ac:dyDescent="0.4">
      <c r="A11" s="1" t="s">
        <v>10</v>
      </c>
      <c r="B11" s="3" t="s">
        <v>11</v>
      </c>
      <c r="C11">
        <v>28200012</v>
      </c>
      <c r="D11">
        <v>27796905</v>
      </c>
      <c r="E11">
        <v>15651194</v>
      </c>
      <c r="F11">
        <v>20572111</v>
      </c>
      <c r="G11">
        <v>843268408</v>
      </c>
      <c r="H11">
        <v>581555446</v>
      </c>
      <c r="I11">
        <v>21676208</v>
      </c>
      <c r="J11">
        <v>16656246</v>
      </c>
      <c r="K11">
        <v>36273584</v>
      </c>
      <c r="L11">
        <v>29821641</v>
      </c>
      <c r="M11">
        <v>7422636</v>
      </c>
      <c r="N11">
        <v>28569961</v>
      </c>
      <c r="O11">
        <v>6715909</v>
      </c>
      <c r="P11">
        <v>9684175</v>
      </c>
      <c r="Q11">
        <v>2816035</v>
      </c>
      <c r="R11">
        <v>3224052</v>
      </c>
    </row>
    <row r="12" spans="1:18" x14ac:dyDescent="0.4">
      <c r="A12" s="1" t="s">
        <v>12</v>
      </c>
      <c r="B12" s="3" t="s">
        <v>13</v>
      </c>
      <c r="C12">
        <v>26343778</v>
      </c>
      <c r="D12">
        <v>26747918</v>
      </c>
      <c r="E12">
        <v>15206659</v>
      </c>
      <c r="F12">
        <v>20144068</v>
      </c>
      <c r="G12">
        <v>802209242</v>
      </c>
      <c r="H12">
        <v>566356723</v>
      </c>
      <c r="I12">
        <v>20071763</v>
      </c>
      <c r="J12">
        <v>16296868</v>
      </c>
      <c r="K12">
        <v>26505401</v>
      </c>
      <c r="L12">
        <v>24128773</v>
      </c>
      <c r="M12">
        <v>7118713</v>
      </c>
      <c r="N12">
        <v>27445329</v>
      </c>
      <c r="O12">
        <v>7363180</v>
      </c>
      <c r="P12">
        <v>10011445</v>
      </c>
      <c r="Q12">
        <v>2155904</v>
      </c>
      <c r="R12">
        <v>2677980</v>
      </c>
    </row>
    <row r="13" spans="1:18" x14ac:dyDescent="0.4">
      <c r="A13" s="1" t="s">
        <v>14</v>
      </c>
      <c r="B13" s="3" t="s">
        <v>15</v>
      </c>
      <c r="C13">
        <v>26034674</v>
      </c>
      <c r="D13">
        <v>27615023</v>
      </c>
      <c r="E13">
        <v>14131950</v>
      </c>
      <c r="F13">
        <v>20318436</v>
      </c>
      <c r="G13">
        <v>796830233</v>
      </c>
      <c r="H13">
        <v>583484267</v>
      </c>
      <c r="I13">
        <v>20365259</v>
      </c>
      <c r="J13">
        <v>16944180</v>
      </c>
      <c r="K13">
        <v>26939742</v>
      </c>
      <c r="L13">
        <v>25924854</v>
      </c>
      <c r="M13">
        <v>6748368</v>
      </c>
      <c r="N13">
        <v>26074653</v>
      </c>
      <c r="O13">
        <v>6777139</v>
      </c>
      <c r="P13">
        <v>9710029</v>
      </c>
      <c r="Q13">
        <v>2292672</v>
      </c>
      <c r="R13">
        <v>2944636</v>
      </c>
    </row>
    <row r="14" spans="1:18" x14ac:dyDescent="0.4">
      <c r="A14" s="1" t="s">
        <v>16</v>
      </c>
      <c r="B14" s="1" t="s">
        <v>17</v>
      </c>
      <c r="C14">
        <v>2270467</v>
      </c>
      <c r="D14">
        <v>2216231</v>
      </c>
      <c r="E14">
        <v>1350058</v>
      </c>
      <c r="F14">
        <v>1688434</v>
      </c>
      <c r="G14">
        <v>66003403</v>
      </c>
      <c r="H14">
        <v>45993662</v>
      </c>
      <c r="I14">
        <v>1810897</v>
      </c>
      <c r="J14">
        <v>1470129</v>
      </c>
      <c r="K14">
        <v>2239099</v>
      </c>
      <c r="L14">
        <v>2042941</v>
      </c>
      <c r="M14">
        <v>550845</v>
      </c>
      <c r="N14">
        <v>2809960</v>
      </c>
      <c r="O14">
        <v>628704</v>
      </c>
      <c r="P14">
        <v>801064</v>
      </c>
      <c r="Q14">
        <v>171395</v>
      </c>
      <c r="R14">
        <v>214579</v>
      </c>
    </row>
    <row r="15" spans="1:18" x14ac:dyDescent="0.4">
      <c r="A15" s="1" t="s">
        <v>18</v>
      </c>
      <c r="B15" s="1" t="s">
        <v>19</v>
      </c>
      <c r="C15">
        <v>2151837</v>
      </c>
      <c r="D15">
        <v>2261349</v>
      </c>
      <c r="E15">
        <v>1236693</v>
      </c>
      <c r="F15">
        <v>1665176</v>
      </c>
      <c r="G15">
        <v>65953961</v>
      </c>
      <c r="H15">
        <v>46650655</v>
      </c>
      <c r="I15">
        <v>1756815</v>
      </c>
      <c r="J15">
        <v>1440399</v>
      </c>
      <c r="K15">
        <v>2016362</v>
      </c>
      <c r="L15">
        <v>1916314</v>
      </c>
      <c r="M15">
        <v>624795</v>
      </c>
      <c r="N15">
        <v>2155975</v>
      </c>
      <c r="O15">
        <v>670520</v>
      </c>
      <c r="P15">
        <v>868893</v>
      </c>
      <c r="Q15">
        <v>175635</v>
      </c>
      <c r="R15">
        <v>234500</v>
      </c>
    </row>
    <row r="16" spans="1:18" x14ac:dyDescent="0.4">
      <c r="A16" s="1" t="s">
        <v>20</v>
      </c>
      <c r="B16" s="1" t="s">
        <v>21</v>
      </c>
      <c r="C16">
        <v>2159899</v>
      </c>
      <c r="D16">
        <v>2191860</v>
      </c>
      <c r="E16">
        <v>1197885</v>
      </c>
      <c r="F16">
        <v>1656182</v>
      </c>
      <c r="G16">
        <v>65492658</v>
      </c>
      <c r="H16">
        <v>45985942</v>
      </c>
      <c r="I16">
        <v>1462081</v>
      </c>
      <c r="J16">
        <v>1158026</v>
      </c>
      <c r="K16">
        <v>2065107</v>
      </c>
      <c r="L16">
        <v>1886213</v>
      </c>
      <c r="M16">
        <v>586264</v>
      </c>
      <c r="N16">
        <v>2154365</v>
      </c>
      <c r="O16">
        <v>616483</v>
      </c>
      <c r="P16">
        <v>824605</v>
      </c>
      <c r="Q16">
        <v>171315</v>
      </c>
      <c r="R16">
        <v>213428</v>
      </c>
    </row>
    <row r="17" spans="1:18" x14ac:dyDescent="0.4">
      <c r="A17" s="1" t="s">
        <v>22</v>
      </c>
      <c r="B17" s="1" t="s">
        <v>23</v>
      </c>
      <c r="C17">
        <v>2123903</v>
      </c>
      <c r="D17">
        <v>2182440</v>
      </c>
      <c r="E17">
        <v>1261531</v>
      </c>
      <c r="F17">
        <v>1622654</v>
      </c>
      <c r="G17">
        <v>68148985</v>
      </c>
      <c r="H17">
        <v>47573076</v>
      </c>
      <c r="I17">
        <v>1620795</v>
      </c>
      <c r="J17">
        <v>1275058</v>
      </c>
      <c r="K17">
        <v>2275285</v>
      </c>
      <c r="L17">
        <v>2013217</v>
      </c>
      <c r="M17">
        <v>608795</v>
      </c>
      <c r="N17">
        <v>2207753</v>
      </c>
      <c r="O17">
        <v>642898</v>
      </c>
      <c r="P17">
        <v>882116</v>
      </c>
      <c r="Q17">
        <v>179183</v>
      </c>
      <c r="R17">
        <v>221129</v>
      </c>
    </row>
    <row r="18" spans="1:18" x14ac:dyDescent="0.4">
      <c r="A18" s="1" t="s">
        <v>24</v>
      </c>
      <c r="B18" s="1" t="s">
        <v>25</v>
      </c>
      <c r="C18">
        <v>2364189</v>
      </c>
      <c r="D18">
        <v>2444388</v>
      </c>
      <c r="E18">
        <v>1447629</v>
      </c>
      <c r="F18">
        <v>1882394</v>
      </c>
      <c r="G18">
        <v>76667374</v>
      </c>
      <c r="H18">
        <v>53953494</v>
      </c>
      <c r="I18">
        <v>1753325</v>
      </c>
      <c r="J18">
        <v>1471396</v>
      </c>
      <c r="K18">
        <v>2428068</v>
      </c>
      <c r="L18">
        <v>2250419</v>
      </c>
      <c r="M18">
        <v>727950</v>
      </c>
      <c r="N18">
        <v>2414691</v>
      </c>
      <c r="O18">
        <v>644890</v>
      </c>
      <c r="P18">
        <v>898625</v>
      </c>
      <c r="Q18">
        <v>215397</v>
      </c>
      <c r="R18">
        <v>235286</v>
      </c>
    </row>
    <row r="19" spans="1:18" x14ac:dyDescent="0.4">
      <c r="A19" s="1" t="s">
        <v>26</v>
      </c>
      <c r="B19" s="1" t="s">
        <v>27</v>
      </c>
      <c r="C19">
        <v>1880295</v>
      </c>
      <c r="D19">
        <v>1949571</v>
      </c>
      <c r="E19">
        <v>1084754</v>
      </c>
      <c r="F19">
        <v>1534049</v>
      </c>
      <c r="G19">
        <v>54468337</v>
      </c>
      <c r="H19">
        <v>39055734</v>
      </c>
      <c r="I19">
        <v>1293659</v>
      </c>
      <c r="J19">
        <v>1043502</v>
      </c>
      <c r="K19">
        <v>1857612</v>
      </c>
      <c r="L19">
        <v>1724510</v>
      </c>
      <c r="M19">
        <v>498871</v>
      </c>
      <c r="N19">
        <v>1885113</v>
      </c>
      <c r="O19">
        <v>482650</v>
      </c>
      <c r="P19">
        <v>722883</v>
      </c>
      <c r="Q19">
        <v>146789</v>
      </c>
      <c r="R19">
        <v>180745</v>
      </c>
    </row>
    <row r="20" spans="1:18" x14ac:dyDescent="0.4">
      <c r="A20" s="1" t="s">
        <v>28</v>
      </c>
      <c r="B20" s="1" t="s">
        <v>29</v>
      </c>
      <c r="C20">
        <v>2274264</v>
      </c>
      <c r="D20">
        <v>2309695</v>
      </c>
      <c r="E20">
        <v>1287652</v>
      </c>
      <c r="F20">
        <v>1704843</v>
      </c>
      <c r="G20">
        <v>68246341</v>
      </c>
      <c r="H20">
        <v>48393567</v>
      </c>
      <c r="I20">
        <v>1692496</v>
      </c>
      <c r="J20">
        <v>1356310</v>
      </c>
      <c r="K20">
        <v>2200098</v>
      </c>
      <c r="L20">
        <v>1981668</v>
      </c>
      <c r="M20">
        <v>603440</v>
      </c>
      <c r="N20">
        <v>2400604</v>
      </c>
      <c r="O20">
        <v>626974</v>
      </c>
      <c r="P20">
        <v>848754</v>
      </c>
      <c r="Q20">
        <v>184994</v>
      </c>
      <c r="R20">
        <v>204514</v>
      </c>
    </row>
    <row r="21" spans="1:18" x14ac:dyDescent="0.4">
      <c r="A21" s="1" t="s">
        <v>30</v>
      </c>
      <c r="B21" s="1" t="s">
        <v>31</v>
      </c>
      <c r="C21">
        <v>2323132</v>
      </c>
      <c r="D21">
        <v>2422948</v>
      </c>
      <c r="E21">
        <v>1367787</v>
      </c>
      <c r="F21">
        <v>1886947</v>
      </c>
      <c r="G21">
        <v>76548603</v>
      </c>
      <c r="H21">
        <v>54101889</v>
      </c>
      <c r="I21">
        <v>1820245</v>
      </c>
      <c r="J21">
        <v>1448596</v>
      </c>
      <c r="K21">
        <v>2309661</v>
      </c>
      <c r="L21">
        <v>2133618</v>
      </c>
      <c r="M21">
        <v>644755</v>
      </c>
      <c r="N21">
        <v>2331110</v>
      </c>
      <c r="O21">
        <v>615895</v>
      </c>
      <c r="P21">
        <v>896937</v>
      </c>
      <c r="Q21">
        <v>192683</v>
      </c>
      <c r="R21">
        <v>239843</v>
      </c>
    </row>
    <row r="22" spans="1:18" x14ac:dyDescent="0.4">
      <c r="A22" s="1" t="s">
        <v>32</v>
      </c>
      <c r="B22" s="1" t="s">
        <v>33</v>
      </c>
      <c r="C22">
        <v>2269394</v>
      </c>
      <c r="D22">
        <v>2365681</v>
      </c>
      <c r="E22">
        <v>1267844</v>
      </c>
      <c r="F22">
        <v>1731443</v>
      </c>
      <c r="G22">
        <v>71049363</v>
      </c>
      <c r="H22">
        <v>50692340</v>
      </c>
      <c r="I22">
        <v>1794247</v>
      </c>
      <c r="J22">
        <v>1473487</v>
      </c>
      <c r="K22">
        <v>2278769</v>
      </c>
      <c r="L22">
        <v>2125449</v>
      </c>
      <c r="M22">
        <v>616483</v>
      </c>
      <c r="N22">
        <v>2275438</v>
      </c>
      <c r="O22">
        <v>642864</v>
      </c>
      <c r="P22">
        <v>873629</v>
      </c>
      <c r="Q22">
        <v>202721</v>
      </c>
      <c r="R22">
        <v>239283</v>
      </c>
    </row>
    <row r="23" spans="1:18" x14ac:dyDescent="0.4">
      <c r="A23" s="1" t="s">
        <v>34</v>
      </c>
      <c r="B23" s="1" t="s">
        <v>35</v>
      </c>
      <c r="C23">
        <v>2173468</v>
      </c>
      <c r="D23">
        <v>2205333</v>
      </c>
      <c r="E23">
        <v>1250386</v>
      </c>
      <c r="F23">
        <v>1670621</v>
      </c>
      <c r="G23">
        <v>65400483</v>
      </c>
      <c r="H23">
        <v>47402791</v>
      </c>
      <c r="I23">
        <v>1507535</v>
      </c>
      <c r="J23">
        <v>1277900</v>
      </c>
      <c r="K23">
        <v>2241193</v>
      </c>
      <c r="L23">
        <v>2141166</v>
      </c>
      <c r="M23">
        <v>528857</v>
      </c>
      <c r="N23">
        <v>2412809</v>
      </c>
      <c r="O23">
        <v>651513</v>
      </c>
      <c r="P23">
        <v>912254</v>
      </c>
      <c r="Q23">
        <v>185728</v>
      </c>
      <c r="R23">
        <v>240820</v>
      </c>
    </row>
    <row r="24" spans="1:18" x14ac:dyDescent="0.4">
      <c r="A24" s="1" t="s">
        <v>36</v>
      </c>
      <c r="B24" s="1" t="s">
        <v>37</v>
      </c>
      <c r="C24">
        <v>2063441</v>
      </c>
      <c r="D24">
        <v>2262596</v>
      </c>
      <c r="E24">
        <v>1244800</v>
      </c>
      <c r="F24">
        <v>1677450</v>
      </c>
      <c r="G24">
        <v>64788679</v>
      </c>
      <c r="H24">
        <v>47890833</v>
      </c>
      <c r="I24">
        <v>1760932</v>
      </c>
      <c r="J24">
        <v>1441894</v>
      </c>
      <c r="K24">
        <v>2279201</v>
      </c>
      <c r="L24">
        <v>2062403</v>
      </c>
      <c r="M24">
        <v>608937</v>
      </c>
      <c r="N24">
        <v>2083130</v>
      </c>
      <c r="O24">
        <v>627850</v>
      </c>
      <c r="P24">
        <v>836742</v>
      </c>
      <c r="Q24">
        <v>183944</v>
      </c>
      <c r="R24">
        <v>224667</v>
      </c>
    </row>
    <row r="25" spans="1:18" x14ac:dyDescent="0.4">
      <c r="A25" s="1" t="s">
        <v>38</v>
      </c>
      <c r="B25" s="1" t="s">
        <v>39</v>
      </c>
      <c r="C25">
        <v>2111326</v>
      </c>
      <c r="D25">
        <v>2234792</v>
      </c>
      <c r="E25">
        <v>1239166</v>
      </c>
      <c r="F25">
        <v>1700780</v>
      </c>
      <c r="G25">
        <v>66594392</v>
      </c>
      <c r="H25">
        <v>48145522</v>
      </c>
      <c r="I25">
        <v>1830640</v>
      </c>
      <c r="J25">
        <v>1533899</v>
      </c>
      <c r="K25">
        <v>2400066</v>
      </c>
      <c r="L25">
        <v>2198461</v>
      </c>
      <c r="M25">
        <v>584089</v>
      </c>
      <c r="N25">
        <v>2323800</v>
      </c>
      <c r="O25">
        <v>609704</v>
      </c>
      <c r="P25">
        <v>840744</v>
      </c>
      <c r="Q25">
        <v>204660</v>
      </c>
      <c r="R25">
        <v>216269</v>
      </c>
    </row>
    <row r="26" spans="1:18" x14ac:dyDescent="0.4">
      <c r="A26" s="1" t="s">
        <v>40</v>
      </c>
      <c r="B26" s="1" t="s">
        <v>41</v>
      </c>
      <c r="C26">
        <v>2181291</v>
      </c>
      <c r="D26">
        <v>2304836</v>
      </c>
      <c r="E26">
        <v>1203906</v>
      </c>
      <c r="F26">
        <v>1677049</v>
      </c>
      <c r="G26">
        <v>68364889</v>
      </c>
      <c r="H26">
        <v>49577688</v>
      </c>
      <c r="I26">
        <v>1786814</v>
      </c>
      <c r="J26">
        <v>1498427</v>
      </c>
      <c r="K26">
        <v>2379452</v>
      </c>
      <c r="L26">
        <v>2241826</v>
      </c>
      <c r="M26">
        <v>564586</v>
      </c>
      <c r="N26">
        <v>2591418</v>
      </c>
      <c r="O26">
        <v>611506</v>
      </c>
      <c r="P26">
        <v>795784</v>
      </c>
      <c r="Q26">
        <v>171422</v>
      </c>
      <c r="R26">
        <v>226697</v>
      </c>
    </row>
    <row r="27" spans="1:18" x14ac:dyDescent="0.4">
      <c r="A27" s="1" t="s">
        <v>42</v>
      </c>
      <c r="B27" s="1" t="s">
        <v>43</v>
      </c>
      <c r="C27">
        <v>2087192</v>
      </c>
      <c r="D27">
        <v>2199361</v>
      </c>
      <c r="E27">
        <v>1137755</v>
      </c>
      <c r="F27">
        <v>1610234</v>
      </c>
      <c r="G27">
        <v>64943288</v>
      </c>
      <c r="H27">
        <v>47941231</v>
      </c>
      <c r="I27">
        <v>1710526</v>
      </c>
      <c r="J27">
        <v>1426883</v>
      </c>
      <c r="K27">
        <v>2251538</v>
      </c>
      <c r="L27">
        <v>2250959</v>
      </c>
      <c r="M27">
        <v>556361</v>
      </c>
      <c r="N27">
        <v>1733004</v>
      </c>
      <c r="O27">
        <v>685118</v>
      </c>
      <c r="P27">
        <v>871579</v>
      </c>
      <c r="Q27">
        <v>195584</v>
      </c>
      <c r="R27">
        <v>231294</v>
      </c>
    </row>
    <row r="28" spans="1:18" x14ac:dyDescent="0.4">
      <c r="A28" s="1" t="s">
        <v>44</v>
      </c>
      <c r="B28" s="1" t="s">
        <v>45</v>
      </c>
      <c r="C28">
        <v>2051646</v>
      </c>
      <c r="D28">
        <v>2164935</v>
      </c>
      <c r="E28">
        <v>1062177</v>
      </c>
      <c r="F28">
        <v>1569818</v>
      </c>
      <c r="G28">
        <v>62508377</v>
      </c>
      <c r="H28">
        <v>46296625</v>
      </c>
      <c r="I28">
        <v>1538457</v>
      </c>
      <c r="J28">
        <v>1298551</v>
      </c>
      <c r="K28">
        <v>2175628</v>
      </c>
      <c r="L28">
        <v>2085629</v>
      </c>
      <c r="M28">
        <v>550218</v>
      </c>
      <c r="N28">
        <v>2044027</v>
      </c>
      <c r="O28">
        <v>598932</v>
      </c>
      <c r="P28">
        <v>796161</v>
      </c>
      <c r="Q28">
        <v>177058</v>
      </c>
      <c r="R28">
        <v>215765</v>
      </c>
    </row>
    <row r="29" spans="1:18" x14ac:dyDescent="0.4">
      <c r="A29" s="1" t="s">
        <v>46</v>
      </c>
      <c r="B29" s="1" t="s">
        <v>47</v>
      </c>
      <c r="C29">
        <v>2232011</v>
      </c>
      <c r="D29">
        <v>2338666</v>
      </c>
      <c r="E29">
        <v>1142221</v>
      </c>
      <c r="F29">
        <v>1633936</v>
      </c>
      <c r="G29">
        <v>69179573</v>
      </c>
      <c r="H29">
        <v>50848427</v>
      </c>
      <c r="I29">
        <v>1709096</v>
      </c>
      <c r="J29">
        <v>1393661</v>
      </c>
      <c r="K29">
        <v>2353947</v>
      </c>
      <c r="L29">
        <v>2224115</v>
      </c>
      <c r="M29">
        <v>567782</v>
      </c>
      <c r="N29">
        <v>2536579</v>
      </c>
      <c r="O29">
        <v>537828</v>
      </c>
      <c r="P29">
        <v>804242</v>
      </c>
      <c r="Q29">
        <v>186046</v>
      </c>
      <c r="R29">
        <v>236297</v>
      </c>
    </row>
    <row r="30" spans="1:18" x14ac:dyDescent="0.4">
      <c r="A30" s="1" t="s">
        <v>48</v>
      </c>
      <c r="B30" s="1" t="s">
        <v>49</v>
      </c>
      <c r="C30">
        <v>2374099</v>
      </c>
      <c r="D30">
        <v>2532157</v>
      </c>
      <c r="E30">
        <v>1204802</v>
      </c>
      <c r="F30">
        <v>1780362</v>
      </c>
      <c r="G30">
        <v>74218181</v>
      </c>
      <c r="H30">
        <v>54744765</v>
      </c>
      <c r="I30">
        <v>1780049</v>
      </c>
      <c r="J30">
        <v>1437006</v>
      </c>
      <c r="K30">
        <v>2391130</v>
      </c>
      <c r="L30">
        <v>2319318</v>
      </c>
      <c r="M30">
        <v>639482</v>
      </c>
      <c r="N30">
        <v>2253385</v>
      </c>
      <c r="O30">
        <v>564641</v>
      </c>
      <c r="P30">
        <v>811700</v>
      </c>
      <c r="Q30">
        <v>221467</v>
      </c>
      <c r="R30">
        <v>286995</v>
      </c>
    </row>
    <row r="31" spans="1:18" x14ac:dyDescent="0.4">
      <c r="A31" s="1" t="s">
        <v>50</v>
      </c>
      <c r="B31" s="1" t="s">
        <v>51</v>
      </c>
      <c r="C31">
        <v>1876200</v>
      </c>
      <c r="D31">
        <v>1978746</v>
      </c>
      <c r="E31">
        <v>965846</v>
      </c>
      <c r="F31">
        <v>1498111</v>
      </c>
      <c r="G31">
        <v>52050016</v>
      </c>
      <c r="H31">
        <v>38477728</v>
      </c>
      <c r="I31">
        <v>1181794</v>
      </c>
      <c r="J31">
        <v>974783</v>
      </c>
      <c r="K31">
        <v>1723692</v>
      </c>
      <c r="L31">
        <v>1734651</v>
      </c>
      <c r="M31">
        <v>443011</v>
      </c>
      <c r="N31">
        <v>1808839</v>
      </c>
      <c r="O31">
        <v>451463</v>
      </c>
      <c r="P31">
        <v>700771</v>
      </c>
      <c r="Q31">
        <v>160024</v>
      </c>
      <c r="R31">
        <v>218750</v>
      </c>
    </row>
    <row r="32" spans="1:18" x14ac:dyDescent="0.4">
      <c r="A32" s="1" t="s">
        <v>52</v>
      </c>
      <c r="B32" s="1" t="s">
        <v>53</v>
      </c>
      <c r="C32">
        <v>2297718</v>
      </c>
      <c r="D32">
        <v>2454749</v>
      </c>
      <c r="E32">
        <v>1264067</v>
      </c>
      <c r="F32">
        <v>1805172</v>
      </c>
      <c r="G32">
        <v>71017734</v>
      </c>
      <c r="H32">
        <v>51761496</v>
      </c>
      <c r="I32">
        <v>1671859</v>
      </c>
      <c r="J32">
        <v>1390583</v>
      </c>
      <c r="K32">
        <v>2170131</v>
      </c>
      <c r="L32">
        <v>2131063</v>
      </c>
      <c r="M32">
        <v>574990</v>
      </c>
      <c r="N32">
        <v>2194132</v>
      </c>
      <c r="O32">
        <v>512851</v>
      </c>
      <c r="P32">
        <v>816748</v>
      </c>
      <c r="Q32">
        <v>213620</v>
      </c>
      <c r="R32">
        <v>269159</v>
      </c>
    </row>
    <row r="33" spans="1:18" x14ac:dyDescent="0.4">
      <c r="A33" s="1" t="s">
        <v>54</v>
      </c>
      <c r="B33" s="1" t="s">
        <v>55</v>
      </c>
      <c r="C33">
        <v>2438005</v>
      </c>
      <c r="D33">
        <v>2539127</v>
      </c>
      <c r="E33">
        <v>1338315</v>
      </c>
      <c r="F33">
        <v>1910463</v>
      </c>
      <c r="G33">
        <v>74808883</v>
      </c>
      <c r="H33">
        <v>54286736</v>
      </c>
      <c r="I33">
        <v>1969709</v>
      </c>
      <c r="J33">
        <v>1621168</v>
      </c>
      <c r="K33">
        <v>2318670</v>
      </c>
      <c r="L33">
        <v>2255284</v>
      </c>
      <c r="M33">
        <v>639953</v>
      </c>
      <c r="N33">
        <v>2330108</v>
      </c>
      <c r="O33">
        <v>530180</v>
      </c>
      <c r="P33">
        <v>800911</v>
      </c>
      <c r="Q33">
        <v>207861</v>
      </c>
      <c r="R33">
        <v>302875</v>
      </c>
    </row>
    <row r="34" spans="1:18" x14ac:dyDescent="0.4">
      <c r="A34" s="1" t="s">
        <v>56</v>
      </c>
      <c r="B34" s="1" t="s">
        <v>57</v>
      </c>
      <c r="C34">
        <v>2197025</v>
      </c>
      <c r="D34">
        <v>2386517</v>
      </c>
      <c r="E34">
        <v>1192415</v>
      </c>
      <c r="F34">
        <v>1789993</v>
      </c>
      <c r="G34">
        <v>65194731</v>
      </c>
      <c r="H34">
        <v>47118954</v>
      </c>
      <c r="I34">
        <v>1780035</v>
      </c>
      <c r="J34">
        <v>1517268</v>
      </c>
      <c r="K34">
        <v>2374890</v>
      </c>
      <c r="L34">
        <v>2298980</v>
      </c>
      <c r="M34">
        <v>506231</v>
      </c>
      <c r="N34">
        <v>2014620</v>
      </c>
      <c r="O34">
        <v>558027</v>
      </c>
      <c r="P34">
        <v>827220</v>
      </c>
      <c r="Q34">
        <v>184035</v>
      </c>
      <c r="R34">
        <v>262314</v>
      </c>
    </row>
    <row r="35" spans="1:18" x14ac:dyDescent="0.4">
      <c r="A35" s="1" t="s">
        <v>58</v>
      </c>
      <c r="B35" s="1" t="s">
        <v>59</v>
      </c>
      <c r="C35">
        <v>2124720</v>
      </c>
      <c r="D35">
        <v>2218541</v>
      </c>
      <c r="E35">
        <v>1136480</v>
      </c>
      <c r="F35">
        <v>1665068</v>
      </c>
      <c r="G35">
        <v>63161490</v>
      </c>
      <c r="H35">
        <v>46394262</v>
      </c>
      <c r="I35">
        <v>1645348</v>
      </c>
      <c r="J35">
        <v>1410057</v>
      </c>
      <c r="K35">
        <v>2121397</v>
      </c>
      <c r="L35">
        <v>2122165</v>
      </c>
      <c r="M35">
        <v>512728</v>
      </c>
      <c r="N35">
        <v>2161611</v>
      </c>
      <c r="O35">
        <v>489039</v>
      </c>
      <c r="P35">
        <v>807427</v>
      </c>
      <c r="Q35">
        <v>186951</v>
      </c>
      <c r="R35">
        <v>253554</v>
      </c>
    </row>
    <row r="36" spans="1:18" x14ac:dyDescent="0.4">
      <c r="A36" s="1" t="s">
        <v>60</v>
      </c>
      <c r="B36" s="1" t="s">
        <v>61</v>
      </c>
      <c r="C36">
        <v>2023535</v>
      </c>
      <c r="D36">
        <v>2101652</v>
      </c>
      <c r="E36">
        <v>1085871</v>
      </c>
      <c r="F36">
        <v>1634255</v>
      </c>
      <c r="G36">
        <v>63477838</v>
      </c>
      <c r="H36">
        <v>46915253</v>
      </c>
      <c r="I36">
        <v>1670631</v>
      </c>
      <c r="J36">
        <v>1372498</v>
      </c>
      <c r="K36">
        <v>2265648</v>
      </c>
      <c r="L36">
        <v>2148444</v>
      </c>
      <c r="M36">
        <v>515694</v>
      </c>
      <c r="N36">
        <v>2149313</v>
      </c>
      <c r="O36">
        <v>550364</v>
      </c>
      <c r="P36">
        <v>814205</v>
      </c>
      <c r="Q36">
        <v>162034</v>
      </c>
      <c r="R36">
        <v>239916</v>
      </c>
    </row>
    <row r="37" spans="1:18" x14ac:dyDescent="0.4">
      <c r="A37" s="1" t="s">
        <v>62</v>
      </c>
      <c r="B37" s="1" t="s">
        <v>63</v>
      </c>
      <c r="C37">
        <v>2166868</v>
      </c>
      <c r="D37">
        <v>2216736</v>
      </c>
      <c r="E37">
        <v>1177163</v>
      </c>
      <c r="F37">
        <v>1742077</v>
      </c>
      <c r="G37">
        <v>67508492</v>
      </c>
      <c r="H37">
        <v>50030712</v>
      </c>
      <c r="I37">
        <v>1617510</v>
      </c>
      <c r="J37">
        <v>1396671</v>
      </c>
      <c r="K37">
        <v>2315470</v>
      </c>
      <c r="L37">
        <v>2436354</v>
      </c>
      <c r="M37">
        <v>538532</v>
      </c>
      <c r="N37">
        <v>2149578</v>
      </c>
      <c r="O37">
        <v>536446</v>
      </c>
      <c r="P37">
        <v>869798</v>
      </c>
      <c r="Q37">
        <v>167760</v>
      </c>
      <c r="R37">
        <v>238646</v>
      </c>
    </row>
    <row r="38" spans="1:18" x14ac:dyDescent="0.4">
      <c r="A38" s="1" t="s">
        <v>64</v>
      </c>
      <c r="B38" s="1" t="s">
        <v>65</v>
      </c>
      <c r="C38">
        <v>2249137</v>
      </c>
      <c r="D38">
        <v>2318674</v>
      </c>
      <c r="E38">
        <v>1234056</v>
      </c>
      <c r="F38">
        <v>1820606</v>
      </c>
      <c r="G38">
        <v>73581492</v>
      </c>
      <c r="H38">
        <v>54446378</v>
      </c>
      <c r="I38">
        <v>1671561</v>
      </c>
      <c r="J38">
        <v>1396111</v>
      </c>
      <c r="K38">
        <v>2519390</v>
      </c>
      <c r="L38">
        <v>2456503</v>
      </c>
      <c r="M38">
        <v>531029</v>
      </c>
      <c r="N38">
        <v>2328530</v>
      </c>
      <c r="O38">
        <v>602747</v>
      </c>
      <c r="P38">
        <v>902251</v>
      </c>
      <c r="Q38">
        <v>173750</v>
      </c>
      <c r="R38">
        <v>240234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69C56-4A27-4643-BB7F-180443EAAD52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1810</v>
      </c>
      <c r="D3" t="s">
        <v>1810</v>
      </c>
      <c r="E3" t="s">
        <v>1810</v>
      </c>
      <c r="F3" t="s">
        <v>1812</v>
      </c>
      <c r="G3" t="s">
        <v>1812</v>
      </c>
      <c r="H3" t="s">
        <v>1812</v>
      </c>
      <c r="I3" t="s">
        <v>1814</v>
      </c>
      <c r="J3" t="s">
        <v>1814</v>
      </c>
      <c r="K3" t="s">
        <v>1814</v>
      </c>
      <c r="L3" t="s">
        <v>1816</v>
      </c>
      <c r="M3" t="s">
        <v>1816</v>
      </c>
      <c r="N3" t="s">
        <v>1816</v>
      </c>
      <c r="O3" t="s">
        <v>1818</v>
      </c>
      <c r="P3" t="s">
        <v>1818</v>
      </c>
      <c r="Q3" t="s">
        <v>1818</v>
      </c>
    </row>
    <row r="4" spans="1:17" x14ac:dyDescent="0.4">
      <c r="A4" s="1"/>
      <c r="B4" s="2" t="s">
        <v>1</v>
      </c>
      <c r="C4" t="s">
        <v>1811</v>
      </c>
      <c r="D4" t="s">
        <v>1811</v>
      </c>
      <c r="E4" t="s">
        <v>1811</v>
      </c>
      <c r="F4" t="s">
        <v>1813</v>
      </c>
      <c r="G4" t="s">
        <v>1813</v>
      </c>
      <c r="H4" t="s">
        <v>1813</v>
      </c>
      <c r="I4" t="s">
        <v>1815</v>
      </c>
      <c r="J4" t="s">
        <v>1815</v>
      </c>
      <c r="K4" t="s">
        <v>1815</v>
      </c>
      <c r="L4" t="s">
        <v>1817</v>
      </c>
      <c r="M4" t="s">
        <v>1817</v>
      </c>
      <c r="N4" t="s">
        <v>1817</v>
      </c>
      <c r="O4" t="s">
        <v>1819</v>
      </c>
      <c r="P4" t="s">
        <v>1819</v>
      </c>
      <c r="Q4" t="s">
        <v>1819</v>
      </c>
    </row>
    <row r="5" spans="1:1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</row>
    <row r="6" spans="1:1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</row>
    <row r="7" spans="1:17" x14ac:dyDescent="0.4">
      <c r="A7" s="1"/>
      <c r="B7" s="2" t="s">
        <v>4</v>
      </c>
      <c r="C7" t="s">
        <v>251</v>
      </c>
      <c r="D7" t="s">
        <v>339</v>
      </c>
      <c r="E7" t="s">
        <v>258</v>
      </c>
      <c r="F7" t="s">
        <v>251</v>
      </c>
      <c r="G7" t="s">
        <v>339</v>
      </c>
      <c r="H7" t="s">
        <v>258</v>
      </c>
      <c r="I7" t="s">
        <v>251</v>
      </c>
      <c r="J7" t="s">
        <v>339</v>
      </c>
      <c r="K7" t="s">
        <v>258</v>
      </c>
      <c r="L7" t="s">
        <v>251</v>
      </c>
      <c r="M7" t="s">
        <v>339</v>
      </c>
      <c r="N7" t="s">
        <v>258</v>
      </c>
      <c r="O7" t="s">
        <v>251</v>
      </c>
      <c r="P7" t="s">
        <v>339</v>
      </c>
      <c r="Q7" t="s">
        <v>258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260</v>
      </c>
      <c r="F8" t="s">
        <v>253</v>
      </c>
      <c r="G8" t="s">
        <v>339</v>
      </c>
      <c r="H8" t="s">
        <v>260</v>
      </c>
      <c r="I8" t="s">
        <v>253</v>
      </c>
      <c r="J8" t="s">
        <v>339</v>
      </c>
      <c r="K8" t="s">
        <v>260</v>
      </c>
      <c r="L8" t="s">
        <v>253</v>
      </c>
      <c r="M8" t="s">
        <v>339</v>
      </c>
      <c r="N8" t="s">
        <v>260</v>
      </c>
      <c r="O8" t="s">
        <v>253</v>
      </c>
      <c r="P8" t="s">
        <v>339</v>
      </c>
      <c r="Q8" t="s">
        <v>260</v>
      </c>
    </row>
    <row r="9" spans="1:17" x14ac:dyDescent="0.4">
      <c r="A9" s="1" t="s">
        <v>6</v>
      </c>
      <c r="B9" s="3" t="s">
        <v>7</v>
      </c>
      <c r="C9">
        <v>400</v>
      </c>
      <c r="D9">
        <v>2526505</v>
      </c>
      <c r="E9">
        <v>37845</v>
      </c>
      <c r="F9">
        <v>6466</v>
      </c>
      <c r="G9">
        <v>37895131</v>
      </c>
      <c r="H9">
        <v>1582540</v>
      </c>
      <c r="I9">
        <v>5836</v>
      </c>
      <c r="J9">
        <v>8428905</v>
      </c>
      <c r="K9">
        <v>128349</v>
      </c>
      <c r="L9">
        <v>29441</v>
      </c>
      <c r="M9">
        <v>24355033</v>
      </c>
      <c r="N9">
        <v>391525</v>
      </c>
      <c r="O9">
        <v>631</v>
      </c>
      <c r="P9">
        <v>29905869</v>
      </c>
      <c r="Q9">
        <v>280616</v>
      </c>
    </row>
    <row r="10" spans="1:17" x14ac:dyDescent="0.4">
      <c r="A10" s="1" t="s">
        <v>8</v>
      </c>
      <c r="B10" s="3" t="s">
        <v>9</v>
      </c>
      <c r="C10">
        <v>574</v>
      </c>
      <c r="D10">
        <v>3658810</v>
      </c>
      <c r="E10">
        <v>62029</v>
      </c>
      <c r="F10">
        <v>7530</v>
      </c>
      <c r="G10">
        <v>51531915</v>
      </c>
      <c r="H10">
        <v>1985328</v>
      </c>
      <c r="I10">
        <v>4596</v>
      </c>
      <c r="J10">
        <v>7079046</v>
      </c>
      <c r="K10">
        <v>131075</v>
      </c>
      <c r="L10">
        <v>36492</v>
      </c>
      <c r="M10">
        <v>29519059</v>
      </c>
      <c r="N10">
        <v>490584</v>
      </c>
      <c r="O10">
        <v>494</v>
      </c>
      <c r="P10">
        <v>29785596</v>
      </c>
      <c r="Q10">
        <v>236920</v>
      </c>
    </row>
    <row r="11" spans="1:17" x14ac:dyDescent="0.4">
      <c r="A11" s="1" t="s">
        <v>10</v>
      </c>
      <c r="B11" s="3" t="s">
        <v>11</v>
      </c>
      <c r="C11">
        <v>698</v>
      </c>
      <c r="D11">
        <v>4507425</v>
      </c>
      <c r="E11">
        <v>85144</v>
      </c>
      <c r="F11">
        <v>6144</v>
      </c>
      <c r="G11">
        <v>42882290</v>
      </c>
      <c r="H11">
        <v>1670680</v>
      </c>
      <c r="I11">
        <v>3017</v>
      </c>
      <c r="J11">
        <v>4899865</v>
      </c>
      <c r="K11">
        <v>109067</v>
      </c>
      <c r="L11">
        <v>30561</v>
      </c>
      <c r="M11">
        <v>25399926</v>
      </c>
      <c r="N11">
        <v>564653</v>
      </c>
      <c r="O11">
        <v>342</v>
      </c>
      <c r="P11">
        <v>14951257</v>
      </c>
      <c r="Q11">
        <v>132275</v>
      </c>
    </row>
    <row r="12" spans="1:17" x14ac:dyDescent="0.4">
      <c r="A12" s="1" t="s">
        <v>12</v>
      </c>
      <c r="B12" s="3" t="s">
        <v>13</v>
      </c>
      <c r="C12">
        <v>763</v>
      </c>
      <c r="D12">
        <v>4737831</v>
      </c>
      <c r="E12">
        <v>109550</v>
      </c>
      <c r="F12">
        <v>6718</v>
      </c>
      <c r="G12">
        <v>48590151</v>
      </c>
      <c r="H12">
        <v>1953661</v>
      </c>
      <c r="I12">
        <v>2608</v>
      </c>
      <c r="J12">
        <v>5029833</v>
      </c>
      <c r="K12">
        <v>148035</v>
      </c>
      <c r="L12">
        <v>37224</v>
      </c>
      <c r="M12">
        <v>143681201</v>
      </c>
      <c r="N12">
        <v>730134</v>
      </c>
      <c r="O12">
        <v>642</v>
      </c>
      <c r="P12">
        <v>32317801</v>
      </c>
      <c r="Q12">
        <v>229612</v>
      </c>
    </row>
    <row r="13" spans="1:17" x14ac:dyDescent="0.4">
      <c r="A13" s="1" t="s">
        <v>14</v>
      </c>
      <c r="B13" s="3" t="s">
        <v>15</v>
      </c>
      <c r="C13">
        <v>750</v>
      </c>
      <c r="D13">
        <v>4532053</v>
      </c>
      <c r="E13">
        <v>108384</v>
      </c>
      <c r="F13">
        <v>6173</v>
      </c>
      <c r="G13">
        <v>43984052</v>
      </c>
      <c r="H13">
        <v>1860745</v>
      </c>
      <c r="I13">
        <v>2603</v>
      </c>
      <c r="J13">
        <v>5595929</v>
      </c>
      <c r="K13">
        <v>148968</v>
      </c>
      <c r="L13">
        <v>39296</v>
      </c>
      <c r="M13">
        <v>197477682</v>
      </c>
      <c r="N13">
        <v>815177</v>
      </c>
      <c r="O13">
        <v>380</v>
      </c>
      <c r="P13">
        <v>29143099</v>
      </c>
      <c r="Q13">
        <v>256217</v>
      </c>
    </row>
    <row r="14" spans="1:17" x14ac:dyDescent="0.4">
      <c r="A14" s="1" t="s">
        <v>16</v>
      </c>
      <c r="B14" s="1" t="s">
        <v>17</v>
      </c>
      <c r="C14">
        <v>52</v>
      </c>
      <c r="D14">
        <v>391850</v>
      </c>
      <c r="E14">
        <v>8372</v>
      </c>
      <c r="F14">
        <v>719</v>
      </c>
      <c r="G14">
        <v>5497888</v>
      </c>
      <c r="H14">
        <v>200219</v>
      </c>
      <c r="I14">
        <v>226</v>
      </c>
      <c r="J14">
        <v>530118</v>
      </c>
      <c r="K14">
        <v>11678</v>
      </c>
      <c r="L14">
        <v>3144</v>
      </c>
      <c r="M14">
        <v>4682172</v>
      </c>
      <c r="N14">
        <v>88307</v>
      </c>
      <c r="O14">
        <v>86</v>
      </c>
      <c r="P14">
        <v>8775835</v>
      </c>
      <c r="Q14">
        <v>64244</v>
      </c>
    </row>
    <row r="15" spans="1:17" x14ac:dyDescent="0.4">
      <c r="A15" s="1" t="s">
        <v>18</v>
      </c>
      <c r="B15" s="1" t="s">
        <v>19</v>
      </c>
      <c r="C15">
        <v>65</v>
      </c>
      <c r="D15">
        <v>417762</v>
      </c>
      <c r="E15">
        <v>8720</v>
      </c>
      <c r="F15">
        <v>626</v>
      </c>
      <c r="G15">
        <v>4483086</v>
      </c>
      <c r="H15">
        <v>185159</v>
      </c>
      <c r="I15">
        <v>186</v>
      </c>
      <c r="J15">
        <v>471267</v>
      </c>
      <c r="K15">
        <v>13010</v>
      </c>
      <c r="L15">
        <v>2536</v>
      </c>
      <c r="M15">
        <v>5843235</v>
      </c>
      <c r="N15">
        <v>48760</v>
      </c>
      <c r="O15">
        <v>27</v>
      </c>
      <c r="P15">
        <v>666788</v>
      </c>
      <c r="Q15">
        <v>9087</v>
      </c>
    </row>
    <row r="16" spans="1:17" x14ac:dyDescent="0.4">
      <c r="A16" s="1" t="s">
        <v>20</v>
      </c>
      <c r="B16" s="1" t="s">
        <v>21</v>
      </c>
      <c r="C16">
        <v>50</v>
      </c>
      <c r="D16">
        <v>321088</v>
      </c>
      <c r="E16">
        <v>7194</v>
      </c>
      <c r="F16">
        <v>510</v>
      </c>
      <c r="G16">
        <v>3628236</v>
      </c>
      <c r="H16">
        <v>153824</v>
      </c>
      <c r="I16">
        <v>234</v>
      </c>
      <c r="J16">
        <v>483414</v>
      </c>
      <c r="K16">
        <v>13067</v>
      </c>
      <c r="L16">
        <v>3005</v>
      </c>
      <c r="M16">
        <v>6983244</v>
      </c>
      <c r="N16">
        <v>45782</v>
      </c>
      <c r="O16">
        <v>43</v>
      </c>
      <c r="P16">
        <v>1635935</v>
      </c>
      <c r="Q16">
        <v>15392</v>
      </c>
    </row>
    <row r="17" spans="1:17" x14ac:dyDescent="0.4">
      <c r="A17" s="1" t="s">
        <v>22</v>
      </c>
      <c r="B17" s="1" t="s">
        <v>23</v>
      </c>
      <c r="C17">
        <v>59</v>
      </c>
      <c r="D17">
        <v>314795</v>
      </c>
      <c r="E17">
        <v>8604</v>
      </c>
      <c r="F17">
        <v>545</v>
      </c>
      <c r="G17">
        <v>3899345</v>
      </c>
      <c r="H17">
        <v>145765</v>
      </c>
      <c r="I17">
        <v>222</v>
      </c>
      <c r="J17">
        <v>435892</v>
      </c>
      <c r="K17">
        <v>14420</v>
      </c>
      <c r="L17">
        <v>2625</v>
      </c>
      <c r="M17">
        <v>3179460</v>
      </c>
      <c r="N17">
        <v>41362</v>
      </c>
      <c r="O17">
        <v>25</v>
      </c>
      <c r="P17">
        <v>2325431</v>
      </c>
      <c r="Q17">
        <v>23896</v>
      </c>
    </row>
    <row r="18" spans="1:17" x14ac:dyDescent="0.4">
      <c r="A18" s="1" t="s">
        <v>24</v>
      </c>
      <c r="B18" s="1" t="s">
        <v>25</v>
      </c>
      <c r="C18">
        <v>61</v>
      </c>
      <c r="D18">
        <v>334656</v>
      </c>
      <c r="E18">
        <v>9195</v>
      </c>
      <c r="F18">
        <v>542</v>
      </c>
      <c r="G18">
        <v>4072519</v>
      </c>
      <c r="H18">
        <v>171383</v>
      </c>
      <c r="I18">
        <v>231</v>
      </c>
      <c r="J18">
        <v>374055</v>
      </c>
      <c r="K18">
        <v>14529</v>
      </c>
      <c r="L18">
        <v>2863</v>
      </c>
      <c r="M18">
        <v>4217924</v>
      </c>
      <c r="N18">
        <v>48110</v>
      </c>
      <c r="O18">
        <v>26</v>
      </c>
      <c r="P18">
        <v>955885</v>
      </c>
      <c r="Q18">
        <v>12875</v>
      </c>
    </row>
    <row r="19" spans="1:17" x14ac:dyDescent="0.4">
      <c r="A19" s="1" t="s">
        <v>26</v>
      </c>
      <c r="B19" s="1" t="s">
        <v>27</v>
      </c>
      <c r="C19">
        <v>59</v>
      </c>
      <c r="D19">
        <v>314331</v>
      </c>
      <c r="E19">
        <v>8312</v>
      </c>
      <c r="F19">
        <v>477</v>
      </c>
      <c r="G19">
        <v>3426383</v>
      </c>
      <c r="H19">
        <v>143656</v>
      </c>
      <c r="I19">
        <v>237</v>
      </c>
      <c r="J19">
        <v>397628</v>
      </c>
      <c r="K19">
        <v>11302</v>
      </c>
      <c r="L19">
        <v>4068</v>
      </c>
      <c r="M19">
        <v>44852922</v>
      </c>
      <c r="N19">
        <v>72001</v>
      </c>
      <c r="O19">
        <v>234</v>
      </c>
      <c r="P19">
        <v>9217473</v>
      </c>
      <c r="Q19">
        <v>24849</v>
      </c>
    </row>
    <row r="20" spans="1:17" x14ac:dyDescent="0.4">
      <c r="A20" s="1" t="s">
        <v>28</v>
      </c>
      <c r="B20" s="1" t="s">
        <v>29</v>
      </c>
      <c r="C20">
        <v>48</v>
      </c>
      <c r="D20">
        <v>344990</v>
      </c>
      <c r="E20">
        <v>7561</v>
      </c>
      <c r="F20">
        <v>554</v>
      </c>
      <c r="G20">
        <v>3743949</v>
      </c>
      <c r="H20">
        <v>139269</v>
      </c>
      <c r="I20">
        <v>185</v>
      </c>
      <c r="J20">
        <v>330951</v>
      </c>
      <c r="K20">
        <v>11965</v>
      </c>
      <c r="L20">
        <v>2846</v>
      </c>
      <c r="M20">
        <v>5636371</v>
      </c>
      <c r="N20">
        <v>58387</v>
      </c>
      <c r="O20">
        <v>29</v>
      </c>
      <c r="P20">
        <v>1468201</v>
      </c>
      <c r="Q20">
        <v>15979</v>
      </c>
    </row>
    <row r="21" spans="1:17" x14ac:dyDescent="0.4">
      <c r="A21" s="1" t="s">
        <v>30</v>
      </c>
      <c r="B21" s="1" t="s">
        <v>31</v>
      </c>
      <c r="C21">
        <v>71</v>
      </c>
      <c r="D21">
        <v>388246</v>
      </c>
      <c r="E21">
        <v>9753</v>
      </c>
      <c r="F21">
        <v>613</v>
      </c>
      <c r="G21">
        <v>4452003</v>
      </c>
      <c r="H21">
        <v>191985</v>
      </c>
      <c r="I21">
        <v>251</v>
      </c>
      <c r="J21">
        <v>460882</v>
      </c>
      <c r="K21">
        <v>11930</v>
      </c>
      <c r="L21">
        <v>3048</v>
      </c>
      <c r="M21">
        <v>8575629</v>
      </c>
      <c r="N21">
        <v>49308</v>
      </c>
      <c r="O21">
        <v>28</v>
      </c>
      <c r="P21">
        <v>1480638</v>
      </c>
      <c r="Q21">
        <v>20005</v>
      </c>
    </row>
    <row r="22" spans="1:17" x14ac:dyDescent="0.4">
      <c r="A22" s="1" t="s">
        <v>32</v>
      </c>
      <c r="B22" s="1" t="s">
        <v>33</v>
      </c>
      <c r="C22">
        <v>50</v>
      </c>
      <c r="D22">
        <v>354493</v>
      </c>
      <c r="E22">
        <v>8469</v>
      </c>
      <c r="F22">
        <v>505</v>
      </c>
      <c r="G22">
        <v>3624800</v>
      </c>
      <c r="H22">
        <v>145985</v>
      </c>
      <c r="I22">
        <v>192</v>
      </c>
      <c r="J22">
        <v>302570</v>
      </c>
      <c r="K22">
        <v>9629</v>
      </c>
      <c r="L22">
        <v>3608</v>
      </c>
      <c r="M22">
        <v>26841686</v>
      </c>
      <c r="N22">
        <v>95811</v>
      </c>
      <c r="O22">
        <v>20</v>
      </c>
      <c r="P22">
        <v>940195</v>
      </c>
      <c r="Q22">
        <v>8255</v>
      </c>
    </row>
    <row r="23" spans="1:17" x14ac:dyDescent="0.4">
      <c r="A23" s="1" t="s">
        <v>34</v>
      </c>
      <c r="B23" s="1" t="s">
        <v>35</v>
      </c>
      <c r="C23">
        <v>118</v>
      </c>
      <c r="D23">
        <v>681191</v>
      </c>
      <c r="E23">
        <v>14812</v>
      </c>
      <c r="F23">
        <v>712</v>
      </c>
      <c r="G23">
        <v>5033233</v>
      </c>
      <c r="H23">
        <v>201786</v>
      </c>
      <c r="I23">
        <v>258</v>
      </c>
      <c r="J23">
        <v>426998</v>
      </c>
      <c r="K23">
        <v>13929</v>
      </c>
      <c r="L23">
        <v>3713</v>
      </c>
      <c r="M23">
        <v>20533149</v>
      </c>
      <c r="N23">
        <v>81301</v>
      </c>
      <c r="O23">
        <v>74</v>
      </c>
      <c r="P23">
        <v>3280427</v>
      </c>
      <c r="Q23">
        <v>15714</v>
      </c>
    </row>
    <row r="24" spans="1:17" x14ac:dyDescent="0.4">
      <c r="A24" s="1" t="s">
        <v>36</v>
      </c>
      <c r="B24" s="1" t="s">
        <v>37</v>
      </c>
      <c r="C24">
        <v>57</v>
      </c>
      <c r="D24">
        <v>407666</v>
      </c>
      <c r="E24">
        <v>7917</v>
      </c>
      <c r="F24">
        <v>446</v>
      </c>
      <c r="G24">
        <v>3109955</v>
      </c>
      <c r="H24">
        <v>133694</v>
      </c>
      <c r="I24">
        <v>130</v>
      </c>
      <c r="J24">
        <v>245527</v>
      </c>
      <c r="K24">
        <v>6978</v>
      </c>
      <c r="L24">
        <v>2704</v>
      </c>
      <c r="M24">
        <v>3441448</v>
      </c>
      <c r="N24">
        <v>38861</v>
      </c>
      <c r="O24">
        <v>23</v>
      </c>
      <c r="P24">
        <v>1889683</v>
      </c>
      <c r="Q24">
        <v>15460</v>
      </c>
    </row>
    <row r="25" spans="1:17" x14ac:dyDescent="0.4">
      <c r="A25" s="1" t="s">
        <v>38</v>
      </c>
      <c r="B25" s="1" t="s">
        <v>39</v>
      </c>
      <c r="C25">
        <v>66</v>
      </c>
      <c r="D25">
        <v>425435</v>
      </c>
      <c r="E25">
        <v>9230</v>
      </c>
      <c r="F25">
        <v>551</v>
      </c>
      <c r="G25">
        <v>3688260</v>
      </c>
      <c r="H25">
        <v>157638</v>
      </c>
      <c r="I25">
        <v>175</v>
      </c>
      <c r="J25">
        <v>343002</v>
      </c>
      <c r="K25">
        <v>9538</v>
      </c>
      <c r="L25">
        <v>2916</v>
      </c>
      <c r="M25">
        <v>4909208</v>
      </c>
      <c r="N25">
        <v>43107</v>
      </c>
      <c r="O25">
        <v>39</v>
      </c>
      <c r="P25">
        <v>2512074</v>
      </c>
      <c r="Q25">
        <v>23660</v>
      </c>
    </row>
    <row r="26" spans="1:17" x14ac:dyDescent="0.4">
      <c r="A26" s="1" t="s">
        <v>40</v>
      </c>
      <c r="B26" s="1" t="s">
        <v>41</v>
      </c>
      <c r="C26">
        <v>71</v>
      </c>
      <c r="D26">
        <v>425162</v>
      </c>
      <c r="E26">
        <v>9534</v>
      </c>
      <c r="F26">
        <v>866</v>
      </c>
      <c r="G26">
        <v>6093416</v>
      </c>
      <c r="H26">
        <v>239052</v>
      </c>
      <c r="I26">
        <v>172</v>
      </c>
      <c r="J26">
        <v>406638</v>
      </c>
      <c r="K26">
        <v>15022</v>
      </c>
      <c r="L26">
        <v>3984</v>
      </c>
      <c r="M26">
        <v>14861087</v>
      </c>
      <c r="N26">
        <v>91157</v>
      </c>
      <c r="O26">
        <v>57</v>
      </c>
      <c r="P26">
        <v>7422990</v>
      </c>
      <c r="Q26">
        <v>51017</v>
      </c>
    </row>
    <row r="27" spans="1:17" x14ac:dyDescent="0.4">
      <c r="A27" s="1" t="s">
        <v>42</v>
      </c>
      <c r="B27" s="1" t="s">
        <v>43</v>
      </c>
      <c r="C27">
        <v>56</v>
      </c>
      <c r="D27">
        <v>330386</v>
      </c>
      <c r="E27">
        <v>7851</v>
      </c>
      <c r="F27">
        <v>443</v>
      </c>
      <c r="G27">
        <v>3466467</v>
      </c>
      <c r="H27">
        <v>138413</v>
      </c>
      <c r="I27">
        <v>202</v>
      </c>
      <c r="J27">
        <v>373076</v>
      </c>
      <c r="K27">
        <v>10397</v>
      </c>
      <c r="L27">
        <v>3198</v>
      </c>
      <c r="M27">
        <v>13931666</v>
      </c>
      <c r="N27">
        <v>54860</v>
      </c>
      <c r="O27">
        <v>21</v>
      </c>
      <c r="P27">
        <v>935121</v>
      </c>
      <c r="Q27">
        <v>10113</v>
      </c>
    </row>
    <row r="28" spans="1:17" x14ac:dyDescent="0.4">
      <c r="A28" s="1" t="s">
        <v>44</v>
      </c>
      <c r="B28" s="1" t="s">
        <v>45</v>
      </c>
      <c r="C28">
        <v>58</v>
      </c>
      <c r="D28">
        <v>335062</v>
      </c>
      <c r="E28">
        <v>8260</v>
      </c>
      <c r="F28">
        <v>405</v>
      </c>
      <c r="G28">
        <v>2906305</v>
      </c>
      <c r="H28">
        <v>119136</v>
      </c>
      <c r="I28">
        <v>228</v>
      </c>
      <c r="J28">
        <v>447640</v>
      </c>
      <c r="K28">
        <v>13304</v>
      </c>
      <c r="L28">
        <v>2696</v>
      </c>
      <c r="M28">
        <v>12028289</v>
      </c>
      <c r="N28">
        <v>77068</v>
      </c>
      <c r="O28">
        <v>33</v>
      </c>
      <c r="P28">
        <v>2087022</v>
      </c>
      <c r="Q28">
        <v>18460</v>
      </c>
    </row>
    <row r="29" spans="1:17" x14ac:dyDescent="0.4">
      <c r="A29" s="1" t="s">
        <v>46</v>
      </c>
      <c r="B29" s="1" t="s">
        <v>47</v>
      </c>
      <c r="C29">
        <v>76</v>
      </c>
      <c r="D29">
        <v>381356</v>
      </c>
      <c r="E29">
        <v>11218</v>
      </c>
      <c r="F29">
        <v>517</v>
      </c>
      <c r="G29">
        <v>3686984</v>
      </c>
      <c r="H29">
        <v>165057</v>
      </c>
      <c r="I29">
        <v>278</v>
      </c>
      <c r="J29">
        <v>556654</v>
      </c>
      <c r="K29">
        <v>16573</v>
      </c>
      <c r="L29">
        <v>3984</v>
      </c>
      <c r="M29">
        <v>32406240</v>
      </c>
      <c r="N29">
        <v>82458</v>
      </c>
      <c r="O29">
        <v>42</v>
      </c>
      <c r="P29">
        <v>2537853</v>
      </c>
      <c r="Q29">
        <v>23073</v>
      </c>
    </row>
    <row r="30" spans="1:17" x14ac:dyDescent="0.4">
      <c r="A30" s="1" t="s">
        <v>48</v>
      </c>
      <c r="B30" s="1" t="s">
        <v>49</v>
      </c>
      <c r="C30">
        <v>41</v>
      </c>
      <c r="D30">
        <v>273508</v>
      </c>
      <c r="E30">
        <v>6344</v>
      </c>
      <c r="F30">
        <v>475</v>
      </c>
      <c r="G30">
        <v>3345502</v>
      </c>
      <c r="H30">
        <v>139164</v>
      </c>
      <c r="I30">
        <v>186</v>
      </c>
      <c r="J30">
        <v>345670</v>
      </c>
      <c r="K30">
        <v>9686</v>
      </c>
      <c r="L30">
        <v>3081</v>
      </c>
      <c r="M30">
        <v>6027225</v>
      </c>
      <c r="N30">
        <v>51723</v>
      </c>
      <c r="O30">
        <v>26</v>
      </c>
      <c r="P30">
        <v>1524031</v>
      </c>
      <c r="Q30">
        <v>15137</v>
      </c>
    </row>
    <row r="31" spans="1:17" x14ac:dyDescent="0.4">
      <c r="A31" s="1" t="s">
        <v>50</v>
      </c>
      <c r="B31" s="1" t="s">
        <v>51</v>
      </c>
      <c r="C31">
        <v>47</v>
      </c>
      <c r="D31">
        <v>286577</v>
      </c>
      <c r="E31">
        <v>6531</v>
      </c>
      <c r="F31">
        <v>437</v>
      </c>
      <c r="G31">
        <v>2978326</v>
      </c>
      <c r="H31">
        <v>128558</v>
      </c>
      <c r="I31">
        <v>199</v>
      </c>
      <c r="J31">
        <v>503852</v>
      </c>
      <c r="K31">
        <v>11460</v>
      </c>
      <c r="L31">
        <v>2985</v>
      </c>
      <c r="M31">
        <v>8124810</v>
      </c>
      <c r="N31">
        <v>52551</v>
      </c>
      <c r="O31">
        <v>20</v>
      </c>
      <c r="P31">
        <v>1568931</v>
      </c>
      <c r="Q31">
        <v>15775</v>
      </c>
    </row>
    <row r="32" spans="1:17" x14ac:dyDescent="0.4">
      <c r="A32" s="1" t="s">
        <v>52</v>
      </c>
      <c r="B32" s="1" t="s">
        <v>53</v>
      </c>
      <c r="C32">
        <v>69</v>
      </c>
      <c r="D32">
        <v>423890</v>
      </c>
      <c r="E32">
        <v>11297</v>
      </c>
      <c r="F32">
        <v>585</v>
      </c>
      <c r="G32">
        <v>4170584</v>
      </c>
      <c r="H32">
        <v>184400</v>
      </c>
      <c r="I32">
        <v>199</v>
      </c>
      <c r="J32">
        <v>522768</v>
      </c>
      <c r="K32">
        <v>12557</v>
      </c>
      <c r="L32">
        <v>3165</v>
      </c>
      <c r="M32">
        <v>8304689</v>
      </c>
      <c r="N32">
        <v>69309</v>
      </c>
      <c r="O32">
        <v>27</v>
      </c>
      <c r="P32">
        <v>2166737</v>
      </c>
      <c r="Q32">
        <v>19807</v>
      </c>
    </row>
    <row r="33" spans="1:17" x14ac:dyDescent="0.4">
      <c r="A33" s="1" t="s">
        <v>54</v>
      </c>
      <c r="B33" s="1" t="s">
        <v>55</v>
      </c>
      <c r="C33">
        <v>57</v>
      </c>
      <c r="D33">
        <v>400177</v>
      </c>
      <c r="E33">
        <v>7629</v>
      </c>
      <c r="F33">
        <v>408</v>
      </c>
      <c r="G33">
        <v>2921459</v>
      </c>
      <c r="H33">
        <v>122483</v>
      </c>
      <c r="I33">
        <v>267</v>
      </c>
      <c r="J33">
        <v>615938</v>
      </c>
      <c r="K33">
        <v>13835</v>
      </c>
      <c r="L33">
        <v>2731</v>
      </c>
      <c r="M33">
        <v>8650992</v>
      </c>
      <c r="N33">
        <v>65599</v>
      </c>
      <c r="O33">
        <v>21</v>
      </c>
      <c r="P33">
        <v>1509344</v>
      </c>
      <c r="Q33">
        <v>14060</v>
      </c>
    </row>
    <row r="34" spans="1:17" x14ac:dyDescent="0.4">
      <c r="A34" s="1" t="s">
        <v>56</v>
      </c>
      <c r="B34" s="1" t="s">
        <v>57</v>
      </c>
      <c r="C34">
        <v>78</v>
      </c>
      <c r="D34">
        <v>458066</v>
      </c>
      <c r="E34">
        <v>11515</v>
      </c>
      <c r="F34">
        <v>509</v>
      </c>
      <c r="G34">
        <v>3792447</v>
      </c>
      <c r="H34">
        <v>169294</v>
      </c>
      <c r="I34">
        <v>209</v>
      </c>
      <c r="J34">
        <v>528802</v>
      </c>
      <c r="K34">
        <v>11529</v>
      </c>
      <c r="L34">
        <v>3231</v>
      </c>
      <c r="M34">
        <v>31273004</v>
      </c>
      <c r="N34">
        <v>74344</v>
      </c>
      <c r="O34">
        <v>17</v>
      </c>
      <c r="P34">
        <v>1179393</v>
      </c>
      <c r="Q34">
        <v>9909</v>
      </c>
    </row>
    <row r="35" spans="1:17" x14ac:dyDescent="0.4">
      <c r="A35" s="1" t="s">
        <v>58</v>
      </c>
      <c r="B35" s="1" t="s">
        <v>59</v>
      </c>
      <c r="C35">
        <v>74</v>
      </c>
      <c r="D35">
        <v>384768</v>
      </c>
      <c r="E35">
        <v>11058</v>
      </c>
      <c r="F35">
        <v>531</v>
      </c>
      <c r="G35">
        <v>3824347</v>
      </c>
      <c r="H35">
        <v>163856</v>
      </c>
      <c r="I35">
        <v>358</v>
      </c>
      <c r="J35">
        <v>706362</v>
      </c>
      <c r="K35">
        <v>18089</v>
      </c>
      <c r="L35">
        <v>4621</v>
      </c>
      <c r="M35">
        <v>53519024</v>
      </c>
      <c r="N35">
        <v>114140</v>
      </c>
      <c r="O35">
        <v>54</v>
      </c>
      <c r="P35">
        <v>3809920</v>
      </c>
      <c r="Q35">
        <v>39746</v>
      </c>
    </row>
    <row r="36" spans="1:17" x14ac:dyDescent="0.4">
      <c r="A36" s="1" t="s">
        <v>60</v>
      </c>
      <c r="B36" s="1" t="s">
        <v>61</v>
      </c>
      <c r="C36">
        <v>54</v>
      </c>
      <c r="D36">
        <v>279021</v>
      </c>
      <c r="E36">
        <v>7306</v>
      </c>
      <c r="F36">
        <v>446</v>
      </c>
      <c r="G36">
        <v>3133878</v>
      </c>
      <c r="H36">
        <v>142104</v>
      </c>
      <c r="I36">
        <v>251</v>
      </c>
      <c r="J36">
        <v>567812</v>
      </c>
      <c r="K36">
        <v>14218</v>
      </c>
      <c r="L36">
        <v>2845</v>
      </c>
      <c r="M36">
        <v>9705209</v>
      </c>
      <c r="N36">
        <v>46516</v>
      </c>
      <c r="O36">
        <v>32</v>
      </c>
      <c r="P36">
        <v>1704110</v>
      </c>
      <c r="Q36">
        <v>15761</v>
      </c>
    </row>
    <row r="37" spans="1:17" x14ac:dyDescent="0.4">
      <c r="A37" s="1" t="s">
        <v>62</v>
      </c>
      <c r="B37" s="1" t="s">
        <v>63</v>
      </c>
      <c r="C37">
        <v>59</v>
      </c>
      <c r="D37">
        <v>360712</v>
      </c>
      <c r="E37">
        <v>8581</v>
      </c>
      <c r="F37">
        <v>392</v>
      </c>
      <c r="G37">
        <v>2798719</v>
      </c>
      <c r="H37">
        <v>119792</v>
      </c>
      <c r="I37">
        <v>248</v>
      </c>
      <c r="J37">
        <v>517925</v>
      </c>
      <c r="K37">
        <v>14166</v>
      </c>
      <c r="L37">
        <v>3669</v>
      </c>
      <c r="M37">
        <v>41091915</v>
      </c>
      <c r="N37">
        <v>79746</v>
      </c>
      <c r="O37">
        <v>32</v>
      </c>
      <c r="P37">
        <v>1391380</v>
      </c>
      <c r="Q37">
        <v>18037</v>
      </c>
    </row>
    <row r="38" spans="1:17" x14ac:dyDescent="0.4">
      <c r="A38" s="1" t="s">
        <v>64</v>
      </c>
      <c r="B38" s="1" t="s">
        <v>65</v>
      </c>
      <c r="C38">
        <v>63</v>
      </c>
      <c r="D38">
        <v>416701</v>
      </c>
      <c r="E38">
        <v>12203</v>
      </c>
      <c r="F38">
        <v>883</v>
      </c>
      <c r="G38">
        <v>6204827</v>
      </c>
      <c r="H38">
        <v>278907</v>
      </c>
      <c r="I38">
        <v>346</v>
      </c>
      <c r="J38">
        <v>674614</v>
      </c>
      <c r="K38">
        <v>21121</v>
      </c>
      <c r="L38">
        <v>4281</v>
      </c>
      <c r="M38">
        <v>7688480</v>
      </c>
      <c r="N38">
        <v>82640</v>
      </c>
      <c r="O38">
        <v>21</v>
      </c>
      <c r="P38">
        <v>598403</v>
      </c>
      <c r="Q38">
        <v>6595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959D9-2C95-464D-9354-DB726A096E44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1820</v>
      </c>
      <c r="D3" t="s">
        <v>1820</v>
      </c>
      <c r="E3" t="s">
        <v>1820</v>
      </c>
      <c r="F3" t="s">
        <v>1822</v>
      </c>
      <c r="G3" t="s">
        <v>1822</v>
      </c>
      <c r="H3" t="s">
        <v>1822</v>
      </c>
      <c r="I3" t="s">
        <v>1824</v>
      </c>
      <c r="J3" t="s">
        <v>1824</v>
      </c>
      <c r="K3" t="s">
        <v>1824</v>
      </c>
      <c r="L3" t="s">
        <v>1826</v>
      </c>
      <c r="M3" t="s">
        <v>1826</v>
      </c>
      <c r="N3" t="s">
        <v>1826</v>
      </c>
      <c r="O3" t="s">
        <v>1828</v>
      </c>
      <c r="P3" t="s">
        <v>1828</v>
      </c>
      <c r="Q3" t="s">
        <v>1828</v>
      </c>
      <c r="R3" t="s">
        <v>1830</v>
      </c>
      <c r="S3" t="s">
        <v>1830</v>
      </c>
      <c r="T3" t="s">
        <v>1830</v>
      </c>
      <c r="U3" t="s">
        <v>1832</v>
      </c>
      <c r="V3" t="s">
        <v>1832</v>
      </c>
      <c r="W3" t="s">
        <v>1832</v>
      </c>
      <c r="X3" t="s">
        <v>1834</v>
      </c>
      <c r="Y3" t="s">
        <v>1834</v>
      </c>
      <c r="Z3" t="s">
        <v>1834</v>
      </c>
      <c r="AA3" t="s">
        <v>1836</v>
      </c>
      <c r="AB3" t="s">
        <v>1836</v>
      </c>
      <c r="AC3" t="s">
        <v>1836</v>
      </c>
      <c r="AD3" t="s">
        <v>1838</v>
      </c>
      <c r="AE3" t="s">
        <v>1838</v>
      </c>
      <c r="AF3" t="s">
        <v>1838</v>
      </c>
    </row>
    <row r="4" spans="1:32" x14ac:dyDescent="0.4">
      <c r="A4" s="1"/>
      <c r="B4" s="2" t="s">
        <v>1</v>
      </c>
      <c r="C4" t="s">
        <v>1821</v>
      </c>
      <c r="D4" t="s">
        <v>1821</v>
      </c>
      <c r="E4" t="s">
        <v>1821</v>
      </c>
      <c r="F4" t="s">
        <v>1823</v>
      </c>
      <c r="G4" t="s">
        <v>1823</v>
      </c>
      <c r="H4" t="s">
        <v>1823</v>
      </c>
      <c r="I4" t="s">
        <v>1825</v>
      </c>
      <c r="J4" t="s">
        <v>1825</v>
      </c>
      <c r="K4" t="s">
        <v>1825</v>
      </c>
      <c r="L4" t="s">
        <v>1827</v>
      </c>
      <c r="M4" t="s">
        <v>1827</v>
      </c>
      <c r="N4" t="s">
        <v>1827</v>
      </c>
      <c r="O4" t="s">
        <v>1829</v>
      </c>
      <c r="P4" t="s">
        <v>1829</v>
      </c>
      <c r="Q4" t="s">
        <v>1829</v>
      </c>
      <c r="R4" t="s">
        <v>1831</v>
      </c>
      <c r="S4" t="s">
        <v>1831</v>
      </c>
      <c r="T4" t="s">
        <v>1831</v>
      </c>
      <c r="U4" t="s">
        <v>1833</v>
      </c>
      <c r="V4" t="s">
        <v>1833</v>
      </c>
      <c r="W4" t="s">
        <v>1833</v>
      </c>
      <c r="X4" t="s">
        <v>1835</v>
      </c>
      <c r="Y4" t="s">
        <v>1835</v>
      </c>
      <c r="Z4" t="s">
        <v>1835</v>
      </c>
      <c r="AA4" t="s">
        <v>1837</v>
      </c>
      <c r="AB4" t="s">
        <v>1837</v>
      </c>
      <c r="AC4" t="s">
        <v>1837</v>
      </c>
      <c r="AD4" t="s">
        <v>1839</v>
      </c>
      <c r="AE4" t="s">
        <v>1839</v>
      </c>
      <c r="AF4" t="s">
        <v>1839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151043</v>
      </c>
      <c r="D9">
        <v>143394</v>
      </c>
      <c r="E9">
        <v>26070</v>
      </c>
      <c r="F9">
        <v>69751</v>
      </c>
      <c r="G9">
        <v>59530</v>
      </c>
      <c r="H9">
        <v>9426</v>
      </c>
      <c r="I9">
        <v>97099</v>
      </c>
      <c r="J9">
        <v>95574</v>
      </c>
      <c r="K9">
        <v>14629</v>
      </c>
      <c r="L9">
        <v>99684</v>
      </c>
      <c r="M9">
        <v>43801</v>
      </c>
      <c r="N9">
        <v>8931</v>
      </c>
      <c r="O9">
        <v>79046</v>
      </c>
      <c r="P9">
        <v>89654</v>
      </c>
      <c r="Q9">
        <v>11688</v>
      </c>
      <c r="R9">
        <v>7173</v>
      </c>
      <c r="S9">
        <v>2528</v>
      </c>
      <c r="T9">
        <v>24</v>
      </c>
      <c r="U9">
        <v>43177</v>
      </c>
      <c r="V9">
        <v>6457</v>
      </c>
      <c r="W9">
        <v>1192</v>
      </c>
      <c r="X9">
        <v>58933</v>
      </c>
      <c r="Y9">
        <v>57072</v>
      </c>
      <c r="Z9">
        <v>8177</v>
      </c>
      <c r="AA9">
        <v>115418</v>
      </c>
      <c r="AB9">
        <v>76579</v>
      </c>
      <c r="AC9">
        <v>8702</v>
      </c>
      <c r="AD9">
        <v>29440</v>
      </c>
      <c r="AE9">
        <v>22903</v>
      </c>
      <c r="AF9">
        <v>4152</v>
      </c>
    </row>
    <row r="10" spans="1:32" x14ac:dyDescent="0.4">
      <c r="A10" s="1" t="s">
        <v>8</v>
      </c>
      <c r="B10" s="3" t="s">
        <v>9</v>
      </c>
      <c r="C10">
        <v>151697</v>
      </c>
      <c r="D10">
        <v>153714</v>
      </c>
      <c r="E10">
        <v>21856</v>
      </c>
      <c r="F10">
        <v>72144</v>
      </c>
      <c r="G10">
        <v>61655</v>
      </c>
      <c r="H10">
        <v>11571</v>
      </c>
      <c r="I10">
        <v>93596</v>
      </c>
      <c r="J10">
        <v>87426</v>
      </c>
      <c r="K10">
        <v>20236</v>
      </c>
      <c r="L10">
        <v>96317</v>
      </c>
      <c r="M10">
        <v>42846</v>
      </c>
      <c r="N10">
        <v>9132</v>
      </c>
      <c r="O10">
        <v>70983</v>
      </c>
      <c r="P10">
        <v>79997</v>
      </c>
      <c r="Q10">
        <v>12065</v>
      </c>
      <c r="R10">
        <v>7004</v>
      </c>
      <c r="S10">
        <v>2512</v>
      </c>
      <c r="T10">
        <v>21</v>
      </c>
      <c r="U10">
        <v>36190</v>
      </c>
      <c r="V10">
        <v>3836</v>
      </c>
      <c r="W10">
        <v>539</v>
      </c>
      <c r="X10">
        <v>57726</v>
      </c>
      <c r="Y10">
        <v>57545</v>
      </c>
      <c r="Z10">
        <v>7794</v>
      </c>
      <c r="AA10">
        <v>121671</v>
      </c>
      <c r="AB10">
        <v>78787</v>
      </c>
      <c r="AC10">
        <v>10329</v>
      </c>
      <c r="AD10">
        <v>29370</v>
      </c>
      <c r="AE10">
        <v>24643</v>
      </c>
      <c r="AF10">
        <v>4286</v>
      </c>
    </row>
    <row r="11" spans="1:32" x14ac:dyDescent="0.4">
      <c r="A11" s="1" t="s">
        <v>10</v>
      </c>
      <c r="B11" s="3" t="s">
        <v>11</v>
      </c>
      <c r="C11">
        <v>163391</v>
      </c>
      <c r="D11">
        <v>152624</v>
      </c>
      <c r="E11">
        <v>30494</v>
      </c>
      <c r="F11">
        <v>68750</v>
      </c>
      <c r="G11">
        <v>58118</v>
      </c>
      <c r="H11">
        <v>11845</v>
      </c>
      <c r="I11">
        <v>82265</v>
      </c>
      <c r="J11">
        <v>79468</v>
      </c>
      <c r="K11">
        <v>22572</v>
      </c>
      <c r="L11">
        <v>84484</v>
      </c>
      <c r="M11">
        <v>33750</v>
      </c>
      <c r="N11">
        <v>8069</v>
      </c>
      <c r="O11">
        <v>60642</v>
      </c>
      <c r="P11">
        <v>66837</v>
      </c>
      <c r="Q11">
        <v>10521</v>
      </c>
      <c r="R11">
        <v>6714</v>
      </c>
      <c r="S11">
        <v>2114</v>
      </c>
      <c r="T11">
        <v>27</v>
      </c>
      <c r="U11">
        <v>25518</v>
      </c>
      <c r="V11">
        <v>2512</v>
      </c>
      <c r="W11">
        <v>173</v>
      </c>
      <c r="X11">
        <v>53275</v>
      </c>
      <c r="Y11">
        <v>52215</v>
      </c>
      <c r="Z11">
        <v>8216</v>
      </c>
      <c r="AA11">
        <v>104948</v>
      </c>
      <c r="AB11">
        <v>67424</v>
      </c>
      <c r="AC11">
        <v>12627</v>
      </c>
      <c r="AD11">
        <v>25075</v>
      </c>
      <c r="AE11">
        <v>20839</v>
      </c>
      <c r="AF11">
        <v>4786</v>
      </c>
    </row>
    <row r="12" spans="1:32" x14ac:dyDescent="0.4">
      <c r="A12" s="1" t="s">
        <v>12</v>
      </c>
      <c r="B12" s="3" t="s">
        <v>13</v>
      </c>
      <c r="C12">
        <v>162499</v>
      </c>
      <c r="D12">
        <v>157825</v>
      </c>
      <c r="E12">
        <v>33151</v>
      </c>
      <c r="F12">
        <v>64820</v>
      </c>
      <c r="G12">
        <v>58298</v>
      </c>
      <c r="H12">
        <v>9366</v>
      </c>
      <c r="I12">
        <v>76008</v>
      </c>
      <c r="J12">
        <v>80455</v>
      </c>
      <c r="K12">
        <v>17704</v>
      </c>
      <c r="L12">
        <v>79827</v>
      </c>
      <c r="M12">
        <v>34937</v>
      </c>
      <c r="N12">
        <v>7280</v>
      </c>
      <c r="O12">
        <v>56873</v>
      </c>
      <c r="P12">
        <v>60452</v>
      </c>
      <c r="Q12">
        <v>9496</v>
      </c>
      <c r="R12">
        <v>6805</v>
      </c>
      <c r="S12">
        <v>2103</v>
      </c>
      <c r="T12">
        <v>158</v>
      </c>
      <c r="U12">
        <v>25140</v>
      </c>
      <c r="V12">
        <v>2051</v>
      </c>
      <c r="W12">
        <v>171</v>
      </c>
      <c r="X12">
        <v>52040</v>
      </c>
      <c r="Y12">
        <v>52070</v>
      </c>
      <c r="Z12">
        <v>7603</v>
      </c>
      <c r="AA12">
        <v>82925</v>
      </c>
      <c r="AB12">
        <v>51376</v>
      </c>
      <c r="AC12">
        <v>10826</v>
      </c>
      <c r="AD12">
        <v>22920</v>
      </c>
      <c r="AE12">
        <v>20473</v>
      </c>
      <c r="AF12">
        <v>3736</v>
      </c>
    </row>
    <row r="13" spans="1:32" x14ac:dyDescent="0.4">
      <c r="A13" s="1" t="s">
        <v>14</v>
      </c>
      <c r="B13" s="3" t="s">
        <v>15</v>
      </c>
      <c r="C13">
        <v>160621</v>
      </c>
      <c r="D13">
        <v>154324</v>
      </c>
      <c r="E13">
        <v>38372</v>
      </c>
      <c r="F13">
        <v>63655</v>
      </c>
      <c r="G13">
        <v>54559</v>
      </c>
      <c r="H13">
        <v>9477</v>
      </c>
      <c r="I13">
        <v>78080</v>
      </c>
      <c r="J13">
        <v>84172</v>
      </c>
      <c r="K13">
        <v>11250</v>
      </c>
      <c r="L13">
        <v>75276</v>
      </c>
      <c r="M13">
        <v>35706</v>
      </c>
      <c r="N13">
        <v>5263</v>
      </c>
      <c r="O13">
        <v>52655</v>
      </c>
      <c r="P13">
        <v>53878</v>
      </c>
      <c r="Q13">
        <v>9408</v>
      </c>
      <c r="R13">
        <v>7526</v>
      </c>
      <c r="S13">
        <v>2700</v>
      </c>
      <c r="T13">
        <v>137</v>
      </c>
      <c r="U13">
        <v>21502</v>
      </c>
      <c r="V13">
        <v>2238</v>
      </c>
      <c r="W13">
        <v>160</v>
      </c>
      <c r="X13">
        <v>51261</v>
      </c>
      <c r="Y13">
        <v>50431</v>
      </c>
      <c r="Z13">
        <v>7865</v>
      </c>
      <c r="AA13">
        <v>75344</v>
      </c>
      <c r="AB13">
        <v>47341</v>
      </c>
      <c r="AC13">
        <v>8766</v>
      </c>
      <c r="AD13">
        <v>25954</v>
      </c>
      <c r="AE13">
        <v>22024</v>
      </c>
      <c r="AF13">
        <v>4314</v>
      </c>
    </row>
    <row r="14" spans="1:32" x14ac:dyDescent="0.4">
      <c r="A14" s="1" t="s">
        <v>16</v>
      </c>
      <c r="B14" s="1" t="s">
        <v>17</v>
      </c>
      <c r="C14">
        <v>14681</v>
      </c>
      <c r="D14">
        <v>17157</v>
      </c>
      <c r="E14">
        <v>30931</v>
      </c>
      <c r="F14">
        <v>5859</v>
      </c>
      <c r="G14">
        <v>5637</v>
      </c>
      <c r="H14">
        <v>11808</v>
      </c>
      <c r="I14">
        <v>6927</v>
      </c>
      <c r="J14">
        <v>10515</v>
      </c>
      <c r="K14">
        <v>16371</v>
      </c>
      <c r="L14">
        <v>6081</v>
      </c>
      <c r="M14">
        <v>3165</v>
      </c>
      <c r="N14">
        <v>6650</v>
      </c>
      <c r="O14">
        <v>5206</v>
      </c>
      <c r="P14">
        <v>7340</v>
      </c>
      <c r="Q14">
        <v>9877</v>
      </c>
      <c r="R14">
        <v>515</v>
      </c>
      <c r="S14">
        <v>167</v>
      </c>
      <c r="T14">
        <v>115</v>
      </c>
      <c r="U14">
        <v>1773</v>
      </c>
      <c r="V14">
        <v>144</v>
      </c>
      <c r="W14">
        <v>139</v>
      </c>
      <c r="X14">
        <v>3853</v>
      </c>
      <c r="Y14">
        <v>4545</v>
      </c>
      <c r="Z14">
        <v>7077</v>
      </c>
      <c r="AA14">
        <v>6722</v>
      </c>
      <c r="AB14">
        <v>5700</v>
      </c>
      <c r="AC14">
        <v>12280</v>
      </c>
      <c r="AD14">
        <v>2539</v>
      </c>
      <c r="AE14">
        <v>2414</v>
      </c>
      <c r="AF14">
        <v>5696</v>
      </c>
    </row>
    <row r="15" spans="1:32" x14ac:dyDescent="0.4">
      <c r="A15" s="1" t="s">
        <v>18</v>
      </c>
      <c r="B15" s="1" t="s">
        <v>19</v>
      </c>
      <c r="C15">
        <v>12911</v>
      </c>
      <c r="D15">
        <v>13764</v>
      </c>
      <c r="E15">
        <v>29910</v>
      </c>
      <c r="F15">
        <v>6219</v>
      </c>
      <c r="G15">
        <v>4964</v>
      </c>
      <c r="H15">
        <v>12423</v>
      </c>
      <c r="I15">
        <v>5418</v>
      </c>
      <c r="J15">
        <v>5903</v>
      </c>
      <c r="K15">
        <v>15865</v>
      </c>
      <c r="L15">
        <v>6938</v>
      </c>
      <c r="M15">
        <v>2810</v>
      </c>
      <c r="N15">
        <v>7024</v>
      </c>
      <c r="O15">
        <v>5132</v>
      </c>
      <c r="P15">
        <v>5467</v>
      </c>
      <c r="Q15">
        <v>9896</v>
      </c>
      <c r="R15">
        <v>604</v>
      </c>
      <c r="S15">
        <v>144</v>
      </c>
      <c r="T15">
        <v>152</v>
      </c>
      <c r="U15">
        <v>2558</v>
      </c>
      <c r="V15">
        <v>173</v>
      </c>
      <c r="W15">
        <v>126</v>
      </c>
      <c r="X15">
        <v>4155</v>
      </c>
      <c r="Y15">
        <v>4262</v>
      </c>
      <c r="Z15">
        <v>6922</v>
      </c>
      <c r="AA15">
        <v>8260</v>
      </c>
      <c r="AB15">
        <v>4939</v>
      </c>
      <c r="AC15">
        <v>12803</v>
      </c>
      <c r="AD15">
        <v>2216</v>
      </c>
      <c r="AE15">
        <v>1657</v>
      </c>
      <c r="AF15">
        <v>6008</v>
      </c>
    </row>
    <row r="16" spans="1:32" x14ac:dyDescent="0.4">
      <c r="A16" s="1" t="s">
        <v>20</v>
      </c>
      <c r="B16" s="1" t="s">
        <v>21</v>
      </c>
      <c r="C16">
        <v>14282</v>
      </c>
      <c r="D16">
        <v>12319</v>
      </c>
      <c r="E16">
        <v>31704</v>
      </c>
      <c r="F16">
        <v>5429</v>
      </c>
      <c r="G16">
        <v>4235</v>
      </c>
      <c r="H16">
        <v>12964</v>
      </c>
      <c r="I16">
        <v>6689</v>
      </c>
      <c r="J16">
        <v>6680</v>
      </c>
      <c r="K16">
        <v>15824</v>
      </c>
      <c r="L16">
        <v>7296</v>
      </c>
      <c r="M16">
        <v>2900</v>
      </c>
      <c r="N16">
        <v>7586</v>
      </c>
      <c r="O16">
        <v>5416</v>
      </c>
      <c r="P16">
        <v>4471</v>
      </c>
      <c r="Q16">
        <v>11102</v>
      </c>
      <c r="R16">
        <v>542</v>
      </c>
      <c r="S16">
        <v>161</v>
      </c>
      <c r="T16">
        <v>167</v>
      </c>
      <c r="U16">
        <v>1850</v>
      </c>
      <c r="V16">
        <v>174</v>
      </c>
      <c r="W16">
        <v>114</v>
      </c>
      <c r="X16">
        <v>3568</v>
      </c>
      <c r="Y16">
        <v>3765</v>
      </c>
      <c r="Z16">
        <v>6673</v>
      </c>
      <c r="AA16">
        <v>7661</v>
      </c>
      <c r="AB16">
        <v>4854</v>
      </c>
      <c r="AC16">
        <v>12866</v>
      </c>
      <c r="AD16">
        <v>2783</v>
      </c>
      <c r="AE16">
        <v>2491</v>
      </c>
      <c r="AF16">
        <v>6065</v>
      </c>
    </row>
    <row r="17" spans="1:32" x14ac:dyDescent="0.4">
      <c r="A17" s="1" t="s">
        <v>22</v>
      </c>
      <c r="B17" s="1" t="s">
        <v>23</v>
      </c>
      <c r="C17">
        <v>14053</v>
      </c>
      <c r="D17">
        <v>13784</v>
      </c>
      <c r="E17">
        <v>31782</v>
      </c>
      <c r="F17">
        <v>4356</v>
      </c>
      <c r="G17">
        <v>5073</v>
      </c>
      <c r="H17">
        <v>11489</v>
      </c>
      <c r="I17">
        <v>6737</v>
      </c>
      <c r="J17">
        <v>5819</v>
      </c>
      <c r="K17">
        <v>16704</v>
      </c>
      <c r="L17">
        <v>6899</v>
      </c>
      <c r="M17">
        <v>3064</v>
      </c>
      <c r="N17">
        <v>7585</v>
      </c>
      <c r="O17">
        <v>5099</v>
      </c>
      <c r="P17">
        <v>5877</v>
      </c>
      <c r="Q17">
        <v>10499</v>
      </c>
      <c r="R17">
        <v>647</v>
      </c>
      <c r="S17">
        <v>189</v>
      </c>
      <c r="T17">
        <v>211</v>
      </c>
      <c r="U17">
        <v>2551</v>
      </c>
      <c r="V17">
        <v>117</v>
      </c>
      <c r="W17">
        <v>105</v>
      </c>
      <c r="X17">
        <v>4477</v>
      </c>
      <c r="Y17">
        <v>4494</v>
      </c>
      <c r="Z17">
        <v>6605</v>
      </c>
      <c r="AA17">
        <v>7048</v>
      </c>
      <c r="AB17">
        <v>4323</v>
      </c>
      <c r="AC17">
        <v>11864</v>
      </c>
      <c r="AD17">
        <v>1940</v>
      </c>
      <c r="AE17">
        <v>1930</v>
      </c>
      <c r="AF17">
        <v>5776</v>
      </c>
    </row>
    <row r="18" spans="1:32" x14ac:dyDescent="0.4">
      <c r="A18" s="1" t="s">
        <v>24</v>
      </c>
      <c r="B18" s="1" t="s">
        <v>25</v>
      </c>
      <c r="C18">
        <v>14875</v>
      </c>
      <c r="D18">
        <v>12784</v>
      </c>
      <c r="E18">
        <v>33714</v>
      </c>
      <c r="F18">
        <v>4797</v>
      </c>
      <c r="G18">
        <v>4853</v>
      </c>
      <c r="H18">
        <v>10737</v>
      </c>
      <c r="I18">
        <v>6651</v>
      </c>
      <c r="J18">
        <v>6189</v>
      </c>
      <c r="K18">
        <v>17142</v>
      </c>
      <c r="L18">
        <v>6935</v>
      </c>
      <c r="M18">
        <v>3119</v>
      </c>
      <c r="N18">
        <v>7493</v>
      </c>
      <c r="O18">
        <v>5569</v>
      </c>
      <c r="P18">
        <v>4514</v>
      </c>
      <c r="Q18">
        <v>11913</v>
      </c>
      <c r="R18">
        <v>667</v>
      </c>
      <c r="S18">
        <v>159</v>
      </c>
      <c r="T18">
        <v>247</v>
      </c>
      <c r="U18">
        <v>2215</v>
      </c>
      <c r="V18">
        <v>195</v>
      </c>
      <c r="W18">
        <v>110</v>
      </c>
      <c r="X18">
        <v>4801</v>
      </c>
      <c r="Y18">
        <v>4591</v>
      </c>
      <c r="Z18">
        <v>6760</v>
      </c>
      <c r="AA18">
        <v>7437</v>
      </c>
      <c r="AB18">
        <v>4577</v>
      </c>
      <c r="AC18">
        <v>12300</v>
      </c>
      <c r="AD18">
        <v>2869</v>
      </c>
      <c r="AE18">
        <v>1982</v>
      </c>
      <c r="AF18">
        <v>6364</v>
      </c>
    </row>
    <row r="19" spans="1:32" x14ac:dyDescent="0.4">
      <c r="A19" s="1" t="s">
        <v>26</v>
      </c>
      <c r="B19" s="1" t="s">
        <v>27</v>
      </c>
      <c r="C19">
        <v>15079</v>
      </c>
      <c r="D19">
        <v>12083</v>
      </c>
      <c r="E19">
        <v>36605</v>
      </c>
      <c r="F19">
        <v>5793</v>
      </c>
      <c r="G19">
        <v>4407</v>
      </c>
      <c r="H19">
        <v>11157</v>
      </c>
      <c r="I19">
        <v>6368</v>
      </c>
      <c r="J19">
        <v>6121</v>
      </c>
      <c r="K19">
        <v>17343</v>
      </c>
      <c r="L19">
        <v>6552</v>
      </c>
      <c r="M19">
        <v>2640</v>
      </c>
      <c r="N19">
        <v>7591</v>
      </c>
      <c r="O19">
        <v>4818</v>
      </c>
      <c r="P19">
        <v>3863</v>
      </c>
      <c r="Q19">
        <v>13165</v>
      </c>
      <c r="R19">
        <v>466</v>
      </c>
      <c r="S19">
        <v>163</v>
      </c>
      <c r="T19">
        <v>223</v>
      </c>
      <c r="U19">
        <v>1664</v>
      </c>
      <c r="V19">
        <v>149</v>
      </c>
      <c r="W19">
        <v>116</v>
      </c>
      <c r="X19">
        <v>3836</v>
      </c>
      <c r="Y19">
        <v>4097</v>
      </c>
      <c r="Z19">
        <v>6455</v>
      </c>
      <c r="AA19">
        <v>7673</v>
      </c>
      <c r="AB19">
        <v>4350</v>
      </c>
      <c r="AC19">
        <v>12095</v>
      </c>
      <c r="AD19">
        <v>2011</v>
      </c>
      <c r="AE19">
        <v>1607</v>
      </c>
      <c r="AF19">
        <v>6465</v>
      </c>
    </row>
    <row r="20" spans="1:32" x14ac:dyDescent="0.4">
      <c r="A20" s="1" t="s">
        <v>28</v>
      </c>
      <c r="B20" s="1" t="s">
        <v>29</v>
      </c>
      <c r="C20">
        <v>14087</v>
      </c>
      <c r="D20">
        <v>14186</v>
      </c>
      <c r="E20">
        <v>36365</v>
      </c>
      <c r="F20">
        <v>6111</v>
      </c>
      <c r="G20">
        <v>5096</v>
      </c>
      <c r="H20">
        <v>11382</v>
      </c>
      <c r="I20">
        <v>6922</v>
      </c>
      <c r="J20">
        <v>6493</v>
      </c>
      <c r="K20">
        <v>17729</v>
      </c>
      <c r="L20">
        <v>6770</v>
      </c>
      <c r="M20">
        <v>2968</v>
      </c>
      <c r="N20">
        <v>7035</v>
      </c>
      <c r="O20">
        <v>4408</v>
      </c>
      <c r="P20">
        <v>5391</v>
      </c>
      <c r="Q20">
        <v>12276</v>
      </c>
      <c r="R20">
        <v>540</v>
      </c>
      <c r="S20">
        <v>139</v>
      </c>
      <c r="T20">
        <v>219</v>
      </c>
      <c r="U20">
        <v>2804</v>
      </c>
      <c r="V20">
        <v>222</v>
      </c>
      <c r="W20">
        <v>119</v>
      </c>
      <c r="X20">
        <v>4857</v>
      </c>
      <c r="Y20">
        <v>4656</v>
      </c>
      <c r="Z20">
        <v>6612</v>
      </c>
      <c r="AA20">
        <v>7346</v>
      </c>
      <c r="AB20">
        <v>3896</v>
      </c>
      <c r="AC20">
        <v>11391</v>
      </c>
      <c r="AD20">
        <v>1717</v>
      </c>
      <c r="AE20">
        <v>1860</v>
      </c>
      <c r="AF20">
        <v>6032</v>
      </c>
    </row>
    <row r="21" spans="1:32" x14ac:dyDescent="0.4">
      <c r="A21" s="1" t="s">
        <v>30</v>
      </c>
      <c r="B21" s="1" t="s">
        <v>31</v>
      </c>
      <c r="C21">
        <v>11323</v>
      </c>
      <c r="D21">
        <v>13424</v>
      </c>
      <c r="E21">
        <v>34051</v>
      </c>
      <c r="F21">
        <v>4635</v>
      </c>
      <c r="G21">
        <v>5013</v>
      </c>
      <c r="H21">
        <v>10354</v>
      </c>
      <c r="I21">
        <v>7251</v>
      </c>
      <c r="J21">
        <v>6138</v>
      </c>
      <c r="K21">
        <v>18800</v>
      </c>
      <c r="L21">
        <v>6672</v>
      </c>
      <c r="M21">
        <v>2754</v>
      </c>
      <c r="N21">
        <v>7270</v>
      </c>
      <c r="O21">
        <v>3452</v>
      </c>
      <c r="P21">
        <v>4397</v>
      </c>
      <c r="Q21">
        <v>11653</v>
      </c>
      <c r="R21">
        <v>541</v>
      </c>
      <c r="S21">
        <v>171</v>
      </c>
      <c r="T21">
        <v>181</v>
      </c>
      <c r="U21">
        <v>2545</v>
      </c>
      <c r="V21">
        <v>160</v>
      </c>
      <c r="W21">
        <v>144</v>
      </c>
      <c r="X21">
        <v>4678</v>
      </c>
      <c r="Y21">
        <v>4849</v>
      </c>
      <c r="Z21">
        <v>6384</v>
      </c>
      <c r="AA21">
        <v>6873</v>
      </c>
      <c r="AB21">
        <v>4206</v>
      </c>
      <c r="AC21">
        <v>11116</v>
      </c>
      <c r="AD21">
        <v>642</v>
      </c>
      <c r="AE21">
        <v>1289</v>
      </c>
      <c r="AF21">
        <v>5107</v>
      </c>
    </row>
    <row r="22" spans="1:32" x14ac:dyDescent="0.4">
      <c r="A22" s="1" t="s">
        <v>32</v>
      </c>
      <c r="B22" s="1" t="s">
        <v>33</v>
      </c>
      <c r="C22">
        <v>8978</v>
      </c>
      <c r="D22">
        <v>9741</v>
      </c>
      <c r="E22">
        <v>33145</v>
      </c>
      <c r="F22">
        <v>4533</v>
      </c>
      <c r="G22">
        <v>4713</v>
      </c>
      <c r="H22">
        <v>9448</v>
      </c>
      <c r="I22">
        <v>6669</v>
      </c>
      <c r="J22">
        <v>6907</v>
      </c>
      <c r="K22">
        <v>18536</v>
      </c>
      <c r="L22">
        <v>7032</v>
      </c>
      <c r="M22">
        <v>2993</v>
      </c>
      <c r="N22">
        <v>7507</v>
      </c>
      <c r="O22">
        <v>3457</v>
      </c>
      <c r="P22">
        <v>4739</v>
      </c>
      <c r="Q22">
        <v>10632</v>
      </c>
      <c r="R22">
        <v>588</v>
      </c>
      <c r="S22">
        <v>210</v>
      </c>
      <c r="T22">
        <v>160</v>
      </c>
      <c r="U22">
        <v>2331</v>
      </c>
      <c r="V22">
        <v>163</v>
      </c>
      <c r="W22">
        <v>161</v>
      </c>
      <c r="X22">
        <v>5154</v>
      </c>
      <c r="Y22">
        <v>4377</v>
      </c>
      <c r="Z22">
        <v>7117</v>
      </c>
      <c r="AA22">
        <v>6369</v>
      </c>
      <c r="AB22">
        <v>2829</v>
      </c>
      <c r="AC22">
        <v>11794</v>
      </c>
      <c r="AD22">
        <v>1060</v>
      </c>
      <c r="AE22">
        <v>1041</v>
      </c>
      <c r="AF22">
        <v>4827</v>
      </c>
    </row>
    <row r="23" spans="1:32" x14ac:dyDescent="0.4">
      <c r="A23" s="1" t="s">
        <v>34</v>
      </c>
      <c r="B23" s="1" t="s">
        <v>35</v>
      </c>
      <c r="C23">
        <v>11699</v>
      </c>
      <c r="D23">
        <v>11440</v>
      </c>
      <c r="E23">
        <v>33151</v>
      </c>
      <c r="F23">
        <v>5356</v>
      </c>
      <c r="G23">
        <v>4594</v>
      </c>
      <c r="H23">
        <v>9366</v>
      </c>
      <c r="I23">
        <v>7056</v>
      </c>
      <c r="J23">
        <v>7855</v>
      </c>
      <c r="K23">
        <v>17704</v>
      </c>
      <c r="L23">
        <v>6444</v>
      </c>
      <c r="M23">
        <v>3052</v>
      </c>
      <c r="N23">
        <v>7280</v>
      </c>
      <c r="O23">
        <v>3300</v>
      </c>
      <c r="P23">
        <v>4525</v>
      </c>
      <c r="Q23">
        <v>9496</v>
      </c>
      <c r="R23">
        <v>631</v>
      </c>
      <c r="S23">
        <v>228</v>
      </c>
      <c r="T23">
        <v>158</v>
      </c>
      <c r="U23">
        <v>1760</v>
      </c>
      <c r="V23">
        <v>168</v>
      </c>
      <c r="W23">
        <v>171</v>
      </c>
      <c r="X23">
        <v>4828</v>
      </c>
      <c r="Y23">
        <v>4305</v>
      </c>
      <c r="Z23">
        <v>7603</v>
      </c>
      <c r="AA23">
        <v>5104</v>
      </c>
      <c r="AB23">
        <v>3591</v>
      </c>
      <c r="AC23">
        <v>10826</v>
      </c>
      <c r="AD23">
        <v>1088</v>
      </c>
      <c r="AE23">
        <v>1858</v>
      </c>
      <c r="AF23">
        <v>3736</v>
      </c>
    </row>
    <row r="24" spans="1:32" x14ac:dyDescent="0.4">
      <c r="A24" s="1" t="s">
        <v>36</v>
      </c>
      <c r="B24" s="1" t="s">
        <v>37</v>
      </c>
      <c r="C24">
        <v>16059</v>
      </c>
      <c r="D24">
        <v>13363</v>
      </c>
      <c r="E24">
        <v>35980</v>
      </c>
      <c r="F24">
        <v>6258</v>
      </c>
      <c r="G24">
        <v>4568</v>
      </c>
      <c r="H24">
        <v>10420</v>
      </c>
      <c r="I24">
        <v>4888</v>
      </c>
      <c r="J24">
        <v>6824</v>
      </c>
      <c r="K24">
        <v>15747</v>
      </c>
      <c r="L24">
        <v>6463</v>
      </c>
      <c r="M24">
        <v>2864</v>
      </c>
      <c r="N24">
        <v>7573</v>
      </c>
      <c r="O24">
        <v>3864</v>
      </c>
      <c r="P24">
        <v>4083</v>
      </c>
      <c r="Q24">
        <v>9502</v>
      </c>
      <c r="R24">
        <v>599</v>
      </c>
      <c r="S24">
        <v>208</v>
      </c>
      <c r="T24">
        <v>145</v>
      </c>
      <c r="U24">
        <v>1757</v>
      </c>
      <c r="V24">
        <v>132</v>
      </c>
      <c r="W24">
        <v>181</v>
      </c>
      <c r="X24">
        <v>3985</v>
      </c>
      <c r="Y24">
        <v>4196</v>
      </c>
      <c r="Z24">
        <v>7343</v>
      </c>
      <c r="AA24">
        <v>5909</v>
      </c>
      <c r="AB24">
        <v>3549</v>
      </c>
      <c r="AC24">
        <v>11161</v>
      </c>
      <c r="AD24">
        <v>2317</v>
      </c>
      <c r="AE24">
        <v>1160</v>
      </c>
      <c r="AF24">
        <v>4580</v>
      </c>
    </row>
    <row r="25" spans="1:32" x14ac:dyDescent="0.4">
      <c r="A25" s="1" t="s">
        <v>38</v>
      </c>
      <c r="B25" s="1" t="s">
        <v>39</v>
      </c>
      <c r="C25">
        <v>13700</v>
      </c>
      <c r="D25">
        <v>15247</v>
      </c>
      <c r="E25">
        <v>34279</v>
      </c>
      <c r="F25">
        <v>5202</v>
      </c>
      <c r="G25">
        <v>5212</v>
      </c>
      <c r="H25">
        <v>9609</v>
      </c>
      <c r="I25">
        <v>4681</v>
      </c>
      <c r="J25">
        <v>7504</v>
      </c>
      <c r="K25">
        <v>12883</v>
      </c>
      <c r="L25">
        <v>6351</v>
      </c>
      <c r="M25">
        <v>2834</v>
      </c>
      <c r="N25">
        <v>7668</v>
      </c>
      <c r="O25">
        <v>4423</v>
      </c>
      <c r="P25">
        <v>4231</v>
      </c>
      <c r="Q25">
        <v>9806</v>
      </c>
      <c r="R25">
        <v>588</v>
      </c>
      <c r="S25">
        <v>152</v>
      </c>
      <c r="T25">
        <v>164</v>
      </c>
      <c r="U25">
        <v>2579</v>
      </c>
      <c r="V25">
        <v>205</v>
      </c>
      <c r="W25">
        <v>175</v>
      </c>
      <c r="X25">
        <v>4487</v>
      </c>
      <c r="Y25">
        <v>4211</v>
      </c>
      <c r="Z25">
        <v>7569</v>
      </c>
      <c r="AA25">
        <v>6661</v>
      </c>
      <c r="AB25">
        <v>4282</v>
      </c>
      <c r="AC25">
        <v>11349</v>
      </c>
      <c r="AD25">
        <v>2019</v>
      </c>
      <c r="AE25">
        <v>1575</v>
      </c>
      <c r="AF25">
        <v>4699</v>
      </c>
    </row>
    <row r="26" spans="1:32" x14ac:dyDescent="0.4">
      <c r="A26" s="1" t="s">
        <v>40</v>
      </c>
      <c r="B26" s="1" t="s">
        <v>41</v>
      </c>
      <c r="C26">
        <v>13825</v>
      </c>
      <c r="D26">
        <v>19931</v>
      </c>
      <c r="E26">
        <v>28005</v>
      </c>
      <c r="F26">
        <v>5740</v>
      </c>
      <c r="G26">
        <v>5402</v>
      </c>
      <c r="H26">
        <v>8851</v>
      </c>
      <c r="I26">
        <v>6860</v>
      </c>
      <c r="J26">
        <v>7959</v>
      </c>
      <c r="K26">
        <v>11755</v>
      </c>
      <c r="L26">
        <v>6685</v>
      </c>
      <c r="M26">
        <v>3365</v>
      </c>
      <c r="N26">
        <v>7226</v>
      </c>
      <c r="O26">
        <v>4875</v>
      </c>
      <c r="P26">
        <v>6406</v>
      </c>
      <c r="Q26">
        <v>8494</v>
      </c>
      <c r="R26">
        <v>635</v>
      </c>
      <c r="S26">
        <v>142</v>
      </c>
      <c r="T26">
        <v>172</v>
      </c>
      <c r="U26">
        <v>1987</v>
      </c>
      <c r="V26">
        <v>151</v>
      </c>
      <c r="W26">
        <v>163</v>
      </c>
      <c r="X26">
        <v>4655</v>
      </c>
      <c r="Y26">
        <v>4234</v>
      </c>
      <c r="Z26">
        <v>7946</v>
      </c>
      <c r="AA26">
        <v>7503</v>
      </c>
      <c r="AB26">
        <v>5218</v>
      </c>
      <c r="AC26">
        <v>10905</v>
      </c>
      <c r="AD26">
        <v>3102</v>
      </c>
      <c r="AE26">
        <v>2368</v>
      </c>
      <c r="AF26">
        <v>5109</v>
      </c>
    </row>
    <row r="27" spans="1:32" x14ac:dyDescent="0.4">
      <c r="A27" s="1" t="s">
        <v>42</v>
      </c>
      <c r="B27" s="1" t="s">
        <v>43</v>
      </c>
      <c r="C27">
        <v>12775</v>
      </c>
      <c r="D27">
        <v>11929</v>
      </c>
      <c r="E27">
        <v>28704</v>
      </c>
      <c r="F27">
        <v>5802</v>
      </c>
      <c r="G27">
        <v>4246</v>
      </c>
      <c r="H27">
        <v>9832</v>
      </c>
      <c r="I27">
        <v>7154</v>
      </c>
      <c r="J27">
        <v>7884</v>
      </c>
      <c r="K27">
        <v>10989</v>
      </c>
      <c r="L27">
        <v>6507</v>
      </c>
      <c r="M27">
        <v>2758</v>
      </c>
      <c r="N27">
        <v>7332</v>
      </c>
      <c r="O27">
        <v>4959</v>
      </c>
      <c r="P27">
        <v>4015</v>
      </c>
      <c r="Q27">
        <v>9779</v>
      </c>
      <c r="R27">
        <v>575</v>
      </c>
      <c r="S27">
        <v>117</v>
      </c>
      <c r="T27">
        <v>174</v>
      </c>
      <c r="U27">
        <v>1703</v>
      </c>
      <c r="V27">
        <v>170</v>
      </c>
      <c r="W27">
        <v>122</v>
      </c>
      <c r="X27">
        <v>4550</v>
      </c>
      <c r="Y27">
        <v>4305</v>
      </c>
      <c r="Z27">
        <v>8154</v>
      </c>
      <c r="AA27">
        <v>7107</v>
      </c>
      <c r="AB27">
        <v>3754</v>
      </c>
      <c r="AC27">
        <v>11515</v>
      </c>
      <c r="AD27">
        <v>2204</v>
      </c>
      <c r="AE27">
        <v>2278</v>
      </c>
      <c r="AF27">
        <v>4765</v>
      </c>
    </row>
    <row r="28" spans="1:32" x14ac:dyDescent="0.4">
      <c r="A28" s="1" t="s">
        <v>44</v>
      </c>
      <c r="B28" s="1" t="s">
        <v>45</v>
      </c>
      <c r="C28">
        <v>13918</v>
      </c>
      <c r="D28">
        <v>11141</v>
      </c>
      <c r="E28">
        <v>31409</v>
      </c>
      <c r="F28">
        <v>5790</v>
      </c>
      <c r="G28">
        <v>4571</v>
      </c>
      <c r="H28">
        <v>10318</v>
      </c>
      <c r="I28">
        <v>7322</v>
      </c>
      <c r="J28">
        <v>7104</v>
      </c>
      <c r="K28">
        <v>11165</v>
      </c>
      <c r="L28">
        <v>6651</v>
      </c>
      <c r="M28">
        <v>2778</v>
      </c>
      <c r="N28">
        <v>7640</v>
      </c>
      <c r="O28">
        <v>4037</v>
      </c>
      <c r="P28">
        <v>3868</v>
      </c>
      <c r="Q28">
        <v>10169</v>
      </c>
      <c r="R28">
        <v>534</v>
      </c>
      <c r="S28">
        <v>127</v>
      </c>
      <c r="T28">
        <v>173</v>
      </c>
      <c r="U28">
        <v>1316</v>
      </c>
      <c r="V28">
        <v>143</v>
      </c>
      <c r="W28">
        <v>131</v>
      </c>
      <c r="X28">
        <v>3881</v>
      </c>
      <c r="Y28">
        <v>4197</v>
      </c>
      <c r="Z28">
        <v>7780</v>
      </c>
      <c r="AA28">
        <v>6293</v>
      </c>
      <c r="AB28">
        <v>4318</v>
      </c>
      <c r="AC28">
        <v>10673</v>
      </c>
      <c r="AD28">
        <v>2727</v>
      </c>
      <c r="AE28">
        <v>2437</v>
      </c>
      <c r="AF28">
        <v>4802</v>
      </c>
    </row>
    <row r="29" spans="1:32" x14ac:dyDescent="0.4">
      <c r="A29" s="1" t="s">
        <v>46</v>
      </c>
      <c r="B29" s="1" t="s">
        <v>47</v>
      </c>
      <c r="C29">
        <v>10305</v>
      </c>
      <c r="D29">
        <v>11293</v>
      </c>
      <c r="E29">
        <v>30334</v>
      </c>
      <c r="F29">
        <v>4726</v>
      </c>
      <c r="G29">
        <v>4468</v>
      </c>
      <c r="H29">
        <v>9603</v>
      </c>
      <c r="I29">
        <v>7269</v>
      </c>
      <c r="J29">
        <v>7511</v>
      </c>
      <c r="K29">
        <v>10923</v>
      </c>
      <c r="L29">
        <v>6359</v>
      </c>
      <c r="M29">
        <v>3172</v>
      </c>
      <c r="N29">
        <v>7421</v>
      </c>
      <c r="O29">
        <v>4963</v>
      </c>
      <c r="P29">
        <v>4635</v>
      </c>
      <c r="Q29">
        <v>10833</v>
      </c>
      <c r="R29">
        <v>644</v>
      </c>
      <c r="S29">
        <v>194</v>
      </c>
      <c r="T29">
        <v>175</v>
      </c>
      <c r="U29">
        <v>2013</v>
      </c>
      <c r="V29">
        <v>214</v>
      </c>
      <c r="W29">
        <v>134</v>
      </c>
      <c r="X29">
        <v>4674</v>
      </c>
      <c r="Y29">
        <v>4828</v>
      </c>
      <c r="Z29">
        <v>7575</v>
      </c>
      <c r="AA29">
        <v>5318</v>
      </c>
      <c r="AB29">
        <v>4820</v>
      </c>
      <c r="AC29">
        <v>8362</v>
      </c>
      <c r="AD29">
        <v>2716</v>
      </c>
      <c r="AE29">
        <v>2695</v>
      </c>
      <c r="AF29">
        <v>4563</v>
      </c>
    </row>
    <row r="30" spans="1:32" x14ac:dyDescent="0.4">
      <c r="A30" s="1" t="s">
        <v>48</v>
      </c>
      <c r="B30" s="1" t="s">
        <v>49</v>
      </c>
      <c r="C30">
        <v>15701</v>
      </c>
      <c r="D30">
        <v>12602</v>
      </c>
      <c r="E30">
        <v>33434</v>
      </c>
      <c r="F30">
        <v>4979</v>
      </c>
      <c r="G30">
        <v>4410</v>
      </c>
      <c r="H30">
        <v>9514</v>
      </c>
      <c r="I30">
        <v>5797</v>
      </c>
      <c r="J30">
        <v>6726</v>
      </c>
      <c r="K30">
        <v>9941</v>
      </c>
      <c r="L30">
        <v>6398</v>
      </c>
      <c r="M30">
        <v>2969</v>
      </c>
      <c r="N30">
        <v>7379</v>
      </c>
      <c r="O30">
        <v>5009</v>
      </c>
      <c r="P30">
        <v>4779</v>
      </c>
      <c r="Q30">
        <v>11406</v>
      </c>
      <c r="R30">
        <v>749</v>
      </c>
      <c r="S30">
        <v>233</v>
      </c>
      <c r="T30">
        <v>170</v>
      </c>
      <c r="U30">
        <v>1732</v>
      </c>
      <c r="V30">
        <v>203</v>
      </c>
      <c r="W30">
        <v>143</v>
      </c>
      <c r="X30">
        <v>4531</v>
      </c>
      <c r="Y30">
        <v>4572</v>
      </c>
      <c r="Z30">
        <v>7490</v>
      </c>
      <c r="AA30">
        <v>7606</v>
      </c>
      <c r="AB30">
        <v>4168</v>
      </c>
      <c r="AC30">
        <v>8315</v>
      </c>
      <c r="AD30">
        <v>2527</v>
      </c>
      <c r="AE30">
        <v>1817</v>
      </c>
      <c r="AF30">
        <v>4965</v>
      </c>
    </row>
    <row r="31" spans="1:32" x14ac:dyDescent="0.4">
      <c r="A31" s="1" t="s">
        <v>50</v>
      </c>
      <c r="B31" s="1" t="s">
        <v>51</v>
      </c>
      <c r="C31">
        <v>13526</v>
      </c>
      <c r="D31">
        <v>11084</v>
      </c>
      <c r="E31">
        <v>35748</v>
      </c>
      <c r="F31">
        <v>5406</v>
      </c>
      <c r="G31">
        <v>4077</v>
      </c>
      <c r="H31">
        <v>10275</v>
      </c>
      <c r="I31">
        <v>6838</v>
      </c>
      <c r="J31">
        <v>5144</v>
      </c>
      <c r="K31">
        <v>11601</v>
      </c>
      <c r="L31">
        <v>5879</v>
      </c>
      <c r="M31">
        <v>2702</v>
      </c>
      <c r="N31">
        <v>7437</v>
      </c>
      <c r="O31">
        <v>5229</v>
      </c>
      <c r="P31">
        <v>3503</v>
      </c>
      <c r="Q31">
        <v>13326</v>
      </c>
      <c r="R31">
        <v>462</v>
      </c>
      <c r="S31">
        <v>162</v>
      </c>
      <c r="T31">
        <v>174</v>
      </c>
      <c r="U31">
        <v>1115</v>
      </c>
      <c r="V31">
        <v>162</v>
      </c>
      <c r="W31">
        <v>154</v>
      </c>
      <c r="X31">
        <v>3650</v>
      </c>
      <c r="Y31">
        <v>3663</v>
      </c>
      <c r="Z31">
        <v>7436</v>
      </c>
      <c r="AA31">
        <v>7112</v>
      </c>
      <c r="AB31">
        <v>3211</v>
      </c>
      <c r="AC31">
        <v>9097</v>
      </c>
      <c r="AD31">
        <v>2399</v>
      </c>
      <c r="AE31">
        <v>1489</v>
      </c>
      <c r="AF31">
        <v>5639</v>
      </c>
    </row>
    <row r="32" spans="1:32" x14ac:dyDescent="0.4">
      <c r="A32" s="1" t="s">
        <v>52</v>
      </c>
      <c r="B32" s="1" t="s">
        <v>53</v>
      </c>
      <c r="C32">
        <v>13579</v>
      </c>
      <c r="D32">
        <v>11851</v>
      </c>
      <c r="E32">
        <v>37255</v>
      </c>
      <c r="F32">
        <v>5547</v>
      </c>
      <c r="G32">
        <v>4700</v>
      </c>
      <c r="H32">
        <v>10362</v>
      </c>
      <c r="I32">
        <v>6578</v>
      </c>
      <c r="J32">
        <v>7075</v>
      </c>
      <c r="K32">
        <v>11061</v>
      </c>
      <c r="L32">
        <v>6313</v>
      </c>
      <c r="M32">
        <v>3277</v>
      </c>
      <c r="N32">
        <v>7116</v>
      </c>
      <c r="O32">
        <v>4374</v>
      </c>
      <c r="P32">
        <v>5010</v>
      </c>
      <c r="Q32">
        <v>12893</v>
      </c>
      <c r="R32">
        <v>685</v>
      </c>
      <c r="S32">
        <v>321</v>
      </c>
      <c r="T32">
        <v>143</v>
      </c>
      <c r="U32">
        <v>2047</v>
      </c>
      <c r="V32">
        <v>239</v>
      </c>
      <c r="W32">
        <v>139</v>
      </c>
      <c r="X32">
        <v>4685</v>
      </c>
      <c r="Y32">
        <v>4713</v>
      </c>
      <c r="Z32">
        <v>7358</v>
      </c>
      <c r="AA32">
        <v>6935</v>
      </c>
      <c r="AB32">
        <v>3886</v>
      </c>
      <c r="AC32">
        <v>9506</v>
      </c>
      <c r="AD32">
        <v>1957</v>
      </c>
      <c r="AE32">
        <v>1580</v>
      </c>
      <c r="AF32">
        <v>5759</v>
      </c>
    </row>
    <row r="33" spans="1:32" x14ac:dyDescent="0.4">
      <c r="A33" s="1" t="s">
        <v>54</v>
      </c>
      <c r="B33" s="1" t="s">
        <v>55</v>
      </c>
      <c r="C33">
        <v>14427</v>
      </c>
      <c r="D33">
        <v>10904</v>
      </c>
      <c r="E33">
        <v>40694</v>
      </c>
      <c r="F33">
        <v>4492</v>
      </c>
      <c r="G33">
        <v>4192</v>
      </c>
      <c r="H33">
        <v>9927</v>
      </c>
      <c r="I33">
        <v>6152</v>
      </c>
      <c r="J33">
        <v>7867</v>
      </c>
      <c r="K33">
        <v>9331</v>
      </c>
      <c r="L33">
        <v>5721</v>
      </c>
      <c r="M33">
        <v>2942</v>
      </c>
      <c r="N33">
        <v>6728</v>
      </c>
      <c r="O33">
        <v>2799</v>
      </c>
      <c r="P33">
        <v>4596</v>
      </c>
      <c r="Q33">
        <v>11328</v>
      </c>
      <c r="R33">
        <v>693</v>
      </c>
      <c r="S33">
        <v>327</v>
      </c>
      <c r="T33">
        <v>150</v>
      </c>
      <c r="U33">
        <v>1980</v>
      </c>
      <c r="V33">
        <v>221</v>
      </c>
      <c r="W33">
        <v>144</v>
      </c>
      <c r="X33">
        <v>3899</v>
      </c>
      <c r="Y33">
        <v>4264</v>
      </c>
      <c r="Z33">
        <v>6932</v>
      </c>
      <c r="AA33">
        <v>4389</v>
      </c>
      <c r="AB33">
        <v>2812</v>
      </c>
      <c r="AC33">
        <v>9519</v>
      </c>
      <c r="AD33">
        <v>813</v>
      </c>
      <c r="AE33">
        <v>1232</v>
      </c>
      <c r="AF33">
        <v>5032</v>
      </c>
    </row>
    <row r="34" spans="1:32" x14ac:dyDescent="0.4">
      <c r="A34" s="1" t="s">
        <v>56</v>
      </c>
      <c r="B34" s="1" t="s">
        <v>57</v>
      </c>
      <c r="C34">
        <v>10318</v>
      </c>
      <c r="D34">
        <v>11454</v>
      </c>
      <c r="E34">
        <v>39475</v>
      </c>
      <c r="F34">
        <v>4397</v>
      </c>
      <c r="G34">
        <v>4162</v>
      </c>
      <c r="H34">
        <v>9498</v>
      </c>
      <c r="I34">
        <v>6854</v>
      </c>
      <c r="J34">
        <v>6141</v>
      </c>
      <c r="K34">
        <v>10036</v>
      </c>
      <c r="L34">
        <v>6089</v>
      </c>
      <c r="M34">
        <v>2708</v>
      </c>
      <c r="N34">
        <v>6806</v>
      </c>
      <c r="O34">
        <v>4000</v>
      </c>
      <c r="P34">
        <v>4284</v>
      </c>
      <c r="Q34">
        <v>11330</v>
      </c>
      <c r="R34">
        <v>655</v>
      </c>
      <c r="S34">
        <v>362</v>
      </c>
      <c r="T34">
        <v>140</v>
      </c>
      <c r="U34">
        <v>1997</v>
      </c>
      <c r="V34">
        <v>196</v>
      </c>
      <c r="W34">
        <v>147</v>
      </c>
      <c r="X34">
        <v>4319</v>
      </c>
      <c r="Y34">
        <v>3574</v>
      </c>
      <c r="Z34">
        <v>7633</v>
      </c>
      <c r="AA34">
        <v>5400</v>
      </c>
      <c r="AB34">
        <v>3310</v>
      </c>
      <c r="AC34">
        <v>9645</v>
      </c>
      <c r="AD34">
        <v>1751</v>
      </c>
      <c r="AE34">
        <v>1487</v>
      </c>
      <c r="AF34">
        <v>5072</v>
      </c>
    </row>
    <row r="35" spans="1:32" x14ac:dyDescent="0.4">
      <c r="A35" s="1" t="s">
        <v>58</v>
      </c>
      <c r="B35" s="1" t="s">
        <v>59</v>
      </c>
      <c r="C35">
        <v>12488</v>
      </c>
      <c r="D35">
        <v>13525</v>
      </c>
      <c r="E35">
        <v>38372</v>
      </c>
      <c r="F35">
        <v>5316</v>
      </c>
      <c r="G35">
        <v>4551</v>
      </c>
      <c r="H35">
        <v>9477</v>
      </c>
      <c r="I35">
        <v>7687</v>
      </c>
      <c r="J35">
        <v>6433</v>
      </c>
      <c r="K35">
        <v>11250</v>
      </c>
      <c r="L35">
        <v>5860</v>
      </c>
      <c r="M35">
        <v>3337</v>
      </c>
      <c r="N35">
        <v>5263</v>
      </c>
      <c r="O35">
        <v>4123</v>
      </c>
      <c r="P35">
        <v>4468</v>
      </c>
      <c r="Q35">
        <v>9408</v>
      </c>
      <c r="R35">
        <v>707</v>
      </c>
      <c r="S35">
        <v>355</v>
      </c>
      <c r="T35">
        <v>137</v>
      </c>
      <c r="U35">
        <v>1276</v>
      </c>
      <c r="V35">
        <v>202</v>
      </c>
      <c r="W35">
        <v>160</v>
      </c>
      <c r="X35">
        <v>3945</v>
      </c>
      <c r="Y35">
        <v>3674</v>
      </c>
      <c r="Z35">
        <v>7865</v>
      </c>
      <c r="AA35">
        <v>5111</v>
      </c>
      <c r="AB35">
        <v>4013</v>
      </c>
      <c r="AC35">
        <v>8766</v>
      </c>
      <c r="AD35">
        <v>1422</v>
      </c>
      <c r="AE35">
        <v>1906</v>
      </c>
      <c r="AF35">
        <v>4314</v>
      </c>
    </row>
    <row r="36" spans="1:32" x14ac:dyDescent="0.4">
      <c r="A36" s="1" t="s">
        <v>60</v>
      </c>
      <c r="B36" s="1" t="s">
        <v>61</v>
      </c>
      <c r="C36">
        <v>11612</v>
      </c>
      <c r="D36">
        <v>12200</v>
      </c>
      <c r="E36">
        <v>37713</v>
      </c>
      <c r="F36">
        <v>5232</v>
      </c>
      <c r="G36">
        <v>4405</v>
      </c>
      <c r="H36">
        <v>9710</v>
      </c>
      <c r="I36">
        <v>5359</v>
      </c>
      <c r="J36">
        <v>6388</v>
      </c>
      <c r="K36">
        <v>10189</v>
      </c>
      <c r="L36">
        <v>5924</v>
      </c>
      <c r="M36">
        <v>3135</v>
      </c>
      <c r="N36">
        <v>5670</v>
      </c>
      <c r="O36">
        <v>3744</v>
      </c>
      <c r="P36">
        <v>3878</v>
      </c>
      <c r="Q36">
        <v>9454</v>
      </c>
      <c r="R36">
        <v>572</v>
      </c>
      <c r="S36">
        <v>278</v>
      </c>
      <c r="T36">
        <v>130</v>
      </c>
      <c r="U36">
        <v>1593</v>
      </c>
      <c r="V36">
        <v>174</v>
      </c>
      <c r="W36">
        <v>158</v>
      </c>
      <c r="X36">
        <v>3205</v>
      </c>
      <c r="Y36">
        <v>3767</v>
      </c>
      <c r="Z36">
        <v>7272</v>
      </c>
      <c r="AA36">
        <v>5901</v>
      </c>
      <c r="AB36">
        <v>3649</v>
      </c>
      <c r="AC36">
        <v>8292</v>
      </c>
      <c r="AD36">
        <v>2868</v>
      </c>
      <c r="AE36">
        <v>1032</v>
      </c>
      <c r="AF36">
        <v>5907</v>
      </c>
    </row>
    <row r="37" spans="1:32" x14ac:dyDescent="0.4">
      <c r="A37" s="1" t="s">
        <v>62</v>
      </c>
      <c r="B37" s="1" t="s">
        <v>63</v>
      </c>
      <c r="C37">
        <v>7966</v>
      </c>
      <c r="D37">
        <v>11972</v>
      </c>
      <c r="E37">
        <v>33624</v>
      </c>
      <c r="F37">
        <v>4948</v>
      </c>
      <c r="G37">
        <v>4046</v>
      </c>
      <c r="H37">
        <v>9940</v>
      </c>
      <c r="I37">
        <v>5149</v>
      </c>
      <c r="J37">
        <v>5283</v>
      </c>
      <c r="K37">
        <v>10050</v>
      </c>
      <c r="L37">
        <v>5746</v>
      </c>
      <c r="M37">
        <v>3347</v>
      </c>
      <c r="N37">
        <v>5491</v>
      </c>
      <c r="O37">
        <v>3065</v>
      </c>
      <c r="P37">
        <v>4140</v>
      </c>
      <c r="Q37">
        <v>8475</v>
      </c>
      <c r="R37">
        <v>679</v>
      </c>
      <c r="S37">
        <v>304</v>
      </c>
      <c r="T37">
        <v>153</v>
      </c>
      <c r="U37">
        <v>1757</v>
      </c>
      <c r="V37">
        <v>179</v>
      </c>
      <c r="W37">
        <v>141</v>
      </c>
      <c r="X37">
        <v>3966</v>
      </c>
      <c r="Y37">
        <v>3969</v>
      </c>
      <c r="Z37">
        <v>7224</v>
      </c>
      <c r="AA37">
        <v>6449</v>
      </c>
      <c r="AB37">
        <v>3508</v>
      </c>
      <c r="AC37">
        <v>8839</v>
      </c>
      <c r="AD37">
        <v>2024</v>
      </c>
      <c r="AE37">
        <v>1543</v>
      </c>
      <c r="AF37">
        <v>6085</v>
      </c>
    </row>
    <row r="38" spans="1:32" x14ac:dyDescent="0.4">
      <c r="A38" s="1" t="s">
        <v>64</v>
      </c>
      <c r="B38" s="1" t="s">
        <v>65</v>
      </c>
      <c r="C38">
        <v>7342</v>
      </c>
      <c r="D38">
        <v>14229</v>
      </c>
      <c r="E38">
        <v>26636</v>
      </c>
      <c r="F38">
        <v>5513</v>
      </c>
      <c r="G38">
        <v>4885</v>
      </c>
      <c r="H38">
        <v>9753</v>
      </c>
      <c r="I38">
        <v>7250</v>
      </c>
      <c r="J38">
        <v>7632</v>
      </c>
      <c r="K38">
        <v>9650</v>
      </c>
      <c r="L38">
        <v>5725</v>
      </c>
      <c r="M38">
        <v>3721</v>
      </c>
      <c r="N38">
        <v>4865</v>
      </c>
      <c r="O38">
        <v>2891</v>
      </c>
      <c r="P38">
        <v>4891</v>
      </c>
      <c r="Q38">
        <v>6474</v>
      </c>
      <c r="R38">
        <v>685</v>
      </c>
      <c r="S38">
        <v>281</v>
      </c>
      <c r="T38">
        <v>168</v>
      </c>
      <c r="U38">
        <v>857</v>
      </c>
      <c r="V38">
        <v>177</v>
      </c>
      <c r="W38">
        <v>146</v>
      </c>
      <c r="X38">
        <v>4166</v>
      </c>
      <c r="Y38">
        <v>4367</v>
      </c>
      <c r="Z38">
        <v>6980</v>
      </c>
      <c r="AA38">
        <v>6897</v>
      </c>
      <c r="AB38">
        <v>3977</v>
      </c>
      <c r="AC38">
        <v>9143</v>
      </c>
      <c r="AD38">
        <v>2220</v>
      </c>
      <c r="AE38">
        <v>1868</v>
      </c>
      <c r="AF38">
        <v>6117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8ACB1-74E7-4A56-AF75-BAE9EDCA2856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1840</v>
      </c>
      <c r="D3" t="s">
        <v>1840</v>
      </c>
      <c r="E3" t="s">
        <v>1840</v>
      </c>
      <c r="F3" t="s">
        <v>1842</v>
      </c>
      <c r="G3" t="s">
        <v>1842</v>
      </c>
      <c r="H3" t="s">
        <v>1842</v>
      </c>
      <c r="I3" t="s">
        <v>1844</v>
      </c>
      <c r="J3" t="s">
        <v>1844</v>
      </c>
      <c r="K3" t="s">
        <v>1844</v>
      </c>
      <c r="L3" t="s">
        <v>1846</v>
      </c>
      <c r="M3" t="s">
        <v>1846</v>
      </c>
      <c r="N3" t="s">
        <v>1846</v>
      </c>
      <c r="O3" t="s">
        <v>1848</v>
      </c>
      <c r="P3" t="s">
        <v>1848</v>
      </c>
      <c r="Q3" t="s">
        <v>1848</v>
      </c>
      <c r="R3" t="s">
        <v>1850</v>
      </c>
      <c r="S3" t="s">
        <v>1850</v>
      </c>
      <c r="T3" t="s">
        <v>1850</v>
      </c>
      <c r="U3" t="s">
        <v>1852</v>
      </c>
      <c r="V3" t="s">
        <v>1852</v>
      </c>
      <c r="W3" t="s">
        <v>1852</v>
      </c>
      <c r="X3" t="s">
        <v>1854</v>
      </c>
      <c r="Y3" t="s">
        <v>1854</v>
      </c>
      <c r="Z3" t="s">
        <v>1854</v>
      </c>
    </row>
    <row r="4" spans="1:26" x14ac:dyDescent="0.4">
      <c r="A4" s="1"/>
      <c r="B4" s="2" t="s">
        <v>1</v>
      </c>
      <c r="C4" t="s">
        <v>1841</v>
      </c>
      <c r="D4" t="s">
        <v>1841</v>
      </c>
      <c r="E4" t="s">
        <v>1841</v>
      </c>
      <c r="F4" t="s">
        <v>1843</v>
      </c>
      <c r="G4" t="s">
        <v>1843</v>
      </c>
      <c r="H4" t="s">
        <v>1843</v>
      </c>
      <c r="I4" t="s">
        <v>1845</v>
      </c>
      <c r="J4" t="s">
        <v>1845</v>
      </c>
      <c r="K4" t="s">
        <v>1845</v>
      </c>
      <c r="L4" t="s">
        <v>1847</v>
      </c>
      <c r="M4" t="s">
        <v>1847</v>
      </c>
      <c r="N4" t="s">
        <v>1847</v>
      </c>
      <c r="O4" t="s">
        <v>1849</v>
      </c>
      <c r="P4" t="s">
        <v>1849</v>
      </c>
      <c r="Q4" t="s">
        <v>1849</v>
      </c>
      <c r="R4" t="s">
        <v>1851</v>
      </c>
      <c r="S4" t="s">
        <v>1851</v>
      </c>
      <c r="T4" t="s">
        <v>1851</v>
      </c>
      <c r="U4" t="s">
        <v>1853</v>
      </c>
      <c r="V4" t="s">
        <v>1853</v>
      </c>
      <c r="W4" t="s">
        <v>1853</v>
      </c>
      <c r="X4" t="s">
        <v>1855</v>
      </c>
      <c r="Y4" t="s">
        <v>1855</v>
      </c>
      <c r="Z4" t="s">
        <v>1855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</row>
    <row r="7" spans="1:26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</row>
    <row r="8" spans="1: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</row>
    <row r="9" spans="1:26" x14ac:dyDescent="0.4">
      <c r="A9" s="1" t="s">
        <v>6</v>
      </c>
      <c r="B9" s="3" t="s">
        <v>7</v>
      </c>
      <c r="C9">
        <v>26355</v>
      </c>
      <c r="D9">
        <v>17347</v>
      </c>
      <c r="E9">
        <v>1973</v>
      </c>
      <c r="F9">
        <v>3513</v>
      </c>
      <c r="G9">
        <v>1762</v>
      </c>
      <c r="H9">
        <v>446</v>
      </c>
      <c r="I9">
        <v>1902</v>
      </c>
      <c r="J9">
        <v>2030</v>
      </c>
      <c r="K9">
        <v>270</v>
      </c>
      <c r="L9">
        <v>116</v>
      </c>
      <c r="M9">
        <v>153</v>
      </c>
      <c r="N9">
        <v>120</v>
      </c>
      <c r="O9">
        <v>1376</v>
      </c>
      <c r="P9">
        <v>904</v>
      </c>
      <c r="Q9">
        <v>291</v>
      </c>
      <c r="R9">
        <v>3596</v>
      </c>
      <c r="S9">
        <v>1884</v>
      </c>
      <c r="T9">
        <v>605</v>
      </c>
      <c r="U9">
        <v>9047</v>
      </c>
      <c r="V9">
        <v>8091</v>
      </c>
      <c r="W9">
        <v>1150</v>
      </c>
      <c r="X9">
        <v>4705</v>
      </c>
      <c r="Y9">
        <v>4255</v>
      </c>
      <c r="Z9">
        <v>192</v>
      </c>
    </row>
    <row r="10" spans="1:26" x14ac:dyDescent="0.4">
      <c r="A10" s="1" t="s">
        <v>8</v>
      </c>
      <c r="B10" s="3" t="s">
        <v>9</v>
      </c>
      <c r="C10">
        <v>26532</v>
      </c>
      <c r="D10">
        <v>16458</v>
      </c>
      <c r="E10">
        <v>1918</v>
      </c>
      <c r="F10">
        <v>3862</v>
      </c>
      <c r="G10">
        <v>1807</v>
      </c>
      <c r="H10">
        <v>435</v>
      </c>
      <c r="I10">
        <v>2052</v>
      </c>
      <c r="J10">
        <v>1970</v>
      </c>
      <c r="K10">
        <v>213</v>
      </c>
      <c r="L10">
        <v>126</v>
      </c>
      <c r="M10">
        <v>157</v>
      </c>
      <c r="N10">
        <v>122</v>
      </c>
      <c r="O10">
        <v>1569</v>
      </c>
      <c r="P10">
        <v>780</v>
      </c>
      <c r="Q10">
        <v>325</v>
      </c>
      <c r="R10">
        <v>3734</v>
      </c>
      <c r="S10">
        <v>1810</v>
      </c>
      <c r="T10">
        <v>505</v>
      </c>
      <c r="U10">
        <v>9730</v>
      </c>
      <c r="V10">
        <v>8486</v>
      </c>
      <c r="W10">
        <v>929</v>
      </c>
      <c r="X10">
        <v>5020</v>
      </c>
      <c r="Y10">
        <v>4398</v>
      </c>
      <c r="Z10">
        <v>117</v>
      </c>
    </row>
    <row r="11" spans="1:26" x14ac:dyDescent="0.4">
      <c r="A11" s="1" t="s">
        <v>10</v>
      </c>
      <c r="B11" s="3" t="s">
        <v>11</v>
      </c>
      <c r="C11">
        <v>21461</v>
      </c>
      <c r="D11">
        <v>13602</v>
      </c>
      <c r="E11">
        <v>2140</v>
      </c>
      <c r="F11">
        <v>3540</v>
      </c>
      <c r="G11">
        <v>1597</v>
      </c>
      <c r="H11">
        <v>219</v>
      </c>
      <c r="I11">
        <v>2169</v>
      </c>
      <c r="J11">
        <v>2096</v>
      </c>
      <c r="K11">
        <v>194</v>
      </c>
      <c r="L11">
        <v>92</v>
      </c>
      <c r="M11">
        <v>152</v>
      </c>
      <c r="N11">
        <v>103</v>
      </c>
      <c r="O11">
        <v>1702</v>
      </c>
      <c r="P11">
        <v>716</v>
      </c>
      <c r="Q11">
        <v>420</v>
      </c>
      <c r="R11">
        <v>3402</v>
      </c>
      <c r="S11">
        <v>1697</v>
      </c>
      <c r="T11">
        <v>624</v>
      </c>
      <c r="U11">
        <v>9928</v>
      </c>
      <c r="V11">
        <v>8095</v>
      </c>
      <c r="W11">
        <v>1129</v>
      </c>
      <c r="X11">
        <v>4660</v>
      </c>
      <c r="Y11">
        <v>4048</v>
      </c>
      <c r="Z11">
        <v>137</v>
      </c>
    </row>
    <row r="12" spans="1:26" x14ac:dyDescent="0.4">
      <c r="A12" s="1" t="s">
        <v>12</v>
      </c>
      <c r="B12" s="3" t="s">
        <v>13</v>
      </c>
      <c r="C12">
        <v>17707</v>
      </c>
      <c r="D12">
        <v>10542</v>
      </c>
      <c r="E12">
        <v>2106</v>
      </c>
      <c r="F12">
        <v>3306</v>
      </c>
      <c r="G12">
        <v>1139</v>
      </c>
      <c r="H12">
        <v>232</v>
      </c>
      <c r="I12">
        <v>1968</v>
      </c>
      <c r="J12">
        <v>1898</v>
      </c>
      <c r="K12">
        <v>203</v>
      </c>
      <c r="L12">
        <v>105</v>
      </c>
      <c r="M12">
        <v>114</v>
      </c>
      <c r="N12">
        <v>103</v>
      </c>
      <c r="O12">
        <v>1768</v>
      </c>
      <c r="P12">
        <v>683</v>
      </c>
      <c r="Q12">
        <v>425</v>
      </c>
      <c r="R12">
        <v>2594</v>
      </c>
      <c r="S12">
        <v>1326</v>
      </c>
      <c r="T12">
        <v>789</v>
      </c>
      <c r="U12">
        <v>9143</v>
      </c>
      <c r="V12">
        <v>7777</v>
      </c>
      <c r="W12">
        <v>929</v>
      </c>
      <c r="X12">
        <v>4280</v>
      </c>
      <c r="Y12">
        <v>3759</v>
      </c>
      <c r="Z12">
        <v>135</v>
      </c>
    </row>
    <row r="13" spans="1:26" x14ac:dyDescent="0.4">
      <c r="A13" s="1" t="s">
        <v>14</v>
      </c>
      <c r="B13" s="3" t="s">
        <v>15</v>
      </c>
      <c r="C13">
        <v>16027</v>
      </c>
      <c r="D13">
        <v>10322</v>
      </c>
      <c r="E13">
        <v>1417</v>
      </c>
      <c r="F13">
        <v>2770</v>
      </c>
      <c r="G13">
        <v>1016</v>
      </c>
      <c r="H13">
        <v>215</v>
      </c>
      <c r="I13">
        <v>1458</v>
      </c>
      <c r="J13">
        <v>1353</v>
      </c>
      <c r="K13">
        <v>103</v>
      </c>
      <c r="L13">
        <v>85</v>
      </c>
      <c r="M13">
        <v>114</v>
      </c>
      <c r="N13">
        <v>95</v>
      </c>
      <c r="O13">
        <v>1407</v>
      </c>
      <c r="P13">
        <v>574</v>
      </c>
      <c r="Q13">
        <v>272</v>
      </c>
      <c r="R13">
        <v>2138</v>
      </c>
      <c r="S13">
        <v>1298</v>
      </c>
      <c r="T13">
        <v>369</v>
      </c>
      <c r="U13">
        <v>9076</v>
      </c>
      <c r="V13">
        <v>7035</v>
      </c>
      <c r="W13">
        <v>868</v>
      </c>
      <c r="X13">
        <v>4098</v>
      </c>
      <c r="Y13">
        <v>3680</v>
      </c>
      <c r="Z13">
        <v>43</v>
      </c>
    </row>
    <row r="14" spans="1:26" x14ac:dyDescent="0.4">
      <c r="A14" s="1" t="s">
        <v>16</v>
      </c>
      <c r="B14" s="1" t="s">
        <v>17</v>
      </c>
      <c r="C14">
        <v>1597</v>
      </c>
      <c r="D14">
        <v>868</v>
      </c>
      <c r="E14">
        <v>2384</v>
      </c>
      <c r="F14">
        <v>303</v>
      </c>
      <c r="G14">
        <v>93</v>
      </c>
      <c r="H14">
        <v>240</v>
      </c>
      <c r="I14">
        <v>184</v>
      </c>
      <c r="J14">
        <v>167</v>
      </c>
      <c r="K14">
        <v>206</v>
      </c>
      <c r="L14">
        <v>5</v>
      </c>
      <c r="M14">
        <v>9</v>
      </c>
      <c r="N14">
        <v>115</v>
      </c>
      <c r="O14">
        <v>169</v>
      </c>
      <c r="P14">
        <v>57</v>
      </c>
      <c r="Q14">
        <v>435</v>
      </c>
      <c r="R14">
        <v>221</v>
      </c>
      <c r="S14">
        <v>96</v>
      </c>
      <c r="T14">
        <v>768</v>
      </c>
      <c r="U14">
        <v>844</v>
      </c>
      <c r="V14">
        <v>676</v>
      </c>
      <c r="W14">
        <v>1201</v>
      </c>
      <c r="X14">
        <v>395</v>
      </c>
      <c r="Y14">
        <v>345</v>
      </c>
      <c r="Z14">
        <v>150</v>
      </c>
    </row>
    <row r="15" spans="1:26" x14ac:dyDescent="0.4">
      <c r="A15" s="1" t="s">
        <v>18</v>
      </c>
      <c r="B15" s="1" t="s">
        <v>19</v>
      </c>
      <c r="C15">
        <v>1432</v>
      </c>
      <c r="D15">
        <v>989</v>
      </c>
      <c r="E15">
        <v>2241</v>
      </c>
      <c r="F15">
        <v>282</v>
      </c>
      <c r="G15">
        <v>112</v>
      </c>
      <c r="H15">
        <v>237</v>
      </c>
      <c r="I15">
        <v>181</v>
      </c>
      <c r="J15">
        <v>179</v>
      </c>
      <c r="K15">
        <v>200</v>
      </c>
      <c r="L15">
        <v>6</v>
      </c>
      <c r="M15">
        <v>3</v>
      </c>
      <c r="N15">
        <v>118</v>
      </c>
      <c r="O15">
        <v>150</v>
      </c>
      <c r="P15">
        <v>69</v>
      </c>
      <c r="Q15">
        <v>428</v>
      </c>
      <c r="R15">
        <v>272</v>
      </c>
      <c r="S15">
        <v>168</v>
      </c>
      <c r="T15">
        <v>752</v>
      </c>
      <c r="U15">
        <v>778</v>
      </c>
      <c r="V15">
        <v>680</v>
      </c>
      <c r="W15">
        <v>1184</v>
      </c>
      <c r="X15">
        <v>372</v>
      </c>
      <c r="Y15">
        <v>366</v>
      </c>
      <c r="Z15">
        <v>144</v>
      </c>
    </row>
    <row r="16" spans="1:26" x14ac:dyDescent="0.4">
      <c r="A16" s="1" t="s">
        <v>20</v>
      </c>
      <c r="B16" s="1" t="s">
        <v>21</v>
      </c>
      <c r="C16">
        <v>1323</v>
      </c>
      <c r="D16">
        <v>948</v>
      </c>
      <c r="E16">
        <v>2110</v>
      </c>
      <c r="F16">
        <v>307</v>
      </c>
      <c r="G16">
        <v>134</v>
      </c>
      <c r="H16">
        <v>226</v>
      </c>
      <c r="I16">
        <v>181</v>
      </c>
      <c r="J16">
        <v>168</v>
      </c>
      <c r="K16">
        <v>201</v>
      </c>
      <c r="L16">
        <v>2</v>
      </c>
      <c r="M16">
        <v>14</v>
      </c>
      <c r="N16">
        <v>105</v>
      </c>
      <c r="O16">
        <v>171</v>
      </c>
      <c r="P16">
        <v>44</v>
      </c>
      <c r="Q16">
        <v>443</v>
      </c>
      <c r="R16">
        <v>236</v>
      </c>
      <c r="S16">
        <v>109</v>
      </c>
      <c r="T16">
        <v>750</v>
      </c>
      <c r="U16">
        <v>731</v>
      </c>
      <c r="V16">
        <v>649</v>
      </c>
      <c r="W16">
        <v>1216</v>
      </c>
      <c r="X16">
        <v>317</v>
      </c>
      <c r="Y16">
        <v>292</v>
      </c>
      <c r="Z16">
        <v>139</v>
      </c>
    </row>
    <row r="17" spans="1:26" x14ac:dyDescent="0.4">
      <c r="A17" s="1" t="s">
        <v>22</v>
      </c>
      <c r="B17" s="1" t="s">
        <v>23</v>
      </c>
      <c r="C17">
        <v>1496</v>
      </c>
      <c r="D17">
        <v>905</v>
      </c>
      <c r="E17">
        <v>2131</v>
      </c>
      <c r="F17">
        <v>311</v>
      </c>
      <c r="G17">
        <v>103</v>
      </c>
      <c r="H17">
        <v>239</v>
      </c>
      <c r="I17">
        <v>165</v>
      </c>
      <c r="J17">
        <v>174</v>
      </c>
      <c r="K17">
        <v>188</v>
      </c>
      <c r="L17">
        <v>6</v>
      </c>
      <c r="M17">
        <v>12</v>
      </c>
      <c r="N17">
        <v>101</v>
      </c>
      <c r="O17">
        <v>160</v>
      </c>
      <c r="P17">
        <v>69</v>
      </c>
      <c r="Q17">
        <v>421</v>
      </c>
      <c r="R17">
        <v>229</v>
      </c>
      <c r="S17">
        <v>93</v>
      </c>
      <c r="T17">
        <v>798</v>
      </c>
      <c r="U17">
        <v>783</v>
      </c>
      <c r="V17">
        <v>710</v>
      </c>
      <c r="W17">
        <v>1161</v>
      </c>
      <c r="X17">
        <v>295</v>
      </c>
      <c r="Y17">
        <v>282</v>
      </c>
      <c r="Z17">
        <v>126</v>
      </c>
    </row>
    <row r="18" spans="1:26" x14ac:dyDescent="0.4">
      <c r="A18" s="1" t="s">
        <v>24</v>
      </c>
      <c r="B18" s="1" t="s">
        <v>25</v>
      </c>
      <c r="C18">
        <v>1540</v>
      </c>
      <c r="D18">
        <v>916</v>
      </c>
      <c r="E18">
        <v>2169</v>
      </c>
      <c r="F18">
        <v>297</v>
      </c>
      <c r="G18">
        <v>116</v>
      </c>
      <c r="H18">
        <v>236</v>
      </c>
      <c r="I18">
        <v>164</v>
      </c>
      <c r="J18">
        <v>147</v>
      </c>
      <c r="K18">
        <v>207</v>
      </c>
      <c r="L18">
        <v>14</v>
      </c>
      <c r="M18">
        <v>15</v>
      </c>
      <c r="N18">
        <v>100</v>
      </c>
      <c r="O18">
        <v>173</v>
      </c>
      <c r="P18">
        <v>71</v>
      </c>
      <c r="Q18">
        <v>404</v>
      </c>
      <c r="R18">
        <v>213</v>
      </c>
      <c r="S18">
        <v>124</v>
      </c>
      <c r="T18">
        <v>786</v>
      </c>
      <c r="U18">
        <v>795</v>
      </c>
      <c r="V18">
        <v>748</v>
      </c>
      <c r="W18">
        <v>1068</v>
      </c>
      <c r="X18">
        <v>384</v>
      </c>
      <c r="Y18">
        <v>327</v>
      </c>
      <c r="Z18">
        <v>139</v>
      </c>
    </row>
    <row r="19" spans="1:26" x14ac:dyDescent="0.4">
      <c r="A19" s="1" t="s">
        <v>26</v>
      </c>
      <c r="B19" s="1" t="s">
        <v>27</v>
      </c>
      <c r="C19">
        <v>1227</v>
      </c>
      <c r="D19">
        <v>787</v>
      </c>
      <c r="E19">
        <v>2171</v>
      </c>
      <c r="F19">
        <v>255</v>
      </c>
      <c r="G19">
        <v>76</v>
      </c>
      <c r="H19">
        <v>240</v>
      </c>
      <c r="I19">
        <v>140</v>
      </c>
      <c r="J19">
        <v>141</v>
      </c>
      <c r="K19">
        <v>204</v>
      </c>
      <c r="L19">
        <v>6</v>
      </c>
      <c r="M19">
        <v>8</v>
      </c>
      <c r="N19">
        <v>101</v>
      </c>
      <c r="O19">
        <v>160</v>
      </c>
      <c r="P19">
        <v>46</v>
      </c>
      <c r="Q19">
        <v>427</v>
      </c>
      <c r="R19">
        <v>161</v>
      </c>
      <c r="S19">
        <v>77</v>
      </c>
      <c r="T19">
        <v>784</v>
      </c>
      <c r="U19">
        <v>721</v>
      </c>
      <c r="V19">
        <v>581</v>
      </c>
      <c r="W19">
        <v>1065</v>
      </c>
      <c r="X19">
        <v>322</v>
      </c>
      <c r="Y19">
        <v>291</v>
      </c>
      <c r="Z19">
        <v>128</v>
      </c>
    </row>
    <row r="20" spans="1:26" x14ac:dyDescent="0.4">
      <c r="A20" s="1" t="s">
        <v>28</v>
      </c>
      <c r="B20" s="1" t="s">
        <v>29</v>
      </c>
      <c r="C20">
        <v>1510</v>
      </c>
      <c r="D20">
        <v>929</v>
      </c>
      <c r="E20">
        <v>2122</v>
      </c>
      <c r="F20">
        <v>253</v>
      </c>
      <c r="G20">
        <v>76</v>
      </c>
      <c r="H20">
        <v>235</v>
      </c>
      <c r="I20">
        <v>151</v>
      </c>
      <c r="J20">
        <v>145</v>
      </c>
      <c r="K20">
        <v>203</v>
      </c>
      <c r="L20">
        <v>6</v>
      </c>
      <c r="M20">
        <v>13</v>
      </c>
      <c r="N20">
        <v>95</v>
      </c>
      <c r="O20">
        <v>125</v>
      </c>
      <c r="P20">
        <v>62</v>
      </c>
      <c r="Q20">
        <v>418</v>
      </c>
      <c r="R20">
        <v>229</v>
      </c>
      <c r="S20">
        <v>140</v>
      </c>
      <c r="T20">
        <v>789</v>
      </c>
      <c r="U20">
        <v>805</v>
      </c>
      <c r="V20">
        <v>652</v>
      </c>
      <c r="W20">
        <v>1050</v>
      </c>
      <c r="X20">
        <v>357</v>
      </c>
      <c r="Y20">
        <v>317</v>
      </c>
      <c r="Z20">
        <v>124</v>
      </c>
    </row>
    <row r="21" spans="1:26" x14ac:dyDescent="0.4">
      <c r="A21" s="1" t="s">
        <v>30</v>
      </c>
      <c r="B21" s="1" t="s">
        <v>31</v>
      </c>
      <c r="C21">
        <v>1551</v>
      </c>
      <c r="D21">
        <v>856</v>
      </c>
      <c r="E21">
        <v>2081</v>
      </c>
      <c r="F21">
        <v>260</v>
      </c>
      <c r="G21">
        <v>78</v>
      </c>
      <c r="H21">
        <v>233</v>
      </c>
      <c r="I21">
        <v>152</v>
      </c>
      <c r="J21">
        <v>148</v>
      </c>
      <c r="K21">
        <v>202</v>
      </c>
      <c r="L21">
        <v>8</v>
      </c>
      <c r="M21">
        <v>14</v>
      </c>
      <c r="N21">
        <v>87</v>
      </c>
      <c r="O21">
        <v>140</v>
      </c>
      <c r="P21">
        <v>72</v>
      </c>
      <c r="Q21">
        <v>412</v>
      </c>
      <c r="R21">
        <v>221</v>
      </c>
      <c r="S21">
        <v>146</v>
      </c>
      <c r="T21">
        <v>776</v>
      </c>
      <c r="U21">
        <v>800</v>
      </c>
      <c r="V21">
        <v>628</v>
      </c>
      <c r="W21">
        <v>1067</v>
      </c>
      <c r="X21">
        <v>318</v>
      </c>
      <c r="Y21">
        <v>291</v>
      </c>
      <c r="Z21">
        <v>122</v>
      </c>
    </row>
    <row r="22" spans="1:26" x14ac:dyDescent="0.4">
      <c r="A22" s="1" t="s">
        <v>32</v>
      </c>
      <c r="B22" s="1" t="s">
        <v>33</v>
      </c>
      <c r="C22">
        <v>1413</v>
      </c>
      <c r="D22">
        <v>837</v>
      </c>
      <c r="E22">
        <v>2052</v>
      </c>
      <c r="F22">
        <v>262</v>
      </c>
      <c r="G22">
        <v>99</v>
      </c>
      <c r="H22">
        <v>216</v>
      </c>
      <c r="I22">
        <v>151</v>
      </c>
      <c r="J22">
        <v>145</v>
      </c>
      <c r="K22">
        <v>205</v>
      </c>
      <c r="L22">
        <v>18</v>
      </c>
      <c r="M22">
        <v>10</v>
      </c>
      <c r="N22">
        <v>99</v>
      </c>
      <c r="O22">
        <v>117</v>
      </c>
      <c r="P22">
        <v>58</v>
      </c>
      <c r="Q22">
        <v>403</v>
      </c>
      <c r="R22">
        <v>193</v>
      </c>
      <c r="S22">
        <v>109</v>
      </c>
      <c r="T22">
        <v>757</v>
      </c>
      <c r="U22">
        <v>721</v>
      </c>
      <c r="V22">
        <v>644</v>
      </c>
      <c r="W22">
        <v>1012</v>
      </c>
      <c r="X22">
        <v>400</v>
      </c>
      <c r="Y22">
        <v>319</v>
      </c>
      <c r="Z22">
        <v>121</v>
      </c>
    </row>
    <row r="23" spans="1:26" x14ac:dyDescent="0.4">
      <c r="A23" s="1" t="s">
        <v>34</v>
      </c>
      <c r="B23" s="1" t="s">
        <v>35</v>
      </c>
      <c r="C23">
        <v>1409</v>
      </c>
      <c r="D23">
        <v>790</v>
      </c>
      <c r="E23">
        <v>2106</v>
      </c>
      <c r="F23">
        <v>240</v>
      </c>
      <c r="G23">
        <v>72</v>
      </c>
      <c r="H23">
        <v>232</v>
      </c>
      <c r="I23">
        <v>150</v>
      </c>
      <c r="J23">
        <v>153</v>
      </c>
      <c r="K23">
        <v>203</v>
      </c>
      <c r="L23">
        <v>11</v>
      </c>
      <c r="M23">
        <v>7</v>
      </c>
      <c r="N23">
        <v>103</v>
      </c>
      <c r="O23">
        <v>145</v>
      </c>
      <c r="P23">
        <v>60</v>
      </c>
      <c r="Q23">
        <v>425</v>
      </c>
      <c r="R23">
        <v>177</v>
      </c>
      <c r="S23">
        <v>104</v>
      </c>
      <c r="T23">
        <v>789</v>
      </c>
      <c r="U23">
        <v>689</v>
      </c>
      <c r="V23">
        <v>637</v>
      </c>
      <c r="W23">
        <v>929</v>
      </c>
      <c r="X23">
        <v>398</v>
      </c>
      <c r="Y23">
        <v>339</v>
      </c>
      <c r="Z23">
        <v>135</v>
      </c>
    </row>
    <row r="24" spans="1:26" x14ac:dyDescent="0.4">
      <c r="A24" s="1" t="s">
        <v>36</v>
      </c>
      <c r="B24" s="1" t="s">
        <v>37</v>
      </c>
      <c r="C24">
        <v>1413</v>
      </c>
      <c r="D24">
        <v>796</v>
      </c>
      <c r="E24">
        <v>2188</v>
      </c>
      <c r="F24">
        <v>288</v>
      </c>
      <c r="G24">
        <v>79</v>
      </c>
      <c r="H24">
        <v>236</v>
      </c>
      <c r="I24">
        <v>115</v>
      </c>
      <c r="J24">
        <v>103</v>
      </c>
      <c r="K24">
        <v>117</v>
      </c>
      <c r="L24">
        <v>2</v>
      </c>
      <c r="M24">
        <v>7</v>
      </c>
      <c r="N24">
        <v>100</v>
      </c>
      <c r="O24">
        <v>123</v>
      </c>
      <c r="P24">
        <v>27</v>
      </c>
      <c r="Q24">
        <v>427</v>
      </c>
      <c r="R24">
        <v>180</v>
      </c>
      <c r="S24">
        <v>82</v>
      </c>
      <c r="T24">
        <v>796</v>
      </c>
      <c r="U24">
        <v>723</v>
      </c>
      <c r="V24">
        <v>587</v>
      </c>
      <c r="W24">
        <v>918</v>
      </c>
      <c r="X24">
        <v>386</v>
      </c>
      <c r="Y24">
        <v>307</v>
      </c>
      <c r="Z24">
        <v>151</v>
      </c>
    </row>
    <row r="25" spans="1:26" x14ac:dyDescent="0.4">
      <c r="A25" s="1" t="s">
        <v>38</v>
      </c>
      <c r="B25" s="1" t="s">
        <v>39</v>
      </c>
      <c r="C25">
        <v>1379</v>
      </c>
      <c r="D25">
        <v>801</v>
      </c>
      <c r="E25">
        <v>2234</v>
      </c>
      <c r="F25">
        <v>233</v>
      </c>
      <c r="G25">
        <v>91</v>
      </c>
      <c r="H25">
        <v>233</v>
      </c>
      <c r="I25">
        <v>127</v>
      </c>
      <c r="J25">
        <v>119</v>
      </c>
      <c r="K25">
        <v>115</v>
      </c>
      <c r="L25">
        <v>3</v>
      </c>
      <c r="M25">
        <v>4</v>
      </c>
      <c r="N25">
        <v>100</v>
      </c>
      <c r="O25">
        <v>137</v>
      </c>
      <c r="P25">
        <v>47</v>
      </c>
      <c r="Q25">
        <v>426</v>
      </c>
      <c r="R25">
        <v>157</v>
      </c>
      <c r="S25">
        <v>106</v>
      </c>
      <c r="T25">
        <v>800</v>
      </c>
      <c r="U25">
        <v>757</v>
      </c>
      <c r="V25">
        <v>567</v>
      </c>
      <c r="W25">
        <v>929</v>
      </c>
      <c r="X25">
        <v>378</v>
      </c>
      <c r="Y25">
        <v>337</v>
      </c>
      <c r="Z25">
        <v>148</v>
      </c>
    </row>
    <row r="26" spans="1:26" x14ac:dyDescent="0.4">
      <c r="A26" s="1" t="s">
        <v>40</v>
      </c>
      <c r="B26" s="1" t="s">
        <v>41</v>
      </c>
      <c r="C26">
        <v>1440</v>
      </c>
      <c r="D26">
        <v>853</v>
      </c>
      <c r="E26">
        <v>2174</v>
      </c>
      <c r="F26">
        <v>251</v>
      </c>
      <c r="G26">
        <v>114</v>
      </c>
      <c r="H26">
        <v>211</v>
      </c>
      <c r="I26">
        <v>127</v>
      </c>
      <c r="J26">
        <v>122</v>
      </c>
      <c r="K26">
        <v>106</v>
      </c>
      <c r="L26">
        <v>10</v>
      </c>
      <c r="M26">
        <v>10</v>
      </c>
      <c r="N26">
        <v>104</v>
      </c>
      <c r="O26">
        <v>152</v>
      </c>
      <c r="P26">
        <v>45</v>
      </c>
      <c r="Q26">
        <v>417</v>
      </c>
      <c r="R26">
        <v>210</v>
      </c>
      <c r="S26">
        <v>114</v>
      </c>
      <c r="T26">
        <v>784</v>
      </c>
      <c r="U26">
        <v>753</v>
      </c>
      <c r="V26">
        <v>653</v>
      </c>
      <c r="W26">
        <v>866</v>
      </c>
      <c r="X26">
        <v>418</v>
      </c>
      <c r="Y26">
        <v>425</v>
      </c>
      <c r="Z26">
        <v>94</v>
      </c>
    </row>
    <row r="27" spans="1:26" x14ac:dyDescent="0.4">
      <c r="A27" s="1" t="s">
        <v>42</v>
      </c>
      <c r="B27" s="1" t="s">
        <v>43</v>
      </c>
      <c r="C27">
        <v>1563</v>
      </c>
      <c r="D27">
        <v>910</v>
      </c>
      <c r="E27">
        <v>2197</v>
      </c>
      <c r="F27">
        <v>257</v>
      </c>
      <c r="G27">
        <v>116</v>
      </c>
      <c r="H27">
        <v>193</v>
      </c>
      <c r="I27">
        <v>133</v>
      </c>
      <c r="J27">
        <v>136</v>
      </c>
      <c r="K27">
        <v>100</v>
      </c>
      <c r="L27">
        <v>4</v>
      </c>
      <c r="M27">
        <v>8</v>
      </c>
      <c r="N27">
        <v>104</v>
      </c>
      <c r="O27">
        <v>142</v>
      </c>
      <c r="P27">
        <v>56</v>
      </c>
      <c r="Q27">
        <v>394</v>
      </c>
      <c r="R27">
        <v>222</v>
      </c>
      <c r="S27">
        <v>137</v>
      </c>
      <c r="T27">
        <v>741</v>
      </c>
      <c r="U27">
        <v>774</v>
      </c>
      <c r="V27">
        <v>561</v>
      </c>
      <c r="W27">
        <v>906</v>
      </c>
      <c r="X27">
        <v>374</v>
      </c>
      <c r="Y27">
        <v>335</v>
      </c>
      <c r="Z27">
        <v>98</v>
      </c>
    </row>
    <row r="28" spans="1:26" x14ac:dyDescent="0.4">
      <c r="A28" s="1" t="s">
        <v>44</v>
      </c>
      <c r="B28" s="1" t="s">
        <v>45</v>
      </c>
      <c r="C28">
        <v>1287</v>
      </c>
      <c r="D28">
        <v>874</v>
      </c>
      <c r="E28">
        <v>2154</v>
      </c>
      <c r="F28">
        <v>239</v>
      </c>
      <c r="G28">
        <v>97</v>
      </c>
      <c r="H28">
        <v>192</v>
      </c>
      <c r="I28">
        <v>125</v>
      </c>
      <c r="J28">
        <v>119</v>
      </c>
      <c r="K28">
        <v>102</v>
      </c>
      <c r="L28">
        <v>7</v>
      </c>
      <c r="M28">
        <v>10</v>
      </c>
      <c r="N28">
        <v>101</v>
      </c>
      <c r="O28">
        <v>117</v>
      </c>
      <c r="P28">
        <v>35</v>
      </c>
      <c r="Q28">
        <v>399</v>
      </c>
      <c r="R28">
        <v>187</v>
      </c>
      <c r="S28">
        <v>104</v>
      </c>
      <c r="T28">
        <v>722</v>
      </c>
      <c r="U28">
        <v>746</v>
      </c>
      <c r="V28">
        <v>516</v>
      </c>
      <c r="W28">
        <v>988</v>
      </c>
      <c r="X28">
        <v>303</v>
      </c>
      <c r="Y28">
        <v>272</v>
      </c>
      <c r="Z28">
        <v>100</v>
      </c>
    </row>
    <row r="29" spans="1:26" x14ac:dyDescent="0.4">
      <c r="A29" s="1" t="s">
        <v>46</v>
      </c>
      <c r="B29" s="1" t="s">
        <v>47</v>
      </c>
      <c r="C29">
        <v>1412</v>
      </c>
      <c r="D29">
        <v>950</v>
      </c>
      <c r="E29">
        <v>2059</v>
      </c>
      <c r="F29">
        <v>249</v>
      </c>
      <c r="G29">
        <v>99</v>
      </c>
      <c r="H29">
        <v>200</v>
      </c>
      <c r="I29">
        <v>119</v>
      </c>
      <c r="J29">
        <v>125</v>
      </c>
      <c r="K29">
        <v>98</v>
      </c>
      <c r="L29">
        <v>9</v>
      </c>
      <c r="M29">
        <v>13</v>
      </c>
      <c r="N29">
        <v>98</v>
      </c>
      <c r="O29">
        <v>129</v>
      </c>
      <c r="P29">
        <v>66</v>
      </c>
      <c r="Q29">
        <v>375</v>
      </c>
      <c r="R29">
        <v>179</v>
      </c>
      <c r="S29">
        <v>103</v>
      </c>
      <c r="T29">
        <v>712</v>
      </c>
      <c r="U29">
        <v>717</v>
      </c>
      <c r="V29">
        <v>553</v>
      </c>
      <c r="W29">
        <v>983</v>
      </c>
      <c r="X29">
        <v>304</v>
      </c>
      <c r="Y29">
        <v>270</v>
      </c>
      <c r="Z29">
        <v>103</v>
      </c>
    </row>
    <row r="30" spans="1:26" x14ac:dyDescent="0.4">
      <c r="A30" s="1" t="s">
        <v>48</v>
      </c>
      <c r="B30" s="1" t="s">
        <v>49</v>
      </c>
      <c r="C30">
        <v>1297</v>
      </c>
      <c r="D30">
        <v>892</v>
      </c>
      <c r="E30">
        <v>1534</v>
      </c>
      <c r="F30">
        <v>220</v>
      </c>
      <c r="G30">
        <v>87</v>
      </c>
      <c r="H30">
        <v>201</v>
      </c>
      <c r="I30">
        <v>125</v>
      </c>
      <c r="J30">
        <v>98</v>
      </c>
      <c r="K30">
        <v>115</v>
      </c>
      <c r="L30">
        <v>1</v>
      </c>
      <c r="M30">
        <v>7</v>
      </c>
      <c r="N30">
        <v>90</v>
      </c>
      <c r="O30">
        <v>130</v>
      </c>
      <c r="P30">
        <v>39</v>
      </c>
      <c r="Q30">
        <v>276</v>
      </c>
      <c r="R30">
        <v>187</v>
      </c>
      <c r="S30">
        <v>118</v>
      </c>
      <c r="T30">
        <v>386</v>
      </c>
      <c r="U30">
        <v>767</v>
      </c>
      <c r="V30">
        <v>568</v>
      </c>
      <c r="W30">
        <v>793</v>
      </c>
      <c r="X30">
        <v>357</v>
      </c>
      <c r="Y30">
        <v>315</v>
      </c>
      <c r="Z30">
        <v>51</v>
      </c>
    </row>
    <row r="31" spans="1:26" x14ac:dyDescent="0.4">
      <c r="A31" s="1" t="s">
        <v>50</v>
      </c>
      <c r="B31" s="1" t="s">
        <v>51</v>
      </c>
      <c r="C31">
        <v>996</v>
      </c>
      <c r="D31">
        <v>777</v>
      </c>
      <c r="E31">
        <v>1374</v>
      </c>
      <c r="F31">
        <v>201</v>
      </c>
      <c r="G31">
        <v>65</v>
      </c>
      <c r="H31">
        <v>198</v>
      </c>
      <c r="I31">
        <v>107</v>
      </c>
      <c r="J31">
        <v>98</v>
      </c>
      <c r="K31">
        <v>113</v>
      </c>
      <c r="L31">
        <v>12</v>
      </c>
      <c r="M31">
        <v>11</v>
      </c>
      <c r="N31">
        <v>92</v>
      </c>
      <c r="O31">
        <v>91</v>
      </c>
      <c r="P31">
        <v>34</v>
      </c>
      <c r="Q31">
        <v>290</v>
      </c>
      <c r="R31">
        <v>128</v>
      </c>
      <c r="S31">
        <v>77</v>
      </c>
      <c r="T31">
        <v>377</v>
      </c>
      <c r="U31">
        <v>645</v>
      </c>
      <c r="V31">
        <v>519</v>
      </c>
      <c r="W31">
        <v>770</v>
      </c>
      <c r="X31">
        <v>276</v>
      </c>
      <c r="Y31">
        <v>254</v>
      </c>
      <c r="Z31">
        <v>44</v>
      </c>
    </row>
    <row r="32" spans="1:26" x14ac:dyDescent="0.4">
      <c r="A32" s="1" t="s">
        <v>52</v>
      </c>
      <c r="B32" s="1" t="s">
        <v>53</v>
      </c>
      <c r="C32">
        <v>1261</v>
      </c>
      <c r="D32">
        <v>879</v>
      </c>
      <c r="E32">
        <v>1353</v>
      </c>
      <c r="F32">
        <v>219</v>
      </c>
      <c r="G32">
        <v>77</v>
      </c>
      <c r="H32">
        <v>194</v>
      </c>
      <c r="I32">
        <v>123</v>
      </c>
      <c r="J32">
        <v>121</v>
      </c>
      <c r="K32">
        <v>107</v>
      </c>
      <c r="L32">
        <v>3</v>
      </c>
      <c r="M32">
        <v>14</v>
      </c>
      <c r="N32">
        <v>82</v>
      </c>
      <c r="O32">
        <v>91</v>
      </c>
      <c r="P32">
        <v>53</v>
      </c>
      <c r="Q32">
        <v>276</v>
      </c>
      <c r="R32">
        <v>129</v>
      </c>
      <c r="S32">
        <v>90</v>
      </c>
      <c r="T32">
        <v>345</v>
      </c>
      <c r="U32">
        <v>838</v>
      </c>
      <c r="V32">
        <v>673</v>
      </c>
      <c r="W32">
        <v>764</v>
      </c>
      <c r="X32">
        <v>348</v>
      </c>
      <c r="Y32">
        <v>290</v>
      </c>
      <c r="Z32">
        <v>49</v>
      </c>
    </row>
    <row r="33" spans="1:26" x14ac:dyDescent="0.4">
      <c r="A33" s="1" t="s">
        <v>54</v>
      </c>
      <c r="B33" s="1" t="s">
        <v>55</v>
      </c>
      <c r="C33">
        <v>1318</v>
      </c>
      <c r="D33">
        <v>875</v>
      </c>
      <c r="E33">
        <v>1325</v>
      </c>
      <c r="F33">
        <v>235</v>
      </c>
      <c r="G33">
        <v>71</v>
      </c>
      <c r="H33">
        <v>206</v>
      </c>
      <c r="I33">
        <v>121</v>
      </c>
      <c r="J33">
        <v>106</v>
      </c>
      <c r="K33">
        <v>107</v>
      </c>
      <c r="L33">
        <v>17</v>
      </c>
      <c r="M33">
        <v>14</v>
      </c>
      <c r="N33">
        <v>89</v>
      </c>
      <c r="O33">
        <v>108</v>
      </c>
      <c r="P33">
        <v>61</v>
      </c>
      <c r="Q33">
        <v>285</v>
      </c>
      <c r="R33">
        <v>201</v>
      </c>
      <c r="S33">
        <v>142</v>
      </c>
      <c r="T33">
        <v>346</v>
      </c>
      <c r="U33">
        <v>813</v>
      </c>
      <c r="V33">
        <v>598</v>
      </c>
      <c r="W33">
        <v>825</v>
      </c>
      <c r="X33">
        <v>358</v>
      </c>
      <c r="Y33">
        <v>341</v>
      </c>
      <c r="Z33">
        <v>41</v>
      </c>
    </row>
    <row r="34" spans="1:26" x14ac:dyDescent="0.4">
      <c r="A34" s="1" t="s">
        <v>56</v>
      </c>
      <c r="B34" s="1" t="s">
        <v>57</v>
      </c>
      <c r="C34">
        <v>1220</v>
      </c>
      <c r="D34">
        <v>860</v>
      </c>
      <c r="E34">
        <v>1310</v>
      </c>
      <c r="F34">
        <v>189</v>
      </c>
      <c r="G34">
        <v>47</v>
      </c>
      <c r="H34">
        <v>221</v>
      </c>
      <c r="I34">
        <v>119</v>
      </c>
      <c r="J34">
        <v>99</v>
      </c>
      <c r="K34">
        <v>108</v>
      </c>
      <c r="L34">
        <v>9</v>
      </c>
      <c r="M34">
        <v>8</v>
      </c>
      <c r="N34">
        <v>93</v>
      </c>
      <c r="O34">
        <v>89</v>
      </c>
      <c r="P34">
        <v>65</v>
      </c>
      <c r="Q34">
        <v>277</v>
      </c>
      <c r="R34">
        <v>186</v>
      </c>
      <c r="S34">
        <v>137</v>
      </c>
      <c r="T34">
        <v>360</v>
      </c>
      <c r="U34">
        <v>812</v>
      </c>
      <c r="V34">
        <v>622</v>
      </c>
      <c r="W34">
        <v>888</v>
      </c>
      <c r="X34">
        <v>321</v>
      </c>
      <c r="Y34">
        <v>285</v>
      </c>
      <c r="Z34">
        <v>43</v>
      </c>
    </row>
    <row r="35" spans="1:26" x14ac:dyDescent="0.4">
      <c r="A35" s="1" t="s">
        <v>58</v>
      </c>
      <c r="B35" s="1" t="s">
        <v>59</v>
      </c>
      <c r="C35">
        <v>1441</v>
      </c>
      <c r="D35">
        <v>855</v>
      </c>
      <c r="E35">
        <v>1417</v>
      </c>
      <c r="F35">
        <v>189</v>
      </c>
      <c r="G35">
        <v>73</v>
      </c>
      <c r="H35">
        <v>215</v>
      </c>
      <c r="I35">
        <v>117</v>
      </c>
      <c r="J35">
        <v>107</v>
      </c>
      <c r="K35">
        <v>103</v>
      </c>
      <c r="L35">
        <v>8</v>
      </c>
      <c r="M35">
        <v>8</v>
      </c>
      <c r="N35">
        <v>95</v>
      </c>
      <c r="O35">
        <v>98</v>
      </c>
      <c r="P35">
        <v>46</v>
      </c>
      <c r="Q35">
        <v>272</v>
      </c>
      <c r="R35">
        <v>172</v>
      </c>
      <c r="S35">
        <v>88</v>
      </c>
      <c r="T35">
        <v>369</v>
      </c>
      <c r="U35">
        <v>731</v>
      </c>
      <c r="V35">
        <v>618</v>
      </c>
      <c r="W35">
        <v>868</v>
      </c>
      <c r="X35">
        <v>275</v>
      </c>
      <c r="Y35">
        <v>249</v>
      </c>
      <c r="Z35">
        <v>43</v>
      </c>
    </row>
    <row r="36" spans="1:26" x14ac:dyDescent="0.4">
      <c r="A36" s="1" t="s">
        <v>60</v>
      </c>
      <c r="B36" s="1" t="s">
        <v>61</v>
      </c>
      <c r="C36">
        <v>1288</v>
      </c>
      <c r="D36">
        <v>813</v>
      </c>
      <c r="E36">
        <v>1438</v>
      </c>
      <c r="F36">
        <v>205</v>
      </c>
      <c r="G36">
        <v>71</v>
      </c>
      <c r="H36">
        <v>221</v>
      </c>
      <c r="I36">
        <v>122</v>
      </c>
      <c r="J36">
        <v>108</v>
      </c>
      <c r="K36">
        <v>103</v>
      </c>
      <c r="L36">
        <v>2</v>
      </c>
      <c r="M36">
        <v>13</v>
      </c>
      <c r="N36">
        <v>85</v>
      </c>
      <c r="O36">
        <v>85</v>
      </c>
      <c r="P36">
        <v>45</v>
      </c>
      <c r="Q36">
        <v>266</v>
      </c>
      <c r="R36">
        <v>138</v>
      </c>
      <c r="S36">
        <v>80</v>
      </c>
      <c r="T36">
        <v>357</v>
      </c>
      <c r="U36">
        <v>702</v>
      </c>
      <c r="V36">
        <v>558</v>
      </c>
      <c r="W36">
        <v>897</v>
      </c>
      <c r="X36">
        <v>277</v>
      </c>
      <c r="Y36">
        <v>263</v>
      </c>
      <c r="Z36">
        <v>37</v>
      </c>
    </row>
    <row r="37" spans="1:26" x14ac:dyDescent="0.4">
      <c r="A37" s="1" t="s">
        <v>62</v>
      </c>
      <c r="B37" s="1" t="s">
        <v>63</v>
      </c>
      <c r="C37">
        <v>1366</v>
      </c>
      <c r="D37">
        <v>772</v>
      </c>
      <c r="E37">
        <v>1499</v>
      </c>
      <c r="F37">
        <v>208</v>
      </c>
      <c r="G37">
        <v>79</v>
      </c>
      <c r="H37">
        <v>232</v>
      </c>
      <c r="I37">
        <v>123</v>
      </c>
      <c r="J37">
        <v>106</v>
      </c>
      <c r="K37">
        <v>103</v>
      </c>
      <c r="L37">
        <v>17</v>
      </c>
      <c r="M37">
        <v>6</v>
      </c>
      <c r="N37">
        <v>100</v>
      </c>
      <c r="O37">
        <v>100</v>
      </c>
      <c r="P37">
        <v>44</v>
      </c>
      <c r="Q37">
        <v>256</v>
      </c>
      <c r="R37">
        <v>115</v>
      </c>
      <c r="S37">
        <v>50</v>
      </c>
      <c r="T37">
        <v>334</v>
      </c>
      <c r="U37">
        <v>686</v>
      </c>
      <c r="V37">
        <v>559</v>
      </c>
      <c r="W37">
        <v>899</v>
      </c>
      <c r="X37">
        <v>325</v>
      </c>
      <c r="Y37">
        <v>282</v>
      </c>
      <c r="Z37">
        <v>35</v>
      </c>
    </row>
    <row r="38" spans="1:26" x14ac:dyDescent="0.4">
      <c r="A38" s="1" t="s">
        <v>64</v>
      </c>
      <c r="B38" s="1" t="s">
        <v>65</v>
      </c>
      <c r="C38">
        <v>1342</v>
      </c>
      <c r="D38">
        <v>853</v>
      </c>
      <c r="E38">
        <v>1493</v>
      </c>
      <c r="F38">
        <v>231</v>
      </c>
      <c r="G38">
        <v>116</v>
      </c>
      <c r="H38">
        <v>222</v>
      </c>
      <c r="I38">
        <v>130</v>
      </c>
      <c r="J38">
        <v>126</v>
      </c>
      <c r="K38">
        <v>100</v>
      </c>
      <c r="L38">
        <v>8</v>
      </c>
      <c r="M38">
        <v>17</v>
      </c>
      <c r="N38">
        <v>102</v>
      </c>
      <c r="O38">
        <v>87</v>
      </c>
      <c r="P38">
        <v>53</v>
      </c>
      <c r="Q38">
        <v>249</v>
      </c>
      <c r="R38">
        <v>114</v>
      </c>
      <c r="S38">
        <v>56</v>
      </c>
      <c r="T38">
        <v>325</v>
      </c>
      <c r="U38">
        <v>747</v>
      </c>
      <c r="V38">
        <v>653</v>
      </c>
      <c r="W38">
        <v>849</v>
      </c>
      <c r="X38">
        <v>388</v>
      </c>
      <c r="Y38">
        <v>328</v>
      </c>
      <c r="Z38">
        <v>41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3FEA2-6F41-41B5-9E46-225C5F09A427}">
  <dimension ref="A1:AO40"/>
  <sheetViews>
    <sheetView workbookViewId="0">
      <selection activeCell="C9" sqref="C9"/>
    </sheetView>
  </sheetViews>
  <sheetFormatPr defaultColWidth="15.625" defaultRowHeight="18.75" x14ac:dyDescent="0.4"/>
  <sheetData>
    <row r="1" spans="1:41" x14ac:dyDescent="0.4">
      <c r="A1" s="1" t="s">
        <v>66</v>
      </c>
      <c r="B1" s="1"/>
    </row>
    <row r="2" spans="1:41" x14ac:dyDescent="0.4">
      <c r="A2" s="4" t="str">
        <f>HYPERLINK("#'目次(Contents)'!A3","目次に戻る(Return to Contents)")</f>
        <v>目次に戻る(Return to Contents)</v>
      </c>
      <c r="B2" s="1"/>
    </row>
    <row r="3" spans="1:41" x14ac:dyDescent="0.4">
      <c r="A3" s="1"/>
      <c r="B3" s="2" t="s">
        <v>0</v>
      </c>
      <c r="C3" t="s">
        <v>1856</v>
      </c>
      <c r="D3" t="s">
        <v>1856</v>
      </c>
      <c r="E3" t="s">
        <v>1856</v>
      </c>
      <c r="F3" t="s">
        <v>1858</v>
      </c>
      <c r="G3" t="s">
        <v>1858</v>
      </c>
      <c r="H3" t="s">
        <v>1858</v>
      </c>
      <c r="I3" t="s">
        <v>1860</v>
      </c>
      <c r="J3" t="s">
        <v>1860</v>
      </c>
      <c r="K3" t="s">
        <v>1860</v>
      </c>
      <c r="L3" t="s">
        <v>1862</v>
      </c>
      <c r="M3" t="s">
        <v>1862</v>
      </c>
      <c r="N3" t="s">
        <v>1862</v>
      </c>
      <c r="O3" t="s">
        <v>1864</v>
      </c>
      <c r="P3" t="s">
        <v>1864</v>
      </c>
      <c r="Q3" t="s">
        <v>1864</v>
      </c>
      <c r="R3" t="s">
        <v>1866</v>
      </c>
      <c r="S3" t="s">
        <v>1866</v>
      </c>
      <c r="T3" t="s">
        <v>1866</v>
      </c>
      <c r="U3" t="s">
        <v>1868</v>
      </c>
      <c r="V3" t="s">
        <v>1868</v>
      </c>
      <c r="W3" t="s">
        <v>1868</v>
      </c>
      <c r="X3" t="s">
        <v>1870</v>
      </c>
      <c r="Y3" t="s">
        <v>1870</v>
      </c>
      <c r="Z3" t="s">
        <v>1870</v>
      </c>
      <c r="AA3" t="s">
        <v>1872</v>
      </c>
      <c r="AB3" t="s">
        <v>1872</v>
      </c>
      <c r="AC3" t="s">
        <v>1872</v>
      </c>
      <c r="AD3" t="s">
        <v>1874</v>
      </c>
      <c r="AE3" t="s">
        <v>1874</v>
      </c>
      <c r="AF3" t="s">
        <v>1874</v>
      </c>
      <c r="AG3" t="s">
        <v>1876</v>
      </c>
      <c r="AH3" t="s">
        <v>1876</v>
      </c>
      <c r="AI3" t="s">
        <v>1876</v>
      </c>
      <c r="AJ3" t="s">
        <v>1878</v>
      </c>
      <c r="AK3" t="s">
        <v>1878</v>
      </c>
      <c r="AL3" t="s">
        <v>1878</v>
      </c>
      <c r="AM3" t="s">
        <v>1880</v>
      </c>
      <c r="AN3" t="s">
        <v>1880</v>
      </c>
      <c r="AO3" t="s">
        <v>1880</v>
      </c>
    </row>
    <row r="4" spans="1:41" x14ac:dyDescent="0.4">
      <c r="A4" s="1"/>
      <c r="B4" s="2" t="s">
        <v>1</v>
      </c>
      <c r="C4" t="s">
        <v>1857</v>
      </c>
      <c r="D4" t="s">
        <v>1857</v>
      </c>
      <c r="E4" t="s">
        <v>1857</v>
      </c>
      <c r="F4" t="s">
        <v>1859</v>
      </c>
      <c r="G4" t="s">
        <v>1859</v>
      </c>
      <c r="H4" t="s">
        <v>1859</v>
      </c>
      <c r="I4" t="s">
        <v>1861</v>
      </c>
      <c r="J4" t="s">
        <v>1861</v>
      </c>
      <c r="K4" t="s">
        <v>1861</v>
      </c>
      <c r="L4" t="s">
        <v>1863</v>
      </c>
      <c r="M4" t="s">
        <v>1863</v>
      </c>
      <c r="N4" t="s">
        <v>1863</v>
      </c>
      <c r="O4" t="s">
        <v>1865</v>
      </c>
      <c r="P4" t="s">
        <v>1865</v>
      </c>
      <c r="Q4" t="s">
        <v>1865</v>
      </c>
      <c r="R4" t="s">
        <v>1867</v>
      </c>
      <c r="S4" t="s">
        <v>1867</v>
      </c>
      <c r="T4" t="s">
        <v>1867</v>
      </c>
      <c r="U4" t="s">
        <v>1869</v>
      </c>
      <c r="V4" t="s">
        <v>1869</v>
      </c>
      <c r="W4" t="s">
        <v>1869</v>
      </c>
      <c r="X4" t="s">
        <v>1871</v>
      </c>
      <c r="Y4" t="s">
        <v>1871</v>
      </c>
      <c r="Z4" t="s">
        <v>1871</v>
      </c>
      <c r="AA4" t="s">
        <v>1873</v>
      </c>
      <c r="AB4" t="s">
        <v>1873</v>
      </c>
      <c r="AC4" t="s">
        <v>1873</v>
      </c>
      <c r="AD4" t="s">
        <v>1875</v>
      </c>
      <c r="AE4" t="s">
        <v>1875</v>
      </c>
      <c r="AF4" t="s">
        <v>1875</v>
      </c>
      <c r="AG4" t="s">
        <v>1877</v>
      </c>
      <c r="AH4" t="s">
        <v>1877</v>
      </c>
      <c r="AI4" t="s">
        <v>1877</v>
      </c>
      <c r="AJ4" t="s">
        <v>1879</v>
      </c>
      <c r="AK4" t="s">
        <v>1879</v>
      </c>
      <c r="AL4" t="s">
        <v>1879</v>
      </c>
      <c r="AM4" t="s">
        <v>1881</v>
      </c>
      <c r="AN4" t="s">
        <v>1881</v>
      </c>
      <c r="AO4" t="s">
        <v>1881</v>
      </c>
    </row>
    <row r="5" spans="1:41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</row>
    <row r="6" spans="1:41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</row>
    <row r="7" spans="1:41" x14ac:dyDescent="0.4">
      <c r="A7" s="1"/>
      <c r="B7" s="2" t="s">
        <v>4</v>
      </c>
      <c r="C7" t="s">
        <v>1247</v>
      </c>
      <c r="D7" t="s">
        <v>1247</v>
      </c>
      <c r="E7" t="s">
        <v>1247</v>
      </c>
      <c r="F7" t="s">
        <v>1247</v>
      </c>
      <c r="G7" t="s">
        <v>1247</v>
      </c>
      <c r="H7" t="s">
        <v>1247</v>
      </c>
      <c r="I7" t="s">
        <v>1247</v>
      </c>
      <c r="J7" t="s">
        <v>1247</v>
      </c>
      <c r="K7" t="s">
        <v>1247</v>
      </c>
      <c r="L7" t="s">
        <v>1247</v>
      </c>
      <c r="M7" t="s">
        <v>1247</v>
      </c>
      <c r="N7" t="s">
        <v>1247</v>
      </c>
      <c r="O7" t="s">
        <v>1247</v>
      </c>
      <c r="P7" t="s">
        <v>1247</v>
      </c>
      <c r="Q7" t="s">
        <v>1247</v>
      </c>
      <c r="R7" t="s">
        <v>1247</v>
      </c>
      <c r="S7" t="s">
        <v>1247</v>
      </c>
      <c r="T7" t="s">
        <v>1247</v>
      </c>
      <c r="U7" t="s">
        <v>1247</v>
      </c>
      <c r="V7" t="s">
        <v>1247</v>
      </c>
      <c r="W7" t="s">
        <v>1247</v>
      </c>
      <c r="X7" t="s">
        <v>1247</v>
      </c>
      <c r="Y7" t="s">
        <v>1247</v>
      </c>
      <c r="Z7" t="s">
        <v>1247</v>
      </c>
      <c r="AA7" t="s">
        <v>1247</v>
      </c>
      <c r="AB7" t="s">
        <v>1247</v>
      </c>
      <c r="AC7" t="s">
        <v>1247</v>
      </c>
      <c r="AD7" t="s">
        <v>1247</v>
      </c>
      <c r="AE7" t="s">
        <v>1247</v>
      </c>
      <c r="AF7" t="s">
        <v>1247</v>
      </c>
      <c r="AG7" t="s">
        <v>1247</v>
      </c>
      <c r="AH7" t="s">
        <v>1247</v>
      </c>
      <c r="AI7" t="s">
        <v>1247</v>
      </c>
      <c r="AJ7" t="s">
        <v>339</v>
      </c>
      <c r="AK7" t="s">
        <v>339</v>
      </c>
      <c r="AL7" t="s">
        <v>339</v>
      </c>
      <c r="AM7" t="s">
        <v>339</v>
      </c>
      <c r="AN7" t="s">
        <v>339</v>
      </c>
      <c r="AO7" t="s">
        <v>339</v>
      </c>
    </row>
    <row r="8" spans="1:41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1247</v>
      </c>
      <c r="F8" t="s">
        <v>1247</v>
      </c>
      <c r="G8" t="s">
        <v>1247</v>
      </c>
      <c r="H8" t="s">
        <v>1247</v>
      </c>
      <c r="I8" t="s">
        <v>1247</v>
      </c>
      <c r="J8" t="s">
        <v>1247</v>
      </c>
      <c r="K8" t="s">
        <v>1247</v>
      </c>
      <c r="L8" t="s">
        <v>1247</v>
      </c>
      <c r="M8" t="s">
        <v>1247</v>
      </c>
      <c r="N8" t="s">
        <v>1247</v>
      </c>
      <c r="O8" t="s">
        <v>1247</v>
      </c>
      <c r="P8" t="s">
        <v>1247</v>
      </c>
      <c r="Q8" t="s">
        <v>1247</v>
      </c>
      <c r="R8" t="s">
        <v>1247</v>
      </c>
      <c r="S8" t="s">
        <v>1247</v>
      </c>
      <c r="T8" t="s">
        <v>1247</v>
      </c>
      <c r="U8" t="s">
        <v>1247</v>
      </c>
      <c r="V8" t="s">
        <v>1247</v>
      </c>
      <c r="W8" t="s">
        <v>1247</v>
      </c>
      <c r="X8" t="s">
        <v>1247</v>
      </c>
      <c r="Y8" t="s">
        <v>1247</v>
      </c>
      <c r="Z8" t="s">
        <v>1247</v>
      </c>
      <c r="AA8" t="s">
        <v>1247</v>
      </c>
      <c r="AB8" t="s">
        <v>1247</v>
      </c>
      <c r="AC8" t="s">
        <v>1247</v>
      </c>
      <c r="AD8" t="s">
        <v>1247</v>
      </c>
      <c r="AE8" t="s">
        <v>1247</v>
      </c>
      <c r="AF8" t="s">
        <v>1247</v>
      </c>
      <c r="AG8" t="s">
        <v>1247</v>
      </c>
      <c r="AH8" t="s">
        <v>1247</v>
      </c>
      <c r="AI8" t="s">
        <v>1247</v>
      </c>
      <c r="AJ8" t="s">
        <v>339</v>
      </c>
      <c r="AK8" t="s">
        <v>339</v>
      </c>
      <c r="AL8" t="s">
        <v>339</v>
      </c>
      <c r="AM8" t="s">
        <v>339</v>
      </c>
      <c r="AN8" t="s">
        <v>339</v>
      </c>
      <c r="AO8" t="s">
        <v>339</v>
      </c>
    </row>
    <row r="9" spans="1:41" x14ac:dyDescent="0.4">
      <c r="A9" s="1" t="s">
        <v>6</v>
      </c>
      <c r="B9" s="3" t="s">
        <v>7</v>
      </c>
      <c r="C9">
        <v>91719530</v>
      </c>
      <c r="D9">
        <v>133380258</v>
      </c>
      <c r="E9">
        <v>19407759</v>
      </c>
      <c r="F9">
        <v>10813412</v>
      </c>
      <c r="G9">
        <v>6576979</v>
      </c>
      <c r="H9">
        <v>599335</v>
      </c>
      <c r="I9">
        <v>2761839</v>
      </c>
      <c r="J9">
        <v>1583555</v>
      </c>
      <c r="K9">
        <v>9329</v>
      </c>
      <c r="L9">
        <v>1318583</v>
      </c>
      <c r="M9">
        <v>1312033</v>
      </c>
      <c r="N9">
        <v>1102411</v>
      </c>
      <c r="O9">
        <v>49621098</v>
      </c>
      <c r="P9">
        <v>44825678</v>
      </c>
      <c r="Q9">
        <v>982418</v>
      </c>
      <c r="R9">
        <v>24437923</v>
      </c>
      <c r="S9">
        <v>14139436</v>
      </c>
      <c r="T9">
        <v>691365</v>
      </c>
      <c r="U9">
        <v>106836240</v>
      </c>
      <c r="V9">
        <v>47298504</v>
      </c>
      <c r="W9">
        <v>7909297</v>
      </c>
      <c r="X9">
        <v>321573915</v>
      </c>
      <c r="Y9">
        <v>172695367</v>
      </c>
      <c r="Z9">
        <v>24959822</v>
      </c>
      <c r="AA9">
        <v>173016577</v>
      </c>
      <c r="AB9">
        <v>167954969</v>
      </c>
      <c r="AC9">
        <v>17592828</v>
      </c>
      <c r="AD9">
        <v>67762509</v>
      </c>
      <c r="AE9">
        <v>35914016</v>
      </c>
      <c r="AF9">
        <v>5361333</v>
      </c>
      <c r="AG9">
        <v>25828837</v>
      </c>
      <c r="AH9">
        <v>14778305</v>
      </c>
      <c r="AI9">
        <v>3270452</v>
      </c>
      <c r="AJ9">
        <v>20533443</v>
      </c>
      <c r="AK9">
        <v>11910434</v>
      </c>
      <c r="AL9">
        <v>1313175</v>
      </c>
      <c r="AM9">
        <v>8291207</v>
      </c>
      <c r="AN9">
        <v>8704466</v>
      </c>
      <c r="AO9">
        <v>2470554</v>
      </c>
    </row>
    <row r="10" spans="1:41" x14ac:dyDescent="0.4">
      <c r="A10" s="1" t="s">
        <v>8</v>
      </c>
      <c r="B10" s="3" t="s">
        <v>9</v>
      </c>
      <c r="C10">
        <v>92469621</v>
      </c>
      <c r="D10">
        <v>91331767</v>
      </c>
      <c r="E10">
        <v>7881786</v>
      </c>
      <c r="F10">
        <v>13630791</v>
      </c>
      <c r="G10">
        <v>7863312</v>
      </c>
      <c r="H10">
        <v>540692</v>
      </c>
      <c r="I10">
        <v>3201878</v>
      </c>
      <c r="J10">
        <v>1963451</v>
      </c>
      <c r="K10">
        <v>30224</v>
      </c>
      <c r="L10">
        <v>1444009</v>
      </c>
      <c r="M10">
        <v>1490754</v>
      </c>
      <c r="N10">
        <v>1048346</v>
      </c>
      <c r="O10">
        <v>49646537</v>
      </c>
      <c r="P10">
        <v>45077349</v>
      </c>
      <c r="Q10">
        <v>1526634</v>
      </c>
      <c r="R10">
        <v>28455032</v>
      </c>
      <c r="S10">
        <v>16265339</v>
      </c>
      <c r="T10">
        <v>420792</v>
      </c>
      <c r="U10">
        <v>128097661</v>
      </c>
      <c r="V10">
        <v>54311145</v>
      </c>
      <c r="W10">
        <v>10224150</v>
      </c>
      <c r="X10">
        <v>336343213</v>
      </c>
      <c r="Y10">
        <v>166199019</v>
      </c>
      <c r="Z10">
        <v>28351778</v>
      </c>
      <c r="AA10">
        <v>171220735</v>
      </c>
      <c r="AB10">
        <v>168854864</v>
      </c>
      <c r="AC10">
        <v>18311558</v>
      </c>
      <c r="AD10">
        <v>68099732</v>
      </c>
      <c r="AE10">
        <v>35296537</v>
      </c>
      <c r="AF10">
        <v>4173826</v>
      </c>
      <c r="AG10">
        <v>27617423</v>
      </c>
      <c r="AH10">
        <v>15831246</v>
      </c>
      <c r="AI10">
        <v>3613296</v>
      </c>
      <c r="AJ10">
        <v>19923856</v>
      </c>
      <c r="AK10">
        <v>10946626</v>
      </c>
      <c r="AL10">
        <v>1434149</v>
      </c>
      <c r="AM10">
        <v>7791213</v>
      </c>
      <c r="AN10">
        <v>8605416</v>
      </c>
      <c r="AO10">
        <v>2370427</v>
      </c>
    </row>
    <row r="11" spans="1:41" x14ac:dyDescent="0.4">
      <c r="A11" s="1" t="s">
        <v>10</v>
      </c>
      <c r="B11" s="3" t="s">
        <v>11</v>
      </c>
      <c r="C11">
        <v>86037305</v>
      </c>
      <c r="D11">
        <v>81583972</v>
      </c>
      <c r="E11">
        <v>6207105</v>
      </c>
      <c r="F11">
        <v>14694466</v>
      </c>
      <c r="G11">
        <v>8677227</v>
      </c>
      <c r="H11">
        <v>591822</v>
      </c>
      <c r="I11">
        <v>1881790</v>
      </c>
      <c r="J11">
        <v>1764764</v>
      </c>
      <c r="K11">
        <v>30014</v>
      </c>
      <c r="L11">
        <v>1241960</v>
      </c>
      <c r="M11">
        <v>1238158</v>
      </c>
      <c r="N11">
        <v>1039497</v>
      </c>
      <c r="O11">
        <v>48407921</v>
      </c>
      <c r="P11">
        <v>43363842</v>
      </c>
      <c r="Q11">
        <v>1826324</v>
      </c>
      <c r="R11">
        <v>23572200</v>
      </c>
      <c r="S11">
        <v>11631028</v>
      </c>
      <c r="T11">
        <v>306991</v>
      </c>
      <c r="U11">
        <v>129015867</v>
      </c>
      <c r="V11">
        <v>52497604</v>
      </c>
      <c r="W11">
        <v>11367621</v>
      </c>
      <c r="X11">
        <v>358266605</v>
      </c>
      <c r="Y11">
        <v>169838161</v>
      </c>
      <c r="Z11">
        <v>31532001</v>
      </c>
      <c r="AA11">
        <v>165535839</v>
      </c>
      <c r="AB11">
        <v>167387416</v>
      </c>
      <c r="AC11">
        <v>18797338</v>
      </c>
      <c r="AD11">
        <v>65196556</v>
      </c>
      <c r="AE11">
        <v>26107201</v>
      </c>
      <c r="AF11">
        <v>3341040</v>
      </c>
      <c r="AG11">
        <v>27031846</v>
      </c>
      <c r="AH11">
        <v>17998866</v>
      </c>
      <c r="AI11">
        <v>4325468</v>
      </c>
      <c r="AJ11">
        <v>18056649</v>
      </c>
      <c r="AK11">
        <v>9782031</v>
      </c>
      <c r="AL11">
        <v>1947156</v>
      </c>
      <c r="AM11">
        <v>7466306</v>
      </c>
      <c r="AN11">
        <v>8378036</v>
      </c>
      <c r="AO11">
        <v>2268945</v>
      </c>
    </row>
    <row r="12" spans="1:41" x14ac:dyDescent="0.4">
      <c r="A12" s="1" t="s">
        <v>12</v>
      </c>
      <c r="B12" s="3" t="s">
        <v>13</v>
      </c>
      <c r="C12">
        <v>86427593</v>
      </c>
      <c r="D12">
        <v>83733615</v>
      </c>
      <c r="E12">
        <v>5335132</v>
      </c>
      <c r="F12">
        <v>15209220</v>
      </c>
      <c r="G12">
        <v>8667363</v>
      </c>
      <c r="H12">
        <v>551908</v>
      </c>
      <c r="I12">
        <v>1467626</v>
      </c>
      <c r="J12">
        <v>1267171</v>
      </c>
      <c r="K12">
        <v>29165</v>
      </c>
      <c r="L12">
        <v>1110286</v>
      </c>
      <c r="M12">
        <v>1089558</v>
      </c>
      <c r="N12">
        <v>1054548</v>
      </c>
      <c r="O12">
        <v>46546004</v>
      </c>
      <c r="P12">
        <v>43256259</v>
      </c>
      <c r="Q12">
        <v>1380348</v>
      </c>
      <c r="R12">
        <v>23633360</v>
      </c>
      <c r="S12">
        <v>11223546</v>
      </c>
      <c r="T12">
        <v>398135</v>
      </c>
      <c r="U12">
        <v>120618598</v>
      </c>
      <c r="V12">
        <v>53933155</v>
      </c>
      <c r="W12">
        <v>9678757</v>
      </c>
      <c r="X12">
        <v>345060659</v>
      </c>
      <c r="Y12">
        <v>167895719</v>
      </c>
      <c r="Z12">
        <v>29223374</v>
      </c>
      <c r="AA12">
        <v>130483438</v>
      </c>
      <c r="AB12">
        <v>131905064</v>
      </c>
      <c r="AC12">
        <v>16699376</v>
      </c>
      <c r="AD12">
        <v>57290383</v>
      </c>
      <c r="AE12">
        <v>23706385</v>
      </c>
      <c r="AF12">
        <v>2689426</v>
      </c>
      <c r="AG12">
        <v>23991242</v>
      </c>
      <c r="AH12">
        <v>17419836</v>
      </c>
      <c r="AI12">
        <v>4590241</v>
      </c>
      <c r="AJ12">
        <v>15934977</v>
      </c>
      <c r="AK12">
        <v>8214776</v>
      </c>
      <c r="AL12">
        <v>1277992</v>
      </c>
      <c r="AM12">
        <v>6844291</v>
      </c>
      <c r="AN12">
        <v>7897560</v>
      </c>
      <c r="AO12">
        <v>2230331</v>
      </c>
    </row>
    <row r="13" spans="1:41" x14ac:dyDescent="0.4">
      <c r="A13" s="1" t="s">
        <v>14</v>
      </c>
      <c r="B13" s="3" t="s">
        <v>15</v>
      </c>
      <c r="C13">
        <v>87444257</v>
      </c>
      <c r="D13">
        <v>84864337</v>
      </c>
      <c r="E13">
        <v>5463847</v>
      </c>
      <c r="F13">
        <v>12845942</v>
      </c>
      <c r="G13">
        <v>7785505</v>
      </c>
      <c r="H13">
        <v>506977</v>
      </c>
      <c r="I13">
        <v>1364503</v>
      </c>
      <c r="J13">
        <v>1037059</v>
      </c>
      <c r="K13">
        <v>24802</v>
      </c>
      <c r="L13">
        <v>1015771</v>
      </c>
      <c r="M13">
        <v>1016951</v>
      </c>
      <c r="N13">
        <v>1038823</v>
      </c>
      <c r="O13">
        <v>47086066</v>
      </c>
      <c r="P13">
        <v>43573974</v>
      </c>
      <c r="Q13">
        <v>1287470</v>
      </c>
      <c r="R13">
        <v>20595536</v>
      </c>
      <c r="S13">
        <v>11093903</v>
      </c>
      <c r="T13">
        <v>355568</v>
      </c>
      <c r="U13">
        <v>139875350</v>
      </c>
      <c r="V13">
        <v>55234388</v>
      </c>
      <c r="W13">
        <v>7955277</v>
      </c>
      <c r="X13">
        <v>325501338</v>
      </c>
      <c r="Y13">
        <v>173137138</v>
      </c>
      <c r="Z13">
        <v>29509033</v>
      </c>
      <c r="AA13">
        <v>143102969</v>
      </c>
      <c r="AB13">
        <v>144136421</v>
      </c>
      <c r="AC13">
        <v>18141200</v>
      </c>
      <c r="AD13">
        <v>55814238</v>
      </c>
      <c r="AE13">
        <v>26350392</v>
      </c>
      <c r="AF13">
        <v>2932632</v>
      </c>
      <c r="AG13">
        <v>21470228</v>
      </c>
      <c r="AH13">
        <v>16541818</v>
      </c>
      <c r="AI13">
        <v>3114013</v>
      </c>
      <c r="AJ13">
        <v>16037191</v>
      </c>
      <c r="AK13">
        <v>8267975</v>
      </c>
      <c r="AL13">
        <v>1193785</v>
      </c>
      <c r="AM13">
        <v>6548874</v>
      </c>
      <c r="AN13">
        <v>7277111</v>
      </c>
      <c r="AO13">
        <v>2075143</v>
      </c>
    </row>
    <row r="14" spans="1:41" x14ac:dyDescent="0.4">
      <c r="A14" s="1" t="s">
        <v>16</v>
      </c>
      <c r="B14" s="1" t="s">
        <v>17</v>
      </c>
      <c r="C14">
        <v>7311076</v>
      </c>
      <c r="D14">
        <v>7220630</v>
      </c>
      <c r="E14">
        <v>6246507</v>
      </c>
      <c r="F14">
        <v>1274051</v>
      </c>
      <c r="G14">
        <v>719197</v>
      </c>
      <c r="H14">
        <v>550127</v>
      </c>
      <c r="I14">
        <v>227234</v>
      </c>
      <c r="J14">
        <v>207305</v>
      </c>
      <c r="K14">
        <v>28383</v>
      </c>
      <c r="L14">
        <v>93300</v>
      </c>
      <c r="M14">
        <v>94670</v>
      </c>
      <c r="N14">
        <v>1044061</v>
      </c>
      <c r="O14">
        <v>3716024</v>
      </c>
      <c r="P14">
        <v>3660670</v>
      </c>
      <c r="Q14">
        <v>1876507</v>
      </c>
      <c r="R14">
        <v>2012980</v>
      </c>
      <c r="S14">
        <v>877587</v>
      </c>
      <c r="T14">
        <v>422855</v>
      </c>
      <c r="U14">
        <v>10191596</v>
      </c>
      <c r="V14">
        <v>4413796</v>
      </c>
      <c r="W14">
        <v>12115816</v>
      </c>
      <c r="X14">
        <v>28744779</v>
      </c>
      <c r="Y14">
        <v>12318810</v>
      </c>
      <c r="Z14">
        <v>32852340</v>
      </c>
      <c r="AA14">
        <v>9937564</v>
      </c>
      <c r="AB14">
        <v>10785488</v>
      </c>
      <c r="AC14">
        <v>16609748</v>
      </c>
      <c r="AD14">
        <v>4718369</v>
      </c>
      <c r="AE14">
        <v>1662080</v>
      </c>
      <c r="AF14">
        <v>3496901</v>
      </c>
      <c r="AG14">
        <v>2077805</v>
      </c>
      <c r="AH14">
        <v>1720059</v>
      </c>
      <c r="AI14">
        <v>3544039</v>
      </c>
      <c r="AJ14">
        <v>1308643</v>
      </c>
      <c r="AK14">
        <v>716643</v>
      </c>
      <c r="AL14">
        <v>1724570</v>
      </c>
      <c r="AM14">
        <v>590491</v>
      </c>
      <c r="AN14">
        <v>685960</v>
      </c>
      <c r="AO14">
        <v>2275025</v>
      </c>
    </row>
    <row r="15" spans="1:41" x14ac:dyDescent="0.4">
      <c r="A15" s="1" t="s">
        <v>18</v>
      </c>
      <c r="B15" s="1" t="s">
        <v>19</v>
      </c>
      <c r="C15">
        <v>7311185</v>
      </c>
      <c r="D15">
        <v>7175106</v>
      </c>
      <c r="E15">
        <v>6154627</v>
      </c>
      <c r="F15">
        <v>1322619</v>
      </c>
      <c r="G15">
        <v>780495</v>
      </c>
      <c r="H15">
        <v>569968</v>
      </c>
      <c r="I15">
        <v>227493</v>
      </c>
      <c r="J15">
        <v>202701</v>
      </c>
      <c r="K15">
        <v>32345</v>
      </c>
      <c r="L15">
        <v>93075</v>
      </c>
      <c r="M15">
        <v>96616</v>
      </c>
      <c r="N15">
        <v>1039062</v>
      </c>
      <c r="O15">
        <v>3715385</v>
      </c>
      <c r="P15">
        <v>3667267</v>
      </c>
      <c r="Q15">
        <v>1795862</v>
      </c>
      <c r="R15">
        <v>2002624</v>
      </c>
      <c r="S15">
        <v>908074</v>
      </c>
      <c r="T15">
        <v>395540</v>
      </c>
      <c r="U15">
        <v>9994712</v>
      </c>
      <c r="V15">
        <v>4359974</v>
      </c>
      <c r="W15">
        <v>11767107</v>
      </c>
      <c r="X15">
        <v>27980039</v>
      </c>
      <c r="Y15">
        <v>13050730</v>
      </c>
      <c r="Z15">
        <v>30865178</v>
      </c>
      <c r="AA15">
        <v>10593423</v>
      </c>
      <c r="AB15">
        <v>10396249</v>
      </c>
      <c r="AC15">
        <v>16962521</v>
      </c>
      <c r="AD15">
        <v>4940573</v>
      </c>
      <c r="AE15">
        <v>1836367</v>
      </c>
      <c r="AF15">
        <v>3823635</v>
      </c>
      <c r="AG15">
        <v>2160586</v>
      </c>
      <c r="AH15">
        <v>1516138</v>
      </c>
      <c r="AI15">
        <v>3579778</v>
      </c>
      <c r="AJ15">
        <v>1381134</v>
      </c>
      <c r="AK15">
        <v>706809</v>
      </c>
      <c r="AL15">
        <v>1759766</v>
      </c>
      <c r="AM15">
        <v>608305</v>
      </c>
      <c r="AN15">
        <v>671971</v>
      </c>
      <c r="AO15">
        <v>2312201</v>
      </c>
    </row>
    <row r="16" spans="1:41" x14ac:dyDescent="0.4">
      <c r="A16" s="1" t="s">
        <v>20</v>
      </c>
      <c r="B16" s="1" t="s">
        <v>21</v>
      </c>
      <c r="C16">
        <v>6810702</v>
      </c>
      <c r="D16">
        <v>6712783</v>
      </c>
      <c r="E16">
        <v>5834289</v>
      </c>
      <c r="F16">
        <v>1308734</v>
      </c>
      <c r="G16">
        <v>741494</v>
      </c>
      <c r="H16">
        <v>576242</v>
      </c>
      <c r="I16">
        <v>188460</v>
      </c>
      <c r="J16">
        <v>166187</v>
      </c>
      <c r="K16">
        <v>32188</v>
      </c>
      <c r="L16">
        <v>102721</v>
      </c>
      <c r="M16">
        <v>98044</v>
      </c>
      <c r="N16">
        <v>1042218</v>
      </c>
      <c r="O16">
        <v>3720978</v>
      </c>
      <c r="P16">
        <v>3446113</v>
      </c>
      <c r="Q16">
        <v>1804074</v>
      </c>
      <c r="R16">
        <v>1954026</v>
      </c>
      <c r="S16">
        <v>915240</v>
      </c>
      <c r="T16">
        <v>359704</v>
      </c>
      <c r="U16">
        <v>9861015</v>
      </c>
      <c r="V16">
        <v>4471492</v>
      </c>
      <c r="W16">
        <v>11401286</v>
      </c>
      <c r="X16">
        <v>27487675</v>
      </c>
      <c r="Y16">
        <v>13552516</v>
      </c>
      <c r="Z16">
        <v>30213733</v>
      </c>
      <c r="AA16">
        <v>10648280</v>
      </c>
      <c r="AB16">
        <v>10090730</v>
      </c>
      <c r="AC16">
        <v>17551386</v>
      </c>
      <c r="AD16">
        <v>4675479</v>
      </c>
      <c r="AE16">
        <v>1706847</v>
      </c>
      <c r="AF16">
        <v>3957191</v>
      </c>
      <c r="AG16">
        <v>2151074</v>
      </c>
      <c r="AH16">
        <v>1263970</v>
      </c>
      <c r="AI16">
        <v>4027627</v>
      </c>
      <c r="AJ16">
        <v>1328523</v>
      </c>
      <c r="AK16">
        <v>677605</v>
      </c>
      <c r="AL16">
        <v>1805708</v>
      </c>
      <c r="AM16">
        <v>562822</v>
      </c>
      <c r="AN16">
        <v>639837</v>
      </c>
      <c r="AO16">
        <v>2328256</v>
      </c>
    </row>
    <row r="17" spans="1:41" x14ac:dyDescent="0.4">
      <c r="A17" s="1" t="s">
        <v>22</v>
      </c>
      <c r="B17" s="1" t="s">
        <v>23</v>
      </c>
      <c r="C17">
        <v>7257946</v>
      </c>
      <c r="D17">
        <v>6994123</v>
      </c>
      <c r="E17">
        <v>5865347</v>
      </c>
      <c r="F17">
        <v>1286308</v>
      </c>
      <c r="G17">
        <v>733695</v>
      </c>
      <c r="H17">
        <v>572065</v>
      </c>
      <c r="I17">
        <v>145181</v>
      </c>
      <c r="J17">
        <v>114749</v>
      </c>
      <c r="K17">
        <v>29154</v>
      </c>
      <c r="L17">
        <v>91654</v>
      </c>
      <c r="M17">
        <v>95032</v>
      </c>
      <c r="N17">
        <v>1037296</v>
      </c>
      <c r="O17">
        <v>4153052</v>
      </c>
      <c r="P17">
        <v>3651045</v>
      </c>
      <c r="Q17">
        <v>1815564</v>
      </c>
      <c r="R17">
        <v>2027785</v>
      </c>
      <c r="S17">
        <v>951190</v>
      </c>
      <c r="T17">
        <v>366470</v>
      </c>
      <c r="U17">
        <v>9842481</v>
      </c>
      <c r="V17">
        <v>4386098</v>
      </c>
      <c r="W17">
        <v>11114160</v>
      </c>
      <c r="X17">
        <v>28665758</v>
      </c>
      <c r="Y17">
        <v>13729553</v>
      </c>
      <c r="Z17">
        <v>31250277</v>
      </c>
      <c r="AA17">
        <v>11138672</v>
      </c>
      <c r="AB17">
        <v>11962077</v>
      </c>
      <c r="AC17">
        <v>16911425</v>
      </c>
      <c r="AD17">
        <v>4799183</v>
      </c>
      <c r="AE17">
        <v>2072800</v>
      </c>
      <c r="AF17">
        <v>3644869</v>
      </c>
      <c r="AG17">
        <v>2044217</v>
      </c>
      <c r="AH17">
        <v>1410256</v>
      </c>
      <c r="AI17">
        <v>4205781</v>
      </c>
      <c r="AJ17">
        <v>1296429</v>
      </c>
      <c r="AK17">
        <v>816642</v>
      </c>
      <c r="AL17">
        <v>1597234</v>
      </c>
      <c r="AM17">
        <v>561939</v>
      </c>
      <c r="AN17">
        <v>649362</v>
      </c>
      <c r="AO17">
        <v>2315826</v>
      </c>
    </row>
    <row r="18" spans="1:41" x14ac:dyDescent="0.4">
      <c r="A18" s="1" t="s">
        <v>24</v>
      </c>
      <c r="B18" s="1" t="s">
        <v>25</v>
      </c>
      <c r="C18">
        <v>7793059</v>
      </c>
      <c r="D18">
        <v>7589199</v>
      </c>
      <c r="E18">
        <v>5777433</v>
      </c>
      <c r="F18">
        <v>1399324</v>
      </c>
      <c r="G18">
        <v>849972</v>
      </c>
      <c r="H18">
        <v>545930</v>
      </c>
      <c r="I18">
        <v>105790</v>
      </c>
      <c r="J18">
        <v>66650</v>
      </c>
      <c r="K18">
        <v>27152</v>
      </c>
      <c r="L18">
        <v>94756</v>
      </c>
      <c r="M18">
        <v>83232</v>
      </c>
      <c r="N18">
        <v>1047051</v>
      </c>
      <c r="O18">
        <v>4022231</v>
      </c>
      <c r="P18">
        <v>3607335</v>
      </c>
      <c r="Q18">
        <v>1723091</v>
      </c>
      <c r="R18">
        <v>2091155</v>
      </c>
      <c r="S18">
        <v>955395</v>
      </c>
      <c r="T18">
        <v>299566</v>
      </c>
      <c r="U18">
        <v>10527816</v>
      </c>
      <c r="V18">
        <v>4937855</v>
      </c>
      <c r="W18">
        <v>10814260</v>
      </c>
      <c r="X18">
        <v>32036731</v>
      </c>
      <c r="Y18">
        <v>16061445</v>
      </c>
      <c r="Z18">
        <v>30399438</v>
      </c>
      <c r="AA18">
        <v>11517198</v>
      </c>
      <c r="AB18">
        <v>11531030</v>
      </c>
      <c r="AC18">
        <v>16974809</v>
      </c>
      <c r="AD18">
        <v>4827959</v>
      </c>
      <c r="AE18">
        <v>2222004</v>
      </c>
      <c r="AF18">
        <v>3615456</v>
      </c>
      <c r="AG18">
        <v>1969650</v>
      </c>
      <c r="AH18">
        <v>1452807</v>
      </c>
      <c r="AI18">
        <v>4056257</v>
      </c>
      <c r="AJ18">
        <v>1301790</v>
      </c>
      <c r="AK18">
        <v>681389</v>
      </c>
      <c r="AL18">
        <v>1504787</v>
      </c>
      <c r="AM18">
        <v>588975</v>
      </c>
      <c r="AN18">
        <v>685791</v>
      </c>
      <c r="AO18">
        <v>2284762</v>
      </c>
    </row>
    <row r="19" spans="1:41" x14ac:dyDescent="0.4">
      <c r="A19" s="1" t="s">
        <v>26</v>
      </c>
      <c r="B19" s="1" t="s">
        <v>27</v>
      </c>
      <c r="C19">
        <v>6405844</v>
      </c>
      <c r="D19">
        <v>6108175</v>
      </c>
      <c r="E19">
        <v>5624819</v>
      </c>
      <c r="F19">
        <v>1212157</v>
      </c>
      <c r="G19">
        <v>623329</v>
      </c>
      <c r="H19">
        <v>570443</v>
      </c>
      <c r="I19">
        <v>66469</v>
      </c>
      <c r="J19">
        <v>51648</v>
      </c>
      <c r="K19">
        <v>26843</v>
      </c>
      <c r="L19">
        <v>70726</v>
      </c>
      <c r="M19">
        <v>76099</v>
      </c>
      <c r="N19">
        <v>1040709</v>
      </c>
      <c r="O19">
        <v>3717456</v>
      </c>
      <c r="P19">
        <v>3412260</v>
      </c>
      <c r="Q19">
        <v>1653073</v>
      </c>
      <c r="R19">
        <v>1896036</v>
      </c>
      <c r="S19">
        <v>890328</v>
      </c>
      <c r="T19">
        <v>316265</v>
      </c>
      <c r="U19">
        <v>8930566</v>
      </c>
      <c r="V19">
        <v>4827875</v>
      </c>
      <c r="W19">
        <v>9905093</v>
      </c>
      <c r="X19">
        <v>26013062</v>
      </c>
      <c r="Y19">
        <v>13456804</v>
      </c>
      <c r="Z19">
        <v>30140190</v>
      </c>
      <c r="AA19">
        <v>9982412</v>
      </c>
      <c r="AB19">
        <v>10531468</v>
      </c>
      <c r="AC19">
        <v>16434865</v>
      </c>
      <c r="AD19">
        <v>4152698</v>
      </c>
      <c r="AE19">
        <v>1836210</v>
      </c>
      <c r="AF19">
        <v>3407651</v>
      </c>
      <c r="AG19">
        <v>1686103</v>
      </c>
      <c r="AH19">
        <v>1161470</v>
      </c>
      <c r="AI19">
        <v>4249362</v>
      </c>
      <c r="AJ19">
        <v>1238175</v>
      </c>
      <c r="AK19">
        <v>633046</v>
      </c>
      <c r="AL19">
        <v>1456943</v>
      </c>
      <c r="AM19">
        <v>506457</v>
      </c>
      <c r="AN19">
        <v>625720</v>
      </c>
      <c r="AO19">
        <v>2273679</v>
      </c>
    </row>
    <row r="20" spans="1:41" x14ac:dyDescent="0.4">
      <c r="A20" s="1" t="s">
        <v>28</v>
      </c>
      <c r="B20" s="1" t="s">
        <v>29</v>
      </c>
      <c r="C20">
        <v>7803447</v>
      </c>
      <c r="D20">
        <v>7384530</v>
      </c>
      <c r="E20">
        <v>5658097</v>
      </c>
      <c r="F20">
        <v>1327249</v>
      </c>
      <c r="G20">
        <v>733863</v>
      </c>
      <c r="H20">
        <v>600740</v>
      </c>
      <c r="I20">
        <v>39899</v>
      </c>
      <c r="J20">
        <v>31297</v>
      </c>
      <c r="K20">
        <v>26335</v>
      </c>
      <c r="L20">
        <v>84229</v>
      </c>
      <c r="M20">
        <v>80109</v>
      </c>
      <c r="N20">
        <v>1043491</v>
      </c>
      <c r="O20">
        <v>4112939</v>
      </c>
      <c r="P20">
        <v>3632475</v>
      </c>
      <c r="Q20">
        <v>1680140</v>
      </c>
      <c r="R20">
        <v>1955721</v>
      </c>
      <c r="S20">
        <v>936449</v>
      </c>
      <c r="T20">
        <v>451270</v>
      </c>
      <c r="U20">
        <v>10238710</v>
      </c>
      <c r="V20">
        <v>4366637</v>
      </c>
      <c r="W20">
        <v>9965595</v>
      </c>
      <c r="X20">
        <v>29126360</v>
      </c>
      <c r="Y20">
        <v>15124741</v>
      </c>
      <c r="Z20">
        <v>29900095</v>
      </c>
      <c r="AA20">
        <v>11834712</v>
      </c>
      <c r="AB20">
        <v>11710927</v>
      </c>
      <c r="AC20">
        <v>16356730</v>
      </c>
      <c r="AD20">
        <v>4776813</v>
      </c>
      <c r="AE20">
        <v>2189393</v>
      </c>
      <c r="AF20">
        <v>3283631</v>
      </c>
      <c r="AG20">
        <v>1959359</v>
      </c>
      <c r="AH20">
        <v>1711689</v>
      </c>
      <c r="AI20">
        <v>4006110</v>
      </c>
      <c r="AJ20">
        <v>1470081</v>
      </c>
      <c r="AK20">
        <v>662032</v>
      </c>
      <c r="AL20">
        <v>1440043</v>
      </c>
      <c r="AM20">
        <v>543695</v>
      </c>
      <c r="AN20">
        <v>660211</v>
      </c>
      <c r="AO20">
        <v>2257522</v>
      </c>
    </row>
    <row r="21" spans="1:41" x14ac:dyDescent="0.4">
      <c r="A21" s="1" t="s">
        <v>30</v>
      </c>
      <c r="B21" s="1" t="s">
        <v>31</v>
      </c>
      <c r="C21">
        <v>7792583</v>
      </c>
      <c r="D21">
        <v>7624897</v>
      </c>
      <c r="E21">
        <v>5512159</v>
      </c>
      <c r="F21">
        <v>1352130</v>
      </c>
      <c r="G21">
        <v>791544</v>
      </c>
      <c r="H21">
        <v>586720</v>
      </c>
      <c r="I21">
        <v>34598</v>
      </c>
      <c r="J21">
        <v>32686</v>
      </c>
      <c r="K21">
        <v>26695</v>
      </c>
      <c r="L21">
        <v>95387</v>
      </c>
      <c r="M21">
        <v>80590</v>
      </c>
      <c r="N21">
        <v>1055487</v>
      </c>
      <c r="O21">
        <v>4039208</v>
      </c>
      <c r="P21">
        <v>3676036</v>
      </c>
      <c r="Q21">
        <v>1540361</v>
      </c>
      <c r="R21">
        <v>2094682</v>
      </c>
      <c r="S21">
        <v>1003673</v>
      </c>
      <c r="T21">
        <v>317062</v>
      </c>
      <c r="U21">
        <v>11372387</v>
      </c>
      <c r="V21">
        <v>4231979</v>
      </c>
      <c r="W21">
        <v>10246935</v>
      </c>
      <c r="X21">
        <v>32410104</v>
      </c>
      <c r="Y21">
        <v>14670427</v>
      </c>
      <c r="Z21">
        <v>30142067</v>
      </c>
      <c r="AA21">
        <v>12244713</v>
      </c>
      <c r="AB21">
        <v>11473387</v>
      </c>
      <c r="AC21">
        <v>16606848</v>
      </c>
      <c r="AD21">
        <v>5013027</v>
      </c>
      <c r="AE21">
        <v>2266757</v>
      </c>
      <c r="AF21">
        <v>2910185</v>
      </c>
      <c r="AG21">
        <v>2201950</v>
      </c>
      <c r="AH21">
        <v>1395815</v>
      </c>
      <c r="AI21">
        <v>4138405</v>
      </c>
      <c r="AJ21">
        <v>1477354</v>
      </c>
      <c r="AK21">
        <v>719933</v>
      </c>
      <c r="AL21">
        <v>1298236</v>
      </c>
      <c r="AM21">
        <v>587121</v>
      </c>
      <c r="AN21">
        <v>691656</v>
      </c>
      <c r="AO21">
        <v>2255512</v>
      </c>
    </row>
    <row r="22" spans="1:41" x14ac:dyDescent="0.4">
      <c r="A22" s="1" t="s">
        <v>32</v>
      </c>
      <c r="B22" s="1" t="s">
        <v>33</v>
      </c>
      <c r="C22">
        <v>7540679</v>
      </c>
      <c r="D22">
        <v>7164477</v>
      </c>
      <c r="E22">
        <v>5517717</v>
      </c>
      <c r="F22">
        <v>1267453</v>
      </c>
      <c r="G22">
        <v>744336</v>
      </c>
      <c r="H22">
        <v>571097</v>
      </c>
      <c r="I22">
        <v>32034</v>
      </c>
      <c r="J22">
        <v>33032</v>
      </c>
      <c r="K22">
        <v>28182</v>
      </c>
      <c r="L22">
        <v>100673</v>
      </c>
      <c r="M22">
        <v>97693</v>
      </c>
      <c r="N22">
        <v>1057157</v>
      </c>
      <c r="O22">
        <v>4082416</v>
      </c>
      <c r="P22">
        <v>3750430</v>
      </c>
      <c r="Q22">
        <v>1428844</v>
      </c>
      <c r="R22">
        <v>2001183</v>
      </c>
      <c r="S22">
        <v>938659</v>
      </c>
      <c r="T22">
        <v>317466</v>
      </c>
      <c r="U22">
        <v>10541906</v>
      </c>
      <c r="V22">
        <v>4514028</v>
      </c>
      <c r="W22">
        <v>9977456</v>
      </c>
      <c r="X22">
        <v>30311982</v>
      </c>
      <c r="Y22">
        <v>15293954</v>
      </c>
      <c r="Z22">
        <v>29097427</v>
      </c>
      <c r="AA22">
        <v>12213143</v>
      </c>
      <c r="AB22">
        <v>11833042</v>
      </c>
      <c r="AC22">
        <v>16650463</v>
      </c>
      <c r="AD22">
        <v>5222456</v>
      </c>
      <c r="AE22">
        <v>2230439</v>
      </c>
      <c r="AF22">
        <v>2853530</v>
      </c>
      <c r="AG22">
        <v>2000769</v>
      </c>
      <c r="AH22">
        <v>1345187</v>
      </c>
      <c r="AI22">
        <v>4455085</v>
      </c>
      <c r="AJ22">
        <v>1341213</v>
      </c>
      <c r="AK22">
        <v>637218</v>
      </c>
      <c r="AL22">
        <v>1203977</v>
      </c>
      <c r="AM22">
        <v>568895</v>
      </c>
      <c r="AN22">
        <v>690460</v>
      </c>
      <c r="AO22">
        <v>2239024</v>
      </c>
    </row>
    <row r="23" spans="1:41" x14ac:dyDescent="0.4">
      <c r="A23" s="1" t="s">
        <v>34</v>
      </c>
      <c r="B23" s="1" t="s">
        <v>35</v>
      </c>
      <c r="C23">
        <v>7142666</v>
      </c>
      <c r="D23">
        <v>7057610</v>
      </c>
      <c r="E23">
        <v>5335132</v>
      </c>
      <c r="F23">
        <v>1086024</v>
      </c>
      <c r="G23">
        <v>622843</v>
      </c>
      <c r="H23">
        <v>551908</v>
      </c>
      <c r="I23">
        <v>32507</v>
      </c>
      <c r="J23">
        <v>33386</v>
      </c>
      <c r="K23">
        <v>29165</v>
      </c>
      <c r="L23">
        <v>93738</v>
      </c>
      <c r="M23">
        <v>95057</v>
      </c>
      <c r="N23">
        <v>1054548</v>
      </c>
      <c r="O23">
        <v>3885404</v>
      </c>
      <c r="P23">
        <v>3683600</v>
      </c>
      <c r="Q23">
        <v>1380348</v>
      </c>
      <c r="R23">
        <v>1877998</v>
      </c>
      <c r="S23">
        <v>928580</v>
      </c>
      <c r="T23">
        <v>398135</v>
      </c>
      <c r="U23">
        <v>10529799</v>
      </c>
      <c r="V23">
        <v>4651603</v>
      </c>
      <c r="W23">
        <v>9678757</v>
      </c>
      <c r="X23">
        <v>28834316</v>
      </c>
      <c r="Y23">
        <v>14333570</v>
      </c>
      <c r="Z23">
        <v>29223374</v>
      </c>
      <c r="AA23">
        <v>11412164</v>
      </c>
      <c r="AB23">
        <v>11763096</v>
      </c>
      <c r="AC23">
        <v>16699376</v>
      </c>
      <c r="AD23">
        <v>5072092</v>
      </c>
      <c r="AE23">
        <v>2275236</v>
      </c>
      <c r="AF23">
        <v>2689426</v>
      </c>
      <c r="AG23">
        <v>1982212</v>
      </c>
      <c r="AH23">
        <v>1424188</v>
      </c>
      <c r="AI23">
        <v>4590241</v>
      </c>
      <c r="AJ23">
        <v>1219275</v>
      </c>
      <c r="AK23">
        <v>605157</v>
      </c>
      <c r="AL23">
        <v>1277992</v>
      </c>
      <c r="AM23">
        <v>570582</v>
      </c>
      <c r="AN23">
        <v>667336</v>
      </c>
      <c r="AO23">
        <v>2230331</v>
      </c>
    </row>
    <row r="24" spans="1:41" x14ac:dyDescent="0.4">
      <c r="A24" s="1" t="s">
        <v>36</v>
      </c>
      <c r="B24" s="1" t="s">
        <v>37</v>
      </c>
      <c r="C24">
        <v>7054533</v>
      </c>
      <c r="D24">
        <v>6749502</v>
      </c>
      <c r="E24">
        <v>5428550</v>
      </c>
      <c r="F24">
        <v>1044943</v>
      </c>
      <c r="G24">
        <v>578186</v>
      </c>
      <c r="H24">
        <v>568138</v>
      </c>
      <c r="I24">
        <v>88889</v>
      </c>
      <c r="J24">
        <v>62380</v>
      </c>
      <c r="K24">
        <v>32138</v>
      </c>
      <c r="L24">
        <v>88126</v>
      </c>
      <c r="M24">
        <v>93648</v>
      </c>
      <c r="N24">
        <v>1046656</v>
      </c>
      <c r="O24">
        <v>3518309</v>
      </c>
      <c r="P24">
        <v>3449280</v>
      </c>
      <c r="Q24">
        <v>1339523</v>
      </c>
      <c r="R24">
        <v>1778335</v>
      </c>
      <c r="S24">
        <v>920619</v>
      </c>
      <c r="T24">
        <v>345271</v>
      </c>
      <c r="U24">
        <v>10545484</v>
      </c>
      <c r="V24">
        <v>4518103</v>
      </c>
      <c r="W24">
        <v>9102801</v>
      </c>
      <c r="X24">
        <v>27970065</v>
      </c>
      <c r="Y24">
        <v>14491895</v>
      </c>
      <c r="Z24">
        <v>28240134</v>
      </c>
      <c r="AA24">
        <v>10921617</v>
      </c>
      <c r="AB24">
        <v>11378990</v>
      </c>
      <c r="AC24">
        <v>16099936</v>
      </c>
      <c r="AD24">
        <v>4574546</v>
      </c>
      <c r="AE24">
        <v>1861955</v>
      </c>
      <c r="AF24">
        <v>2901833</v>
      </c>
      <c r="AG24">
        <v>1754515</v>
      </c>
      <c r="AH24">
        <v>1411377</v>
      </c>
      <c r="AI24">
        <v>4345224</v>
      </c>
      <c r="AJ24">
        <v>1119242</v>
      </c>
      <c r="AK24">
        <v>648828</v>
      </c>
      <c r="AL24">
        <v>1193521</v>
      </c>
      <c r="AM24">
        <v>524550</v>
      </c>
      <c r="AN24">
        <v>597259</v>
      </c>
      <c r="AO24">
        <v>2207644</v>
      </c>
    </row>
    <row r="25" spans="1:41" x14ac:dyDescent="0.4">
      <c r="A25" s="1" t="s">
        <v>38</v>
      </c>
      <c r="B25" s="1" t="s">
        <v>39</v>
      </c>
      <c r="C25">
        <v>7127521</v>
      </c>
      <c r="D25">
        <v>6697324</v>
      </c>
      <c r="E25">
        <v>5659531</v>
      </c>
      <c r="F25">
        <v>992821</v>
      </c>
      <c r="G25">
        <v>638516</v>
      </c>
      <c r="H25">
        <v>536537</v>
      </c>
      <c r="I25">
        <v>168060</v>
      </c>
      <c r="J25">
        <v>136299</v>
      </c>
      <c r="K25">
        <v>34122</v>
      </c>
      <c r="L25">
        <v>80785</v>
      </c>
      <c r="M25">
        <v>86325</v>
      </c>
      <c r="N25">
        <v>1039796</v>
      </c>
      <c r="O25">
        <v>3821395</v>
      </c>
      <c r="P25">
        <v>3657922</v>
      </c>
      <c r="Q25">
        <v>1373830</v>
      </c>
      <c r="R25">
        <v>1687805</v>
      </c>
      <c r="S25">
        <v>898401</v>
      </c>
      <c r="T25">
        <v>319469</v>
      </c>
      <c r="U25">
        <v>11231633</v>
      </c>
      <c r="V25">
        <v>4379297</v>
      </c>
      <c r="W25">
        <v>9387430</v>
      </c>
      <c r="X25">
        <v>28501874</v>
      </c>
      <c r="Y25">
        <v>12890793</v>
      </c>
      <c r="Z25">
        <v>30033554</v>
      </c>
      <c r="AA25">
        <v>11911038</v>
      </c>
      <c r="AB25">
        <v>12271148</v>
      </c>
      <c r="AC25">
        <v>15884692</v>
      </c>
      <c r="AD25">
        <v>4908054</v>
      </c>
      <c r="AE25">
        <v>2092382</v>
      </c>
      <c r="AF25">
        <v>2845132</v>
      </c>
      <c r="AG25">
        <v>1788277</v>
      </c>
      <c r="AH25">
        <v>1450884</v>
      </c>
      <c r="AI25">
        <v>4108394</v>
      </c>
      <c r="AJ25">
        <v>1348283</v>
      </c>
      <c r="AK25">
        <v>654125</v>
      </c>
      <c r="AL25">
        <v>1233522</v>
      </c>
      <c r="AM25">
        <v>530132</v>
      </c>
      <c r="AN25">
        <v>577581</v>
      </c>
      <c r="AO25">
        <v>2240782</v>
      </c>
    </row>
    <row r="26" spans="1:41" x14ac:dyDescent="0.4">
      <c r="A26" s="1" t="s">
        <v>40</v>
      </c>
      <c r="B26" s="1" t="s">
        <v>41</v>
      </c>
      <c r="C26">
        <v>7502504</v>
      </c>
      <c r="D26">
        <v>7112007</v>
      </c>
      <c r="E26">
        <v>5864959</v>
      </c>
      <c r="F26">
        <v>1051053</v>
      </c>
      <c r="G26">
        <v>671971</v>
      </c>
      <c r="H26">
        <v>523325</v>
      </c>
      <c r="I26">
        <v>178820</v>
      </c>
      <c r="J26">
        <v>137614</v>
      </c>
      <c r="K26">
        <v>38374</v>
      </c>
      <c r="L26">
        <v>89502</v>
      </c>
      <c r="M26">
        <v>88809</v>
      </c>
      <c r="N26">
        <v>1039091</v>
      </c>
      <c r="O26">
        <v>4083500</v>
      </c>
      <c r="P26">
        <v>3565294</v>
      </c>
      <c r="Q26">
        <v>1413716</v>
      </c>
      <c r="R26">
        <v>1712388</v>
      </c>
      <c r="S26">
        <v>896265</v>
      </c>
      <c r="T26">
        <v>415071</v>
      </c>
      <c r="U26">
        <v>11829315</v>
      </c>
      <c r="V26">
        <v>4111084</v>
      </c>
      <c r="W26">
        <v>10580199</v>
      </c>
      <c r="X26">
        <v>28730210</v>
      </c>
      <c r="Y26">
        <v>14967818</v>
      </c>
      <c r="Z26">
        <v>31340655</v>
      </c>
      <c r="AA26">
        <v>11648131</v>
      </c>
      <c r="AB26">
        <v>12028911</v>
      </c>
      <c r="AC26">
        <v>15692299</v>
      </c>
      <c r="AD26">
        <v>5443490</v>
      </c>
      <c r="AE26">
        <v>2096385</v>
      </c>
      <c r="AF26">
        <v>3439360</v>
      </c>
      <c r="AG26">
        <v>1903414</v>
      </c>
      <c r="AH26">
        <v>1593370</v>
      </c>
      <c r="AI26">
        <v>3775588</v>
      </c>
      <c r="AJ26">
        <v>1413506</v>
      </c>
      <c r="AK26">
        <v>678298</v>
      </c>
      <c r="AL26">
        <v>1236458</v>
      </c>
      <c r="AM26">
        <v>553424</v>
      </c>
      <c r="AN26">
        <v>634927</v>
      </c>
      <c r="AO26">
        <v>2233083</v>
      </c>
    </row>
    <row r="27" spans="1:41" x14ac:dyDescent="0.4">
      <c r="A27" s="1" t="s">
        <v>42</v>
      </c>
      <c r="B27" s="1" t="s">
        <v>43</v>
      </c>
      <c r="C27">
        <v>6887757</v>
      </c>
      <c r="D27">
        <v>7498246</v>
      </c>
      <c r="E27">
        <v>5021358</v>
      </c>
      <c r="F27">
        <v>1045909</v>
      </c>
      <c r="G27">
        <v>627217</v>
      </c>
      <c r="H27">
        <v>516110</v>
      </c>
      <c r="I27">
        <v>144804</v>
      </c>
      <c r="J27">
        <v>97507</v>
      </c>
      <c r="K27">
        <v>41358</v>
      </c>
      <c r="L27">
        <v>85860</v>
      </c>
      <c r="M27">
        <v>79374</v>
      </c>
      <c r="N27">
        <v>1044048</v>
      </c>
      <c r="O27">
        <v>4108341</v>
      </c>
      <c r="P27">
        <v>3616491</v>
      </c>
      <c r="Q27">
        <v>1430570</v>
      </c>
      <c r="R27">
        <v>1690213</v>
      </c>
      <c r="S27">
        <v>881736</v>
      </c>
      <c r="T27">
        <v>313755</v>
      </c>
      <c r="U27">
        <v>11714225</v>
      </c>
      <c r="V27">
        <v>5059833</v>
      </c>
      <c r="W27">
        <v>9527092</v>
      </c>
      <c r="X27">
        <v>29631809</v>
      </c>
      <c r="Y27">
        <v>14400474</v>
      </c>
      <c r="Z27">
        <v>29705086</v>
      </c>
      <c r="AA27">
        <v>12488820</v>
      </c>
      <c r="AB27">
        <v>12297690</v>
      </c>
      <c r="AC27">
        <v>16069125</v>
      </c>
      <c r="AD27">
        <v>5176030</v>
      </c>
      <c r="AE27">
        <v>2318949</v>
      </c>
      <c r="AF27">
        <v>3562444</v>
      </c>
      <c r="AG27">
        <v>1807135</v>
      </c>
      <c r="AH27">
        <v>1438725</v>
      </c>
      <c r="AI27">
        <v>3568707</v>
      </c>
      <c r="AJ27">
        <v>1424156</v>
      </c>
      <c r="AK27">
        <v>747218</v>
      </c>
      <c r="AL27">
        <v>1140214</v>
      </c>
      <c r="AM27">
        <v>534284</v>
      </c>
      <c r="AN27">
        <v>604307</v>
      </c>
      <c r="AO27">
        <v>2121064</v>
      </c>
    </row>
    <row r="28" spans="1:41" x14ac:dyDescent="0.4">
      <c r="A28" s="1" t="s">
        <v>44</v>
      </c>
      <c r="B28" s="1" t="s">
        <v>45</v>
      </c>
      <c r="C28">
        <v>7083342</v>
      </c>
      <c r="D28">
        <v>6677186</v>
      </c>
      <c r="E28">
        <v>5092224</v>
      </c>
      <c r="F28">
        <v>1099288</v>
      </c>
      <c r="G28">
        <v>637146</v>
      </c>
      <c r="H28">
        <v>517165</v>
      </c>
      <c r="I28">
        <v>157561</v>
      </c>
      <c r="J28">
        <v>114981</v>
      </c>
      <c r="K28">
        <v>42737</v>
      </c>
      <c r="L28">
        <v>94905</v>
      </c>
      <c r="M28">
        <v>94270</v>
      </c>
      <c r="N28">
        <v>1043510</v>
      </c>
      <c r="O28">
        <v>3894075</v>
      </c>
      <c r="P28">
        <v>3517198</v>
      </c>
      <c r="Q28">
        <v>1507499</v>
      </c>
      <c r="R28">
        <v>1592434</v>
      </c>
      <c r="S28">
        <v>851968</v>
      </c>
      <c r="T28">
        <v>352724</v>
      </c>
      <c r="U28">
        <v>11401482</v>
      </c>
      <c r="V28">
        <v>4517989</v>
      </c>
      <c r="W28">
        <v>9182413</v>
      </c>
      <c r="X28">
        <v>27688380</v>
      </c>
      <c r="Y28">
        <v>14543480</v>
      </c>
      <c r="Z28">
        <v>28868590</v>
      </c>
      <c r="AA28">
        <v>11320092</v>
      </c>
      <c r="AB28">
        <v>11534368</v>
      </c>
      <c r="AC28">
        <v>16249456</v>
      </c>
      <c r="AD28">
        <v>4767598</v>
      </c>
      <c r="AE28">
        <v>2175030</v>
      </c>
      <c r="AF28">
        <v>3336873</v>
      </c>
      <c r="AG28">
        <v>1635228</v>
      </c>
      <c r="AH28">
        <v>1323548</v>
      </c>
      <c r="AI28">
        <v>3328654</v>
      </c>
      <c r="AJ28">
        <v>1387522</v>
      </c>
      <c r="AK28">
        <v>657175</v>
      </c>
      <c r="AL28">
        <v>1183946</v>
      </c>
      <c r="AM28">
        <v>562399</v>
      </c>
      <c r="AN28">
        <v>577968</v>
      </c>
      <c r="AO28">
        <v>2135099</v>
      </c>
    </row>
    <row r="29" spans="1:41" x14ac:dyDescent="0.4">
      <c r="A29" s="1" t="s">
        <v>46</v>
      </c>
      <c r="B29" s="1" t="s">
        <v>47</v>
      </c>
      <c r="C29">
        <v>7670951</v>
      </c>
      <c r="D29">
        <v>7211195</v>
      </c>
      <c r="E29">
        <v>5357108</v>
      </c>
      <c r="F29">
        <v>1111083</v>
      </c>
      <c r="G29">
        <v>607749</v>
      </c>
      <c r="H29">
        <v>523604</v>
      </c>
      <c r="I29">
        <v>163084</v>
      </c>
      <c r="J29">
        <v>127736</v>
      </c>
      <c r="K29">
        <v>42731</v>
      </c>
      <c r="L29">
        <v>86013</v>
      </c>
      <c r="M29">
        <v>84133</v>
      </c>
      <c r="N29">
        <v>1044344</v>
      </c>
      <c r="O29">
        <v>3928158</v>
      </c>
      <c r="P29">
        <v>3711127</v>
      </c>
      <c r="Q29">
        <v>1533044</v>
      </c>
      <c r="R29">
        <v>1623116</v>
      </c>
      <c r="S29">
        <v>885703</v>
      </c>
      <c r="T29">
        <v>349434</v>
      </c>
      <c r="U29">
        <v>11610061</v>
      </c>
      <c r="V29">
        <v>4485475</v>
      </c>
      <c r="W29">
        <v>9247969</v>
      </c>
      <c r="X29">
        <v>29085082</v>
      </c>
      <c r="Y29">
        <v>14472470</v>
      </c>
      <c r="Z29">
        <v>30078819</v>
      </c>
      <c r="AA29">
        <v>12156301</v>
      </c>
      <c r="AB29">
        <v>12042180</v>
      </c>
      <c r="AC29">
        <v>16646404</v>
      </c>
      <c r="AD29">
        <v>4964088</v>
      </c>
      <c r="AE29">
        <v>2524622</v>
      </c>
      <c r="AF29">
        <v>3166903</v>
      </c>
      <c r="AG29">
        <v>1817652</v>
      </c>
      <c r="AH29">
        <v>1256718</v>
      </c>
      <c r="AI29">
        <v>3423450</v>
      </c>
      <c r="AJ29">
        <v>1366380</v>
      </c>
      <c r="AK29">
        <v>735130</v>
      </c>
      <c r="AL29">
        <v>1098233</v>
      </c>
      <c r="AM29">
        <v>557570</v>
      </c>
      <c r="AN29">
        <v>583965</v>
      </c>
      <c r="AO29">
        <v>2140145</v>
      </c>
    </row>
    <row r="30" spans="1:41" x14ac:dyDescent="0.4">
      <c r="A30" s="1" t="s">
        <v>48</v>
      </c>
      <c r="B30" s="1" t="s">
        <v>49</v>
      </c>
      <c r="C30">
        <v>7980458</v>
      </c>
      <c r="D30">
        <v>7730406</v>
      </c>
      <c r="E30">
        <v>5473002</v>
      </c>
      <c r="F30">
        <v>1322896</v>
      </c>
      <c r="G30">
        <v>774919</v>
      </c>
      <c r="H30">
        <v>534775</v>
      </c>
      <c r="I30">
        <v>86611</v>
      </c>
      <c r="J30">
        <v>63734</v>
      </c>
      <c r="K30">
        <v>39221</v>
      </c>
      <c r="L30">
        <v>83576</v>
      </c>
      <c r="M30">
        <v>84322</v>
      </c>
      <c r="N30">
        <v>1042432</v>
      </c>
      <c r="O30">
        <v>3947334</v>
      </c>
      <c r="P30">
        <v>3703547</v>
      </c>
      <c r="Q30">
        <v>1407123</v>
      </c>
      <c r="R30">
        <v>1722141</v>
      </c>
      <c r="S30">
        <v>939790</v>
      </c>
      <c r="T30">
        <v>335807</v>
      </c>
      <c r="U30">
        <v>12164241</v>
      </c>
      <c r="V30">
        <v>4604180</v>
      </c>
      <c r="W30">
        <v>9251048</v>
      </c>
      <c r="X30">
        <v>28008946</v>
      </c>
      <c r="Y30">
        <v>15345461</v>
      </c>
      <c r="Z30">
        <v>29229215</v>
      </c>
      <c r="AA30">
        <v>12150396</v>
      </c>
      <c r="AB30">
        <v>12090923</v>
      </c>
      <c r="AC30">
        <v>17023870</v>
      </c>
      <c r="AD30">
        <v>4623697</v>
      </c>
      <c r="AE30">
        <v>2284206</v>
      </c>
      <c r="AF30">
        <v>3249643</v>
      </c>
      <c r="AG30">
        <v>2121513</v>
      </c>
      <c r="AH30">
        <v>1682697</v>
      </c>
      <c r="AI30">
        <v>3322605</v>
      </c>
      <c r="AJ30">
        <v>1445136</v>
      </c>
      <c r="AK30">
        <v>774114</v>
      </c>
      <c r="AL30">
        <v>1123755</v>
      </c>
      <c r="AM30">
        <v>588255</v>
      </c>
      <c r="AN30">
        <v>648089</v>
      </c>
      <c r="AO30">
        <v>2133218</v>
      </c>
    </row>
    <row r="31" spans="1:41" x14ac:dyDescent="0.4">
      <c r="A31" s="1" t="s">
        <v>50</v>
      </c>
      <c r="B31" s="1" t="s">
        <v>51</v>
      </c>
      <c r="C31">
        <v>6267434</v>
      </c>
      <c r="D31">
        <v>6088157</v>
      </c>
      <c r="E31">
        <v>5481768</v>
      </c>
      <c r="F31">
        <v>965525</v>
      </c>
      <c r="G31">
        <v>551799</v>
      </c>
      <c r="H31">
        <v>544540</v>
      </c>
      <c r="I31">
        <v>69172</v>
      </c>
      <c r="J31">
        <v>52358</v>
      </c>
      <c r="K31">
        <v>27666</v>
      </c>
      <c r="L31">
        <v>70229</v>
      </c>
      <c r="M31">
        <v>70103</v>
      </c>
      <c r="N31">
        <v>1041680</v>
      </c>
      <c r="O31">
        <v>3854740</v>
      </c>
      <c r="P31">
        <v>3494331</v>
      </c>
      <c r="Q31">
        <v>1407075</v>
      </c>
      <c r="R31">
        <v>1569799</v>
      </c>
      <c r="S31">
        <v>898250</v>
      </c>
      <c r="T31">
        <v>372863</v>
      </c>
      <c r="U31">
        <v>10621567</v>
      </c>
      <c r="V31">
        <v>3772468</v>
      </c>
      <c r="W31">
        <v>9523345</v>
      </c>
      <c r="X31">
        <v>22814421</v>
      </c>
      <c r="Y31">
        <v>13078217</v>
      </c>
      <c r="Z31">
        <v>29161124</v>
      </c>
      <c r="AA31">
        <v>10971204</v>
      </c>
      <c r="AB31">
        <v>11543933</v>
      </c>
      <c r="AC31">
        <v>16787396</v>
      </c>
      <c r="AD31">
        <v>3898740</v>
      </c>
      <c r="AE31">
        <v>2075292</v>
      </c>
      <c r="AF31">
        <v>3002384</v>
      </c>
      <c r="AG31">
        <v>1553535</v>
      </c>
      <c r="AH31">
        <v>1014367</v>
      </c>
      <c r="AI31">
        <v>3340468</v>
      </c>
      <c r="AJ31">
        <v>1143587</v>
      </c>
      <c r="AK31">
        <v>617574</v>
      </c>
      <c r="AL31">
        <v>1173370</v>
      </c>
      <c r="AM31">
        <v>521459</v>
      </c>
      <c r="AN31">
        <v>595705</v>
      </c>
      <c r="AO31">
        <v>2112472</v>
      </c>
    </row>
    <row r="32" spans="1:41" x14ac:dyDescent="0.4">
      <c r="A32" s="1" t="s">
        <v>52</v>
      </c>
      <c r="B32" s="1" t="s">
        <v>53</v>
      </c>
      <c r="C32">
        <v>7687592</v>
      </c>
      <c r="D32">
        <v>7146508</v>
      </c>
      <c r="E32">
        <v>5839011</v>
      </c>
      <c r="F32">
        <v>1091765</v>
      </c>
      <c r="G32">
        <v>698830</v>
      </c>
      <c r="H32">
        <v>540782</v>
      </c>
      <c r="I32">
        <v>48830</v>
      </c>
      <c r="J32">
        <v>38614</v>
      </c>
      <c r="K32">
        <v>27211</v>
      </c>
      <c r="L32">
        <v>72769</v>
      </c>
      <c r="M32">
        <v>77355</v>
      </c>
      <c r="N32">
        <v>1035858</v>
      </c>
      <c r="O32">
        <v>4014348</v>
      </c>
      <c r="P32">
        <v>3670172</v>
      </c>
      <c r="Q32">
        <v>1407457</v>
      </c>
      <c r="R32">
        <v>1739527</v>
      </c>
      <c r="S32">
        <v>957808</v>
      </c>
      <c r="T32">
        <v>320211</v>
      </c>
      <c r="U32">
        <v>12541348</v>
      </c>
      <c r="V32">
        <v>4592016</v>
      </c>
      <c r="W32">
        <v>9320057</v>
      </c>
      <c r="X32">
        <v>26265428</v>
      </c>
      <c r="Y32">
        <v>14325537</v>
      </c>
      <c r="Z32">
        <v>30334076</v>
      </c>
      <c r="AA32">
        <v>12992908</v>
      </c>
      <c r="AB32">
        <v>12681770</v>
      </c>
      <c r="AC32">
        <v>17098208</v>
      </c>
      <c r="AD32">
        <v>4470614</v>
      </c>
      <c r="AE32">
        <v>2216938</v>
      </c>
      <c r="AF32">
        <v>2877640</v>
      </c>
      <c r="AG32">
        <v>1746076</v>
      </c>
      <c r="AH32">
        <v>1360339</v>
      </c>
      <c r="AI32">
        <v>3137308</v>
      </c>
      <c r="AJ32">
        <v>1339411</v>
      </c>
      <c r="AK32">
        <v>670840</v>
      </c>
      <c r="AL32">
        <v>1050010</v>
      </c>
      <c r="AM32">
        <v>530027</v>
      </c>
      <c r="AN32">
        <v>617595</v>
      </c>
      <c r="AO32">
        <v>2085039</v>
      </c>
    </row>
    <row r="33" spans="1:41" x14ac:dyDescent="0.4">
      <c r="A33" s="1" t="s">
        <v>54</v>
      </c>
      <c r="B33" s="1" t="s">
        <v>55</v>
      </c>
      <c r="C33">
        <v>7653698</v>
      </c>
      <c r="D33">
        <v>8145534</v>
      </c>
      <c r="E33">
        <v>5127518</v>
      </c>
      <c r="F33">
        <v>1184824</v>
      </c>
      <c r="G33">
        <v>757844</v>
      </c>
      <c r="H33">
        <v>533400</v>
      </c>
      <c r="I33">
        <v>66478</v>
      </c>
      <c r="J33">
        <v>56410</v>
      </c>
      <c r="K33">
        <v>29249</v>
      </c>
      <c r="L33">
        <v>92204</v>
      </c>
      <c r="M33">
        <v>82833</v>
      </c>
      <c r="N33">
        <v>1044293</v>
      </c>
      <c r="O33">
        <v>3950183</v>
      </c>
      <c r="P33">
        <v>3680981</v>
      </c>
      <c r="Q33">
        <v>1371980</v>
      </c>
      <c r="R33">
        <v>1820713</v>
      </c>
      <c r="S33">
        <v>1013059</v>
      </c>
      <c r="T33">
        <v>281337</v>
      </c>
      <c r="U33">
        <v>12941585</v>
      </c>
      <c r="V33">
        <v>4864246</v>
      </c>
      <c r="W33">
        <v>9441872</v>
      </c>
      <c r="X33">
        <v>27885047</v>
      </c>
      <c r="Y33">
        <v>16335150</v>
      </c>
      <c r="Z33">
        <v>29701774</v>
      </c>
      <c r="AA33">
        <v>13978261</v>
      </c>
      <c r="AB33">
        <v>12244640</v>
      </c>
      <c r="AC33">
        <v>19002202</v>
      </c>
      <c r="AD33">
        <v>4596559</v>
      </c>
      <c r="AE33">
        <v>2288655</v>
      </c>
      <c r="AF33">
        <v>3109464</v>
      </c>
      <c r="AG33">
        <v>1877941</v>
      </c>
      <c r="AH33">
        <v>1293589</v>
      </c>
      <c r="AI33">
        <v>3323441</v>
      </c>
      <c r="AJ33">
        <v>1448560</v>
      </c>
      <c r="AK33">
        <v>727730</v>
      </c>
      <c r="AL33">
        <v>1092418</v>
      </c>
      <c r="AM33">
        <v>558890</v>
      </c>
      <c r="AN33">
        <v>611793</v>
      </c>
      <c r="AO33">
        <v>2122099</v>
      </c>
    </row>
    <row r="34" spans="1:41" x14ac:dyDescent="0.4">
      <c r="A34" s="1" t="s">
        <v>56</v>
      </c>
      <c r="B34" s="1" t="s">
        <v>57</v>
      </c>
      <c r="C34">
        <v>7490030</v>
      </c>
      <c r="D34">
        <v>6891204</v>
      </c>
      <c r="E34">
        <v>5542580</v>
      </c>
      <c r="F34">
        <v>1090100</v>
      </c>
      <c r="G34">
        <v>729577</v>
      </c>
      <c r="H34">
        <v>522962</v>
      </c>
      <c r="I34">
        <v>87945</v>
      </c>
      <c r="J34">
        <v>61910</v>
      </c>
      <c r="K34">
        <v>29302</v>
      </c>
      <c r="L34">
        <v>83807</v>
      </c>
      <c r="M34">
        <v>79641</v>
      </c>
      <c r="N34">
        <v>1047958</v>
      </c>
      <c r="O34">
        <v>4021570</v>
      </c>
      <c r="P34">
        <v>3824488</v>
      </c>
      <c r="Q34">
        <v>1293317</v>
      </c>
      <c r="R34">
        <v>1802817</v>
      </c>
      <c r="S34">
        <v>966101</v>
      </c>
      <c r="T34">
        <v>332292</v>
      </c>
      <c r="U34">
        <v>11920103</v>
      </c>
      <c r="V34">
        <v>4939587</v>
      </c>
      <c r="W34">
        <v>8568090</v>
      </c>
      <c r="X34">
        <v>25247376</v>
      </c>
      <c r="Y34">
        <v>13932274</v>
      </c>
      <c r="Z34">
        <v>29102859</v>
      </c>
      <c r="AA34">
        <v>11622076</v>
      </c>
      <c r="AB34">
        <v>12476363</v>
      </c>
      <c r="AC34">
        <v>18315626</v>
      </c>
      <c r="AD34">
        <v>4183377</v>
      </c>
      <c r="AE34">
        <v>2309675</v>
      </c>
      <c r="AF34">
        <v>2949434</v>
      </c>
      <c r="AG34">
        <v>1693611</v>
      </c>
      <c r="AH34">
        <v>1320841</v>
      </c>
      <c r="AI34">
        <v>3247741</v>
      </c>
      <c r="AJ34">
        <v>1340298</v>
      </c>
      <c r="AK34">
        <v>683547</v>
      </c>
      <c r="AL34">
        <v>1196748</v>
      </c>
      <c r="AM34">
        <v>530677</v>
      </c>
      <c r="AN34">
        <v>612203</v>
      </c>
      <c r="AO34">
        <v>2105559</v>
      </c>
    </row>
    <row r="35" spans="1:41" x14ac:dyDescent="0.4">
      <c r="A35" s="1" t="s">
        <v>58</v>
      </c>
      <c r="B35" s="1" t="s">
        <v>59</v>
      </c>
      <c r="C35">
        <v>7038437</v>
      </c>
      <c r="D35">
        <v>6917068</v>
      </c>
      <c r="E35">
        <v>5463847</v>
      </c>
      <c r="F35">
        <v>845735</v>
      </c>
      <c r="G35">
        <v>511751</v>
      </c>
      <c r="H35">
        <v>506977</v>
      </c>
      <c r="I35">
        <v>104249</v>
      </c>
      <c r="J35">
        <v>87516</v>
      </c>
      <c r="K35">
        <v>24802</v>
      </c>
      <c r="L35">
        <v>87995</v>
      </c>
      <c r="M35">
        <v>96138</v>
      </c>
      <c r="N35">
        <v>1038823</v>
      </c>
      <c r="O35">
        <v>3944113</v>
      </c>
      <c r="P35">
        <v>3683143</v>
      </c>
      <c r="Q35">
        <v>1287470</v>
      </c>
      <c r="R35">
        <v>1856248</v>
      </c>
      <c r="S35">
        <v>984203</v>
      </c>
      <c r="T35">
        <v>355568</v>
      </c>
      <c r="U35">
        <v>11354306</v>
      </c>
      <c r="V35">
        <v>5390110</v>
      </c>
      <c r="W35">
        <v>7955277</v>
      </c>
      <c r="X35">
        <v>23672700</v>
      </c>
      <c r="Y35">
        <v>14353569</v>
      </c>
      <c r="Z35">
        <v>29509033</v>
      </c>
      <c r="AA35">
        <v>10942125</v>
      </c>
      <c r="AB35">
        <v>11545505</v>
      </c>
      <c r="AC35">
        <v>18141200</v>
      </c>
      <c r="AD35">
        <v>4207445</v>
      </c>
      <c r="AE35">
        <v>2106303</v>
      </c>
      <c r="AF35">
        <v>2932632</v>
      </c>
      <c r="AG35">
        <v>1771331</v>
      </c>
      <c r="AH35">
        <v>1395363</v>
      </c>
      <c r="AI35">
        <v>3114013</v>
      </c>
      <c r="AJ35">
        <v>1261110</v>
      </c>
      <c r="AK35">
        <v>673396</v>
      </c>
      <c r="AL35">
        <v>1193785</v>
      </c>
      <c r="AM35">
        <v>557207</v>
      </c>
      <c r="AN35">
        <v>615719</v>
      </c>
      <c r="AO35">
        <v>2075143</v>
      </c>
    </row>
    <row r="36" spans="1:41" x14ac:dyDescent="0.4">
      <c r="A36" s="1" t="s">
        <v>60</v>
      </c>
      <c r="B36" s="1" t="s">
        <v>61</v>
      </c>
      <c r="C36">
        <v>6569892</v>
      </c>
      <c r="D36">
        <v>6310575</v>
      </c>
      <c r="E36">
        <v>5548526</v>
      </c>
      <c r="F36">
        <v>788613</v>
      </c>
      <c r="G36">
        <v>492497</v>
      </c>
      <c r="H36">
        <v>517147</v>
      </c>
      <c r="I36">
        <v>157531</v>
      </c>
      <c r="J36">
        <v>122980</v>
      </c>
      <c r="K36">
        <v>25253</v>
      </c>
      <c r="L36">
        <v>80724</v>
      </c>
      <c r="M36">
        <v>82679</v>
      </c>
      <c r="N36">
        <v>1036051</v>
      </c>
      <c r="O36">
        <v>3969128</v>
      </c>
      <c r="P36">
        <v>3612965</v>
      </c>
      <c r="Q36">
        <v>1313012</v>
      </c>
      <c r="R36">
        <v>1825832</v>
      </c>
      <c r="S36">
        <v>1004061</v>
      </c>
      <c r="T36">
        <v>335468</v>
      </c>
      <c r="U36">
        <v>11170919</v>
      </c>
      <c r="V36">
        <v>4296690</v>
      </c>
      <c r="W36">
        <v>7437153</v>
      </c>
      <c r="X36">
        <v>22829002</v>
      </c>
      <c r="Y36">
        <v>14255572</v>
      </c>
      <c r="Z36">
        <v>28395842</v>
      </c>
      <c r="AA36">
        <v>10096073</v>
      </c>
      <c r="AB36">
        <v>10266206</v>
      </c>
      <c r="AC36">
        <v>18071531</v>
      </c>
      <c r="AD36">
        <v>4052718</v>
      </c>
      <c r="AE36">
        <v>1953898</v>
      </c>
      <c r="AF36">
        <v>2920096</v>
      </c>
      <c r="AG36">
        <v>1837933</v>
      </c>
      <c r="AH36">
        <v>1236302</v>
      </c>
      <c r="AI36">
        <v>3292311</v>
      </c>
      <c r="AJ36">
        <v>1211864</v>
      </c>
      <c r="AK36">
        <v>602596</v>
      </c>
      <c r="AL36">
        <v>1182411</v>
      </c>
      <c r="AM36">
        <v>533934</v>
      </c>
      <c r="AN36">
        <v>527571</v>
      </c>
      <c r="AO36">
        <v>2090147</v>
      </c>
    </row>
    <row r="37" spans="1:41" x14ac:dyDescent="0.4">
      <c r="A37" s="1" t="s">
        <v>62</v>
      </c>
      <c r="B37" s="1" t="s">
        <v>63</v>
      </c>
      <c r="C37">
        <v>7153874</v>
      </c>
      <c r="D37">
        <v>6649646</v>
      </c>
      <c r="E37">
        <v>5956464</v>
      </c>
      <c r="F37">
        <v>850559</v>
      </c>
      <c r="G37">
        <v>532770</v>
      </c>
      <c r="H37">
        <v>540999</v>
      </c>
      <c r="I37">
        <v>210509</v>
      </c>
      <c r="J37">
        <v>151757</v>
      </c>
      <c r="K37">
        <v>26253</v>
      </c>
      <c r="L37">
        <v>69551</v>
      </c>
      <c r="M37">
        <v>69030</v>
      </c>
      <c r="N37">
        <v>1035529</v>
      </c>
      <c r="O37">
        <v>4340512</v>
      </c>
      <c r="P37">
        <v>4032975</v>
      </c>
      <c r="Q37">
        <v>1297631</v>
      </c>
      <c r="R37">
        <v>1845782</v>
      </c>
      <c r="S37">
        <v>1030941</v>
      </c>
      <c r="T37">
        <v>311765</v>
      </c>
      <c r="U37">
        <v>12343956</v>
      </c>
      <c r="V37">
        <v>4381947</v>
      </c>
      <c r="W37">
        <v>8702225</v>
      </c>
      <c r="X37">
        <v>24441597</v>
      </c>
      <c r="Y37">
        <v>13494582</v>
      </c>
      <c r="Z37">
        <v>29784518</v>
      </c>
      <c r="AA37">
        <v>10713014</v>
      </c>
      <c r="AB37">
        <v>11036840</v>
      </c>
      <c r="AC37">
        <v>18041344</v>
      </c>
      <c r="AD37">
        <v>4310563</v>
      </c>
      <c r="AE37">
        <v>2131186</v>
      </c>
      <c r="AF37">
        <v>2839683</v>
      </c>
      <c r="AG37">
        <v>1802509</v>
      </c>
      <c r="AH37">
        <v>1581758</v>
      </c>
      <c r="AI37">
        <v>3112375</v>
      </c>
      <c r="AJ37">
        <v>1246925</v>
      </c>
      <c r="AK37">
        <v>679116</v>
      </c>
      <c r="AL37">
        <v>1237304</v>
      </c>
      <c r="AM37">
        <v>539651</v>
      </c>
      <c r="AN37">
        <v>585398</v>
      </c>
      <c r="AO37">
        <v>2092983</v>
      </c>
    </row>
    <row r="38" spans="1:41" x14ac:dyDescent="0.4">
      <c r="A38" s="1" t="s">
        <v>64</v>
      </c>
      <c r="B38" s="1" t="s">
        <v>65</v>
      </c>
      <c r="C38">
        <v>7659016</v>
      </c>
      <c r="D38">
        <v>7209710</v>
      </c>
      <c r="E38">
        <v>6256581</v>
      </c>
      <c r="F38">
        <v>949597</v>
      </c>
      <c r="G38">
        <v>622284</v>
      </c>
      <c r="H38">
        <v>533344</v>
      </c>
      <c r="I38">
        <v>211538</v>
      </c>
      <c r="J38">
        <v>154075</v>
      </c>
      <c r="K38">
        <v>28236</v>
      </c>
      <c r="L38">
        <v>80190</v>
      </c>
      <c r="M38">
        <v>82545</v>
      </c>
      <c r="N38">
        <v>1032051</v>
      </c>
      <c r="O38">
        <v>4381869</v>
      </c>
      <c r="P38">
        <v>3889829</v>
      </c>
      <c r="Q38">
        <v>1447081</v>
      </c>
      <c r="R38">
        <v>1934011</v>
      </c>
      <c r="S38">
        <v>972299</v>
      </c>
      <c r="T38">
        <v>417026</v>
      </c>
      <c r="U38">
        <v>12936020</v>
      </c>
      <c r="V38">
        <v>4174337</v>
      </c>
      <c r="W38">
        <v>9902817</v>
      </c>
      <c r="X38">
        <v>25523717</v>
      </c>
      <c r="Y38">
        <v>14547215</v>
      </c>
      <c r="Z38">
        <v>31532008</v>
      </c>
      <c r="AA38">
        <v>11500563</v>
      </c>
      <c r="AB38">
        <v>10135389</v>
      </c>
      <c r="AC38">
        <v>19174920</v>
      </c>
      <c r="AD38">
        <v>4494000</v>
      </c>
      <c r="AE38">
        <v>2331390</v>
      </c>
      <c r="AF38">
        <v>3029110</v>
      </c>
      <c r="AG38">
        <v>1748809</v>
      </c>
      <c r="AH38">
        <v>1586455</v>
      </c>
      <c r="AI38">
        <v>2839308</v>
      </c>
      <c r="AJ38">
        <v>1271846</v>
      </c>
      <c r="AK38">
        <v>632696</v>
      </c>
      <c r="AL38">
        <v>1224958</v>
      </c>
      <c r="AM38">
        <v>581410</v>
      </c>
      <c r="AN38">
        <v>601327</v>
      </c>
      <c r="AO38">
        <v>2100852</v>
      </c>
    </row>
    <row r="39" spans="1:41" x14ac:dyDescent="0.4">
      <c r="A39" s="1"/>
      <c r="B39" s="1"/>
    </row>
    <row r="40" spans="1:41" x14ac:dyDescent="0.4">
      <c r="A40" s="1"/>
      <c r="B40" s="1"/>
    </row>
  </sheetData>
  <phoneticPr fontId="2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7CE66-C645-4082-BFC2-DEEDD2002E41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1882</v>
      </c>
      <c r="D3" t="s">
        <v>1882</v>
      </c>
      <c r="E3" t="s">
        <v>1882</v>
      </c>
      <c r="F3" t="s">
        <v>1882</v>
      </c>
      <c r="G3" t="s">
        <v>1884</v>
      </c>
      <c r="H3" t="s">
        <v>1884</v>
      </c>
      <c r="I3" t="s">
        <v>1884</v>
      </c>
      <c r="J3" t="s">
        <v>1884</v>
      </c>
      <c r="K3" t="s">
        <v>1886</v>
      </c>
      <c r="L3" t="s">
        <v>1886</v>
      </c>
      <c r="M3" t="s">
        <v>1886</v>
      </c>
      <c r="N3" t="s">
        <v>1886</v>
      </c>
      <c r="O3" t="s">
        <v>1888</v>
      </c>
      <c r="P3" t="s">
        <v>1888</v>
      </c>
      <c r="Q3" t="s">
        <v>1888</v>
      </c>
      <c r="R3" t="s">
        <v>1888</v>
      </c>
    </row>
    <row r="4" spans="1:18" x14ac:dyDescent="0.4">
      <c r="A4" s="1"/>
      <c r="B4" s="2" t="s">
        <v>1</v>
      </c>
      <c r="C4" t="s">
        <v>1883</v>
      </c>
      <c r="D4" t="s">
        <v>1883</v>
      </c>
      <c r="E4" t="s">
        <v>1883</v>
      </c>
      <c r="F4" t="s">
        <v>1883</v>
      </c>
      <c r="G4" t="s">
        <v>1885</v>
      </c>
      <c r="H4" t="s">
        <v>1885</v>
      </c>
      <c r="I4" t="s">
        <v>1885</v>
      </c>
      <c r="J4" t="s">
        <v>1885</v>
      </c>
      <c r="K4" t="s">
        <v>1887</v>
      </c>
      <c r="L4" t="s">
        <v>1887</v>
      </c>
      <c r="M4" t="s">
        <v>1887</v>
      </c>
      <c r="N4" t="s">
        <v>1887</v>
      </c>
      <c r="O4" t="s">
        <v>1889</v>
      </c>
      <c r="P4" t="s">
        <v>1889</v>
      </c>
      <c r="Q4" t="s">
        <v>1889</v>
      </c>
      <c r="R4" t="s">
        <v>1889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</row>
    <row r="8" spans="1:18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</row>
    <row r="9" spans="1:18" x14ac:dyDescent="0.4">
      <c r="A9" s="1" t="s">
        <v>6</v>
      </c>
      <c r="B9" s="3" t="s">
        <v>7</v>
      </c>
      <c r="C9">
        <v>45652713</v>
      </c>
      <c r="D9">
        <v>49176039</v>
      </c>
      <c r="E9">
        <v>48430925</v>
      </c>
      <c r="F9">
        <v>3620864</v>
      </c>
      <c r="G9">
        <v>5045803</v>
      </c>
      <c r="H9">
        <v>5246892</v>
      </c>
      <c r="I9">
        <v>4788032</v>
      </c>
      <c r="J9">
        <v>158435</v>
      </c>
      <c r="K9">
        <v>263767026</v>
      </c>
      <c r="L9">
        <v>248093881</v>
      </c>
      <c r="M9">
        <v>173549752</v>
      </c>
      <c r="N9">
        <v>27447326</v>
      </c>
      <c r="O9">
        <v>36490110</v>
      </c>
      <c r="P9">
        <v>35911653</v>
      </c>
      <c r="Q9">
        <v>37054233</v>
      </c>
      <c r="R9">
        <v>6197323</v>
      </c>
    </row>
    <row r="10" spans="1:18" x14ac:dyDescent="0.4">
      <c r="A10" s="1" t="s">
        <v>8</v>
      </c>
      <c r="B10" s="3" t="s">
        <v>9</v>
      </c>
      <c r="C10">
        <v>43596905</v>
      </c>
      <c r="D10">
        <v>48403120</v>
      </c>
      <c r="E10">
        <v>51859186</v>
      </c>
      <c r="F10">
        <v>3193948</v>
      </c>
      <c r="G10">
        <v>6872004</v>
      </c>
      <c r="H10">
        <v>7102037</v>
      </c>
      <c r="I10">
        <v>5561001</v>
      </c>
      <c r="J10">
        <v>227738</v>
      </c>
      <c r="K10">
        <v>255901002</v>
      </c>
      <c r="L10">
        <v>241214926</v>
      </c>
      <c r="M10">
        <v>173905066</v>
      </c>
      <c r="N10">
        <v>25277561</v>
      </c>
      <c r="O10">
        <v>36359290</v>
      </c>
      <c r="P10">
        <v>36627771</v>
      </c>
      <c r="Q10">
        <v>38375407</v>
      </c>
      <c r="R10">
        <v>6603174</v>
      </c>
    </row>
    <row r="11" spans="1:18" x14ac:dyDescent="0.4">
      <c r="A11" s="1" t="s">
        <v>10</v>
      </c>
      <c r="B11" s="3" t="s">
        <v>11</v>
      </c>
      <c r="C11">
        <v>41634002</v>
      </c>
      <c r="D11">
        <v>46167333</v>
      </c>
      <c r="E11">
        <v>54177492</v>
      </c>
      <c r="F11">
        <v>3201009</v>
      </c>
      <c r="G11">
        <v>7819076</v>
      </c>
      <c r="H11">
        <v>8358601</v>
      </c>
      <c r="I11">
        <v>5854000</v>
      </c>
      <c r="J11">
        <v>214317</v>
      </c>
      <c r="K11">
        <v>236231297</v>
      </c>
      <c r="L11">
        <v>222956675</v>
      </c>
      <c r="M11">
        <v>165676738</v>
      </c>
      <c r="N11">
        <v>25941712</v>
      </c>
      <c r="O11">
        <v>35223079</v>
      </c>
      <c r="P11">
        <v>35335419</v>
      </c>
      <c r="Q11">
        <v>39177180</v>
      </c>
      <c r="R11">
        <v>6854123</v>
      </c>
    </row>
    <row r="12" spans="1:18" x14ac:dyDescent="0.4">
      <c r="A12" s="1" t="s">
        <v>12</v>
      </c>
      <c r="B12" s="3" t="s">
        <v>13</v>
      </c>
      <c r="C12">
        <v>40970865</v>
      </c>
      <c r="D12">
        <v>45152036</v>
      </c>
      <c r="E12">
        <v>55007377</v>
      </c>
      <c r="F12">
        <v>3145689</v>
      </c>
      <c r="G12">
        <v>6844913</v>
      </c>
      <c r="H12">
        <v>7272020</v>
      </c>
      <c r="I12">
        <v>5568997</v>
      </c>
      <c r="J12">
        <v>219255</v>
      </c>
      <c r="K12">
        <v>234649182</v>
      </c>
      <c r="L12">
        <v>224482371</v>
      </c>
      <c r="M12">
        <v>168499494</v>
      </c>
      <c r="N12">
        <v>22637651</v>
      </c>
      <c r="O12">
        <v>34528223</v>
      </c>
      <c r="P12">
        <v>35515049</v>
      </c>
      <c r="Q12">
        <v>39599764</v>
      </c>
      <c r="R12">
        <v>5901483</v>
      </c>
    </row>
    <row r="13" spans="1:18" x14ac:dyDescent="0.4">
      <c r="A13" s="1" t="s">
        <v>14</v>
      </c>
      <c r="B13" s="3" t="s">
        <v>15</v>
      </c>
      <c r="C13">
        <v>40637246</v>
      </c>
      <c r="D13">
        <v>45236192</v>
      </c>
      <c r="E13">
        <v>57339419</v>
      </c>
      <c r="F13">
        <v>2909078</v>
      </c>
      <c r="G13">
        <v>7434987</v>
      </c>
      <c r="H13">
        <v>7840163</v>
      </c>
      <c r="I13">
        <v>5942700</v>
      </c>
      <c r="J13">
        <v>262097</v>
      </c>
      <c r="K13">
        <v>223190670</v>
      </c>
      <c r="L13">
        <v>212972009</v>
      </c>
      <c r="M13">
        <v>164166100</v>
      </c>
      <c r="N13">
        <v>24749658</v>
      </c>
      <c r="O13">
        <v>33800006</v>
      </c>
      <c r="P13">
        <v>33343883</v>
      </c>
      <c r="Q13">
        <v>38081441</v>
      </c>
      <c r="R13">
        <v>6468928</v>
      </c>
    </row>
    <row r="14" spans="1:18" x14ac:dyDescent="0.4">
      <c r="A14" s="1" t="s">
        <v>16</v>
      </c>
      <c r="B14" s="1" t="s">
        <v>17</v>
      </c>
      <c r="C14">
        <v>3920210</v>
      </c>
      <c r="D14">
        <v>4108470</v>
      </c>
      <c r="E14">
        <v>4916425</v>
      </c>
      <c r="F14">
        <v>3494754</v>
      </c>
      <c r="G14">
        <v>555082</v>
      </c>
      <c r="H14">
        <v>582374</v>
      </c>
      <c r="I14">
        <v>420445</v>
      </c>
      <c r="J14">
        <v>238364</v>
      </c>
      <c r="K14">
        <v>19478691</v>
      </c>
      <c r="L14">
        <v>18787163</v>
      </c>
      <c r="M14">
        <v>14081052</v>
      </c>
      <c r="N14">
        <v>22593190</v>
      </c>
      <c r="O14">
        <v>2970196</v>
      </c>
      <c r="P14">
        <v>2980574</v>
      </c>
      <c r="Q14">
        <v>3268701</v>
      </c>
      <c r="R14">
        <v>6484236</v>
      </c>
    </row>
    <row r="15" spans="1:18" x14ac:dyDescent="0.4">
      <c r="A15" s="1" t="s">
        <v>18</v>
      </c>
      <c r="B15" s="1" t="s">
        <v>19</v>
      </c>
      <c r="C15">
        <v>3702587</v>
      </c>
      <c r="D15">
        <v>4439868</v>
      </c>
      <c r="E15">
        <v>5351169</v>
      </c>
      <c r="F15">
        <v>3151070</v>
      </c>
      <c r="G15">
        <v>518299</v>
      </c>
      <c r="H15">
        <v>582539</v>
      </c>
      <c r="I15">
        <v>434370</v>
      </c>
      <c r="J15">
        <v>211149</v>
      </c>
      <c r="K15">
        <v>20328745</v>
      </c>
      <c r="L15">
        <v>19426060</v>
      </c>
      <c r="M15">
        <v>14311765</v>
      </c>
      <c r="N15">
        <v>22728857</v>
      </c>
      <c r="O15">
        <v>2676788</v>
      </c>
      <c r="P15">
        <v>2930424</v>
      </c>
      <c r="Q15">
        <v>3301880</v>
      </c>
      <c r="R15">
        <v>6234817</v>
      </c>
    </row>
    <row r="16" spans="1:18" x14ac:dyDescent="0.4">
      <c r="A16" s="1" t="s">
        <v>20</v>
      </c>
      <c r="B16" s="1" t="s">
        <v>21</v>
      </c>
      <c r="C16">
        <v>3284354</v>
      </c>
      <c r="D16">
        <v>3630146</v>
      </c>
      <c r="E16">
        <v>4350977</v>
      </c>
      <c r="F16">
        <v>3218156</v>
      </c>
      <c r="G16">
        <v>561197</v>
      </c>
      <c r="H16">
        <v>575778</v>
      </c>
      <c r="I16">
        <v>429404</v>
      </c>
      <c r="J16">
        <v>235235</v>
      </c>
      <c r="K16">
        <v>18566658</v>
      </c>
      <c r="L16">
        <v>18028393</v>
      </c>
      <c r="M16">
        <v>13664553</v>
      </c>
      <c r="N16">
        <v>22421357</v>
      </c>
      <c r="O16">
        <v>2727253</v>
      </c>
      <c r="P16">
        <v>2751573</v>
      </c>
      <c r="Q16">
        <v>3017981</v>
      </c>
      <c r="R16">
        <v>6210893</v>
      </c>
    </row>
    <row r="17" spans="1:18" x14ac:dyDescent="0.4">
      <c r="A17" s="1" t="s">
        <v>22</v>
      </c>
      <c r="B17" s="1" t="s">
        <v>23</v>
      </c>
      <c r="C17">
        <v>3317139</v>
      </c>
      <c r="D17">
        <v>3536363</v>
      </c>
      <c r="E17">
        <v>4337486</v>
      </c>
      <c r="F17">
        <v>3344052</v>
      </c>
      <c r="G17">
        <v>568972</v>
      </c>
      <c r="H17">
        <v>590644</v>
      </c>
      <c r="I17">
        <v>449736</v>
      </c>
      <c r="J17">
        <v>253435</v>
      </c>
      <c r="K17">
        <v>20437723</v>
      </c>
      <c r="L17">
        <v>19577848</v>
      </c>
      <c r="M17">
        <v>14241073</v>
      </c>
      <c r="N17">
        <v>22448722</v>
      </c>
      <c r="O17">
        <v>2963401</v>
      </c>
      <c r="P17">
        <v>2943445</v>
      </c>
      <c r="Q17">
        <v>3322050</v>
      </c>
      <c r="R17">
        <v>6232120</v>
      </c>
    </row>
    <row r="18" spans="1:18" x14ac:dyDescent="0.4">
      <c r="A18" s="1" t="s">
        <v>24</v>
      </c>
      <c r="B18" s="1" t="s">
        <v>25</v>
      </c>
      <c r="C18">
        <v>3448038</v>
      </c>
      <c r="D18">
        <v>3649585</v>
      </c>
      <c r="E18">
        <v>4480520</v>
      </c>
      <c r="F18">
        <v>3428798</v>
      </c>
      <c r="G18">
        <v>700078</v>
      </c>
      <c r="H18">
        <v>743189</v>
      </c>
      <c r="I18">
        <v>572354</v>
      </c>
      <c r="J18">
        <v>252537</v>
      </c>
      <c r="K18">
        <v>20755724</v>
      </c>
      <c r="L18">
        <v>19525339</v>
      </c>
      <c r="M18">
        <v>15046010</v>
      </c>
      <c r="N18">
        <v>22749305</v>
      </c>
      <c r="O18">
        <v>3239573</v>
      </c>
      <c r="P18">
        <v>3215631</v>
      </c>
      <c r="Q18">
        <v>3557711</v>
      </c>
      <c r="R18">
        <v>6259400</v>
      </c>
    </row>
    <row r="19" spans="1:18" x14ac:dyDescent="0.4">
      <c r="A19" s="1" t="s">
        <v>26</v>
      </c>
      <c r="B19" s="1" t="s">
        <v>27</v>
      </c>
      <c r="C19">
        <v>2808506</v>
      </c>
      <c r="D19">
        <v>3056513</v>
      </c>
      <c r="E19">
        <v>3712921</v>
      </c>
      <c r="F19">
        <v>3406074</v>
      </c>
      <c r="G19">
        <v>458252</v>
      </c>
      <c r="H19">
        <v>506037</v>
      </c>
      <c r="I19">
        <v>404671</v>
      </c>
      <c r="J19">
        <v>235627</v>
      </c>
      <c r="K19">
        <v>17582947</v>
      </c>
      <c r="L19">
        <v>16565285</v>
      </c>
      <c r="M19">
        <v>12698197</v>
      </c>
      <c r="N19">
        <v>22854056</v>
      </c>
      <c r="O19">
        <v>2494575</v>
      </c>
      <c r="P19">
        <v>2596719</v>
      </c>
      <c r="Q19">
        <v>2905360</v>
      </c>
      <c r="R19">
        <v>6166510</v>
      </c>
    </row>
    <row r="20" spans="1:18" x14ac:dyDescent="0.4">
      <c r="A20" s="1" t="s">
        <v>28</v>
      </c>
      <c r="B20" s="1" t="s">
        <v>29</v>
      </c>
      <c r="C20">
        <v>3179370</v>
      </c>
      <c r="D20">
        <v>3273388</v>
      </c>
      <c r="E20">
        <v>3919006</v>
      </c>
      <c r="F20">
        <v>3572291</v>
      </c>
      <c r="G20">
        <v>633639</v>
      </c>
      <c r="H20">
        <v>693397</v>
      </c>
      <c r="I20">
        <v>517564</v>
      </c>
      <c r="J20">
        <v>212754</v>
      </c>
      <c r="K20">
        <v>21364543</v>
      </c>
      <c r="L20">
        <v>19419854</v>
      </c>
      <c r="M20">
        <v>14257981</v>
      </c>
      <c r="N20">
        <v>24052794</v>
      </c>
      <c r="O20">
        <v>3059712</v>
      </c>
      <c r="P20">
        <v>2953216</v>
      </c>
      <c r="Q20">
        <v>3269713</v>
      </c>
      <c r="R20">
        <v>6272708</v>
      </c>
    </row>
    <row r="21" spans="1:18" x14ac:dyDescent="0.4">
      <c r="A21" s="1" t="s">
        <v>30</v>
      </c>
      <c r="B21" s="1" t="s">
        <v>31</v>
      </c>
      <c r="C21">
        <v>3506452</v>
      </c>
      <c r="D21">
        <v>4021967</v>
      </c>
      <c r="E21">
        <v>4981335</v>
      </c>
      <c r="F21">
        <v>3433518</v>
      </c>
      <c r="G21">
        <v>659276</v>
      </c>
      <c r="H21">
        <v>692047</v>
      </c>
      <c r="I21">
        <v>575001</v>
      </c>
      <c r="J21">
        <v>212393</v>
      </c>
      <c r="K21">
        <v>20516835</v>
      </c>
      <c r="L21">
        <v>20272357</v>
      </c>
      <c r="M21">
        <v>15201190</v>
      </c>
      <c r="N21">
        <v>23606040</v>
      </c>
      <c r="O21">
        <v>3111408</v>
      </c>
      <c r="P21">
        <v>3166046</v>
      </c>
      <c r="Q21">
        <v>3527084</v>
      </c>
      <c r="R21">
        <v>6228839</v>
      </c>
    </row>
    <row r="22" spans="1:18" x14ac:dyDescent="0.4">
      <c r="A22" s="1" t="s">
        <v>32</v>
      </c>
      <c r="B22" s="1" t="s">
        <v>33</v>
      </c>
      <c r="C22">
        <v>3414962</v>
      </c>
      <c r="D22">
        <v>3795050</v>
      </c>
      <c r="E22">
        <v>4705716</v>
      </c>
      <c r="F22">
        <v>3371398</v>
      </c>
      <c r="G22">
        <v>578156</v>
      </c>
      <c r="H22">
        <v>629310</v>
      </c>
      <c r="I22">
        <v>566617</v>
      </c>
      <c r="J22">
        <v>194898</v>
      </c>
      <c r="K22">
        <v>20424980</v>
      </c>
      <c r="L22">
        <v>19771335</v>
      </c>
      <c r="M22">
        <v>15009416</v>
      </c>
      <c r="N22">
        <v>23493374</v>
      </c>
      <c r="O22">
        <v>2922386</v>
      </c>
      <c r="P22">
        <v>3098366</v>
      </c>
      <c r="Q22">
        <v>3515160</v>
      </c>
      <c r="R22">
        <v>6071990</v>
      </c>
    </row>
    <row r="23" spans="1:18" x14ac:dyDescent="0.4">
      <c r="A23" s="1" t="s">
        <v>34</v>
      </c>
      <c r="B23" s="1" t="s">
        <v>35</v>
      </c>
      <c r="C23">
        <v>3437905</v>
      </c>
      <c r="D23">
        <v>3955278</v>
      </c>
      <c r="E23">
        <v>4910627</v>
      </c>
      <c r="F23">
        <v>3145689</v>
      </c>
      <c r="G23">
        <v>552053</v>
      </c>
      <c r="H23">
        <v>558632</v>
      </c>
      <c r="I23">
        <v>410329</v>
      </c>
      <c r="J23">
        <v>219255</v>
      </c>
      <c r="K23">
        <v>18035892</v>
      </c>
      <c r="L23">
        <v>18304153</v>
      </c>
      <c r="M23">
        <v>13947513</v>
      </c>
      <c r="N23">
        <v>22637651</v>
      </c>
      <c r="O23">
        <v>2885205</v>
      </c>
      <c r="P23">
        <v>3059240</v>
      </c>
      <c r="Q23">
        <v>3353121</v>
      </c>
      <c r="R23">
        <v>5901483</v>
      </c>
    </row>
    <row r="24" spans="1:18" x14ac:dyDescent="0.4">
      <c r="A24" s="1" t="s">
        <v>36</v>
      </c>
      <c r="B24" s="1" t="s">
        <v>37</v>
      </c>
      <c r="C24">
        <v>3541630</v>
      </c>
      <c r="D24">
        <v>4063685</v>
      </c>
      <c r="E24">
        <v>5087487</v>
      </c>
      <c r="F24">
        <v>2980394</v>
      </c>
      <c r="G24">
        <v>616692</v>
      </c>
      <c r="H24">
        <v>636989</v>
      </c>
      <c r="I24">
        <v>472090</v>
      </c>
      <c r="J24">
        <v>229572</v>
      </c>
      <c r="K24">
        <v>17805436</v>
      </c>
      <c r="L24">
        <v>16985387</v>
      </c>
      <c r="M24">
        <v>13352474</v>
      </c>
      <c r="N24">
        <v>22854034</v>
      </c>
      <c r="O24">
        <v>2883036</v>
      </c>
      <c r="P24">
        <v>2703616</v>
      </c>
      <c r="Q24">
        <v>3036543</v>
      </c>
      <c r="R24">
        <v>6090194</v>
      </c>
    </row>
    <row r="25" spans="1:18" x14ac:dyDescent="0.4">
      <c r="A25" s="1" t="s">
        <v>38</v>
      </c>
      <c r="B25" s="1" t="s">
        <v>39</v>
      </c>
      <c r="C25">
        <v>3596835</v>
      </c>
      <c r="D25">
        <v>3963672</v>
      </c>
      <c r="E25">
        <v>5066718</v>
      </c>
      <c r="F25">
        <v>2989730</v>
      </c>
      <c r="G25">
        <v>628077</v>
      </c>
      <c r="H25">
        <v>671264</v>
      </c>
      <c r="I25">
        <v>477315</v>
      </c>
      <c r="J25">
        <v>221624</v>
      </c>
      <c r="K25">
        <v>19085068</v>
      </c>
      <c r="L25">
        <v>18457347</v>
      </c>
      <c r="M25">
        <v>14044266</v>
      </c>
      <c r="N25">
        <v>22813657</v>
      </c>
      <c r="O25">
        <v>2881912</v>
      </c>
      <c r="P25">
        <v>2800024</v>
      </c>
      <c r="Q25">
        <v>3157429</v>
      </c>
      <c r="R25">
        <v>6192171</v>
      </c>
    </row>
    <row r="26" spans="1:18" x14ac:dyDescent="0.4">
      <c r="A26" s="1" t="s">
        <v>40</v>
      </c>
      <c r="B26" s="1" t="s">
        <v>41</v>
      </c>
      <c r="C26">
        <v>3750143</v>
      </c>
      <c r="D26">
        <v>3976153</v>
      </c>
      <c r="E26">
        <v>5059378</v>
      </c>
      <c r="F26">
        <v>3212125</v>
      </c>
      <c r="G26">
        <v>622449</v>
      </c>
      <c r="H26">
        <v>625113</v>
      </c>
      <c r="I26">
        <v>473533</v>
      </c>
      <c r="J26">
        <v>259814</v>
      </c>
      <c r="K26">
        <v>19658367</v>
      </c>
      <c r="L26">
        <v>19205826</v>
      </c>
      <c r="M26">
        <v>14394830</v>
      </c>
      <c r="N26">
        <v>22450768</v>
      </c>
      <c r="O26">
        <v>2976174</v>
      </c>
      <c r="P26">
        <v>2999638</v>
      </c>
      <c r="Q26">
        <v>3346391</v>
      </c>
      <c r="R26">
        <v>6176724</v>
      </c>
    </row>
    <row r="27" spans="1:18" x14ac:dyDescent="0.4">
      <c r="A27" s="1" t="s">
        <v>42</v>
      </c>
      <c r="B27" s="1" t="s">
        <v>43</v>
      </c>
      <c r="C27">
        <v>3539527</v>
      </c>
      <c r="D27">
        <v>4275461</v>
      </c>
      <c r="E27">
        <v>5418654</v>
      </c>
      <c r="F27">
        <v>2928140</v>
      </c>
      <c r="G27">
        <v>553573</v>
      </c>
      <c r="H27">
        <v>606965</v>
      </c>
      <c r="I27">
        <v>458242</v>
      </c>
      <c r="J27">
        <v>241915</v>
      </c>
      <c r="K27">
        <v>19206402</v>
      </c>
      <c r="L27">
        <v>17710893</v>
      </c>
      <c r="M27">
        <v>13956226</v>
      </c>
      <c r="N27">
        <v>23350798</v>
      </c>
      <c r="O27">
        <v>2876720</v>
      </c>
      <c r="P27">
        <v>2841727</v>
      </c>
      <c r="Q27">
        <v>3209162</v>
      </c>
      <c r="R27">
        <v>6222660</v>
      </c>
    </row>
    <row r="28" spans="1:18" x14ac:dyDescent="0.4">
      <c r="A28" s="1" t="s">
        <v>44</v>
      </c>
      <c r="B28" s="1" t="s">
        <v>45</v>
      </c>
      <c r="C28">
        <v>3139502</v>
      </c>
      <c r="D28">
        <v>3508780</v>
      </c>
      <c r="E28">
        <v>4459661</v>
      </c>
      <c r="F28">
        <v>2914776</v>
      </c>
      <c r="G28">
        <v>567967</v>
      </c>
      <c r="H28">
        <v>595772</v>
      </c>
      <c r="I28">
        <v>465254</v>
      </c>
      <c r="J28">
        <v>247992</v>
      </c>
      <c r="K28">
        <v>17361377</v>
      </c>
      <c r="L28">
        <v>16758487</v>
      </c>
      <c r="M28">
        <v>13245966</v>
      </c>
      <c r="N28">
        <v>23223658</v>
      </c>
      <c r="O28">
        <v>2594699</v>
      </c>
      <c r="P28">
        <v>2591762</v>
      </c>
      <c r="Q28">
        <v>3016986</v>
      </c>
      <c r="R28">
        <v>6236067</v>
      </c>
    </row>
    <row r="29" spans="1:18" x14ac:dyDescent="0.4">
      <c r="A29" s="1" t="s">
        <v>46</v>
      </c>
      <c r="B29" s="1" t="s">
        <v>47</v>
      </c>
      <c r="C29">
        <v>3208595</v>
      </c>
      <c r="D29">
        <v>3450599</v>
      </c>
      <c r="E29">
        <v>4347977</v>
      </c>
      <c r="F29">
        <v>3029725</v>
      </c>
      <c r="G29">
        <v>585766</v>
      </c>
      <c r="H29">
        <v>623199</v>
      </c>
      <c r="I29">
        <v>492683</v>
      </c>
      <c r="J29">
        <v>249709</v>
      </c>
      <c r="K29">
        <v>19541551</v>
      </c>
      <c r="L29">
        <v>18359427</v>
      </c>
      <c r="M29">
        <v>14111523</v>
      </c>
      <c r="N29">
        <v>23814726</v>
      </c>
      <c r="O29">
        <v>3037419</v>
      </c>
      <c r="P29">
        <v>2979188</v>
      </c>
      <c r="Q29">
        <v>3429745</v>
      </c>
      <c r="R29">
        <v>6304356</v>
      </c>
    </row>
    <row r="30" spans="1:18" x14ac:dyDescent="0.4">
      <c r="A30" s="1" t="s">
        <v>48</v>
      </c>
      <c r="B30" s="1" t="s">
        <v>49</v>
      </c>
      <c r="C30">
        <v>3424989</v>
      </c>
      <c r="D30">
        <v>3625745</v>
      </c>
      <c r="E30">
        <v>4543918</v>
      </c>
      <c r="F30">
        <v>3203754</v>
      </c>
      <c r="G30">
        <v>637011</v>
      </c>
      <c r="H30">
        <v>684590</v>
      </c>
      <c r="I30">
        <v>572496</v>
      </c>
      <c r="J30">
        <v>246329</v>
      </c>
      <c r="K30">
        <v>19668543</v>
      </c>
      <c r="L30">
        <v>18791041</v>
      </c>
      <c r="M30">
        <v>14456313</v>
      </c>
      <c r="N30">
        <v>23954063</v>
      </c>
      <c r="O30">
        <v>2970996</v>
      </c>
      <c r="P30">
        <v>2930922</v>
      </c>
      <c r="Q30">
        <v>3335227</v>
      </c>
      <c r="R30">
        <v>6356956</v>
      </c>
    </row>
    <row r="31" spans="1:18" x14ac:dyDescent="0.4">
      <c r="A31" s="1" t="s">
        <v>50</v>
      </c>
      <c r="B31" s="1" t="s">
        <v>51</v>
      </c>
      <c r="C31">
        <v>2748246</v>
      </c>
      <c r="D31">
        <v>2901937</v>
      </c>
      <c r="E31">
        <v>3725462</v>
      </c>
      <c r="F31">
        <v>3263936</v>
      </c>
      <c r="G31">
        <v>433644</v>
      </c>
      <c r="H31">
        <v>478567</v>
      </c>
      <c r="I31">
        <v>390222</v>
      </c>
      <c r="J31">
        <v>230960</v>
      </c>
      <c r="K31">
        <v>15804502</v>
      </c>
      <c r="L31">
        <v>15095035</v>
      </c>
      <c r="M31">
        <v>11898212</v>
      </c>
      <c r="N31">
        <v>23817957</v>
      </c>
      <c r="O31">
        <v>2400054</v>
      </c>
      <c r="P31">
        <v>2296625</v>
      </c>
      <c r="Q31">
        <v>2697139</v>
      </c>
      <c r="R31">
        <v>6479129</v>
      </c>
    </row>
    <row r="32" spans="1:18" x14ac:dyDescent="0.4">
      <c r="A32" s="1" t="s">
        <v>52</v>
      </c>
      <c r="B32" s="1" t="s">
        <v>53</v>
      </c>
      <c r="C32">
        <v>3436688</v>
      </c>
      <c r="D32">
        <v>3510323</v>
      </c>
      <c r="E32">
        <v>4510913</v>
      </c>
      <c r="F32">
        <v>3454584</v>
      </c>
      <c r="G32">
        <v>710934</v>
      </c>
      <c r="H32">
        <v>747610</v>
      </c>
      <c r="I32">
        <v>529971</v>
      </c>
      <c r="J32">
        <v>238432</v>
      </c>
      <c r="K32">
        <v>19452718</v>
      </c>
      <c r="L32">
        <v>17982259</v>
      </c>
      <c r="M32">
        <v>13521215</v>
      </c>
      <c r="N32">
        <v>24657777</v>
      </c>
      <c r="O32">
        <v>2941361</v>
      </c>
      <c r="P32">
        <v>2987273</v>
      </c>
      <c r="Q32">
        <v>3382393</v>
      </c>
      <c r="R32">
        <v>6420612</v>
      </c>
    </row>
    <row r="33" spans="1:18" x14ac:dyDescent="0.4">
      <c r="A33" s="1" t="s">
        <v>54</v>
      </c>
      <c r="B33" s="1" t="s">
        <v>55</v>
      </c>
      <c r="C33">
        <v>3577693</v>
      </c>
      <c r="D33">
        <v>4205434</v>
      </c>
      <c r="E33">
        <v>5344153</v>
      </c>
      <c r="F33">
        <v>3208529</v>
      </c>
      <c r="G33">
        <v>738736</v>
      </c>
      <c r="H33">
        <v>796582</v>
      </c>
      <c r="I33">
        <v>559415</v>
      </c>
      <c r="J33">
        <v>219126</v>
      </c>
      <c r="K33">
        <v>19061703</v>
      </c>
      <c r="L33">
        <v>18787639</v>
      </c>
      <c r="M33">
        <v>14400212</v>
      </c>
      <c r="N33">
        <v>24344680</v>
      </c>
      <c r="O33">
        <v>2780017</v>
      </c>
      <c r="P33">
        <v>2797781</v>
      </c>
      <c r="Q33">
        <v>3226008</v>
      </c>
      <c r="R33">
        <v>6412769</v>
      </c>
    </row>
    <row r="34" spans="1:18" x14ac:dyDescent="0.4">
      <c r="A34" s="1" t="s">
        <v>56</v>
      </c>
      <c r="B34" s="1" t="s">
        <v>57</v>
      </c>
      <c r="C34">
        <v>3271667</v>
      </c>
      <c r="D34">
        <v>3776168</v>
      </c>
      <c r="E34">
        <v>4828907</v>
      </c>
      <c r="F34">
        <v>3034215</v>
      </c>
      <c r="G34">
        <v>684870</v>
      </c>
      <c r="H34">
        <v>674192</v>
      </c>
      <c r="I34">
        <v>566302</v>
      </c>
      <c r="J34">
        <v>267429</v>
      </c>
      <c r="K34">
        <v>18891185</v>
      </c>
      <c r="L34">
        <v>17712772</v>
      </c>
      <c r="M34">
        <v>13362799</v>
      </c>
      <c r="N34">
        <v>24859209</v>
      </c>
      <c r="O34">
        <v>2820981</v>
      </c>
      <c r="P34">
        <v>2738638</v>
      </c>
      <c r="Q34">
        <v>3156833</v>
      </c>
      <c r="R34">
        <v>6505675</v>
      </c>
    </row>
    <row r="35" spans="1:18" x14ac:dyDescent="0.4">
      <c r="A35" s="1" t="s">
        <v>58</v>
      </c>
      <c r="B35" s="1" t="s">
        <v>59</v>
      </c>
      <c r="C35">
        <v>3401731</v>
      </c>
      <c r="D35">
        <v>3978235</v>
      </c>
      <c r="E35">
        <v>4946191</v>
      </c>
      <c r="F35">
        <v>2909078</v>
      </c>
      <c r="G35">
        <v>655268</v>
      </c>
      <c r="H35">
        <v>699320</v>
      </c>
      <c r="I35">
        <v>485177</v>
      </c>
      <c r="J35">
        <v>262097</v>
      </c>
      <c r="K35">
        <v>17653818</v>
      </c>
      <c r="L35">
        <v>17125896</v>
      </c>
      <c r="M35">
        <v>13422064</v>
      </c>
      <c r="N35">
        <v>24749658</v>
      </c>
      <c r="O35">
        <v>2636637</v>
      </c>
      <c r="P35">
        <v>2676689</v>
      </c>
      <c r="Q35">
        <v>3087585</v>
      </c>
      <c r="R35">
        <v>6468928</v>
      </c>
    </row>
    <row r="36" spans="1:18" x14ac:dyDescent="0.4">
      <c r="A36" s="1" t="s">
        <v>60</v>
      </c>
      <c r="B36" s="1" t="s">
        <v>61</v>
      </c>
      <c r="C36">
        <v>3275560</v>
      </c>
      <c r="D36">
        <v>3652273</v>
      </c>
      <c r="E36">
        <v>4672142</v>
      </c>
      <c r="F36">
        <v>2963515</v>
      </c>
      <c r="G36">
        <v>612433</v>
      </c>
      <c r="H36">
        <v>665095</v>
      </c>
      <c r="I36">
        <v>483088</v>
      </c>
      <c r="J36">
        <v>248443</v>
      </c>
      <c r="K36">
        <v>17641299</v>
      </c>
      <c r="L36">
        <v>16776871</v>
      </c>
      <c r="M36">
        <v>12597896</v>
      </c>
      <c r="N36">
        <v>24969012</v>
      </c>
      <c r="O36">
        <v>2715424</v>
      </c>
      <c r="P36">
        <v>2666597</v>
      </c>
      <c r="Q36">
        <v>3106732</v>
      </c>
      <c r="R36">
        <v>6522298</v>
      </c>
    </row>
    <row r="37" spans="1:18" x14ac:dyDescent="0.4">
      <c r="A37" s="1" t="s">
        <v>62</v>
      </c>
      <c r="B37" s="1" t="s">
        <v>63</v>
      </c>
      <c r="C37">
        <v>3511160</v>
      </c>
      <c r="D37">
        <v>3876843</v>
      </c>
      <c r="E37">
        <v>5029078</v>
      </c>
      <c r="F37">
        <v>2957549</v>
      </c>
      <c r="G37">
        <v>689139</v>
      </c>
      <c r="H37">
        <v>751927</v>
      </c>
      <c r="I37">
        <v>515088</v>
      </c>
      <c r="J37">
        <v>224674</v>
      </c>
      <c r="K37">
        <v>18475099</v>
      </c>
      <c r="L37">
        <v>17367974</v>
      </c>
      <c r="M37">
        <v>12928059</v>
      </c>
      <c r="N37">
        <v>25413161</v>
      </c>
      <c r="O37">
        <v>2622299</v>
      </c>
      <c r="P37">
        <v>2572564</v>
      </c>
      <c r="Q37">
        <v>2937203</v>
      </c>
      <c r="R37">
        <v>6573215</v>
      </c>
    </row>
    <row r="38" spans="1:18" x14ac:dyDescent="0.4">
      <c r="A38" s="1" t="s">
        <v>64</v>
      </c>
      <c r="B38" s="1" t="s">
        <v>65</v>
      </c>
      <c r="C38">
        <v>3590822</v>
      </c>
      <c r="D38">
        <v>3729392</v>
      </c>
      <c r="E38">
        <v>4780714</v>
      </c>
      <c r="F38">
        <v>3269343</v>
      </c>
      <c r="G38">
        <v>733953</v>
      </c>
      <c r="H38">
        <v>776248</v>
      </c>
      <c r="I38">
        <v>577311</v>
      </c>
      <c r="J38">
        <v>227747</v>
      </c>
      <c r="K38">
        <v>18463253</v>
      </c>
      <c r="L38">
        <v>17269724</v>
      </c>
      <c r="M38">
        <v>13807060</v>
      </c>
      <c r="N38">
        <v>24180700</v>
      </c>
      <c r="O38">
        <v>2925212</v>
      </c>
      <c r="P38">
        <v>2861443</v>
      </c>
      <c r="Q38">
        <v>3378146</v>
      </c>
      <c r="R38">
        <v>6633707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ABC32-8CA7-4B09-84D8-D20BDFCD4591}">
  <dimension ref="A1:AB40"/>
  <sheetViews>
    <sheetView workbookViewId="0">
      <selection activeCell="C9" sqref="C9"/>
    </sheetView>
  </sheetViews>
  <sheetFormatPr defaultColWidth="15.625" defaultRowHeight="18.75" x14ac:dyDescent="0.4"/>
  <sheetData>
    <row r="1" spans="1:28" x14ac:dyDescent="0.4">
      <c r="A1" s="1" t="s">
        <v>66</v>
      </c>
      <c r="B1" s="1"/>
    </row>
    <row r="2" spans="1:28" x14ac:dyDescent="0.4">
      <c r="A2" s="4" t="str">
        <f>HYPERLINK("#'目次(Contents)'!A3","目次に戻る(Return to Contents)")</f>
        <v>目次に戻る(Return to Contents)</v>
      </c>
      <c r="B2" s="1"/>
    </row>
    <row r="3" spans="1:28" x14ac:dyDescent="0.4">
      <c r="A3" s="1"/>
      <c r="B3" s="2" t="s">
        <v>0</v>
      </c>
      <c r="C3" t="s">
        <v>1890</v>
      </c>
      <c r="D3" t="s">
        <v>1890</v>
      </c>
      <c r="E3" t="s">
        <v>1898</v>
      </c>
      <c r="F3" t="s">
        <v>1898</v>
      </c>
      <c r="G3" t="s">
        <v>1900</v>
      </c>
      <c r="H3" t="s">
        <v>1900</v>
      </c>
      <c r="I3" t="s">
        <v>1902</v>
      </c>
      <c r="J3" t="s">
        <v>1902</v>
      </c>
      <c r="K3" t="s">
        <v>1904</v>
      </c>
      <c r="L3" t="s">
        <v>1904</v>
      </c>
      <c r="M3" t="s">
        <v>1906</v>
      </c>
      <c r="N3" t="s">
        <v>1906</v>
      </c>
      <c r="O3" t="s">
        <v>1908</v>
      </c>
      <c r="P3" t="s">
        <v>1908</v>
      </c>
      <c r="Q3" t="s">
        <v>1910</v>
      </c>
      <c r="R3" t="s">
        <v>1910</v>
      </c>
      <c r="S3" t="s">
        <v>1912</v>
      </c>
      <c r="T3" t="s">
        <v>1912</v>
      </c>
      <c r="U3" t="s">
        <v>1914</v>
      </c>
      <c r="V3" t="s">
        <v>1917</v>
      </c>
      <c r="W3" t="s">
        <v>1917</v>
      </c>
      <c r="X3" t="s">
        <v>1919</v>
      </c>
      <c r="Y3" t="s">
        <v>1919</v>
      </c>
      <c r="Z3" t="s">
        <v>1921</v>
      </c>
      <c r="AA3" t="s">
        <v>1921</v>
      </c>
      <c r="AB3" t="s">
        <v>1923</v>
      </c>
    </row>
    <row r="4" spans="1:28" x14ac:dyDescent="0.4">
      <c r="A4" s="1"/>
      <c r="B4" s="2" t="s">
        <v>1</v>
      </c>
      <c r="C4" t="s">
        <v>1893</v>
      </c>
      <c r="D4" t="s">
        <v>1893</v>
      </c>
      <c r="E4" t="s">
        <v>1899</v>
      </c>
      <c r="F4" t="s">
        <v>1899</v>
      </c>
      <c r="G4" t="s">
        <v>1901</v>
      </c>
      <c r="H4" t="s">
        <v>1901</v>
      </c>
      <c r="I4" t="s">
        <v>1903</v>
      </c>
      <c r="J4" t="s">
        <v>1903</v>
      </c>
      <c r="K4" t="s">
        <v>1905</v>
      </c>
      <c r="L4" t="s">
        <v>1905</v>
      </c>
      <c r="M4" t="s">
        <v>1907</v>
      </c>
      <c r="N4" t="s">
        <v>1907</v>
      </c>
      <c r="O4" t="s">
        <v>1909</v>
      </c>
      <c r="P4" t="s">
        <v>1909</v>
      </c>
      <c r="Q4" t="s">
        <v>1911</v>
      </c>
      <c r="R4" t="s">
        <v>1911</v>
      </c>
      <c r="S4" t="s">
        <v>1913</v>
      </c>
      <c r="T4" t="s">
        <v>1913</v>
      </c>
      <c r="U4" t="s">
        <v>1915</v>
      </c>
      <c r="V4" t="s">
        <v>1918</v>
      </c>
      <c r="W4" t="s">
        <v>1918</v>
      </c>
      <c r="X4" t="s">
        <v>1920</v>
      </c>
      <c r="Y4" t="s">
        <v>1920</v>
      </c>
      <c r="Z4" t="s">
        <v>1922</v>
      </c>
      <c r="AA4" t="s">
        <v>1922</v>
      </c>
      <c r="AB4" t="s">
        <v>1924</v>
      </c>
    </row>
    <row r="5" spans="1:28" x14ac:dyDescent="0.4">
      <c r="A5" s="1"/>
      <c r="B5" s="2" t="s">
        <v>2</v>
      </c>
      <c r="C5" t="s">
        <v>1891</v>
      </c>
      <c r="D5" t="s">
        <v>1896</v>
      </c>
      <c r="E5" t="s">
        <v>1891</v>
      </c>
      <c r="F5" t="s">
        <v>1896</v>
      </c>
      <c r="G5" t="s">
        <v>1891</v>
      </c>
      <c r="H5" t="s">
        <v>1896</v>
      </c>
      <c r="I5" t="s">
        <v>1891</v>
      </c>
      <c r="J5" t="s">
        <v>1896</v>
      </c>
      <c r="K5" t="s">
        <v>1891</v>
      </c>
      <c r="L5" t="s">
        <v>1896</v>
      </c>
      <c r="M5" t="s">
        <v>1891</v>
      </c>
      <c r="N5" t="s">
        <v>1896</v>
      </c>
      <c r="O5" t="s">
        <v>1891</v>
      </c>
      <c r="P5" t="s">
        <v>1896</v>
      </c>
      <c r="Q5" t="s">
        <v>1891</v>
      </c>
      <c r="R5" t="s">
        <v>1896</v>
      </c>
      <c r="S5" t="s">
        <v>1891</v>
      </c>
      <c r="T5" t="s">
        <v>1896</v>
      </c>
      <c r="U5" t="s">
        <v>1896</v>
      </c>
      <c r="V5" t="s">
        <v>1891</v>
      </c>
      <c r="W5" t="s">
        <v>1896</v>
      </c>
      <c r="X5" t="s">
        <v>1891</v>
      </c>
      <c r="Y5" t="s">
        <v>1896</v>
      </c>
      <c r="Z5" t="s">
        <v>1891</v>
      </c>
      <c r="AA5" t="s">
        <v>1896</v>
      </c>
      <c r="AB5" t="s">
        <v>1896</v>
      </c>
    </row>
    <row r="6" spans="1:28" x14ac:dyDescent="0.4">
      <c r="A6" s="1"/>
      <c r="B6" s="2" t="s">
        <v>3</v>
      </c>
      <c r="C6" t="s">
        <v>1894</v>
      </c>
      <c r="D6" t="s">
        <v>1897</v>
      </c>
      <c r="E6" t="s">
        <v>1894</v>
      </c>
      <c r="F6" t="s">
        <v>1897</v>
      </c>
      <c r="G6" t="s">
        <v>1894</v>
      </c>
      <c r="H6" t="s">
        <v>1897</v>
      </c>
      <c r="I6" t="s">
        <v>1894</v>
      </c>
      <c r="J6" t="s">
        <v>1897</v>
      </c>
      <c r="K6" t="s">
        <v>1894</v>
      </c>
      <c r="L6" t="s">
        <v>1897</v>
      </c>
      <c r="M6" t="s">
        <v>1894</v>
      </c>
      <c r="N6" t="s">
        <v>1897</v>
      </c>
      <c r="O6" t="s">
        <v>1894</v>
      </c>
      <c r="P6" t="s">
        <v>1897</v>
      </c>
      <c r="Q6" t="s">
        <v>1894</v>
      </c>
      <c r="R6" t="s">
        <v>1897</v>
      </c>
      <c r="S6" t="s">
        <v>1894</v>
      </c>
      <c r="T6" t="s">
        <v>1897</v>
      </c>
      <c r="U6" t="s">
        <v>1916</v>
      </c>
      <c r="V6" t="s">
        <v>1894</v>
      </c>
      <c r="W6" t="s">
        <v>1897</v>
      </c>
      <c r="X6" t="s">
        <v>1894</v>
      </c>
      <c r="Y6" t="s">
        <v>1897</v>
      </c>
      <c r="Z6" t="s">
        <v>1894</v>
      </c>
      <c r="AA6" t="s">
        <v>1897</v>
      </c>
      <c r="AB6" t="s">
        <v>1916</v>
      </c>
    </row>
    <row r="7" spans="1:28" x14ac:dyDescent="0.4">
      <c r="A7" s="1"/>
      <c r="B7" s="2" t="s">
        <v>4</v>
      </c>
      <c r="C7" t="s">
        <v>1892</v>
      </c>
      <c r="D7" t="s">
        <v>1892</v>
      </c>
      <c r="E7" t="s">
        <v>1892</v>
      </c>
      <c r="F7" t="s">
        <v>1892</v>
      </c>
      <c r="G7" t="s">
        <v>1892</v>
      </c>
      <c r="H7" t="s">
        <v>1892</v>
      </c>
      <c r="I7" t="s">
        <v>1892</v>
      </c>
      <c r="J7" t="s">
        <v>1892</v>
      </c>
      <c r="K7" t="s">
        <v>1892</v>
      </c>
      <c r="L7" t="s">
        <v>1892</v>
      </c>
      <c r="M7" t="s">
        <v>1892</v>
      </c>
      <c r="N7" t="s">
        <v>1892</v>
      </c>
      <c r="O7" t="s">
        <v>1892</v>
      </c>
      <c r="P7" t="s">
        <v>1892</v>
      </c>
      <c r="Q7" t="s">
        <v>1892</v>
      </c>
      <c r="R7" t="s">
        <v>1892</v>
      </c>
      <c r="S7" t="s">
        <v>1892</v>
      </c>
      <c r="T7" t="s">
        <v>1892</v>
      </c>
      <c r="U7" t="s">
        <v>341</v>
      </c>
      <c r="V7" t="s">
        <v>1892</v>
      </c>
      <c r="W7" t="s">
        <v>1892</v>
      </c>
      <c r="X7" t="s">
        <v>1892</v>
      </c>
      <c r="Y7" t="s">
        <v>1892</v>
      </c>
      <c r="Z7" t="s">
        <v>1892</v>
      </c>
      <c r="AA7" t="s">
        <v>1892</v>
      </c>
      <c r="AB7" t="s">
        <v>341</v>
      </c>
    </row>
    <row r="8" spans="1:28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1895</v>
      </c>
      <c r="F8" t="s">
        <v>1895</v>
      </c>
      <c r="G8" t="s">
        <v>1895</v>
      </c>
      <c r="H8" t="s">
        <v>1895</v>
      </c>
      <c r="I8" t="s">
        <v>1895</v>
      </c>
      <c r="J8" t="s">
        <v>1895</v>
      </c>
      <c r="K8" t="s">
        <v>1895</v>
      </c>
      <c r="L8" t="s">
        <v>1895</v>
      </c>
      <c r="M8" t="s">
        <v>1895</v>
      </c>
      <c r="N8" t="s">
        <v>1895</v>
      </c>
      <c r="O8" t="s">
        <v>1895</v>
      </c>
      <c r="P8" t="s">
        <v>1895</v>
      </c>
      <c r="Q8" t="s">
        <v>1895</v>
      </c>
      <c r="R8" t="s">
        <v>1895</v>
      </c>
      <c r="S8" t="s">
        <v>1895</v>
      </c>
      <c r="T8" t="s">
        <v>1895</v>
      </c>
      <c r="U8" t="s">
        <v>342</v>
      </c>
      <c r="V8" t="s">
        <v>1895</v>
      </c>
      <c r="W8" t="s">
        <v>1895</v>
      </c>
      <c r="X8" t="s">
        <v>1895</v>
      </c>
      <c r="Y8" t="s">
        <v>1895</v>
      </c>
      <c r="Z8" t="s">
        <v>1895</v>
      </c>
      <c r="AA8" t="s">
        <v>1895</v>
      </c>
      <c r="AB8" t="s">
        <v>342</v>
      </c>
    </row>
    <row r="9" spans="1:28" x14ac:dyDescent="0.4">
      <c r="A9" s="1" t="s">
        <v>6</v>
      </c>
      <c r="B9" s="3" t="s">
        <v>7</v>
      </c>
      <c r="C9">
        <v>4408</v>
      </c>
      <c r="D9">
        <v>341889</v>
      </c>
      <c r="E9">
        <v>6097</v>
      </c>
      <c r="F9">
        <v>21641</v>
      </c>
      <c r="G9">
        <v>1073</v>
      </c>
      <c r="H9">
        <v>5776</v>
      </c>
      <c r="I9">
        <v>10</v>
      </c>
      <c r="J9">
        <v>2617</v>
      </c>
      <c r="K9">
        <v>4448</v>
      </c>
      <c r="L9">
        <v>36204</v>
      </c>
      <c r="M9">
        <v>151</v>
      </c>
      <c r="N9">
        <v>7423</v>
      </c>
      <c r="O9">
        <v>2070</v>
      </c>
      <c r="P9">
        <v>105514</v>
      </c>
      <c r="Q9">
        <v>25166</v>
      </c>
      <c r="R9">
        <v>474556</v>
      </c>
      <c r="S9">
        <v>14695</v>
      </c>
      <c r="T9">
        <v>180323</v>
      </c>
      <c r="U9">
        <v>101891919</v>
      </c>
      <c r="V9">
        <v>13627</v>
      </c>
      <c r="W9">
        <v>167704</v>
      </c>
      <c r="X9">
        <v>7245</v>
      </c>
      <c r="Y9" t="s">
        <v>73</v>
      </c>
      <c r="Z9">
        <v>997</v>
      </c>
      <c r="AA9" t="s">
        <v>73</v>
      </c>
      <c r="AB9">
        <v>39741874</v>
      </c>
    </row>
    <row r="10" spans="1:28" x14ac:dyDescent="0.4">
      <c r="A10" s="1" t="s">
        <v>8</v>
      </c>
      <c r="B10" s="3" t="s">
        <v>9</v>
      </c>
      <c r="C10">
        <v>3820</v>
      </c>
      <c r="D10">
        <v>337674</v>
      </c>
      <c r="E10">
        <v>5919</v>
      </c>
      <c r="F10">
        <v>26995</v>
      </c>
      <c r="G10">
        <v>1208</v>
      </c>
      <c r="H10">
        <v>7349</v>
      </c>
      <c r="I10">
        <v>5</v>
      </c>
      <c r="J10">
        <v>2645</v>
      </c>
      <c r="K10">
        <v>4565</v>
      </c>
      <c r="L10">
        <v>37437</v>
      </c>
      <c r="M10">
        <v>124</v>
      </c>
      <c r="N10">
        <v>6975</v>
      </c>
      <c r="O10">
        <v>1889</v>
      </c>
      <c r="P10">
        <v>90724</v>
      </c>
      <c r="Q10">
        <v>24759</v>
      </c>
      <c r="R10">
        <v>475662</v>
      </c>
      <c r="S10">
        <v>11903</v>
      </c>
      <c r="T10">
        <v>179077</v>
      </c>
      <c r="U10">
        <v>108124326</v>
      </c>
      <c r="V10">
        <v>14880</v>
      </c>
      <c r="W10">
        <v>170245</v>
      </c>
      <c r="X10">
        <v>8038</v>
      </c>
      <c r="Y10" t="s">
        <v>73</v>
      </c>
      <c r="Z10">
        <v>1132</v>
      </c>
      <c r="AA10" t="s">
        <v>73</v>
      </c>
      <c r="AB10">
        <v>41846403</v>
      </c>
    </row>
    <row r="11" spans="1:28" x14ac:dyDescent="0.4">
      <c r="A11" s="1" t="s">
        <v>10</v>
      </c>
      <c r="B11" s="3" t="s">
        <v>11</v>
      </c>
      <c r="C11">
        <v>3479</v>
      </c>
      <c r="D11">
        <v>324371</v>
      </c>
      <c r="E11">
        <v>6771</v>
      </c>
      <c r="F11">
        <v>30074</v>
      </c>
      <c r="G11">
        <v>1102</v>
      </c>
      <c r="H11">
        <v>6577</v>
      </c>
      <c r="I11">
        <v>16</v>
      </c>
      <c r="J11">
        <v>2130</v>
      </c>
      <c r="K11">
        <v>3939</v>
      </c>
      <c r="L11">
        <v>35515</v>
      </c>
      <c r="M11">
        <v>47</v>
      </c>
      <c r="N11">
        <v>6928</v>
      </c>
      <c r="O11">
        <v>2143</v>
      </c>
      <c r="P11">
        <v>82165</v>
      </c>
      <c r="Q11">
        <v>24951</v>
      </c>
      <c r="R11">
        <v>490354</v>
      </c>
      <c r="S11">
        <v>10398</v>
      </c>
      <c r="T11">
        <v>180401</v>
      </c>
      <c r="U11">
        <v>111667405</v>
      </c>
      <c r="V11">
        <v>14397</v>
      </c>
      <c r="W11">
        <v>170991</v>
      </c>
      <c r="X11">
        <v>9249</v>
      </c>
      <c r="Y11">
        <v>175514</v>
      </c>
      <c r="Z11">
        <v>1257</v>
      </c>
      <c r="AA11">
        <v>42818</v>
      </c>
      <c r="AB11">
        <v>44306801</v>
      </c>
    </row>
    <row r="12" spans="1:28" x14ac:dyDescent="0.4">
      <c r="A12" s="1" t="s">
        <v>12</v>
      </c>
      <c r="B12" s="3" t="s">
        <v>13</v>
      </c>
      <c r="C12">
        <v>3247</v>
      </c>
      <c r="D12">
        <v>302637</v>
      </c>
      <c r="E12">
        <v>8987</v>
      </c>
      <c r="F12">
        <v>29561</v>
      </c>
      <c r="G12">
        <v>988</v>
      </c>
      <c r="H12">
        <v>5136</v>
      </c>
      <c r="I12">
        <v>7</v>
      </c>
      <c r="J12">
        <v>1802</v>
      </c>
      <c r="K12">
        <v>4483</v>
      </c>
      <c r="L12">
        <v>36325</v>
      </c>
      <c r="M12">
        <v>76</v>
      </c>
      <c r="N12">
        <v>6729</v>
      </c>
      <c r="O12">
        <v>1930</v>
      </c>
      <c r="P12">
        <v>80631</v>
      </c>
      <c r="Q12">
        <v>26856</v>
      </c>
      <c r="R12">
        <v>474212</v>
      </c>
      <c r="S12">
        <v>9845</v>
      </c>
      <c r="T12">
        <v>171662</v>
      </c>
      <c r="U12">
        <v>112398350</v>
      </c>
      <c r="V12">
        <v>13026</v>
      </c>
      <c r="W12">
        <v>162432</v>
      </c>
      <c r="X12">
        <v>7835</v>
      </c>
      <c r="Y12">
        <v>158845</v>
      </c>
      <c r="Z12">
        <v>1315</v>
      </c>
      <c r="AA12">
        <v>31782</v>
      </c>
      <c r="AB12">
        <v>41988145</v>
      </c>
    </row>
    <row r="13" spans="1:28" x14ac:dyDescent="0.4">
      <c r="A13" s="1" t="s">
        <v>14</v>
      </c>
      <c r="B13" s="3" t="s">
        <v>15</v>
      </c>
      <c r="C13">
        <v>3417</v>
      </c>
      <c r="D13">
        <v>289718</v>
      </c>
      <c r="E13">
        <v>7973</v>
      </c>
      <c r="F13">
        <v>24960</v>
      </c>
      <c r="G13">
        <v>803</v>
      </c>
      <c r="H13">
        <v>4757</v>
      </c>
      <c r="I13">
        <v>7</v>
      </c>
      <c r="J13">
        <v>1886</v>
      </c>
      <c r="K13">
        <v>3804</v>
      </c>
      <c r="L13">
        <v>34580</v>
      </c>
      <c r="M13">
        <v>104</v>
      </c>
      <c r="N13">
        <v>6552</v>
      </c>
      <c r="O13">
        <v>2068</v>
      </c>
      <c r="P13">
        <v>83336</v>
      </c>
      <c r="Q13">
        <v>26418</v>
      </c>
      <c r="R13">
        <v>467355</v>
      </c>
      <c r="S13">
        <v>8465</v>
      </c>
      <c r="T13">
        <v>168774</v>
      </c>
      <c r="U13">
        <v>114213509</v>
      </c>
      <c r="V13">
        <v>13702</v>
      </c>
      <c r="W13">
        <v>150244</v>
      </c>
      <c r="X13">
        <v>6590</v>
      </c>
      <c r="Y13">
        <v>156225</v>
      </c>
      <c r="Z13">
        <v>1194</v>
      </c>
      <c r="AA13">
        <v>28411</v>
      </c>
      <c r="AB13">
        <v>41663244</v>
      </c>
    </row>
    <row r="14" spans="1:28" x14ac:dyDescent="0.4">
      <c r="A14" s="1" t="s">
        <v>16</v>
      </c>
      <c r="B14" s="1" t="s">
        <v>17</v>
      </c>
      <c r="C14">
        <v>3764</v>
      </c>
      <c r="D14">
        <v>23919</v>
      </c>
      <c r="E14">
        <v>6744</v>
      </c>
      <c r="F14">
        <v>2437</v>
      </c>
      <c r="G14">
        <v>1547</v>
      </c>
      <c r="H14">
        <v>589</v>
      </c>
      <c r="I14">
        <v>5</v>
      </c>
      <c r="J14">
        <v>130</v>
      </c>
      <c r="K14">
        <v>3645</v>
      </c>
      <c r="L14">
        <v>3132</v>
      </c>
      <c r="M14">
        <v>69</v>
      </c>
      <c r="N14">
        <v>553</v>
      </c>
      <c r="O14">
        <v>2192</v>
      </c>
      <c r="P14">
        <v>6506</v>
      </c>
      <c r="Q14">
        <v>23363</v>
      </c>
      <c r="R14">
        <v>39988</v>
      </c>
      <c r="S14">
        <v>9881</v>
      </c>
      <c r="T14">
        <v>14956</v>
      </c>
      <c r="U14">
        <v>9406969</v>
      </c>
      <c r="V14">
        <v>14305</v>
      </c>
      <c r="W14">
        <v>12921</v>
      </c>
      <c r="X14">
        <v>9492</v>
      </c>
      <c r="Y14">
        <v>13570</v>
      </c>
      <c r="Z14">
        <v>1485</v>
      </c>
      <c r="AA14">
        <v>2690</v>
      </c>
      <c r="AB14">
        <v>3468513</v>
      </c>
    </row>
    <row r="15" spans="1:28" x14ac:dyDescent="0.4">
      <c r="A15" s="1" t="s">
        <v>18</v>
      </c>
      <c r="B15" s="1" t="s">
        <v>19</v>
      </c>
      <c r="C15">
        <v>3562</v>
      </c>
      <c r="D15">
        <v>24507</v>
      </c>
      <c r="E15">
        <v>7324</v>
      </c>
      <c r="F15">
        <v>2695</v>
      </c>
      <c r="G15">
        <v>1383</v>
      </c>
      <c r="H15">
        <v>724</v>
      </c>
      <c r="I15">
        <v>3</v>
      </c>
      <c r="J15">
        <v>158</v>
      </c>
      <c r="K15">
        <v>3799</v>
      </c>
      <c r="L15">
        <v>3028</v>
      </c>
      <c r="M15">
        <v>82</v>
      </c>
      <c r="N15">
        <v>475</v>
      </c>
      <c r="O15">
        <v>2291</v>
      </c>
      <c r="P15">
        <v>7290</v>
      </c>
      <c r="Q15">
        <v>25539</v>
      </c>
      <c r="R15">
        <v>42733</v>
      </c>
      <c r="S15">
        <v>10184</v>
      </c>
      <c r="T15">
        <v>13797</v>
      </c>
      <c r="U15">
        <v>9561613</v>
      </c>
      <c r="V15">
        <v>14276</v>
      </c>
      <c r="W15">
        <v>13603</v>
      </c>
      <c r="X15">
        <v>9486</v>
      </c>
      <c r="Y15">
        <v>13814</v>
      </c>
      <c r="Z15">
        <v>1526</v>
      </c>
      <c r="AA15">
        <v>2999</v>
      </c>
      <c r="AB15">
        <v>3620503</v>
      </c>
    </row>
    <row r="16" spans="1:28" x14ac:dyDescent="0.4">
      <c r="A16" s="1" t="s">
        <v>20</v>
      </c>
      <c r="B16" s="1" t="s">
        <v>21</v>
      </c>
      <c r="C16">
        <v>3397</v>
      </c>
      <c r="D16">
        <v>25720</v>
      </c>
      <c r="E16">
        <v>7558</v>
      </c>
      <c r="F16">
        <v>2758</v>
      </c>
      <c r="G16">
        <v>1366</v>
      </c>
      <c r="H16">
        <v>723</v>
      </c>
      <c r="I16">
        <v>4</v>
      </c>
      <c r="J16">
        <v>124</v>
      </c>
      <c r="K16">
        <v>3739</v>
      </c>
      <c r="L16">
        <v>3048</v>
      </c>
      <c r="M16">
        <v>79</v>
      </c>
      <c r="N16">
        <v>533</v>
      </c>
      <c r="O16">
        <v>2002</v>
      </c>
      <c r="P16">
        <v>6748</v>
      </c>
      <c r="Q16">
        <v>26952</v>
      </c>
      <c r="R16">
        <v>39949</v>
      </c>
      <c r="S16">
        <v>10194</v>
      </c>
      <c r="T16">
        <v>14336</v>
      </c>
      <c r="U16">
        <v>9440028</v>
      </c>
      <c r="V16">
        <v>14893</v>
      </c>
      <c r="W16">
        <v>13724</v>
      </c>
      <c r="X16">
        <v>8941</v>
      </c>
      <c r="Y16">
        <v>12735</v>
      </c>
      <c r="Z16">
        <v>1608</v>
      </c>
      <c r="AA16">
        <v>2763</v>
      </c>
      <c r="AB16">
        <v>3532858</v>
      </c>
    </row>
    <row r="17" spans="1:28" x14ac:dyDescent="0.4">
      <c r="A17" s="1" t="s">
        <v>22</v>
      </c>
      <c r="B17" s="1" t="s">
        <v>23</v>
      </c>
      <c r="C17">
        <v>3158</v>
      </c>
      <c r="D17">
        <v>26080</v>
      </c>
      <c r="E17">
        <v>7578</v>
      </c>
      <c r="F17">
        <v>2730</v>
      </c>
      <c r="G17">
        <v>1516</v>
      </c>
      <c r="H17">
        <v>766</v>
      </c>
      <c r="I17">
        <v>6</v>
      </c>
      <c r="J17">
        <v>179</v>
      </c>
      <c r="K17">
        <v>4027</v>
      </c>
      <c r="L17">
        <v>3037</v>
      </c>
      <c r="M17">
        <v>70</v>
      </c>
      <c r="N17">
        <v>542</v>
      </c>
      <c r="O17">
        <v>2152</v>
      </c>
      <c r="P17">
        <v>7749</v>
      </c>
      <c r="Q17">
        <v>25407</v>
      </c>
      <c r="R17">
        <v>39363</v>
      </c>
      <c r="S17">
        <v>10234</v>
      </c>
      <c r="T17">
        <v>14271</v>
      </c>
      <c r="U17">
        <v>9473445</v>
      </c>
      <c r="V17">
        <v>14114</v>
      </c>
      <c r="W17">
        <v>12713</v>
      </c>
      <c r="X17">
        <v>8850</v>
      </c>
      <c r="Y17">
        <v>13181</v>
      </c>
      <c r="Z17">
        <v>1518</v>
      </c>
      <c r="AA17">
        <v>2723</v>
      </c>
      <c r="AB17">
        <v>3479919</v>
      </c>
    </row>
    <row r="18" spans="1:28" x14ac:dyDescent="0.4">
      <c r="A18" s="1" t="s">
        <v>24</v>
      </c>
      <c r="B18" s="1" t="s">
        <v>25</v>
      </c>
      <c r="C18">
        <v>3332</v>
      </c>
      <c r="D18">
        <v>27309</v>
      </c>
      <c r="E18">
        <v>7894</v>
      </c>
      <c r="F18">
        <v>2778</v>
      </c>
      <c r="G18">
        <v>1330</v>
      </c>
      <c r="H18">
        <v>585</v>
      </c>
      <c r="I18">
        <v>8</v>
      </c>
      <c r="J18">
        <v>152</v>
      </c>
      <c r="K18">
        <v>4204</v>
      </c>
      <c r="L18">
        <v>2997</v>
      </c>
      <c r="M18">
        <v>72</v>
      </c>
      <c r="N18">
        <v>571</v>
      </c>
      <c r="O18">
        <v>2030</v>
      </c>
      <c r="P18">
        <v>6944</v>
      </c>
      <c r="Q18">
        <v>26023</v>
      </c>
      <c r="R18">
        <v>39584</v>
      </c>
      <c r="S18">
        <v>10717</v>
      </c>
      <c r="T18">
        <v>15008</v>
      </c>
      <c r="U18">
        <v>9554385</v>
      </c>
      <c r="V18">
        <v>13804</v>
      </c>
      <c r="W18">
        <v>13649</v>
      </c>
      <c r="X18">
        <v>8432</v>
      </c>
      <c r="Y18">
        <v>13768</v>
      </c>
      <c r="Z18">
        <v>1452</v>
      </c>
      <c r="AA18">
        <v>2448</v>
      </c>
      <c r="AB18">
        <v>3555353</v>
      </c>
    </row>
    <row r="19" spans="1:28" x14ac:dyDescent="0.4">
      <c r="A19" s="1" t="s">
        <v>26</v>
      </c>
      <c r="B19" s="1" t="s">
        <v>27</v>
      </c>
      <c r="C19">
        <v>3500</v>
      </c>
      <c r="D19">
        <v>22490</v>
      </c>
      <c r="E19">
        <v>8201</v>
      </c>
      <c r="F19">
        <v>2172</v>
      </c>
      <c r="G19">
        <v>1181</v>
      </c>
      <c r="H19">
        <v>328</v>
      </c>
      <c r="I19">
        <v>7</v>
      </c>
      <c r="J19">
        <v>138</v>
      </c>
      <c r="K19">
        <v>4688</v>
      </c>
      <c r="L19">
        <v>2878</v>
      </c>
      <c r="M19">
        <v>83</v>
      </c>
      <c r="N19">
        <v>482</v>
      </c>
      <c r="O19">
        <v>1814</v>
      </c>
      <c r="P19">
        <v>6255</v>
      </c>
      <c r="Q19">
        <v>27474</v>
      </c>
      <c r="R19">
        <v>33261</v>
      </c>
      <c r="S19">
        <v>10634</v>
      </c>
      <c r="T19">
        <v>12810</v>
      </c>
      <c r="U19">
        <v>8423585</v>
      </c>
      <c r="V19">
        <v>13796</v>
      </c>
      <c r="W19">
        <v>12852</v>
      </c>
      <c r="X19">
        <v>8348</v>
      </c>
      <c r="Y19">
        <v>11957</v>
      </c>
      <c r="Z19">
        <v>1451</v>
      </c>
      <c r="AA19">
        <v>2162</v>
      </c>
      <c r="AB19">
        <v>3193096</v>
      </c>
    </row>
    <row r="20" spans="1:28" x14ac:dyDescent="0.4">
      <c r="A20" s="1" t="s">
        <v>28</v>
      </c>
      <c r="B20" s="1" t="s">
        <v>29</v>
      </c>
      <c r="C20">
        <v>3549</v>
      </c>
      <c r="D20">
        <v>27582</v>
      </c>
      <c r="E20">
        <v>8569</v>
      </c>
      <c r="F20">
        <v>2388</v>
      </c>
      <c r="G20">
        <v>1069</v>
      </c>
      <c r="H20">
        <v>294</v>
      </c>
      <c r="I20">
        <v>9</v>
      </c>
      <c r="J20">
        <v>142</v>
      </c>
      <c r="K20">
        <v>4489</v>
      </c>
      <c r="L20">
        <v>2888</v>
      </c>
      <c r="M20">
        <v>79</v>
      </c>
      <c r="N20">
        <v>544</v>
      </c>
      <c r="O20">
        <v>1642</v>
      </c>
      <c r="P20">
        <v>6760</v>
      </c>
      <c r="Q20">
        <v>26105</v>
      </c>
      <c r="R20">
        <v>38721</v>
      </c>
      <c r="S20">
        <v>9964</v>
      </c>
      <c r="T20">
        <v>14123</v>
      </c>
      <c r="U20">
        <v>9269111</v>
      </c>
      <c r="V20">
        <v>13130</v>
      </c>
      <c r="W20">
        <v>13399</v>
      </c>
      <c r="X20">
        <v>8269</v>
      </c>
      <c r="Y20">
        <v>13251</v>
      </c>
      <c r="Z20">
        <v>1391</v>
      </c>
      <c r="AA20">
        <v>2479</v>
      </c>
      <c r="AB20">
        <v>3415096</v>
      </c>
    </row>
    <row r="21" spans="1:28" x14ac:dyDescent="0.4">
      <c r="A21" s="1" t="s">
        <v>30</v>
      </c>
      <c r="B21" s="1" t="s">
        <v>31</v>
      </c>
      <c r="C21">
        <v>3474</v>
      </c>
      <c r="D21">
        <v>29689</v>
      </c>
      <c r="E21">
        <v>8894</v>
      </c>
      <c r="F21">
        <v>2525</v>
      </c>
      <c r="G21">
        <v>1045</v>
      </c>
      <c r="H21">
        <v>217</v>
      </c>
      <c r="I21">
        <v>8</v>
      </c>
      <c r="J21">
        <v>151</v>
      </c>
      <c r="K21">
        <v>4336</v>
      </c>
      <c r="L21">
        <v>3351</v>
      </c>
      <c r="M21">
        <v>75</v>
      </c>
      <c r="N21">
        <v>598</v>
      </c>
      <c r="O21">
        <v>1649</v>
      </c>
      <c r="P21">
        <v>7143</v>
      </c>
      <c r="Q21">
        <v>27148</v>
      </c>
      <c r="R21">
        <v>42577</v>
      </c>
      <c r="S21">
        <v>9922</v>
      </c>
      <c r="T21">
        <v>15511</v>
      </c>
      <c r="U21">
        <v>10316126</v>
      </c>
      <c r="V21">
        <v>13274</v>
      </c>
      <c r="W21">
        <v>14363</v>
      </c>
      <c r="X21">
        <v>8414</v>
      </c>
      <c r="Y21">
        <v>14333</v>
      </c>
      <c r="Z21">
        <v>1338</v>
      </c>
      <c r="AA21">
        <v>2916</v>
      </c>
      <c r="AB21">
        <v>3784612</v>
      </c>
    </row>
    <row r="22" spans="1:28" x14ac:dyDescent="0.4">
      <c r="A22" s="1" t="s">
        <v>32</v>
      </c>
      <c r="B22" s="1" t="s">
        <v>33</v>
      </c>
      <c r="C22">
        <v>3139</v>
      </c>
      <c r="D22">
        <v>25422</v>
      </c>
      <c r="E22">
        <v>8495</v>
      </c>
      <c r="F22">
        <v>2520</v>
      </c>
      <c r="G22">
        <v>1005</v>
      </c>
      <c r="H22">
        <v>177</v>
      </c>
      <c r="I22">
        <v>7</v>
      </c>
      <c r="J22">
        <v>170</v>
      </c>
      <c r="K22">
        <v>4474</v>
      </c>
      <c r="L22">
        <v>3034</v>
      </c>
      <c r="M22">
        <v>94</v>
      </c>
      <c r="N22">
        <v>628</v>
      </c>
      <c r="O22">
        <v>1933</v>
      </c>
      <c r="P22">
        <v>6475</v>
      </c>
      <c r="Q22">
        <v>27302</v>
      </c>
      <c r="R22">
        <v>41321</v>
      </c>
      <c r="S22">
        <v>9519</v>
      </c>
      <c r="T22">
        <v>14374</v>
      </c>
      <c r="U22">
        <v>9802594</v>
      </c>
      <c r="V22">
        <v>12868</v>
      </c>
      <c r="W22">
        <v>14345</v>
      </c>
      <c r="X22">
        <v>8289</v>
      </c>
      <c r="Y22">
        <v>13056</v>
      </c>
      <c r="Z22">
        <v>1310</v>
      </c>
      <c r="AA22">
        <v>2772</v>
      </c>
      <c r="AB22">
        <v>3595087</v>
      </c>
    </row>
    <row r="23" spans="1:28" x14ac:dyDescent="0.4">
      <c r="A23" s="1" t="s">
        <v>34</v>
      </c>
      <c r="B23" s="1" t="s">
        <v>35</v>
      </c>
      <c r="C23">
        <v>3247</v>
      </c>
      <c r="D23">
        <v>24690</v>
      </c>
      <c r="E23">
        <v>8987</v>
      </c>
      <c r="F23">
        <v>2132</v>
      </c>
      <c r="G23">
        <v>988</v>
      </c>
      <c r="H23">
        <v>109</v>
      </c>
      <c r="I23">
        <v>7</v>
      </c>
      <c r="J23">
        <v>169</v>
      </c>
      <c r="K23">
        <v>4483</v>
      </c>
      <c r="L23">
        <v>2976</v>
      </c>
      <c r="M23">
        <v>76</v>
      </c>
      <c r="N23">
        <v>604</v>
      </c>
      <c r="O23">
        <v>1930</v>
      </c>
      <c r="P23">
        <v>6358</v>
      </c>
      <c r="Q23">
        <v>26856</v>
      </c>
      <c r="R23">
        <v>39637</v>
      </c>
      <c r="S23">
        <v>9845</v>
      </c>
      <c r="T23">
        <v>14595</v>
      </c>
      <c r="U23">
        <v>9579089</v>
      </c>
      <c r="V23">
        <v>13026</v>
      </c>
      <c r="W23">
        <v>14311</v>
      </c>
      <c r="X23">
        <v>7835</v>
      </c>
      <c r="Y23">
        <v>13414</v>
      </c>
      <c r="Z23">
        <v>1315</v>
      </c>
      <c r="AA23">
        <v>2678</v>
      </c>
      <c r="AB23">
        <v>3563650</v>
      </c>
    </row>
    <row r="24" spans="1:28" x14ac:dyDescent="0.4">
      <c r="A24" s="1" t="s">
        <v>36</v>
      </c>
      <c r="B24" s="1" t="s">
        <v>37</v>
      </c>
      <c r="C24">
        <v>3607</v>
      </c>
      <c r="D24">
        <v>23443</v>
      </c>
      <c r="E24">
        <v>9057</v>
      </c>
      <c r="F24">
        <v>1968</v>
      </c>
      <c r="G24">
        <v>1097</v>
      </c>
      <c r="H24">
        <v>137</v>
      </c>
      <c r="I24">
        <v>8</v>
      </c>
      <c r="J24">
        <v>104</v>
      </c>
      <c r="K24">
        <v>4192</v>
      </c>
      <c r="L24">
        <v>2910</v>
      </c>
      <c r="M24">
        <v>117</v>
      </c>
      <c r="N24">
        <v>495</v>
      </c>
      <c r="O24">
        <v>1855</v>
      </c>
      <c r="P24">
        <v>6139</v>
      </c>
      <c r="Q24">
        <v>26725</v>
      </c>
      <c r="R24">
        <v>36830</v>
      </c>
      <c r="S24">
        <v>9380</v>
      </c>
      <c r="T24">
        <v>14018</v>
      </c>
      <c r="U24">
        <v>8943544</v>
      </c>
      <c r="V24">
        <v>12030</v>
      </c>
      <c r="W24">
        <v>12317</v>
      </c>
      <c r="X24">
        <v>7879</v>
      </c>
      <c r="Y24">
        <v>12400</v>
      </c>
      <c r="Z24">
        <v>1308</v>
      </c>
      <c r="AA24">
        <v>2232</v>
      </c>
      <c r="AB24">
        <v>3222694</v>
      </c>
    </row>
    <row r="25" spans="1:28" x14ac:dyDescent="0.4">
      <c r="A25" s="1" t="s">
        <v>38</v>
      </c>
      <c r="B25" s="1" t="s">
        <v>39</v>
      </c>
      <c r="C25">
        <v>3204</v>
      </c>
      <c r="D25">
        <v>24713</v>
      </c>
      <c r="E25">
        <v>9167</v>
      </c>
      <c r="F25">
        <v>1862</v>
      </c>
      <c r="G25">
        <v>1207</v>
      </c>
      <c r="H25">
        <v>289</v>
      </c>
      <c r="I25">
        <v>6</v>
      </c>
      <c r="J25">
        <v>174</v>
      </c>
      <c r="K25">
        <v>4228</v>
      </c>
      <c r="L25">
        <v>2732</v>
      </c>
      <c r="M25">
        <v>107</v>
      </c>
      <c r="N25">
        <v>650</v>
      </c>
      <c r="O25">
        <v>2070</v>
      </c>
      <c r="P25">
        <v>6634</v>
      </c>
      <c r="Q25">
        <v>26929</v>
      </c>
      <c r="R25">
        <v>39035</v>
      </c>
      <c r="S25">
        <v>9561</v>
      </c>
      <c r="T25">
        <v>14600</v>
      </c>
      <c r="U25">
        <v>9274744</v>
      </c>
      <c r="V25">
        <v>12463</v>
      </c>
      <c r="W25">
        <v>12425</v>
      </c>
      <c r="X25">
        <v>7799</v>
      </c>
      <c r="Y25">
        <v>12233</v>
      </c>
      <c r="Z25">
        <v>1359</v>
      </c>
      <c r="AA25">
        <v>2425</v>
      </c>
      <c r="AB25">
        <v>3282648</v>
      </c>
    </row>
    <row r="26" spans="1:28" x14ac:dyDescent="0.4">
      <c r="A26" s="1" t="s">
        <v>40</v>
      </c>
      <c r="B26" s="1" t="s">
        <v>41</v>
      </c>
      <c r="C26">
        <v>3621</v>
      </c>
      <c r="D26">
        <v>23777</v>
      </c>
      <c r="E26">
        <v>9253</v>
      </c>
      <c r="F26">
        <v>1902</v>
      </c>
      <c r="G26">
        <v>1446</v>
      </c>
      <c r="H26">
        <v>510</v>
      </c>
      <c r="I26">
        <v>8</v>
      </c>
      <c r="J26">
        <v>158</v>
      </c>
      <c r="K26">
        <v>3823</v>
      </c>
      <c r="L26">
        <v>2856</v>
      </c>
      <c r="M26">
        <v>133</v>
      </c>
      <c r="N26">
        <v>671</v>
      </c>
      <c r="O26">
        <v>1708</v>
      </c>
      <c r="P26">
        <v>7169</v>
      </c>
      <c r="Q26">
        <v>25328</v>
      </c>
      <c r="R26">
        <v>39349</v>
      </c>
      <c r="S26">
        <v>8701</v>
      </c>
      <c r="T26">
        <v>14429</v>
      </c>
      <c r="U26">
        <v>9671771</v>
      </c>
      <c r="V26">
        <v>12807</v>
      </c>
      <c r="W26">
        <v>12280</v>
      </c>
      <c r="X26">
        <v>7459</v>
      </c>
      <c r="Y26">
        <v>13072</v>
      </c>
      <c r="Z26">
        <v>1410</v>
      </c>
      <c r="AA26">
        <v>2321</v>
      </c>
      <c r="AB26">
        <v>3430823</v>
      </c>
    </row>
    <row r="27" spans="1:28" x14ac:dyDescent="0.4">
      <c r="A27" s="1" t="s">
        <v>42</v>
      </c>
      <c r="B27" s="1" t="s">
        <v>43</v>
      </c>
      <c r="C27">
        <v>3285</v>
      </c>
      <c r="D27">
        <v>25451</v>
      </c>
      <c r="E27">
        <v>9235</v>
      </c>
      <c r="F27">
        <v>2242</v>
      </c>
      <c r="G27">
        <v>1420</v>
      </c>
      <c r="H27">
        <v>616</v>
      </c>
      <c r="I27">
        <v>7</v>
      </c>
      <c r="J27">
        <v>188</v>
      </c>
      <c r="K27">
        <v>3510</v>
      </c>
      <c r="L27">
        <v>2739</v>
      </c>
      <c r="M27">
        <v>113</v>
      </c>
      <c r="N27">
        <v>518</v>
      </c>
      <c r="O27">
        <v>1491</v>
      </c>
      <c r="P27">
        <v>8053</v>
      </c>
      <c r="Q27">
        <v>27255</v>
      </c>
      <c r="R27">
        <v>41334</v>
      </c>
      <c r="S27">
        <v>9209</v>
      </c>
      <c r="T27">
        <v>14355</v>
      </c>
      <c r="U27">
        <v>9783801</v>
      </c>
      <c r="V27">
        <v>12864</v>
      </c>
      <c r="W27">
        <v>12660</v>
      </c>
      <c r="X27">
        <v>7495</v>
      </c>
      <c r="Y27">
        <v>13541</v>
      </c>
      <c r="Z27">
        <v>1484</v>
      </c>
      <c r="AA27">
        <v>2624</v>
      </c>
      <c r="AB27">
        <v>3607516</v>
      </c>
    </row>
    <row r="28" spans="1:28" x14ac:dyDescent="0.4">
      <c r="A28" s="1" t="s">
        <v>44</v>
      </c>
      <c r="B28" s="1" t="s">
        <v>45</v>
      </c>
      <c r="C28">
        <v>3352</v>
      </c>
      <c r="D28">
        <v>25173</v>
      </c>
      <c r="E28">
        <v>9101</v>
      </c>
      <c r="F28">
        <v>2131</v>
      </c>
      <c r="G28">
        <v>1446</v>
      </c>
      <c r="H28">
        <v>628</v>
      </c>
      <c r="I28">
        <v>9</v>
      </c>
      <c r="J28">
        <v>168</v>
      </c>
      <c r="K28">
        <v>3335</v>
      </c>
      <c r="L28">
        <v>2854</v>
      </c>
      <c r="M28">
        <v>137</v>
      </c>
      <c r="N28">
        <v>570</v>
      </c>
      <c r="O28">
        <v>2022</v>
      </c>
      <c r="P28">
        <v>7508</v>
      </c>
      <c r="Q28">
        <v>27203</v>
      </c>
      <c r="R28">
        <v>38436</v>
      </c>
      <c r="S28">
        <v>9202</v>
      </c>
      <c r="T28">
        <v>13898</v>
      </c>
      <c r="U28">
        <v>9272195</v>
      </c>
      <c r="V28">
        <v>12816</v>
      </c>
      <c r="W28">
        <v>11974</v>
      </c>
      <c r="X28">
        <v>7381</v>
      </c>
      <c r="Y28">
        <v>12770</v>
      </c>
      <c r="Z28">
        <v>1521</v>
      </c>
      <c r="AA28">
        <v>2524</v>
      </c>
      <c r="AB28">
        <v>3405251</v>
      </c>
    </row>
    <row r="29" spans="1:28" x14ac:dyDescent="0.4">
      <c r="A29" s="1" t="s">
        <v>46</v>
      </c>
      <c r="B29" s="1" t="s">
        <v>47</v>
      </c>
      <c r="C29">
        <v>2799</v>
      </c>
      <c r="D29">
        <v>24762</v>
      </c>
      <c r="E29">
        <v>9089</v>
      </c>
      <c r="F29">
        <v>2272</v>
      </c>
      <c r="G29">
        <v>1396</v>
      </c>
      <c r="H29">
        <v>726</v>
      </c>
      <c r="I29">
        <v>6</v>
      </c>
      <c r="J29">
        <v>179</v>
      </c>
      <c r="K29">
        <v>3612</v>
      </c>
      <c r="L29">
        <v>2450</v>
      </c>
      <c r="M29">
        <v>149</v>
      </c>
      <c r="N29">
        <v>569</v>
      </c>
      <c r="O29">
        <v>2106</v>
      </c>
      <c r="P29">
        <v>7780</v>
      </c>
      <c r="Q29">
        <v>27503</v>
      </c>
      <c r="R29">
        <v>39232</v>
      </c>
      <c r="S29">
        <v>9619</v>
      </c>
      <c r="T29">
        <v>13873</v>
      </c>
      <c r="U29">
        <v>9562732</v>
      </c>
      <c r="V29">
        <v>12406</v>
      </c>
      <c r="W29">
        <v>12567</v>
      </c>
      <c r="X29">
        <v>7479</v>
      </c>
      <c r="Y29">
        <v>13546</v>
      </c>
      <c r="Z29">
        <v>1435</v>
      </c>
      <c r="AA29">
        <v>2597</v>
      </c>
      <c r="AB29">
        <v>3601307</v>
      </c>
    </row>
    <row r="30" spans="1:28" x14ac:dyDescent="0.4">
      <c r="A30" s="1" t="s">
        <v>48</v>
      </c>
      <c r="B30" s="1" t="s">
        <v>49</v>
      </c>
      <c r="C30">
        <v>2949</v>
      </c>
      <c r="D30">
        <v>24125</v>
      </c>
      <c r="E30">
        <v>9108</v>
      </c>
      <c r="F30">
        <v>2463</v>
      </c>
      <c r="G30">
        <v>1261</v>
      </c>
      <c r="H30">
        <v>639</v>
      </c>
      <c r="I30">
        <v>3</v>
      </c>
      <c r="J30">
        <v>150</v>
      </c>
      <c r="K30">
        <v>3514</v>
      </c>
      <c r="L30">
        <v>2853</v>
      </c>
      <c r="M30">
        <v>78</v>
      </c>
      <c r="N30">
        <v>540</v>
      </c>
      <c r="O30">
        <v>2254</v>
      </c>
      <c r="P30">
        <v>7827</v>
      </c>
      <c r="Q30">
        <v>28187</v>
      </c>
      <c r="R30">
        <v>40011</v>
      </c>
      <c r="S30">
        <v>9551</v>
      </c>
      <c r="T30">
        <v>14913</v>
      </c>
      <c r="U30">
        <v>10045357</v>
      </c>
      <c r="V30">
        <v>11843</v>
      </c>
      <c r="W30">
        <v>12913</v>
      </c>
      <c r="X30">
        <v>7152</v>
      </c>
      <c r="Y30">
        <v>13024</v>
      </c>
      <c r="Z30">
        <v>1401</v>
      </c>
      <c r="AA30">
        <v>2354</v>
      </c>
      <c r="AB30">
        <v>3587092</v>
      </c>
    </row>
    <row r="31" spans="1:28" x14ac:dyDescent="0.4">
      <c r="A31" s="1" t="s">
        <v>50</v>
      </c>
      <c r="B31" s="1" t="s">
        <v>51</v>
      </c>
      <c r="C31">
        <v>3004</v>
      </c>
      <c r="D31">
        <v>19889</v>
      </c>
      <c r="E31">
        <v>9022</v>
      </c>
      <c r="F31">
        <v>1825</v>
      </c>
      <c r="G31">
        <v>1134</v>
      </c>
      <c r="H31">
        <v>488</v>
      </c>
      <c r="I31">
        <v>5</v>
      </c>
      <c r="J31">
        <v>129</v>
      </c>
      <c r="K31">
        <v>3865</v>
      </c>
      <c r="L31">
        <v>2331</v>
      </c>
      <c r="M31">
        <v>93</v>
      </c>
      <c r="N31">
        <v>473</v>
      </c>
      <c r="O31">
        <v>2144</v>
      </c>
      <c r="P31">
        <v>6135</v>
      </c>
      <c r="Q31">
        <v>28536</v>
      </c>
      <c r="R31">
        <v>33872</v>
      </c>
      <c r="S31">
        <v>9546</v>
      </c>
      <c r="T31">
        <v>11632</v>
      </c>
      <c r="U31">
        <v>8307713</v>
      </c>
      <c r="V31">
        <v>12129</v>
      </c>
      <c r="W31">
        <v>11168</v>
      </c>
      <c r="X31">
        <v>7034</v>
      </c>
      <c r="Y31">
        <v>11769</v>
      </c>
      <c r="Z31">
        <v>1328</v>
      </c>
      <c r="AA31">
        <v>1918</v>
      </c>
      <c r="AB31">
        <v>3064602</v>
      </c>
    </row>
    <row r="32" spans="1:28" x14ac:dyDescent="0.4">
      <c r="A32" s="1" t="s">
        <v>52</v>
      </c>
      <c r="B32" s="1" t="s">
        <v>53</v>
      </c>
      <c r="C32">
        <v>3589</v>
      </c>
      <c r="D32">
        <v>22983</v>
      </c>
      <c r="E32">
        <v>9138</v>
      </c>
      <c r="F32">
        <v>2173</v>
      </c>
      <c r="G32">
        <v>930</v>
      </c>
      <c r="H32">
        <v>297</v>
      </c>
      <c r="I32">
        <v>5</v>
      </c>
      <c r="J32">
        <v>180</v>
      </c>
      <c r="K32">
        <v>3607</v>
      </c>
      <c r="L32">
        <v>2927</v>
      </c>
      <c r="M32">
        <v>46</v>
      </c>
      <c r="N32">
        <v>526</v>
      </c>
      <c r="O32">
        <v>1970</v>
      </c>
      <c r="P32">
        <v>6579</v>
      </c>
      <c r="Q32">
        <v>24785</v>
      </c>
      <c r="R32">
        <v>39855</v>
      </c>
      <c r="S32">
        <v>8882</v>
      </c>
      <c r="T32">
        <v>14256</v>
      </c>
      <c r="U32">
        <v>9777004</v>
      </c>
      <c r="V32">
        <v>11852</v>
      </c>
      <c r="W32">
        <v>13169</v>
      </c>
      <c r="X32">
        <v>6916</v>
      </c>
      <c r="Y32">
        <v>13745</v>
      </c>
      <c r="Z32">
        <v>1322</v>
      </c>
      <c r="AA32">
        <v>2523</v>
      </c>
      <c r="AB32">
        <v>3685843</v>
      </c>
    </row>
    <row r="33" spans="1:28" x14ac:dyDescent="0.4">
      <c r="A33" s="1" t="s">
        <v>54</v>
      </c>
      <c r="B33" s="1" t="s">
        <v>55</v>
      </c>
      <c r="C33">
        <v>3358</v>
      </c>
      <c r="D33">
        <v>27033</v>
      </c>
      <c r="E33">
        <v>9159</v>
      </c>
      <c r="F33">
        <v>2406</v>
      </c>
      <c r="G33">
        <v>818</v>
      </c>
      <c r="H33">
        <v>164</v>
      </c>
      <c r="I33">
        <v>7</v>
      </c>
      <c r="J33">
        <v>156</v>
      </c>
      <c r="K33">
        <v>4111</v>
      </c>
      <c r="L33">
        <v>3450</v>
      </c>
      <c r="M33">
        <v>89</v>
      </c>
      <c r="N33">
        <v>492</v>
      </c>
      <c r="O33">
        <v>1728</v>
      </c>
      <c r="P33">
        <v>7218</v>
      </c>
      <c r="Q33">
        <v>27517</v>
      </c>
      <c r="R33">
        <v>41916</v>
      </c>
      <c r="S33">
        <v>8796</v>
      </c>
      <c r="T33">
        <v>14938</v>
      </c>
      <c r="U33">
        <v>10333870</v>
      </c>
      <c r="V33">
        <v>12286</v>
      </c>
      <c r="W33">
        <v>13215</v>
      </c>
      <c r="X33">
        <v>7066</v>
      </c>
      <c r="Y33">
        <v>14028</v>
      </c>
      <c r="Z33">
        <v>1267</v>
      </c>
      <c r="AA33">
        <v>2459</v>
      </c>
      <c r="AB33">
        <v>3781097</v>
      </c>
    </row>
    <row r="34" spans="1:28" x14ac:dyDescent="0.4">
      <c r="A34" s="1" t="s">
        <v>56</v>
      </c>
      <c r="B34" s="1" t="s">
        <v>57</v>
      </c>
      <c r="C34">
        <v>3292</v>
      </c>
      <c r="D34">
        <v>24476</v>
      </c>
      <c r="E34">
        <v>8104</v>
      </c>
      <c r="F34">
        <v>2096</v>
      </c>
      <c r="G34">
        <v>792</v>
      </c>
      <c r="H34">
        <v>145</v>
      </c>
      <c r="I34">
        <v>8</v>
      </c>
      <c r="J34">
        <v>156</v>
      </c>
      <c r="K34">
        <v>3999</v>
      </c>
      <c r="L34">
        <v>3359</v>
      </c>
      <c r="M34">
        <v>89</v>
      </c>
      <c r="N34">
        <v>548</v>
      </c>
      <c r="O34">
        <v>1929</v>
      </c>
      <c r="P34">
        <v>5966</v>
      </c>
      <c r="Q34">
        <v>27743</v>
      </c>
      <c r="R34">
        <v>39607</v>
      </c>
      <c r="S34">
        <v>8373</v>
      </c>
      <c r="T34">
        <v>13592</v>
      </c>
      <c r="U34">
        <v>9568225</v>
      </c>
      <c r="V34">
        <v>13653</v>
      </c>
      <c r="W34">
        <v>12584</v>
      </c>
      <c r="X34">
        <v>7001</v>
      </c>
      <c r="Y34">
        <v>13133</v>
      </c>
      <c r="Z34">
        <v>1189</v>
      </c>
      <c r="AA34">
        <v>2176</v>
      </c>
      <c r="AB34">
        <v>3476320</v>
      </c>
    </row>
    <row r="35" spans="1:28" x14ac:dyDescent="0.4">
      <c r="A35" s="1" t="s">
        <v>58</v>
      </c>
      <c r="B35" s="1" t="s">
        <v>59</v>
      </c>
      <c r="C35">
        <v>3417</v>
      </c>
      <c r="D35">
        <v>23893</v>
      </c>
      <c r="E35">
        <v>7973</v>
      </c>
      <c r="F35">
        <v>1620</v>
      </c>
      <c r="G35">
        <v>803</v>
      </c>
      <c r="H35">
        <v>118</v>
      </c>
      <c r="I35">
        <v>7</v>
      </c>
      <c r="J35">
        <v>144</v>
      </c>
      <c r="K35">
        <v>3804</v>
      </c>
      <c r="L35">
        <v>3119</v>
      </c>
      <c r="M35">
        <v>104</v>
      </c>
      <c r="N35">
        <v>500</v>
      </c>
      <c r="O35">
        <v>2068</v>
      </c>
      <c r="P35">
        <v>6328</v>
      </c>
      <c r="Q35">
        <v>26418</v>
      </c>
      <c r="R35">
        <v>37878</v>
      </c>
      <c r="S35">
        <v>8465</v>
      </c>
      <c r="T35">
        <v>14270</v>
      </c>
      <c r="U35">
        <v>9672553</v>
      </c>
      <c r="V35">
        <v>13702</v>
      </c>
      <c r="W35">
        <v>12972</v>
      </c>
      <c r="X35">
        <v>6590</v>
      </c>
      <c r="Y35">
        <v>12964</v>
      </c>
      <c r="Z35">
        <v>1194</v>
      </c>
      <c r="AA35">
        <v>2258</v>
      </c>
      <c r="AB35">
        <v>3518051</v>
      </c>
    </row>
    <row r="36" spans="1:28" x14ac:dyDescent="0.4">
      <c r="A36" s="1" t="s">
        <v>60</v>
      </c>
      <c r="B36" s="1" t="s">
        <v>61</v>
      </c>
      <c r="C36">
        <v>3074</v>
      </c>
      <c r="D36">
        <v>20955</v>
      </c>
      <c r="E36">
        <v>8052</v>
      </c>
      <c r="F36">
        <v>1541</v>
      </c>
      <c r="G36">
        <v>916</v>
      </c>
      <c r="H36">
        <v>207</v>
      </c>
      <c r="I36">
        <v>5</v>
      </c>
      <c r="J36">
        <v>115</v>
      </c>
      <c r="K36">
        <v>3785</v>
      </c>
      <c r="L36">
        <v>3010</v>
      </c>
      <c r="M36">
        <v>115</v>
      </c>
      <c r="N36">
        <v>428</v>
      </c>
      <c r="O36">
        <v>2134</v>
      </c>
      <c r="P36">
        <v>6342</v>
      </c>
      <c r="Q36">
        <v>25958</v>
      </c>
      <c r="R36">
        <v>36108</v>
      </c>
      <c r="S36">
        <v>8602</v>
      </c>
      <c r="T36">
        <v>13739</v>
      </c>
      <c r="U36">
        <v>9085513</v>
      </c>
      <c r="V36">
        <v>13609</v>
      </c>
      <c r="W36">
        <v>11921</v>
      </c>
      <c r="X36">
        <v>6440</v>
      </c>
      <c r="Y36">
        <v>12063</v>
      </c>
      <c r="Z36">
        <v>1154</v>
      </c>
      <c r="AA36">
        <v>1984</v>
      </c>
      <c r="AB36">
        <v>3195324</v>
      </c>
    </row>
    <row r="37" spans="1:28" x14ac:dyDescent="0.4">
      <c r="A37" s="1" t="s">
        <v>62</v>
      </c>
      <c r="B37" s="1" t="s">
        <v>63</v>
      </c>
      <c r="C37">
        <v>3312</v>
      </c>
      <c r="D37">
        <v>23122</v>
      </c>
      <c r="E37">
        <v>7361</v>
      </c>
      <c r="F37">
        <v>1549</v>
      </c>
      <c r="G37">
        <v>923</v>
      </c>
      <c r="H37">
        <v>317</v>
      </c>
      <c r="I37">
        <v>8</v>
      </c>
      <c r="J37">
        <v>175</v>
      </c>
      <c r="K37">
        <v>3706</v>
      </c>
      <c r="L37">
        <v>3289</v>
      </c>
      <c r="M37">
        <v>105</v>
      </c>
      <c r="N37">
        <v>505</v>
      </c>
      <c r="O37">
        <v>2065</v>
      </c>
      <c r="P37">
        <v>6274</v>
      </c>
      <c r="Q37">
        <v>27226</v>
      </c>
      <c r="R37">
        <v>38372</v>
      </c>
      <c r="S37">
        <v>8784</v>
      </c>
      <c r="T37">
        <v>13762</v>
      </c>
      <c r="U37">
        <v>9415621</v>
      </c>
      <c r="V37">
        <v>14169</v>
      </c>
      <c r="W37">
        <v>12407</v>
      </c>
      <c r="X37">
        <v>6644</v>
      </c>
      <c r="Y37">
        <v>12743</v>
      </c>
      <c r="Z37">
        <v>1196</v>
      </c>
      <c r="AA37">
        <v>2080</v>
      </c>
      <c r="AB37">
        <v>3417487</v>
      </c>
    </row>
    <row r="38" spans="1:28" x14ac:dyDescent="0.4">
      <c r="A38" s="1" t="s">
        <v>64</v>
      </c>
      <c r="B38" s="1" t="s">
        <v>65</v>
      </c>
      <c r="C38">
        <v>3143</v>
      </c>
      <c r="D38">
        <v>23381</v>
      </c>
      <c r="E38">
        <v>8313</v>
      </c>
      <c r="F38">
        <v>1727</v>
      </c>
      <c r="G38">
        <v>1062</v>
      </c>
      <c r="H38">
        <v>615</v>
      </c>
      <c r="I38">
        <v>5</v>
      </c>
      <c r="J38">
        <v>113</v>
      </c>
      <c r="K38">
        <v>3332</v>
      </c>
      <c r="L38">
        <v>3238</v>
      </c>
      <c r="M38">
        <v>99</v>
      </c>
      <c r="N38">
        <v>483</v>
      </c>
      <c r="O38">
        <v>1974</v>
      </c>
      <c r="P38">
        <v>7211</v>
      </c>
      <c r="Q38">
        <v>25472</v>
      </c>
      <c r="R38">
        <v>37630</v>
      </c>
      <c r="S38">
        <v>8477</v>
      </c>
      <c r="T38">
        <v>14700</v>
      </c>
      <c r="U38">
        <v>9981660</v>
      </c>
      <c r="V38">
        <v>14028</v>
      </c>
      <c r="W38">
        <v>12904</v>
      </c>
      <c r="X38">
        <v>6733</v>
      </c>
      <c r="Y38">
        <v>13777</v>
      </c>
      <c r="Z38">
        <v>1306</v>
      </c>
      <c r="AA38">
        <v>2296</v>
      </c>
      <c r="AB38">
        <v>3629046</v>
      </c>
    </row>
    <row r="39" spans="1:28" x14ac:dyDescent="0.4">
      <c r="A39" s="1"/>
      <c r="B39" s="1"/>
    </row>
    <row r="40" spans="1:28" x14ac:dyDescent="0.4">
      <c r="A40" s="1"/>
      <c r="B40" s="1"/>
    </row>
  </sheetData>
  <phoneticPr fontId="2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53A94-09F7-403A-B815-9EECD8E3B26E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1925</v>
      </c>
      <c r="D3" t="s">
        <v>1925</v>
      </c>
      <c r="E3" t="s">
        <v>1925</v>
      </c>
      <c r="F3" t="s">
        <v>1925</v>
      </c>
      <c r="G3" t="s">
        <v>1927</v>
      </c>
      <c r="H3" t="s">
        <v>1927</v>
      </c>
      <c r="I3" t="s">
        <v>1927</v>
      </c>
      <c r="J3" t="s">
        <v>1927</v>
      </c>
      <c r="K3" t="s">
        <v>1929</v>
      </c>
      <c r="L3" t="s">
        <v>1929</v>
      </c>
      <c r="M3" t="s">
        <v>1929</v>
      </c>
      <c r="N3" t="s">
        <v>1929</v>
      </c>
      <c r="O3" t="s">
        <v>1931</v>
      </c>
      <c r="P3" t="s">
        <v>1931</v>
      </c>
      <c r="Q3" t="s">
        <v>1931</v>
      </c>
      <c r="R3" t="s">
        <v>1931</v>
      </c>
      <c r="S3" t="s">
        <v>1933</v>
      </c>
      <c r="T3" t="s">
        <v>1933</v>
      </c>
      <c r="U3" t="s">
        <v>1933</v>
      </c>
      <c r="V3" t="s">
        <v>1933</v>
      </c>
      <c r="W3" t="s">
        <v>1935</v>
      </c>
      <c r="X3" t="s">
        <v>1935</v>
      </c>
      <c r="Y3" t="s">
        <v>1935</v>
      </c>
      <c r="Z3" t="s">
        <v>1935</v>
      </c>
      <c r="AA3" t="s">
        <v>1937</v>
      </c>
      <c r="AB3" t="s">
        <v>1937</v>
      </c>
      <c r="AC3" t="s">
        <v>1937</v>
      </c>
      <c r="AD3" t="s">
        <v>1937</v>
      </c>
      <c r="AE3" t="s">
        <v>1939</v>
      </c>
      <c r="AF3" t="s">
        <v>1939</v>
      </c>
      <c r="AG3" t="s">
        <v>1939</v>
      </c>
      <c r="AH3" t="s">
        <v>1939</v>
      </c>
      <c r="AI3" t="s">
        <v>1942</v>
      </c>
      <c r="AJ3" t="s">
        <v>1942</v>
      </c>
      <c r="AK3" t="s">
        <v>1942</v>
      </c>
      <c r="AL3" t="s">
        <v>1942</v>
      </c>
      <c r="AM3" t="s">
        <v>1944</v>
      </c>
      <c r="AN3" t="s">
        <v>1944</v>
      </c>
      <c r="AO3" t="s">
        <v>1944</v>
      </c>
      <c r="AP3" t="s">
        <v>1944</v>
      </c>
      <c r="AQ3" t="s">
        <v>1946</v>
      </c>
      <c r="AR3" t="s">
        <v>1946</v>
      </c>
      <c r="AS3" t="s">
        <v>1946</v>
      </c>
      <c r="AT3" t="s">
        <v>1946</v>
      </c>
      <c r="AU3" t="s">
        <v>1948</v>
      </c>
      <c r="AV3" t="s">
        <v>1948</v>
      </c>
      <c r="AW3" t="s">
        <v>1948</v>
      </c>
      <c r="AX3" t="s">
        <v>1948</v>
      </c>
      <c r="AY3" t="s">
        <v>1950</v>
      </c>
      <c r="AZ3" t="s">
        <v>1950</v>
      </c>
      <c r="BA3" t="s">
        <v>1950</v>
      </c>
      <c r="BB3" t="s">
        <v>1950</v>
      </c>
    </row>
    <row r="4" spans="1:54" x14ac:dyDescent="0.4">
      <c r="A4" s="1"/>
      <c r="B4" s="2" t="s">
        <v>1</v>
      </c>
      <c r="C4" t="s">
        <v>1926</v>
      </c>
      <c r="D4" t="s">
        <v>1926</v>
      </c>
      <c r="E4" t="s">
        <v>1926</v>
      </c>
      <c r="F4" t="s">
        <v>1926</v>
      </c>
      <c r="G4" t="s">
        <v>1928</v>
      </c>
      <c r="H4" t="s">
        <v>1928</v>
      </c>
      <c r="I4" t="s">
        <v>1928</v>
      </c>
      <c r="J4" t="s">
        <v>1928</v>
      </c>
      <c r="K4" t="s">
        <v>1930</v>
      </c>
      <c r="L4" t="s">
        <v>1930</v>
      </c>
      <c r="M4" t="s">
        <v>1930</v>
      </c>
      <c r="N4" t="s">
        <v>1930</v>
      </c>
      <c r="O4" t="s">
        <v>1932</v>
      </c>
      <c r="P4" t="s">
        <v>1932</v>
      </c>
      <c r="Q4" t="s">
        <v>1932</v>
      </c>
      <c r="R4" t="s">
        <v>1932</v>
      </c>
      <c r="S4" t="s">
        <v>1934</v>
      </c>
      <c r="T4" t="s">
        <v>1934</v>
      </c>
      <c r="U4" t="s">
        <v>1934</v>
      </c>
      <c r="V4" t="s">
        <v>1934</v>
      </c>
      <c r="W4" t="s">
        <v>1936</v>
      </c>
      <c r="X4" t="s">
        <v>1936</v>
      </c>
      <c r="Y4" t="s">
        <v>1936</v>
      </c>
      <c r="Z4" t="s">
        <v>1936</v>
      </c>
      <c r="AA4" t="s">
        <v>1938</v>
      </c>
      <c r="AB4" t="s">
        <v>1938</v>
      </c>
      <c r="AC4" t="s">
        <v>1938</v>
      </c>
      <c r="AD4" t="s">
        <v>1938</v>
      </c>
      <c r="AE4" t="s">
        <v>1941</v>
      </c>
      <c r="AF4" t="s">
        <v>1941</v>
      </c>
      <c r="AG4" t="s">
        <v>1941</v>
      </c>
      <c r="AH4" t="s">
        <v>1941</v>
      </c>
      <c r="AI4" t="s">
        <v>1943</v>
      </c>
      <c r="AJ4" t="s">
        <v>1943</v>
      </c>
      <c r="AK4" t="s">
        <v>1943</v>
      </c>
      <c r="AL4" t="s">
        <v>1943</v>
      </c>
      <c r="AM4" t="s">
        <v>1945</v>
      </c>
      <c r="AN4" t="s">
        <v>1945</v>
      </c>
      <c r="AO4" t="s">
        <v>1945</v>
      </c>
      <c r="AP4" t="s">
        <v>1945</v>
      </c>
      <c r="AQ4" t="s">
        <v>1947</v>
      </c>
      <c r="AR4" t="s">
        <v>1947</v>
      </c>
      <c r="AS4" t="s">
        <v>1947</v>
      </c>
      <c r="AT4" t="s">
        <v>1947</v>
      </c>
      <c r="AU4" t="s">
        <v>1949</v>
      </c>
      <c r="AV4" t="s">
        <v>1949</v>
      </c>
      <c r="AW4" t="s">
        <v>1949</v>
      </c>
      <c r="AX4" t="s">
        <v>1949</v>
      </c>
      <c r="AY4" t="s">
        <v>1951</v>
      </c>
      <c r="AZ4" t="s">
        <v>1951</v>
      </c>
      <c r="BA4" t="s">
        <v>1951</v>
      </c>
      <c r="BB4" t="s">
        <v>1951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1940</v>
      </c>
      <c r="AF7" t="s">
        <v>1940</v>
      </c>
      <c r="AG7" t="s">
        <v>341</v>
      </c>
      <c r="AH7" t="s">
        <v>1940</v>
      </c>
      <c r="AI7" t="s">
        <v>1940</v>
      </c>
      <c r="AJ7" t="s">
        <v>1940</v>
      </c>
      <c r="AK7" t="s">
        <v>341</v>
      </c>
      <c r="AL7" t="s">
        <v>1940</v>
      </c>
      <c r="AM7" t="s">
        <v>1940</v>
      </c>
      <c r="AN7" t="s">
        <v>1940</v>
      </c>
      <c r="AO7" t="s">
        <v>341</v>
      </c>
      <c r="AP7" t="s">
        <v>1940</v>
      </c>
      <c r="AQ7" t="s">
        <v>1940</v>
      </c>
      <c r="AR7" t="s">
        <v>1940</v>
      </c>
      <c r="AS7" t="s">
        <v>341</v>
      </c>
      <c r="AT7" t="s">
        <v>1940</v>
      </c>
      <c r="AU7" t="s">
        <v>1940</v>
      </c>
      <c r="AV7" t="s">
        <v>1940</v>
      </c>
      <c r="AW7" t="s">
        <v>341</v>
      </c>
      <c r="AX7" t="s">
        <v>1940</v>
      </c>
      <c r="AY7" t="s">
        <v>1940</v>
      </c>
      <c r="AZ7" t="s">
        <v>1940</v>
      </c>
      <c r="BA7" t="s">
        <v>341</v>
      </c>
      <c r="BB7" t="s">
        <v>1940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253</v>
      </c>
      <c r="AR8" t="s">
        <v>253</v>
      </c>
      <c r="AS8" t="s">
        <v>342</v>
      </c>
      <c r="AT8" t="s">
        <v>253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</row>
    <row r="9" spans="1:54" x14ac:dyDescent="0.4">
      <c r="A9" s="1" t="s">
        <v>6</v>
      </c>
      <c r="B9" s="3" t="s">
        <v>7</v>
      </c>
      <c r="C9">
        <v>8194208</v>
      </c>
      <c r="D9">
        <v>5140061</v>
      </c>
      <c r="E9">
        <v>4510850</v>
      </c>
      <c r="F9">
        <v>1083809</v>
      </c>
      <c r="G9">
        <v>137319</v>
      </c>
      <c r="H9">
        <v>32867</v>
      </c>
      <c r="I9">
        <v>80898</v>
      </c>
      <c r="J9">
        <v>0</v>
      </c>
      <c r="K9">
        <v>4424585</v>
      </c>
      <c r="L9">
        <v>1862673</v>
      </c>
      <c r="M9">
        <v>997487</v>
      </c>
      <c r="N9">
        <v>337797</v>
      </c>
      <c r="O9">
        <v>696707</v>
      </c>
      <c r="P9">
        <v>562500</v>
      </c>
      <c r="Q9">
        <v>625976</v>
      </c>
      <c r="R9">
        <v>48391</v>
      </c>
      <c r="S9">
        <v>35182185</v>
      </c>
      <c r="T9">
        <v>26023574</v>
      </c>
      <c r="U9">
        <v>7975830</v>
      </c>
      <c r="V9">
        <v>1133915</v>
      </c>
      <c r="W9">
        <v>1098881</v>
      </c>
      <c r="X9">
        <v>816809</v>
      </c>
      <c r="Y9">
        <v>754824</v>
      </c>
      <c r="Z9">
        <v>71305</v>
      </c>
      <c r="AA9">
        <v>283769</v>
      </c>
      <c r="AB9">
        <v>54625</v>
      </c>
      <c r="AC9">
        <v>65860</v>
      </c>
      <c r="AD9">
        <v>15426</v>
      </c>
      <c r="AE9">
        <v>18504919</v>
      </c>
      <c r="AF9">
        <v>22428772</v>
      </c>
      <c r="AG9">
        <v>40092783</v>
      </c>
      <c r="AH9">
        <v>7175206</v>
      </c>
      <c r="AI9">
        <v>21730560</v>
      </c>
      <c r="AJ9">
        <v>29406577</v>
      </c>
      <c r="AK9">
        <v>18622766</v>
      </c>
      <c r="AL9">
        <v>3486674</v>
      </c>
      <c r="AM9">
        <v>97960627</v>
      </c>
      <c r="AN9">
        <v>215765639</v>
      </c>
      <c r="AO9">
        <v>48035853</v>
      </c>
      <c r="AP9">
        <v>38913265</v>
      </c>
      <c r="AQ9">
        <v>8761465</v>
      </c>
      <c r="AR9">
        <v>26609760</v>
      </c>
      <c r="AS9">
        <v>3850072</v>
      </c>
      <c r="AT9">
        <v>4979572</v>
      </c>
      <c r="AU9">
        <v>24845793</v>
      </c>
      <c r="AV9">
        <v>40621076</v>
      </c>
      <c r="AW9">
        <v>129005877</v>
      </c>
      <c r="AX9">
        <v>15792334</v>
      </c>
      <c r="AY9">
        <v>3720228</v>
      </c>
      <c r="AZ9">
        <v>3612938</v>
      </c>
      <c r="BA9">
        <v>4739129</v>
      </c>
      <c r="BB9">
        <v>357947</v>
      </c>
    </row>
    <row r="10" spans="1:54" x14ac:dyDescent="0.4">
      <c r="A10" s="1" t="s">
        <v>8</v>
      </c>
      <c r="B10" s="3" t="s">
        <v>9</v>
      </c>
      <c r="C10">
        <v>8121718</v>
      </c>
      <c r="D10">
        <v>5239182</v>
      </c>
      <c r="E10">
        <v>4706878</v>
      </c>
      <c r="F10">
        <v>1202251</v>
      </c>
      <c r="G10">
        <v>147013</v>
      </c>
      <c r="H10">
        <v>37889</v>
      </c>
      <c r="I10">
        <v>93258</v>
      </c>
      <c r="J10">
        <v>0</v>
      </c>
      <c r="K10">
        <v>4655511</v>
      </c>
      <c r="L10">
        <v>1813050</v>
      </c>
      <c r="M10">
        <v>992980</v>
      </c>
      <c r="N10">
        <v>384308</v>
      </c>
      <c r="O10">
        <v>859667</v>
      </c>
      <c r="P10">
        <v>708917</v>
      </c>
      <c r="Q10">
        <v>738397</v>
      </c>
      <c r="R10">
        <v>18351</v>
      </c>
      <c r="S10">
        <v>34721948</v>
      </c>
      <c r="T10">
        <v>25420831</v>
      </c>
      <c r="U10">
        <v>7440383</v>
      </c>
      <c r="V10">
        <v>1456367</v>
      </c>
      <c r="W10">
        <v>1124207</v>
      </c>
      <c r="X10">
        <v>831232</v>
      </c>
      <c r="Y10">
        <v>629837</v>
      </c>
      <c r="Z10">
        <v>86559</v>
      </c>
      <c r="AA10">
        <v>285000</v>
      </c>
      <c r="AB10">
        <v>58039</v>
      </c>
      <c r="AC10">
        <v>82512</v>
      </c>
      <c r="AD10">
        <v>8927</v>
      </c>
      <c r="AE10">
        <v>20326009</v>
      </c>
      <c r="AF10">
        <v>23530183</v>
      </c>
      <c r="AG10">
        <v>45773218</v>
      </c>
      <c r="AH10">
        <v>10128760</v>
      </c>
      <c r="AI10">
        <v>20321584</v>
      </c>
      <c r="AJ10">
        <v>27535984</v>
      </c>
      <c r="AK10">
        <v>18330007</v>
      </c>
      <c r="AL10">
        <v>2014674</v>
      </c>
      <c r="AM10">
        <v>89078123</v>
      </c>
      <c r="AN10">
        <v>209798039</v>
      </c>
      <c r="AO10">
        <v>49637932</v>
      </c>
      <c r="AP10">
        <v>56064823</v>
      </c>
      <c r="AQ10">
        <v>8195804</v>
      </c>
      <c r="AR10">
        <v>24158776</v>
      </c>
      <c r="AS10">
        <v>2880888</v>
      </c>
      <c r="AT10">
        <v>3453798</v>
      </c>
      <c r="AU10">
        <v>22581087</v>
      </c>
      <c r="AV10">
        <v>38022814</v>
      </c>
      <c r="AW10">
        <v>121681746</v>
      </c>
      <c r="AX10">
        <v>14457800</v>
      </c>
      <c r="AY10">
        <v>3677384</v>
      </c>
      <c r="AZ10">
        <v>3550705</v>
      </c>
      <c r="BA10">
        <v>4898950</v>
      </c>
      <c r="BB10">
        <v>355902</v>
      </c>
    </row>
    <row r="11" spans="1:54" x14ac:dyDescent="0.4">
      <c r="A11" s="1" t="s">
        <v>10</v>
      </c>
      <c r="B11" s="3" t="s">
        <v>11</v>
      </c>
      <c r="C11">
        <v>8129505</v>
      </c>
      <c r="D11">
        <v>5256582</v>
      </c>
      <c r="E11">
        <v>4715059</v>
      </c>
      <c r="F11">
        <v>1313868</v>
      </c>
      <c r="G11">
        <v>134510</v>
      </c>
      <c r="H11">
        <v>27675</v>
      </c>
      <c r="I11">
        <v>68117</v>
      </c>
      <c r="J11">
        <v>0</v>
      </c>
      <c r="K11">
        <v>4534324</v>
      </c>
      <c r="L11">
        <v>1780521</v>
      </c>
      <c r="M11">
        <v>992645</v>
      </c>
      <c r="N11">
        <v>427010</v>
      </c>
      <c r="O11">
        <v>640519</v>
      </c>
      <c r="P11">
        <v>499611</v>
      </c>
      <c r="Q11">
        <v>665127</v>
      </c>
      <c r="R11">
        <v>41671</v>
      </c>
      <c r="S11">
        <v>32505521</v>
      </c>
      <c r="T11">
        <v>23272600</v>
      </c>
      <c r="U11">
        <v>7086746</v>
      </c>
      <c r="V11">
        <v>880192</v>
      </c>
      <c r="W11">
        <v>1133419</v>
      </c>
      <c r="X11">
        <v>844697</v>
      </c>
      <c r="Y11">
        <v>567380</v>
      </c>
      <c r="Z11">
        <v>90346</v>
      </c>
      <c r="AA11">
        <v>294805</v>
      </c>
      <c r="AB11">
        <v>58746</v>
      </c>
      <c r="AC11">
        <v>97103</v>
      </c>
      <c r="AD11">
        <v>11526</v>
      </c>
      <c r="AE11">
        <v>19269944</v>
      </c>
      <c r="AF11">
        <v>22401115</v>
      </c>
      <c r="AG11">
        <v>45629729</v>
      </c>
      <c r="AH11">
        <v>10794242</v>
      </c>
      <c r="AI11">
        <v>19288482</v>
      </c>
      <c r="AJ11">
        <v>24844036</v>
      </c>
      <c r="AK11">
        <v>17557803</v>
      </c>
      <c r="AL11">
        <v>2781386</v>
      </c>
      <c r="AM11">
        <v>92505484</v>
      </c>
      <c r="AN11">
        <v>196634894</v>
      </c>
      <c r="AO11">
        <v>53658927</v>
      </c>
      <c r="AP11">
        <v>50712206</v>
      </c>
      <c r="AQ11">
        <v>8004351</v>
      </c>
      <c r="AR11">
        <v>21579104</v>
      </c>
      <c r="AS11">
        <v>2791496</v>
      </c>
      <c r="AT11">
        <v>4138785</v>
      </c>
      <c r="AU11">
        <v>22397735</v>
      </c>
      <c r="AV11">
        <v>38085805</v>
      </c>
      <c r="AW11">
        <v>125744482</v>
      </c>
      <c r="AX11">
        <v>13025994</v>
      </c>
      <c r="AY11">
        <v>3279606</v>
      </c>
      <c r="AZ11">
        <v>3140330</v>
      </c>
      <c r="BA11">
        <v>4473624</v>
      </c>
      <c r="BB11">
        <v>352047</v>
      </c>
    </row>
    <row r="12" spans="1:54" x14ac:dyDescent="0.4">
      <c r="A12" s="1" t="s">
        <v>12</v>
      </c>
      <c r="B12" s="3" t="s">
        <v>13</v>
      </c>
      <c r="C12">
        <v>7642948</v>
      </c>
      <c r="D12">
        <v>5246761</v>
      </c>
      <c r="E12">
        <v>4693453</v>
      </c>
      <c r="F12">
        <v>1221568</v>
      </c>
      <c r="G12">
        <v>168039</v>
      </c>
      <c r="H12">
        <v>28220</v>
      </c>
      <c r="I12">
        <v>71921</v>
      </c>
      <c r="J12">
        <v>1000</v>
      </c>
      <c r="K12">
        <v>3995498</v>
      </c>
      <c r="L12">
        <v>1574103</v>
      </c>
      <c r="M12">
        <v>904009</v>
      </c>
      <c r="N12">
        <v>426420</v>
      </c>
      <c r="O12">
        <v>539102</v>
      </c>
      <c r="P12">
        <v>403696</v>
      </c>
      <c r="Q12">
        <v>526685</v>
      </c>
      <c r="R12">
        <v>29983</v>
      </c>
      <c r="S12">
        <v>31850154</v>
      </c>
      <c r="T12">
        <v>23243464</v>
      </c>
      <c r="U12">
        <v>7316461</v>
      </c>
      <c r="V12">
        <v>729278</v>
      </c>
      <c r="W12">
        <v>1026698</v>
      </c>
      <c r="X12">
        <v>767800</v>
      </c>
      <c r="Y12">
        <v>492428</v>
      </c>
      <c r="Z12">
        <v>86150</v>
      </c>
      <c r="AA12">
        <v>276930</v>
      </c>
      <c r="AB12">
        <v>42831</v>
      </c>
      <c r="AC12">
        <v>80768</v>
      </c>
      <c r="AD12">
        <v>12165</v>
      </c>
      <c r="AE12">
        <v>17690921</v>
      </c>
      <c r="AF12">
        <v>19810365</v>
      </c>
      <c r="AG12">
        <v>43947026</v>
      </c>
      <c r="AH12">
        <v>9363013</v>
      </c>
      <c r="AI12">
        <v>18128642</v>
      </c>
      <c r="AJ12">
        <v>21981371</v>
      </c>
      <c r="AK12">
        <v>15362966</v>
      </c>
      <c r="AL12">
        <v>2997710</v>
      </c>
      <c r="AM12">
        <v>90190327</v>
      </c>
      <c r="AN12">
        <v>187072150</v>
      </c>
      <c r="AO12">
        <v>55984819</v>
      </c>
      <c r="AP12">
        <v>48549741</v>
      </c>
      <c r="AQ12">
        <v>7315828</v>
      </c>
      <c r="AR12">
        <v>19699789</v>
      </c>
      <c r="AS12">
        <v>2571187</v>
      </c>
      <c r="AT12">
        <v>3689522</v>
      </c>
      <c r="AU12">
        <v>21412946</v>
      </c>
      <c r="AV12">
        <v>37760607</v>
      </c>
      <c r="AW12">
        <v>132075419</v>
      </c>
      <c r="AX12">
        <v>13051240</v>
      </c>
      <c r="AY12">
        <v>2779403</v>
      </c>
      <c r="AZ12">
        <v>2644438</v>
      </c>
      <c r="BA12">
        <v>3926324</v>
      </c>
      <c r="BB12">
        <v>341646</v>
      </c>
    </row>
    <row r="13" spans="1:54" x14ac:dyDescent="0.4">
      <c r="A13" s="1" t="s">
        <v>14</v>
      </c>
      <c r="B13" s="3" t="s">
        <v>15</v>
      </c>
      <c r="C13">
        <v>6837183</v>
      </c>
      <c r="D13">
        <v>5072181</v>
      </c>
      <c r="E13">
        <v>4630742</v>
      </c>
      <c r="F13">
        <v>1077551</v>
      </c>
      <c r="G13">
        <v>170570</v>
      </c>
      <c r="H13">
        <v>40158</v>
      </c>
      <c r="I13">
        <v>83240</v>
      </c>
      <c r="J13">
        <v>400</v>
      </c>
      <c r="K13">
        <v>3367761</v>
      </c>
      <c r="L13">
        <v>1467679</v>
      </c>
      <c r="M13">
        <v>835468</v>
      </c>
      <c r="N13">
        <v>352900</v>
      </c>
      <c r="O13">
        <v>535066</v>
      </c>
      <c r="P13">
        <v>393176</v>
      </c>
      <c r="Q13">
        <v>522969</v>
      </c>
      <c r="R13">
        <v>29160</v>
      </c>
      <c r="S13">
        <v>32058291</v>
      </c>
      <c r="T13">
        <v>23254166</v>
      </c>
      <c r="U13">
        <v>7116646</v>
      </c>
      <c r="V13">
        <v>820614</v>
      </c>
      <c r="W13">
        <v>853195</v>
      </c>
      <c r="X13">
        <v>635209</v>
      </c>
      <c r="Y13">
        <v>408254</v>
      </c>
      <c r="Z13">
        <v>81438</v>
      </c>
      <c r="AA13">
        <v>286468</v>
      </c>
      <c r="AB13">
        <v>53061</v>
      </c>
      <c r="AC13">
        <v>77203</v>
      </c>
      <c r="AD13">
        <v>12111</v>
      </c>
      <c r="AE13">
        <v>16469469</v>
      </c>
      <c r="AF13">
        <v>18423001</v>
      </c>
      <c r="AG13">
        <v>41659056</v>
      </c>
      <c r="AH13">
        <v>9194733</v>
      </c>
      <c r="AI13">
        <v>14784584</v>
      </c>
      <c r="AJ13">
        <v>19167769</v>
      </c>
      <c r="AK13">
        <v>13491157</v>
      </c>
      <c r="AL13">
        <v>3032493</v>
      </c>
      <c r="AM13">
        <v>71595010</v>
      </c>
      <c r="AN13">
        <v>167797508</v>
      </c>
      <c r="AO13">
        <v>51586512</v>
      </c>
      <c r="AP13">
        <v>44701801</v>
      </c>
      <c r="AQ13">
        <v>6877867</v>
      </c>
      <c r="AR13">
        <v>19815700</v>
      </c>
      <c r="AS13">
        <v>2538008</v>
      </c>
      <c r="AT13">
        <v>3915911</v>
      </c>
      <c r="AU13">
        <v>19814904</v>
      </c>
      <c r="AV13">
        <v>38966577</v>
      </c>
      <c r="AW13">
        <v>141130587</v>
      </c>
      <c r="AX13">
        <v>11743528</v>
      </c>
      <c r="AY13">
        <v>2342068</v>
      </c>
      <c r="AZ13">
        <v>2277721</v>
      </c>
      <c r="BA13">
        <v>3384847</v>
      </c>
      <c r="BB13">
        <v>302052</v>
      </c>
    </row>
    <row r="14" spans="1:54" x14ac:dyDescent="0.4">
      <c r="A14" s="1" t="s">
        <v>16</v>
      </c>
      <c r="B14" s="1" t="s">
        <v>17</v>
      </c>
      <c r="C14">
        <v>650849</v>
      </c>
      <c r="D14">
        <v>469589</v>
      </c>
      <c r="E14">
        <v>429681</v>
      </c>
      <c r="F14">
        <v>1297227</v>
      </c>
      <c r="G14">
        <v>15993</v>
      </c>
      <c r="H14">
        <v>4402</v>
      </c>
      <c r="I14">
        <v>10835</v>
      </c>
      <c r="J14">
        <v>950</v>
      </c>
      <c r="K14">
        <v>370091</v>
      </c>
      <c r="L14">
        <v>151794</v>
      </c>
      <c r="M14">
        <v>84349</v>
      </c>
      <c r="N14">
        <v>402796</v>
      </c>
      <c r="O14">
        <v>49505</v>
      </c>
      <c r="P14">
        <v>41280</v>
      </c>
      <c r="Q14">
        <v>53763</v>
      </c>
      <c r="R14">
        <v>30140</v>
      </c>
      <c r="S14">
        <v>2593644</v>
      </c>
      <c r="T14">
        <v>1893369</v>
      </c>
      <c r="U14">
        <v>605062</v>
      </c>
      <c r="V14">
        <v>886047</v>
      </c>
      <c r="W14">
        <v>90655</v>
      </c>
      <c r="X14">
        <v>69564</v>
      </c>
      <c r="Y14">
        <v>45990</v>
      </c>
      <c r="Z14">
        <v>92105</v>
      </c>
      <c r="AA14">
        <v>24489</v>
      </c>
      <c r="AB14">
        <v>4551</v>
      </c>
      <c r="AC14">
        <v>6470</v>
      </c>
      <c r="AD14">
        <v>11264</v>
      </c>
      <c r="AE14">
        <v>1619864</v>
      </c>
      <c r="AF14">
        <v>3595793</v>
      </c>
      <c r="AG14">
        <v>7608325</v>
      </c>
      <c r="AH14">
        <v>6757278</v>
      </c>
      <c r="AI14">
        <v>1509880</v>
      </c>
      <c r="AJ14">
        <v>1683790</v>
      </c>
      <c r="AK14">
        <v>1175775</v>
      </c>
      <c r="AL14">
        <v>3327632</v>
      </c>
      <c r="AM14">
        <v>7605126</v>
      </c>
      <c r="AN14">
        <v>17358718</v>
      </c>
      <c r="AO14">
        <v>4318777</v>
      </c>
      <c r="AP14">
        <v>48376152</v>
      </c>
      <c r="AQ14">
        <v>598223</v>
      </c>
      <c r="AR14">
        <v>1548061</v>
      </c>
      <c r="AS14">
        <v>187046</v>
      </c>
      <c r="AT14">
        <v>4014589</v>
      </c>
      <c r="AU14">
        <v>1981195</v>
      </c>
      <c r="AV14">
        <v>4635743</v>
      </c>
      <c r="AW14">
        <v>17415149</v>
      </c>
      <c r="AX14">
        <v>11815941</v>
      </c>
      <c r="AY14">
        <v>246731</v>
      </c>
      <c r="AZ14">
        <v>226598</v>
      </c>
      <c r="BA14">
        <v>307945</v>
      </c>
      <c r="BB14">
        <v>361660</v>
      </c>
    </row>
    <row r="15" spans="1:54" x14ac:dyDescent="0.4">
      <c r="A15" s="1" t="s">
        <v>18</v>
      </c>
      <c r="B15" s="1" t="s">
        <v>19</v>
      </c>
      <c r="C15">
        <v>687375</v>
      </c>
      <c r="D15">
        <v>438864</v>
      </c>
      <c r="E15">
        <v>399078</v>
      </c>
      <c r="F15">
        <v>1321680</v>
      </c>
      <c r="G15">
        <v>14763</v>
      </c>
      <c r="H15">
        <v>4743</v>
      </c>
      <c r="I15">
        <v>11675</v>
      </c>
      <c r="J15">
        <v>1000</v>
      </c>
      <c r="K15">
        <v>349665</v>
      </c>
      <c r="L15">
        <v>146310</v>
      </c>
      <c r="M15">
        <v>84959</v>
      </c>
      <c r="N15">
        <v>400261</v>
      </c>
      <c r="O15">
        <v>50216</v>
      </c>
      <c r="P15">
        <v>42330</v>
      </c>
      <c r="Q15">
        <v>59274</v>
      </c>
      <c r="R15">
        <v>29540</v>
      </c>
      <c r="S15">
        <v>2705389</v>
      </c>
      <c r="T15">
        <v>1981555</v>
      </c>
      <c r="U15">
        <v>623961</v>
      </c>
      <c r="V15">
        <v>874016</v>
      </c>
      <c r="W15">
        <v>95761</v>
      </c>
      <c r="X15">
        <v>70934</v>
      </c>
      <c r="Y15">
        <v>49056</v>
      </c>
      <c r="Z15">
        <v>93469</v>
      </c>
      <c r="AA15">
        <v>25615</v>
      </c>
      <c r="AB15">
        <v>3646</v>
      </c>
      <c r="AC15">
        <v>7610</v>
      </c>
      <c r="AD15">
        <v>13778</v>
      </c>
      <c r="AE15">
        <v>1440516</v>
      </c>
      <c r="AF15">
        <v>1811951</v>
      </c>
      <c r="AG15">
        <v>4046573</v>
      </c>
      <c r="AH15">
        <v>5480370</v>
      </c>
      <c r="AI15">
        <v>1563947</v>
      </c>
      <c r="AJ15">
        <v>2104088</v>
      </c>
      <c r="AK15">
        <v>1381460</v>
      </c>
      <c r="AL15">
        <v>3232695</v>
      </c>
      <c r="AM15">
        <v>8074489</v>
      </c>
      <c r="AN15">
        <v>16717008</v>
      </c>
      <c r="AO15">
        <v>4038506</v>
      </c>
      <c r="AP15">
        <v>48199252</v>
      </c>
      <c r="AQ15">
        <v>610970</v>
      </c>
      <c r="AR15">
        <v>1932093</v>
      </c>
      <c r="AS15">
        <v>242966</v>
      </c>
      <c r="AT15">
        <v>3902903</v>
      </c>
      <c r="AU15">
        <v>1854938</v>
      </c>
      <c r="AV15">
        <v>4824206</v>
      </c>
      <c r="AW15">
        <v>15155985</v>
      </c>
      <c r="AX15">
        <v>10902830</v>
      </c>
      <c r="AY15">
        <v>255069</v>
      </c>
      <c r="AZ15">
        <v>249808</v>
      </c>
      <c r="BA15">
        <v>392381</v>
      </c>
      <c r="BB15">
        <v>354592</v>
      </c>
    </row>
    <row r="16" spans="1:54" x14ac:dyDescent="0.4">
      <c r="A16" s="1" t="s">
        <v>20</v>
      </c>
      <c r="B16" s="1" t="s">
        <v>21</v>
      </c>
      <c r="C16">
        <v>601327</v>
      </c>
      <c r="D16">
        <v>412959</v>
      </c>
      <c r="E16">
        <v>366753</v>
      </c>
      <c r="F16">
        <v>1312046</v>
      </c>
      <c r="G16">
        <v>11069</v>
      </c>
      <c r="H16">
        <v>1629</v>
      </c>
      <c r="I16">
        <v>4009</v>
      </c>
      <c r="J16">
        <v>1000</v>
      </c>
      <c r="K16">
        <v>340864</v>
      </c>
      <c r="L16">
        <v>144324</v>
      </c>
      <c r="M16">
        <v>82848</v>
      </c>
      <c r="N16">
        <v>402338</v>
      </c>
      <c r="O16">
        <v>49749</v>
      </c>
      <c r="P16">
        <v>38150</v>
      </c>
      <c r="Q16">
        <v>47625</v>
      </c>
      <c r="R16">
        <v>29020</v>
      </c>
      <c r="S16">
        <v>2614576</v>
      </c>
      <c r="T16">
        <v>1885434</v>
      </c>
      <c r="U16">
        <v>602736</v>
      </c>
      <c r="V16">
        <v>813998</v>
      </c>
      <c r="W16">
        <v>91687</v>
      </c>
      <c r="X16">
        <v>74793</v>
      </c>
      <c r="Y16">
        <v>47574</v>
      </c>
      <c r="Z16">
        <v>86893</v>
      </c>
      <c r="AA16">
        <v>26261</v>
      </c>
      <c r="AB16">
        <v>8763</v>
      </c>
      <c r="AC16">
        <v>14929</v>
      </c>
      <c r="AD16">
        <v>11821</v>
      </c>
      <c r="AE16">
        <v>1312047</v>
      </c>
      <c r="AF16">
        <v>1044648</v>
      </c>
      <c r="AG16">
        <v>2475955</v>
      </c>
      <c r="AH16">
        <v>5624779</v>
      </c>
      <c r="AI16">
        <v>1561203</v>
      </c>
      <c r="AJ16">
        <v>1864612</v>
      </c>
      <c r="AK16">
        <v>1264311</v>
      </c>
      <c r="AL16">
        <v>3279547</v>
      </c>
      <c r="AM16">
        <v>7653647</v>
      </c>
      <c r="AN16">
        <v>15222964</v>
      </c>
      <c r="AO16">
        <v>3782435</v>
      </c>
      <c r="AP16">
        <v>48831797</v>
      </c>
      <c r="AQ16">
        <v>599919</v>
      </c>
      <c r="AR16">
        <v>1603965</v>
      </c>
      <c r="AS16">
        <v>202480</v>
      </c>
      <c r="AT16">
        <v>3668773</v>
      </c>
      <c r="AU16">
        <v>1794011</v>
      </c>
      <c r="AV16">
        <v>3775000</v>
      </c>
      <c r="AW16">
        <v>12266516</v>
      </c>
      <c r="AX16">
        <v>10466379</v>
      </c>
      <c r="AY16">
        <v>262243</v>
      </c>
      <c r="AZ16">
        <v>233147</v>
      </c>
      <c r="BA16">
        <v>345331</v>
      </c>
      <c r="BB16">
        <v>372732</v>
      </c>
    </row>
    <row r="17" spans="1:54" x14ac:dyDescent="0.4">
      <c r="A17" s="1" t="s">
        <v>22</v>
      </c>
      <c r="B17" s="1" t="s">
        <v>23</v>
      </c>
      <c r="C17">
        <v>631406</v>
      </c>
      <c r="D17">
        <v>434255</v>
      </c>
      <c r="E17">
        <v>381176</v>
      </c>
      <c r="F17">
        <v>1308110</v>
      </c>
      <c r="G17">
        <v>9748</v>
      </c>
      <c r="H17">
        <v>1628</v>
      </c>
      <c r="I17">
        <v>4007</v>
      </c>
      <c r="J17">
        <v>1000</v>
      </c>
      <c r="K17">
        <v>338773</v>
      </c>
      <c r="L17">
        <v>150208</v>
      </c>
      <c r="M17">
        <v>89660</v>
      </c>
      <c r="N17">
        <v>410379</v>
      </c>
      <c r="O17">
        <v>45545</v>
      </c>
      <c r="P17">
        <v>32350</v>
      </c>
      <c r="Q17">
        <v>36667</v>
      </c>
      <c r="R17">
        <v>29860</v>
      </c>
      <c r="S17">
        <v>2659241</v>
      </c>
      <c r="T17">
        <v>1944261</v>
      </c>
      <c r="U17">
        <v>609948</v>
      </c>
      <c r="V17">
        <v>809502</v>
      </c>
      <c r="W17">
        <v>87792</v>
      </c>
      <c r="X17">
        <v>69567</v>
      </c>
      <c r="Y17">
        <v>42205</v>
      </c>
      <c r="Z17">
        <v>84117</v>
      </c>
      <c r="AA17">
        <v>21776</v>
      </c>
      <c r="AB17">
        <v>3375</v>
      </c>
      <c r="AC17">
        <v>3483</v>
      </c>
      <c r="AD17">
        <v>10767</v>
      </c>
      <c r="AE17">
        <v>1293604</v>
      </c>
      <c r="AF17">
        <v>942530</v>
      </c>
      <c r="AG17">
        <v>2158065</v>
      </c>
      <c r="AH17">
        <v>6054338</v>
      </c>
      <c r="AI17">
        <v>1494296</v>
      </c>
      <c r="AJ17">
        <v>1684980</v>
      </c>
      <c r="AK17">
        <v>1220684</v>
      </c>
      <c r="AL17">
        <v>3454508</v>
      </c>
      <c r="AM17">
        <v>7855282</v>
      </c>
      <c r="AN17">
        <v>12924670</v>
      </c>
      <c r="AO17">
        <v>3626235</v>
      </c>
      <c r="AP17">
        <v>49605839</v>
      </c>
      <c r="AQ17">
        <v>601277</v>
      </c>
      <c r="AR17">
        <v>1473060</v>
      </c>
      <c r="AS17">
        <v>205742</v>
      </c>
      <c r="AT17">
        <v>3831010</v>
      </c>
      <c r="AU17">
        <v>1692864</v>
      </c>
      <c r="AV17">
        <v>2669760</v>
      </c>
      <c r="AW17">
        <v>9268492</v>
      </c>
      <c r="AX17">
        <v>10457179</v>
      </c>
      <c r="AY17">
        <v>221755</v>
      </c>
      <c r="AZ17">
        <v>220249</v>
      </c>
      <c r="BA17">
        <v>340320</v>
      </c>
      <c r="BB17">
        <v>362110</v>
      </c>
    </row>
    <row r="18" spans="1:54" x14ac:dyDescent="0.4">
      <c r="A18" s="1" t="s">
        <v>24</v>
      </c>
      <c r="B18" s="1" t="s">
        <v>25</v>
      </c>
      <c r="C18">
        <v>670395</v>
      </c>
      <c r="D18">
        <v>426234</v>
      </c>
      <c r="E18">
        <v>375711</v>
      </c>
      <c r="F18">
        <v>1323894</v>
      </c>
      <c r="G18">
        <v>11443</v>
      </c>
      <c r="H18">
        <v>2115</v>
      </c>
      <c r="I18">
        <v>5206</v>
      </c>
      <c r="J18">
        <v>1000</v>
      </c>
      <c r="K18">
        <v>317565</v>
      </c>
      <c r="L18">
        <v>155661</v>
      </c>
      <c r="M18">
        <v>89222</v>
      </c>
      <c r="N18">
        <v>371519</v>
      </c>
      <c r="O18">
        <v>44886</v>
      </c>
      <c r="P18">
        <v>31840</v>
      </c>
      <c r="Q18">
        <v>40901</v>
      </c>
      <c r="R18">
        <v>29521</v>
      </c>
      <c r="S18">
        <v>2707739</v>
      </c>
      <c r="T18">
        <v>1973239</v>
      </c>
      <c r="U18">
        <v>652897</v>
      </c>
      <c r="V18">
        <v>739082</v>
      </c>
      <c r="W18">
        <v>84591</v>
      </c>
      <c r="X18">
        <v>71026</v>
      </c>
      <c r="Y18">
        <v>44328</v>
      </c>
      <c r="Z18">
        <v>75549</v>
      </c>
      <c r="AA18">
        <v>21449</v>
      </c>
      <c r="AB18">
        <v>1994</v>
      </c>
      <c r="AC18">
        <v>4908</v>
      </c>
      <c r="AD18">
        <v>10767</v>
      </c>
      <c r="AE18">
        <v>1514550</v>
      </c>
      <c r="AF18">
        <v>875611</v>
      </c>
      <c r="AG18">
        <v>2227524</v>
      </c>
      <c r="AH18">
        <v>6780191</v>
      </c>
      <c r="AI18">
        <v>1634896</v>
      </c>
      <c r="AJ18">
        <v>1742044</v>
      </c>
      <c r="AK18">
        <v>1308015</v>
      </c>
      <c r="AL18">
        <v>3661839</v>
      </c>
      <c r="AM18">
        <v>8361002</v>
      </c>
      <c r="AN18">
        <v>15446007</v>
      </c>
      <c r="AO18">
        <v>3839070</v>
      </c>
      <c r="AP18">
        <v>50348060</v>
      </c>
      <c r="AQ18">
        <v>714452</v>
      </c>
      <c r="AR18">
        <v>1851656</v>
      </c>
      <c r="AS18">
        <v>254045</v>
      </c>
      <c r="AT18">
        <v>3824138</v>
      </c>
      <c r="AU18">
        <v>1821858</v>
      </c>
      <c r="AV18">
        <v>2587128</v>
      </c>
      <c r="AW18">
        <v>9603202</v>
      </c>
      <c r="AX18">
        <v>10620566</v>
      </c>
      <c r="AY18">
        <v>229422</v>
      </c>
      <c r="AZ18">
        <v>221868</v>
      </c>
      <c r="BA18">
        <v>324341</v>
      </c>
      <c r="BB18">
        <v>359650</v>
      </c>
    </row>
    <row r="19" spans="1:54" x14ac:dyDescent="0.4">
      <c r="A19" s="1" t="s">
        <v>26</v>
      </c>
      <c r="B19" s="1" t="s">
        <v>27</v>
      </c>
      <c r="C19">
        <v>582025</v>
      </c>
      <c r="D19">
        <v>422770</v>
      </c>
      <c r="E19">
        <v>378338</v>
      </c>
      <c r="F19">
        <v>1297651</v>
      </c>
      <c r="G19">
        <v>12518</v>
      </c>
      <c r="H19">
        <v>2130</v>
      </c>
      <c r="I19">
        <v>5243</v>
      </c>
      <c r="J19">
        <v>1000</v>
      </c>
      <c r="K19">
        <v>291554</v>
      </c>
      <c r="L19">
        <v>120338</v>
      </c>
      <c r="M19">
        <v>70521</v>
      </c>
      <c r="N19">
        <v>361595</v>
      </c>
      <c r="O19">
        <v>41318</v>
      </c>
      <c r="P19">
        <v>28780</v>
      </c>
      <c r="Q19">
        <v>37818</v>
      </c>
      <c r="R19">
        <v>29409</v>
      </c>
      <c r="S19">
        <v>2519140</v>
      </c>
      <c r="T19">
        <v>1844793</v>
      </c>
      <c r="U19">
        <v>584188</v>
      </c>
      <c r="V19">
        <v>776668</v>
      </c>
      <c r="W19">
        <v>78761</v>
      </c>
      <c r="X19">
        <v>62729</v>
      </c>
      <c r="Y19">
        <v>39316</v>
      </c>
      <c r="Z19">
        <v>72065</v>
      </c>
      <c r="AA19">
        <v>23156</v>
      </c>
      <c r="AB19">
        <v>3729</v>
      </c>
      <c r="AC19">
        <v>9122</v>
      </c>
      <c r="AD19">
        <v>10739</v>
      </c>
      <c r="AE19">
        <v>1286934</v>
      </c>
      <c r="AF19">
        <v>867065</v>
      </c>
      <c r="AG19">
        <v>2556142</v>
      </c>
      <c r="AH19">
        <v>7269950</v>
      </c>
      <c r="AI19">
        <v>1393965</v>
      </c>
      <c r="AJ19">
        <v>1579634</v>
      </c>
      <c r="AK19">
        <v>1200251</v>
      </c>
      <c r="AL19">
        <v>3747788</v>
      </c>
      <c r="AM19">
        <v>6982826</v>
      </c>
      <c r="AN19">
        <v>13866844</v>
      </c>
      <c r="AO19">
        <v>4101213</v>
      </c>
      <c r="AP19">
        <v>50186811</v>
      </c>
      <c r="AQ19">
        <v>595340</v>
      </c>
      <c r="AR19">
        <v>1580691</v>
      </c>
      <c r="AS19">
        <v>201857</v>
      </c>
      <c r="AT19">
        <v>4052647</v>
      </c>
      <c r="AU19">
        <v>1581856</v>
      </c>
      <c r="AV19">
        <v>2098788</v>
      </c>
      <c r="AW19">
        <v>7311280</v>
      </c>
      <c r="AX19">
        <v>11146552</v>
      </c>
      <c r="AY19">
        <v>187060</v>
      </c>
      <c r="AZ19">
        <v>175421</v>
      </c>
      <c r="BA19">
        <v>261114</v>
      </c>
      <c r="BB19">
        <v>358280</v>
      </c>
    </row>
    <row r="20" spans="1:54" x14ac:dyDescent="0.4">
      <c r="A20" s="1" t="s">
        <v>28</v>
      </c>
      <c r="B20" s="1" t="s">
        <v>29</v>
      </c>
      <c r="C20">
        <v>619870</v>
      </c>
      <c r="D20">
        <v>444302</v>
      </c>
      <c r="E20">
        <v>403762</v>
      </c>
      <c r="F20">
        <v>1268684</v>
      </c>
      <c r="G20">
        <v>19398</v>
      </c>
      <c r="H20">
        <v>3125</v>
      </c>
      <c r="I20">
        <v>7692</v>
      </c>
      <c r="J20">
        <v>1000</v>
      </c>
      <c r="K20">
        <v>291852</v>
      </c>
      <c r="L20">
        <v>111396</v>
      </c>
      <c r="M20">
        <v>66449</v>
      </c>
      <c r="N20">
        <v>343835</v>
      </c>
      <c r="O20">
        <v>41496</v>
      </c>
      <c r="P20">
        <v>27230</v>
      </c>
      <c r="Q20">
        <v>37815</v>
      </c>
      <c r="R20">
        <v>29970</v>
      </c>
      <c r="S20">
        <v>2685338</v>
      </c>
      <c r="T20">
        <v>1964512</v>
      </c>
      <c r="U20">
        <v>611489</v>
      </c>
      <c r="V20">
        <v>798036</v>
      </c>
      <c r="W20">
        <v>85672</v>
      </c>
      <c r="X20">
        <v>57098</v>
      </c>
      <c r="Y20">
        <v>35600</v>
      </c>
      <c r="Z20">
        <v>79759</v>
      </c>
      <c r="AA20">
        <v>22116</v>
      </c>
      <c r="AB20">
        <v>2689</v>
      </c>
      <c r="AC20">
        <v>6562</v>
      </c>
      <c r="AD20">
        <v>10711</v>
      </c>
      <c r="AE20">
        <v>1469817</v>
      </c>
      <c r="AF20">
        <v>1096553</v>
      </c>
      <c r="AG20">
        <v>2873569</v>
      </c>
      <c r="AH20">
        <v>7725015</v>
      </c>
      <c r="AI20">
        <v>1462804</v>
      </c>
      <c r="AJ20">
        <v>1684346</v>
      </c>
      <c r="AK20">
        <v>1184375</v>
      </c>
      <c r="AL20">
        <v>3713509</v>
      </c>
      <c r="AM20">
        <v>7861849</v>
      </c>
      <c r="AN20">
        <v>17554654</v>
      </c>
      <c r="AO20">
        <v>6151052</v>
      </c>
      <c r="AP20">
        <v>49949726</v>
      </c>
      <c r="AQ20">
        <v>608491</v>
      </c>
      <c r="AR20">
        <v>1529447</v>
      </c>
      <c r="AS20">
        <v>219600</v>
      </c>
      <c r="AT20">
        <v>4081259</v>
      </c>
      <c r="AU20">
        <v>1706443</v>
      </c>
      <c r="AV20">
        <v>2370079</v>
      </c>
      <c r="AW20">
        <v>8371130</v>
      </c>
      <c r="AX20">
        <v>12046099</v>
      </c>
      <c r="AY20">
        <v>211634</v>
      </c>
      <c r="AZ20">
        <v>210102</v>
      </c>
      <c r="BA20">
        <v>328018</v>
      </c>
      <c r="BB20">
        <v>348825</v>
      </c>
    </row>
    <row r="21" spans="1:54" x14ac:dyDescent="0.4">
      <c r="A21" s="1" t="s">
        <v>30</v>
      </c>
      <c r="B21" s="1" t="s">
        <v>31</v>
      </c>
      <c r="C21">
        <v>666966</v>
      </c>
      <c r="D21">
        <v>468187</v>
      </c>
      <c r="E21">
        <v>426047</v>
      </c>
      <c r="F21">
        <v>1249432</v>
      </c>
      <c r="G21">
        <v>17067</v>
      </c>
      <c r="H21">
        <v>1227</v>
      </c>
      <c r="I21">
        <v>3020</v>
      </c>
      <c r="J21">
        <v>1000</v>
      </c>
      <c r="K21">
        <v>324989</v>
      </c>
      <c r="L21">
        <v>93761</v>
      </c>
      <c r="M21">
        <v>55841</v>
      </c>
      <c r="N21">
        <v>379137</v>
      </c>
      <c r="O21">
        <v>39643</v>
      </c>
      <c r="P21">
        <v>28416</v>
      </c>
      <c r="Q21">
        <v>41800</v>
      </c>
      <c r="R21">
        <v>29632</v>
      </c>
      <c r="S21">
        <v>2829002</v>
      </c>
      <c r="T21">
        <v>2084626</v>
      </c>
      <c r="U21">
        <v>662718</v>
      </c>
      <c r="V21">
        <v>772905</v>
      </c>
      <c r="W21">
        <v>78560</v>
      </c>
      <c r="X21">
        <v>59690</v>
      </c>
      <c r="Y21">
        <v>38566</v>
      </c>
      <c r="Z21">
        <v>77953</v>
      </c>
      <c r="AA21">
        <v>25079</v>
      </c>
      <c r="AB21">
        <v>5925</v>
      </c>
      <c r="AC21">
        <v>13978</v>
      </c>
      <c r="AD21">
        <v>10410</v>
      </c>
      <c r="AE21">
        <v>1517416</v>
      </c>
      <c r="AF21">
        <v>1098050</v>
      </c>
      <c r="AG21">
        <v>2923924</v>
      </c>
      <c r="AH21">
        <v>8198971</v>
      </c>
      <c r="AI21">
        <v>1629888</v>
      </c>
      <c r="AJ21">
        <v>2239733</v>
      </c>
      <c r="AK21">
        <v>1601800</v>
      </c>
      <c r="AL21">
        <v>3374006</v>
      </c>
      <c r="AM21">
        <v>7617319</v>
      </c>
      <c r="AN21">
        <v>18126140</v>
      </c>
      <c r="AO21">
        <v>6595618</v>
      </c>
      <c r="AP21">
        <v>49285146</v>
      </c>
      <c r="AQ21">
        <v>703900</v>
      </c>
      <c r="AR21">
        <v>1970778</v>
      </c>
      <c r="AS21">
        <v>269395</v>
      </c>
      <c r="AT21">
        <v>3996726</v>
      </c>
      <c r="AU21">
        <v>1827386</v>
      </c>
      <c r="AV21">
        <v>2792671</v>
      </c>
      <c r="AW21">
        <v>10336677</v>
      </c>
      <c r="AX21">
        <v>12479695</v>
      </c>
      <c r="AY21">
        <v>242930</v>
      </c>
      <c r="AZ21">
        <v>231332</v>
      </c>
      <c r="BA21">
        <v>362622</v>
      </c>
      <c r="BB21">
        <v>346966</v>
      </c>
    </row>
    <row r="22" spans="1:54" x14ac:dyDescent="0.4">
      <c r="A22" s="1" t="s">
        <v>32</v>
      </c>
      <c r="B22" s="1" t="s">
        <v>33</v>
      </c>
      <c r="C22">
        <v>626565</v>
      </c>
      <c r="D22">
        <v>462203</v>
      </c>
      <c r="E22">
        <v>410099</v>
      </c>
      <c r="F22">
        <v>1208203</v>
      </c>
      <c r="G22">
        <v>14489</v>
      </c>
      <c r="H22">
        <v>1013</v>
      </c>
      <c r="I22">
        <v>2493</v>
      </c>
      <c r="J22">
        <v>1000</v>
      </c>
      <c r="K22">
        <v>325555</v>
      </c>
      <c r="L22">
        <v>112314</v>
      </c>
      <c r="M22">
        <v>63045</v>
      </c>
      <c r="N22">
        <v>397834</v>
      </c>
      <c r="O22">
        <v>41535</v>
      </c>
      <c r="P22">
        <v>29170</v>
      </c>
      <c r="Q22">
        <v>39681</v>
      </c>
      <c r="R22">
        <v>30482</v>
      </c>
      <c r="S22">
        <v>2684925</v>
      </c>
      <c r="T22">
        <v>1992556</v>
      </c>
      <c r="U22">
        <v>610479</v>
      </c>
      <c r="V22">
        <v>711032</v>
      </c>
      <c r="W22">
        <v>90119</v>
      </c>
      <c r="X22">
        <v>60476</v>
      </c>
      <c r="Y22">
        <v>38086</v>
      </c>
      <c r="Z22">
        <v>86182</v>
      </c>
      <c r="AA22">
        <v>23118</v>
      </c>
      <c r="AB22">
        <v>2807</v>
      </c>
      <c r="AC22">
        <v>5674</v>
      </c>
      <c r="AD22">
        <v>11266</v>
      </c>
      <c r="AE22">
        <v>1492718</v>
      </c>
      <c r="AF22">
        <v>1081163</v>
      </c>
      <c r="AG22">
        <v>2520992</v>
      </c>
      <c r="AH22">
        <v>8904482</v>
      </c>
      <c r="AI22">
        <v>1533817</v>
      </c>
      <c r="AJ22">
        <v>2065745</v>
      </c>
      <c r="AK22">
        <v>1458088</v>
      </c>
      <c r="AL22">
        <v>3100192</v>
      </c>
      <c r="AM22">
        <v>7018581</v>
      </c>
      <c r="AN22">
        <v>14876672</v>
      </c>
      <c r="AO22">
        <v>5393753</v>
      </c>
      <c r="AP22">
        <v>49285254</v>
      </c>
      <c r="AQ22">
        <v>534283</v>
      </c>
      <c r="AR22">
        <v>1695508</v>
      </c>
      <c r="AS22">
        <v>211473</v>
      </c>
      <c r="AT22">
        <v>3762739</v>
      </c>
      <c r="AU22">
        <v>1698225</v>
      </c>
      <c r="AV22">
        <v>2511899</v>
      </c>
      <c r="AW22">
        <v>9218939</v>
      </c>
      <c r="AX22">
        <v>12721055</v>
      </c>
      <c r="AY22">
        <v>218562</v>
      </c>
      <c r="AZ22">
        <v>200502</v>
      </c>
      <c r="BA22">
        <v>310928</v>
      </c>
      <c r="BB22">
        <v>351140</v>
      </c>
    </row>
    <row r="23" spans="1:54" x14ac:dyDescent="0.4">
      <c r="A23" s="1" t="s">
        <v>34</v>
      </c>
      <c r="B23" s="1" t="s">
        <v>35</v>
      </c>
      <c r="C23">
        <v>640219</v>
      </c>
      <c r="D23">
        <v>430920</v>
      </c>
      <c r="E23">
        <v>386061</v>
      </c>
      <c r="F23">
        <v>1221568</v>
      </c>
      <c r="G23">
        <v>11445</v>
      </c>
      <c r="H23">
        <v>397</v>
      </c>
      <c r="I23">
        <v>977</v>
      </c>
      <c r="J23">
        <v>1000</v>
      </c>
      <c r="K23">
        <v>351817</v>
      </c>
      <c r="L23">
        <v>127882</v>
      </c>
      <c r="M23">
        <v>69792</v>
      </c>
      <c r="N23">
        <v>426420</v>
      </c>
      <c r="O23">
        <v>39970</v>
      </c>
      <c r="P23">
        <v>27560</v>
      </c>
      <c r="Q23">
        <v>36720</v>
      </c>
      <c r="R23">
        <v>29983</v>
      </c>
      <c r="S23">
        <v>2578999</v>
      </c>
      <c r="T23">
        <v>1870104</v>
      </c>
      <c r="U23">
        <v>586458</v>
      </c>
      <c r="V23">
        <v>729278</v>
      </c>
      <c r="W23">
        <v>76547</v>
      </c>
      <c r="X23">
        <v>56457</v>
      </c>
      <c r="Y23">
        <v>35443</v>
      </c>
      <c r="Z23">
        <v>86150</v>
      </c>
      <c r="AA23">
        <v>22220</v>
      </c>
      <c r="AB23">
        <v>1866</v>
      </c>
      <c r="AC23">
        <v>951</v>
      </c>
      <c r="AD23">
        <v>12165</v>
      </c>
      <c r="AE23">
        <v>1505507</v>
      </c>
      <c r="AF23">
        <v>1344349</v>
      </c>
      <c r="AG23">
        <v>2931534</v>
      </c>
      <c r="AH23">
        <v>9363013</v>
      </c>
      <c r="AI23">
        <v>1445069</v>
      </c>
      <c r="AJ23">
        <v>1925225</v>
      </c>
      <c r="AK23">
        <v>1272616</v>
      </c>
      <c r="AL23">
        <v>2997710</v>
      </c>
      <c r="AM23">
        <v>6614321</v>
      </c>
      <c r="AN23">
        <v>15712741</v>
      </c>
      <c r="AO23">
        <v>6511937</v>
      </c>
      <c r="AP23">
        <v>48549741</v>
      </c>
      <c r="AQ23">
        <v>565159</v>
      </c>
      <c r="AR23">
        <v>1685666</v>
      </c>
      <c r="AS23">
        <v>225285</v>
      </c>
      <c r="AT23">
        <v>3689522</v>
      </c>
      <c r="AU23">
        <v>1701477</v>
      </c>
      <c r="AV23">
        <v>2523139</v>
      </c>
      <c r="AW23">
        <v>8789592</v>
      </c>
      <c r="AX23">
        <v>13051240</v>
      </c>
      <c r="AY23">
        <v>220646</v>
      </c>
      <c r="AZ23">
        <v>215962</v>
      </c>
      <c r="BA23">
        <v>320957</v>
      </c>
      <c r="BB23">
        <v>341646</v>
      </c>
    </row>
    <row r="24" spans="1:54" x14ac:dyDescent="0.4">
      <c r="A24" s="1" t="s">
        <v>36</v>
      </c>
      <c r="B24" s="1" t="s">
        <v>37</v>
      </c>
      <c r="C24">
        <v>602575</v>
      </c>
      <c r="D24">
        <v>416656</v>
      </c>
      <c r="E24">
        <v>370047</v>
      </c>
      <c r="F24">
        <v>1228729</v>
      </c>
      <c r="G24">
        <v>11565</v>
      </c>
      <c r="H24">
        <v>1729</v>
      </c>
      <c r="I24">
        <v>4978</v>
      </c>
      <c r="J24">
        <v>1000</v>
      </c>
      <c r="K24">
        <v>292117</v>
      </c>
      <c r="L24">
        <v>112953</v>
      </c>
      <c r="M24">
        <v>62982</v>
      </c>
      <c r="N24">
        <v>416823</v>
      </c>
      <c r="O24">
        <v>40492</v>
      </c>
      <c r="P24">
        <v>30516</v>
      </c>
      <c r="Q24">
        <v>38595</v>
      </c>
      <c r="R24">
        <v>29211</v>
      </c>
      <c r="S24">
        <v>2552535</v>
      </c>
      <c r="T24">
        <v>1875767</v>
      </c>
      <c r="U24">
        <v>591385</v>
      </c>
      <c r="V24">
        <v>703221</v>
      </c>
      <c r="W24">
        <v>76509</v>
      </c>
      <c r="X24">
        <v>52369</v>
      </c>
      <c r="Y24">
        <v>32514</v>
      </c>
      <c r="Z24">
        <v>90758</v>
      </c>
      <c r="AA24">
        <v>23810</v>
      </c>
      <c r="AB24">
        <v>3573</v>
      </c>
      <c r="AC24">
        <v>4115</v>
      </c>
      <c r="AD24">
        <v>12947</v>
      </c>
      <c r="AE24">
        <v>1604672</v>
      </c>
      <c r="AF24">
        <v>2561737</v>
      </c>
      <c r="AG24">
        <v>5137514</v>
      </c>
      <c r="AH24">
        <v>8689003</v>
      </c>
      <c r="AI24">
        <v>1360412</v>
      </c>
      <c r="AJ24">
        <v>1460209</v>
      </c>
      <c r="AK24">
        <v>1016857</v>
      </c>
      <c r="AL24">
        <v>3327699</v>
      </c>
      <c r="AM24">
        <v>6298579</v>
      </c>
      <c r="AN24">
        <v>12289174</v>
      </c>
      <c r="AO24">
        <v>3853009</v>
      </c>
      <c r="AP24">
        <v>48384509</v>
      </c>
      <c r="AQ24">
        <v>576676</v>
      </c>
      <c r="AR24">
        <v>1538722</v>
      </c>
      <c r="AS24">
        <v>190129</v>
      </c>
      <c r="AT24">
        <v>4022586</v>
      </c>
      <c r="AU24">
        <v>1661667</v>
      </c>
      <c r="AV24">
        <v>2962276</v>
      </c>
      <c r="AW24">
        <v>10540076</v>
      </c>
      <c r="AX24">
        <v>12757008</v>
      </c>
      <c r="AY24">
        <v>228798</v>
      </c>
      <c r="AZ24">
        <v>222487</v>
      </c>
      <c r="BA24">
        <v>336417</v>
      </c>
      <c r="BB24">
        <v>316490</v>
      </c>
    </row>
    <row r="25" spans="1:54" x14ac:dyDescent="0.4">
      <c r="A25" s="1" t="s">
        <v>38</v>
      </c>
      <c r="B25" s="1" t="s">
        <v>39</v>
      </c>
      <c r="C25">
        <v>576838</v>
      </c>
      <c r="D25">
        <v>419935</v>
      </c>
      <c r="E25">
        <v>378539</v>
      </c>
      <c r="F25">
        <v>1202354</v>
      </c>
      <c r="G25">
        <v>13098</v>
      </c>
      <c r="H25">
        <v>3650</v>
      </c>
      <c r="I25">
        <v>5680</v>
      </c>
      <c r="J25">
        <v>1000</v>
      </c>
      <c r="K25">
        <v>282163</v>
      </c>
      <c r="L25">
        <v>118936</v>
      </c>
      <c r="M25">
        <v>68078</v>
      </c>
      <c r="N25">
        <v>399104</v>
      </c>
      <c r="O25">
        <v>47278</v>
      </c>
      <c r="P25">
        <v>37250</v>
      </c>
      <c r="Q25">
        <v>43581</v>
      </c>
      <c r="R25">
        <v>29417</v>
      </c>
      <c r="S25">
        <v>2563507</v>
      </c>
      <c r="T25">
        <v>1893047</v>
      </c>
      <c r="U25">
        <v>586619</v>
      </c>
      <c r="V25">
        <v>655036</v>
      </c>
      <c r="W25">
        <v>77072</v>
      </c>
      <c r="X25">
        <v>59382</v>
      </c>
      <c r="Y25">
        <v>38704</v>
      </c>
      <c r="Z25">
        <v>88586</v>
      </c>
      <c r="AA25">
        <v>20775</v>
      </c>
      <c r="AB25">
        <v>3408</v>
      </c>
      <c r="AC25">
        <v>4188</v>
      </c>
      <c r="AD25">
        <v>10859</v>
      </c>
      <c r="AE25">
        <v>1314140</v>
      </c>
      <c r="AF25">
        <v>2813363</v>
      </c>
      <c r="AG25">
        <v>5781394</v>
      </c>
      <c r="AH25">
        <v>7445642</v>
      </c>
      <c r="AI25">
        <v>1344341</v>
      </c>
      <c r="AJ25">
        <v>1494534</v>
      </c>
      <c r="AK25">
        <v>976276</v>
      </c>
      <c r="AL25">
        <v>3500702</v>
      </c>
      <c r="AM25">
        <v>6022496</v>
      </c>
      <c r="AN25">
        <v>15452208</v>
      </c>
      <c r="AO25">
        <v>4011346</v>
      </c>
      <c r="AP25">
        <v>47157017</v>
      </c>
      <c r="AQ25">
        <v>515421</v>
      </c>
      <c r="AR25">
        <v>1458931</v>
      </c>
      <c r="AS25">
        <v>169796</v>
      </c>
      <c r="AT25">
        <v>3624606</v>
      </c>
      <c r="AU25">
        <v>1657904</v>
      </c>
      <c r="AV25">
        <v>3569483</v>
      </c>
      <c r="AW25">
        <v>13365930</v>
      </c>
      <c r="AX25">
        <v>11831138</v>
      </c>
      <c r="AY25">
        <v>173221</v>
      </c>
      <c r="AZ25">
        <v>169309</v>
      </c>
      <c r="BA25">
        <v>275739</v>
      </c>
      <c r="BB25">
        <v>312357</v>
      </c>
    </row>
    <row r="26" spans="1:54" x14ac:dyDescent="0.4">
      <c r="A26" s="1" t="s">
        <v>40</v>
      </c>
      <c r="B26" s="1" t="s">
        <v>41</v>
      </c>
      <c r="C26">
        <v>599457</v>
      </c>
      <c r="D26">
        <v>450032</v>
      </c>
      <c r="E26">
        <v>417530</v>
      </c>
      <c r="F26">
        <v>1158161</v>
      </c>
      <c r="G26">
        <v>13700</v>
      </c>
      <c r="H26">
        <v>4672</v>
      </c>
      <c r="I26">
        <v>8697</v>
      </c>
      <c r="J26">
        <v>1000</v>
      </c>
      <c r="K26">
        <v>306917</v>
      </c>
      <c r="L26">
        <v>140608</v>
      </c>
      <c r="M26">
        <v>79363</v>
      </c>
      <c r="N26">
        <v>396886</v>
      </c>
      <c r="O26">
        <v>47810</v>
      </c>
      <c r="P26">
        <v>35580</v>
      </c>
      <c r="Q26">
        <v>43717</v>
      </c>
      <c r="R26">
        <v>29523</v>
      </c>
      <c r="S26">
        <v>2598485</v>
      </c>
      <c r="T26">
        <v>1936651</v>
      </c>
      <c r="U26">
        <v>604476</v>
      </c>
      <c r="V26">
        <v>740176</v>
      </c>
      <c r="W26">
        <v>79224</v>
      </c>
      <c r="X26">
        <v>60529</v>
      </c>
      <c r="Y26">
        <v>37991</v>
      </c>
      <c r="Z26">
        <v>88474</v>
      </c>
      <c r="AA26">
        <v>26258</v>
      </c>
      <c r="AB26">
        <v>5520</v>
      </c>
      <c r="AC26">
        <v>6917</v>
      </c>
      <c r="AD26">
        <v>12142</v>
      </c>
      <c r="AE26">
        <v>1466301</v>
      </c>
      <c r="AF26">
        <v>3238142</v>
      </c>
      <c r="AG26">
        <v>7145821</v>
      </c>
      <c r="AH26">
        <v>5905144</v>
      </c>
      <c r="AI26">
        <v>1447409</v>
      </c>
      <c r="AJ26">
        <v>1583135</v>
      </c>
      <c r="AK26">
        <v>1093918</v>
      </c>
      <c r="AL26">
        <v>3687101</v>
      </c>
      <c r="AM26">
        <v>6586830</v>
      </c>
      <c r="AN26">
        <v>15648408</v>
      </c>
      <c r="AO26">
        <v>3960495</v>
      </c>
      <c r="AP26">
        <v>46401499</v>
      </c>
      <c r="AQ26">
        <v>594750</v>
      </c>
      <c r="AR26">
        <v>1857795</v>
      </c>
      <c r="AS26">
        <v>215981</v>
      </c>
      <c r="AT26">
        <v>3753653</v>
      </c>
      <c r="AU26">
        <v>1770272</v>
      </c>
      <c r="AV26">
        <v>4398590</v>
      </c>
      <c r="AW26">
        <v>17451945</v>
      </c>
      <c r="AX26">
        <v>11522666</v>
      </c>
      <c r="AY26">
        <v>179375</v>
      </c>
      <c r="AZ26">
        <v>170026</v>
      </c>
      <c r="BA26">
        <v>253805</v>
      </c>
      <c r="BB26">
        <v>310637</v>
      </c>
    </row>
    <row r="27" spans="1:54" x14ac:dyDescent="0.4">
      <c r="A27" s="1" t="s">
        <v>42</v>
      </c>
      <c r="B27" s="1" t="s">
        <v>43</v>
      </c>
      <c r="C27">
        <v>639661</v>
      </c>
      <c r="D27">
        <v>447901</v>
      </c>
      <c r="E27">
        <v>404443</v>
      </c>
      <c r="F27">
        <v>1149898</v>
      </c>
      <c r="G27">
        <v>16459</v>
      </c>
      <c r="H27">
        <v>6339</v>
      </c>
      <c r="I27">
        <v>14439</v>
      </c>
      <c r="J27">
        <v>1000</v>
      </c>
      <c r="K27">
        <v>291216</v>
      </c>
      <c r="L27">
        <v>154024</v>
      </c>
      <c r="M27">
        <v>87867</v>
      </c>
      <c r="N27">
        <v>388302</v>
      </c>
      <c r="O27">
        <v>48760</v>
      </c>
      <c r="P27">
        <v>39520</v>
      </c>
      <c r="Q27">
        <v>50615</v>
      </c>
      <c r="R27">
        <v>29966</v>
      </c>
      <c r="S27">
        <v>2747847</v>
      </c>
      <c r="T27">
        <v>1947711</v>
      </c>
      <c r="U27">
        <v>582056</v>
      </c>
      <c r="V27">
        <v>761090</v>
      </c>
      <c r="W27">
        <v>77330</v>
      </c>
      <c r="X27">
        <v>61552</v>
      </c>
      <c r="Y27">
        <v>40516</v>
      </c>
      <c r="Z27">
        <v>86031</v>
      </c>
      <c r="AA27">
        <v>25662</v>
      </c>
      <c r="AB27">
        <v>6527</v>
      </c>
      <c r="AC27">
        <v>12753</v>
      </c>
      <c r="AD27">
        <v>11822</v>
      </c>
      <c r="AE27">
        <v>1306531</v>
      </c>
      <c r="AF27">
        <v>1682277</v>
      </c>
      <c r="AG27">
        <v>3979669</v>
      </c>
      <c r="AH27">
        <v>5490197</v>
      </c>
      <c r="AI27">
        <v>1382324</v>
      </c>
      <c r="AJ27">
        <v>1691269</v>
      </c>
      <c r="AK27">
        <v>1131874</v>
      </c>
      <c r="AL27">
        <v>3691387</v>
      </c>
      <c r="AM27">
        <v>6300046</v>
      </c>
      <c r="AN27">
        <v>15210062</v>
      </c>
      <c r="AO27">
        <v>3666706</v>
      </c>
      <c r="AP27">
        <v>46068810</v>
      </c>
      <c r="AQ27">
        <v>605298</v>
      </c>
      <c r="AR27">
        <v>1645653</v>
      </c>
      <c r="AS27">
        <v>212365</v>
      </c>
      <c r="AT27">
        <v>3602108</v>
      </c>
      <c r="AU27">
        <v>1706779</v>
      </c>
      <c r="AV27">
        <v>5050221</v>
      </c>
      <c r="AW27">
        <v>16592210</v>
      </c>
      <c r="AX27">
        <v>10407650</v>
      </c>
      <c r="AY27">
        <v>212352</v>
      </c>
      <c r="AZ27">
        <v>195609</v>
      </c>
      <c r="BA27">
        <v>299461</v>
      </c>
      <c r="BB27">
        <v>316272</v>
      </c>
    </row>
    <row r="28" spans="1:54" x14ac:dyDescent="0.4">
      <c r="A28" s="1" t="s">
        <v>44</v>
      </c>
      <c r="B28" s="1" t="s">
        <v>45</v>
      </c>
      <c r="C28">
        <v>588500</v>
      </c>
      <c r="D28">
        <v>415259</v>
      </c>
      <c r="E28">
        <v>381502</v>
      </c>
      <c r="F28">
        <v>1153112</v>
      </c>
      <c r="G28">
        <v>13295</v>
      </c>
      <c r="H28">
        <v>4154</v>
      </c>
      <c r="I28">
        <v>7950</v>
      </c>
      <c r="J28">
        <v>1000</v>
      </c>
      <c r="K28">
        <v>268936</v>
      </c>
      <c r="L28">
        <v>133406</v>
      </c>
      <c r="M28">
        <v>75181</v>
      </c>
      <c r="N28">
        <v>372680</v>
      </c>
      <c r="O28">
        <v>49278</v>
      </c>
      <c r="P28">
        <v>39800</v>
      </c>
      <c r="Q28">
        <v>52231</v>
      </c>
      <c r="R28">
        <v>30020</v>
      </c>
      <c r="S28">
        <v>2641374</v>
      </c>
      <c r="T28">
        <v>1893032</v>
      </c>
      <c r="U28">
        <v>566216</v>
      </c>
      <c r="V28">
        <v>769193</v>
      </c>
      <c r="W28">
        <v>68568</v>
      </c>
      <c r="X28">
        <v>55544</v>
      </c>
      <c r="Y28">
        <v>37672</v>
      </c>
      <c r="Z28">
        <v>80799</v>
      </c>
      <c r="AA28">
        <v>23507</v>
      </c>
      <c r="AB28">
        <v>6469</v>
      </c>
      <c r="AC28">
        <v>7513</v>
      </c>
      <c r="AD28">
        <v>9405</v>
      </c>
      <c r="AE28">
        <v>1216763</v>
      </c>
      <c r="AF28">
        <v>996390</v>
      </c>
      <c r="AG28">
        <v>2353896</v>
      </c>
      <c r="AH28">
        <v>5665194</v>
      </c>
      <c r="AI28">
        <v>1352212</v>
      </c>
      <c r="AJ28">
        <v>1542353</v>
      </c>
      <c r="AK28">
        <v>1111673</v>
      </c>
      <c r="AL28">
        <v>3798086</v>
      </c>
      <c r="AM28">
        <v>5765293</v>
      </c>
      <c r="AN28">
        <v>12580982</v>
      </c>
      <c r="AO28">
        <v>2890888</v>
      </c>
      <c r="AP28">
        <v>46539584</v>
      </c>
      <c r="AQ28">
        <v>536857</v>
      </c>
      <c r="AR28">
        <v>1456644</v>
      </c>
      <c r="AS28">
        <v>183863</v>
      </c>
      <c r="AT28">
        <v>4074221</v>
      </c>
      <c r="AU28">
        <v>1656150</v>
      </c>
      <c r="AV28">
        <v>3811000</v>
      </c>
      <c r="AW28">
        <v>13173438</v>
      </c>
      <c r="AX28">
        <v>10106959</v>
      </c>
      <c r="AY28">
        <v>210063</v>
      </c>
      <c r="AZ28">
        <v>218217</v>
      </c>
      <c r="BA28">
        <v>301578</v>
      </c>
      <c r="BB28">
        <v>319353</v>
      </c>
    </row>
    <row r="29" spans="1:54" x14ac:dyDescent="0.4">
      <c r="A29" s="1" t="s">
        <v>46</v>
      </c>
      <c r="B29" s="1" t="s">
        <v>47</v>
      </c>
      <c r="C29">
        <v>601625</v>
      </c>
      <c r="D29">
        <v>430964</v>
      </c>
      <c r="E29">
        <v>393407</v>
      </c>
      <c r="F29">
        <v>1152309</v>
      </c>
      <c r="G29">
        <v>11374</v>
      </c>
      <c r="H29">
        <v>3154</v>
      </c>
      <c r="I29">
        <v>7164</v>
      </c>
      <c r="J29">
        <v>1000</v>
      </c>
      <c r="K29">
        <v>261056</v>
      </c>
      <c r="L29">
        <v>120958</v>
      </c>
      <c r="M29">
        <v>69396</v>
      </c>
      <c r="N29">
        <v>365683</v>
      </c>
      <c r="O29">
        <v>48941</v>
      </c>
      <c r="P29">
        <v>35330</v>
      </c>
      <c r="Q29">
        <v>45578</v>
      </c>
      <c r="R29">
        <v>30238</v>
      </c>
      <c r="S29">
        <v>2709821</v>
      </c>
      <c r="T29">
        <v>1948802</v>
      </c>
      <c r="U29">
        <v>603683</v>
      </c>
      <c r="V29">
        <v>769232</v>
      </c>
      <c r="W29">
        <v>76089</v>
      </c>
      <c r="X29">
        <v>56327</v>
      </c>
      <c r="Y29">
        <v>34968</v>
      </c>
      <c r="Z29">
        <v>82697</v>
      </c>
      <c r="AA29">
        <v>28442</v>
      </c>
      <c r="AB29">
        <v>6928</v>
      </c>
      <c r="AC29">
        <v>12542</v>
      </c>
      <c r="AD29">
        <v>11464</v>
      </c>
      <c r="AE29">
        <v>1199968</v>
      </c>
      <c r="AF29">
        <v>971956</v>
      </c>
      <c r="AG29">
        <v>2162585</v>
      </c>
      <c r="AH29">
        <v>5848625</v>
      </c>
      <c r="AI29">
        <v>1327459</v>
      </c>
      <c r="AJ29">
        <v>1556218</v>
      </c>
      <c r="AK29">
        <v>1115297</v>
      </c>
      <c r="AL29">
        <v>3814874</v>
      </c>
      <c r="AM29">
        <v>6448442</v>
      </c>
      <c r="AN29">
        <v>13095732</v>
      </c>
      <c r="AO29">
        <v>3031078</v>
      </c>
      <c r="AP29">
        <v>47101636</v>
      </c>
      <c r="AQ29">
        <v>573584</v>
      </c>
      <c r="AR29">
        <v>1848618</v>
      </c>
      <c r="AS29">
        <v>236134</v>
      </c>
      <c r="AT29">
        <v>3895085</v>
      </c>
      <c r="AU29">
        <v>1614930</v>
      </c>
      <c r="AV29">
        <v>3038085</v>
      </c>
      <c r="AW29">
        <v>10639963</v>
      </c>
      <c r="AX29">
        <v>10037069</v>
      </c>
      <c r="AY29">
        <v>202792</v>
      </c>
      <c r="AZ29">
        <v>207708</v>
      </c>
      <c r="BA29">
        <v>299257</v>
      </c>
      <c r="BB29">
        <v>308594</v>
      </c>
    </row>
    <row r="30" spans="1:54" x14ac:dyDescent="0.4">
      <c r="A30" s="1" t="s">
        <v>48</v>
      </c>
      <c r="B30" s="1" t="s">
        <v>49</v>
      </c>
      <c r="C30">
        <v>596305</v>
      </c>
      <c r="D30">
        <v>429341</v>
      </c>
      <c r="E30">
        <v>391710</v>
      </c>
      <c r="F30">
        <v>1136728</v>
      </c>
      <c r="G30">
        <v>13308</v>
      </c>
      <c r="H30">
        <v>5796</v>
      </c>
      <c r="I30">
        <v>11738</v>
      </c>
      <c r="J30">
        <v>1000</v>
      </c>
      <c r="K30">
        <v>279784</v>
      </c>
      <c r="L30">
        <v>115055</v>
      </c>
      <c r="M30">
        <v>67275</v>
      </c>
      <c r="N30">
        <v>363383</v>
      </c>
      <c r="O30">
        <v>45002</v>
      </c>
      <c r="P30">
        <v>33140</v>
      </c>
      <c r="Q30">
        <v>44189</v>
      </c>
      <c r="R30">
        <v>29992</v>
      </c>
      <c r="S30">
        <v>2839719</v>
      </c>
      <c r="T30">
        <v>2027855</v>
      </c>
      <c r="U30">
        <v>614083</v>
      </c>
      <c r="V30">
        <v>765483</v>
      </c>
      <c r="W30">
        <v>67021</v>
      </c>
      <c r="X30">
        <v>46060</v>
      </c>
      <c r="Y30">
        <v>30444</v>
      </c>
      <c r="Z30">
        <v>84508</v>
      </c>
      <c r="AA30">
        <v>23465</v>
      </c>
      <c r="AB30">
        <v>5182</v>
      </c>
      <c r="AC30">
        <v>6227</v>
      </c>
      <c r="AD30">
        <v>10291</v>
      </c>
      <c r="AE30">
        <v>1463929</v>
      </c>
      <c r="AF30">
        <v>803861</v>
      </c>
      <c r="AG30">
        <v>2125154</v>
      </c>
      <c r="AH30">
        <v>6594618</v>
      </c>
      <c r="AI30">
        <v>1382753</v>
      </c>
      <c r="AJ30">
        <v>1576399</v>
      </c>
      <c r="AK30">
        <v>1170263</v>
      </c>
      <c r="AL30">
        <v>3953604</v>
      </c>
      <c r="AM30">
        <v>6285332</v>
      </c>
      <c r="AN30">
        <v>12682397</v>
      </c>
      <c r="AO30">
        <v>3648833</v>
      </c>
      <c r="AP30">
        <v>47093116</v>
      </c>
      <c r="AQ30">
        <v>496169</v>
      </c>
      <c r="AR30">
        <v>1696011</v>
      </c>
      <c r="AS30">
        <v>240142</v>
      </c>
      <c r="AT30">
        <v>3818166</v>
      </c>
      <c r="AU30">
        <v>1686734</v>
      </c>
      <c r="AV30">
        <v>3163625</v>
      </c>
      <c r="AW30">
        <v>11721725</v>
      </c>
      <c r="AX30">
        <v>10185958</v>
      </c>
      <c r="AY30">
        <v>219645</v>
      </c>
      <c r="AZ30">
        <v>198185</v>
      </c>
      <c r="BA30">
        <v>288777</v>
      </c>
      <c r="BB30">
        <v>320418</v>
      </c>
    </row>
    <row r="31" spans="1:54" x14ac:dyDescent="0.4">
      <c r="A31" s="1" t="s">
        <v>50</v>
      </c>
      <c r="B31" s="1" t="s">
        <v>51</v>
      </c>
      <c r="C31">
        <v>495971</v>
      </c>
      <c r="D31">
        <v>379320</v>
      </c>
      <c r="E31">
        <v>341361</v>
      </c>
      <c r="F31">
        <v>1124483</v>
      </c>
      <c r="G31">
        <v>13250</v>
      </c>
      <c r="H31">
        <v>3732</v>
      </c>
      <c r="I31">
        <v>9186</v>
      </c>
      <c r="J31">
        <v>1000</v>
      </c>
      <c r="K31">
        <v>276357</v>
      </c>
      <c r="L31">
        <v>113102</v>
      </c>
      <c r="M31">
        <v>64304</v>
      </c>
      <c r="N31">
        <v>362309</v>
      </c>
      <c r="O31">
        <v>41354</v>
      </c>
      <c r="P31">
        <v>26680</v>
      </c>
      <c r="Q31">
        <v>36583</v>
      </c>
      <c r="R31">
        <v>30016</v>
      </c>
      <c r="S31">
        <v>2513401</v>
      </c>
      <c r="T31">
        <v>1831121</v>
      </c>
      <c r="U31">
        <v>543522</v>
      </c>
      <c r="V31">
        <v>794813</v>
      </c>
      <c r="W31">
        <v>71094</v>
      </c>
      <c r="X31">
        <v>48201</v>
      </c>
      <c r="Y31">
        <v>29191</v>
      </c>
      <c r="Z31">
        <v>89465</v>
      </c>
      <c r="AA31">
        <v>23694</v>
      </c>
      <c r="AB31">
        <v>3352</v>
      </c>
      <c r="AC31">
        <v>3677</v>
      </c>
      <c r="AD31">
        <v>11178</v>
      </c>
      <c r="AE31">
        <v>1188135</v>
      </c>
      <c r="AF31">
        <v>874605</v>
      </c>
      <c r="AG31">
        <v>2408525</v>
      </c>
      <c r="AH31">
        <v>7016055</v>
      </c>
      <c r="AI31">
        <v>964998</v>
      </c>
      <c r="AJ31">
        <v>1335582</v>
      </c>
      <c r="AK31">
        <v>1008310</v>
      </c>
      <c r="AL31">
        <v>3813562</v>
      </c>
      <c r="AM31">
        <v>5034195</v>
      </c>
      <c r="AN31">
        <v>12026429</v>
      </c>
      <c r="AO31">
        <v>3812252</v>
      </c>
      <c r="AP31">
        <v>46276207</v>
      </c>
      <c r="AQ31">
        <v>555455</v>
      </c>
      <c r="AR31">
        <v>1422035</v>
      </c>
      <c r="AS31">
        <v>207721</v>
      </c>
      <c r="AT31">
        <v>4081486</v>
      </c>
      <c r="AU31">
        <v>1496221</v>
      </c>
      <c r="AV31">
        <v>2278275</v>
      </c>
      <c r="AW31">
        <v>8287932</v>
      </c>
      <c r="AX31">
        <v>10766625</v>
      </c>
      <c r="AY31">
        <v>178942</v>
      </c>
      <c r="AZ31">
        <v>180524</v>
      </c>
      <c r="BA31">
        <v>261269</v>
      </c>
      <c r="BB31">
        <v>311925</v>
      </c>
    </row>
    <row r="32" spans="1:54" x14ac:dyDescent="0.4">
      <c r="A32" s="1" t="s">
        <v>52</v>
      </c>
      <c r="B32" s="1" t="s">
        <v>53</v>
      </c>
      <c r="C32">
        <v>574189</v>
      </c>
      <c r="D32">
        <v>444511</v>
      </c>
      <c r="E32">
        <v>417234</v>
      </c>
      <c r="F32">
        <v>1093327</v>
      </c>
      <c r="G32">
        <v>15013</v>
      </c>
      <c r="H32">
        <v>2403</v>
      </c>
      <c r="I32">
        <v>4953</v>
      </c>
      <c r="J32">
        <v>1000</v>
      </c>
      <c r="K32">
        <v>279530</v>
      </c>
      <c r="L32">
        <v>114733</v>
      </c>
      <c r="M32">
        <v>66821</v>
      </c>
      <c r="N32">
        <v>349378</v>
      </c>
      <c r="O32">
        <v>41441</v>
      </c>
      <c r="P32">
        <v>27680</v>
      </c>
      <c r="Q32">
        <v>42120</v>
      </c>
      <c r="R32">
        <v>29784</v>
      </c>
      <c r="S32">
        <v>2759009</v>
      </c>
      <c r="T32">
        <v>1962805</v>
      </c>
      <c r="U32">
        <v>601455</v>
      </c>
      <c r="V32">
        <v>815979</v>
      </c>
      <c r="W32">
        <v>63114</v>
      </c>
      <c r="X32">
        <v>44186</v>
      </c>
      <c r="Y32">
        <v>29944</v>
      </c>
      <c r="Z32">
        <v>89963</v>
      </c>
      <c r="AA32">
        <v>21798</v>
      </c>
      <c r="AB32">
        <v>4066</v>
      </c>
      <c r="AC32">
        <v>5716</v>
      </c>
      <c r="AD32">
        <v>9455</v>
      </c>
      <c r="AE32">
        <v>1401337</v>
      </c>
      <c r="AF32">
        <v>993067</v>
      </c>
      <c r="AG32">
        <v>2708969</v>
      </c>
      <c r="AH32">
        <v>7476551</v>
      </c>
      <c r="AI32">
        <v>1171849</v>
      </c>
      <c r="AJ32">
        <v>1626094</v>
      </c>
      <c r="AK32">
        <v>1191797</v>
      </c>
      <c r="AL32">
        <v>3582491</v>
      </c>
      <c r="AM32">
        <v>5801140</v>
      </c>
      <c r="AN32">
        <v>14592516</v>
      </c>
      <c r="AO32">
        <v>5694046</v>
      </c>
      <c r="AP32">
        <v>45574960</v>
      </c>
      <c r="AQ32">
        <v>700055</v>
      </c>
      <c r="AR32">
        <v>1744273</v>
      </c>
      <c r="AS32">
        <v>234091</v>
      </c>
      <c r="AT32">
        <v>3881079</v>
      </c>
      <c r="AU32">
        <v>1646370</v>
      </c>
      <c r="AV32">
        <v>2794899</v>
      </c>
      <c r="AW32">
        <v>9890689</v>
      </c>
      <c r="AX32">
        <v>11192138</v>
      </c>
      <c r="AY32">
        <v>198343</v>
      </c>
      <c r="AZ32">
        <v>190190</v>
      </c>
      <c r="BA32">
        <v>278844</v>
      </c>
      <c r="BB32">
        <v>312925</v>
      </c>
    </row>
    <row r="33" spans="1:54" x14ac:dyDescent="0.4">
      <c r="A33" s="1" t="s">
        <v>54</v>
      </c>
      <c r="B33" s="1" t="s">
        <v>55</v>
      </c>
      <c r="C33">
        <v>554774</v>
      </c>
      <c r="D33">
        <v>424529</v>
      </c>
      <c r="E33">
        <v>396003</v>
      </c>
      <c r="F33">
        <v>1070279</v>
      </c>
      <c r="G33">
        <v>19405</v>
      </c>
      <c r="H33">
        <v>1630</v>
      </c>
      <c r="I33">
        <v>3107</v>
      </c>
      <c r="J33">
        <v>1000</v>
      </c>
      <c r="K33">
        <v>291659</v>
      </c>
      <c r="L33">
        <v>120120</v>
      </c>
      <c r="M33">
        <v>68293</v>
      </c>
      <c r="N33">
        <v>354267</v>
      </c>
      <c r="O33">
        <v>42676</v>
      </c>
      <c r="P33">
        <v>29720</v>
      </c>
      <c r="Q33">
        <v>42800</v>
      </c>
      <c r="R33">
        <v>29626</v>
      </c>
      <c r="S33">
        <v>2884447</v>
      </c>
      <c r="T33">
        <v>2085785</v>
      </c>
      <c r="U33">
        <v>635007</v>
      </c>
      <c r="V33">
        <v>816903</v>
      </c>
      <c r="W33">
        <v>64422</v>
      </c>
      <c r="X33">
        <v>53659</v>
      </c>
      <c r="Y33">
        <v>34440</v>
      </c>
      <c r="Z33">
        <v>82267</v>
      </c>
      <c r="AA33">
        <v>21730</v>
      </c>
      <c r="AB33">
        <v>3357</v>
      </c>
      <c r="AC33">
        <v>2809</v>
      </c>
      <c r="AD33">
        <v>8373</v>
      </c>
      <c r="AE33">
        <v>1474328</v>
      </c>
      <c r="AF33">
        <v>1025921</v>
      </c>
      <c r="AG33">
        <v>2685833</v>
      </c>
      <c r="AH33">
        <v>8033922</v>
      </c>
      <c r="AI33">
        <v>1177449</v>
      </c>
      <c r="AJ33">
        <v>1827101</v>
      </c>
      <c r="AK33">
        <v>1258516</v>
      </c>
      <c r="AL33">
        <v>3290137</v>
      </c>
      <c r="AM33">
        <v>5860577</v>
      </c>
      <c r="AN33">
        <v>16441711</v>
      </c>
      <c r="AO33">
        <v>6050757</v>
      </c>
      <c r="AP33">
        <v>45141376</v>
      </c>
      <c r="AQ33">
        <v>624197</v>
      </c>
      <c r="AR33">
        <v>1661840</v>
      </c>
      <c r="AS33">
        <v>208923</v>
      </c>
      <c r="AT33">
        <v>3754401</v>
      </c>
      <c r="AU33">
        <v>1725298</v>
      </c>
      <c r="AV33">
        <v>2921999</v>
      </c>
      <c r="AW33">
        <v>11038142</v>
      </c>
      <c r="AX33">
        <v>11294814</v>
      </c>
      <c r="AY33">
        <v>188981</v>
      </c>
      <c r="AZ33">
        <v>180517</v>
      </c>
      <c r="BA33">
        <v>266912</v>
      </c>
      <c r="BB33">
        <v>313623</v>
      </c>
    </row>
    <row r="34" spans="1:54" x14ac:dyDescent="0.4">
      <c r="A34" s="1" t="s">
        <v>56</v>
      </c>
      <c r="B34" s="1" t="s">
        <v>57</v>
      </c>
      <c r="C34">
        <v>507704</v>
      </c>
      <c r="D34">
        <v>410344</v>
      </c>
      <c r="E34">
        <v>371233</v>
      </c>
      <c r="F34">
        <v>1067070</v>
      </c>
      <c r="G34">
        <v>16274</v>
      </c>
      <c r="H34">
        <v>1867</v>
      </c>
      <c r="I34">
        <v>2808</v>
      </c>
      <c r="J34">
        <v>1000</v>
      </c>
      <c r="K34">
        <v>263767</v>
      </c>
      <c r="L34">
        <v>115309</v>
      </c>
      <c r="M34">
        <v>65972</v>
      </c>
      <c r="N34">
        <v>350231</v>
      </c>
      <c r="O34">
        <v>41112</v>
      </c>
      <c r="P34">
        <v>28240</v>
      </c>
      <c r="Q34">
        <v>40040</v>
      </c>
      <c r="R34">
        <v>29087</v>
      </c>
      <c r="S34">
        <v>2642689</v>
      </c>
      <c r="T34">
        <v>1928997</v>
      </c>
      <c r="U34">
        <v>593508</v>
      </c>
      <c r="V34">
        <v>812272</v>
      </c>
      <c r="W34">
        <v>66391</v>
      </c>
      <c r="X34">
        <v>51050</v>
      </c>
      <c r="Y34">
        <v>31702</v>
      </c>
      <c r="Z34">
        <v>79546</v>
      </c>
      <c r="AA34">
        <v>20945</v>
      </c>
      <c r="AB34">
        <v>1640</v>
      </c>
      <c r="AC34">
        <v>4545</v>
      </c>
      <c r="AD34">
        <v>8223</v>
      </c>
      <c r="AE34">
        <v>1402072</v>
      </c>
      <c r="AF34">
        <v>991590</v>
      </c>
      <c r="AG34">
        <v>2303890</v>
      </c>
      <c r="AH34">
        <v>8740010</v>
      </c>
      <c r="AI34">
        <v>911132</v>
      </c>
      <c r="AJ34">
        <v>1790485</v>
      </c>
      <c r="AK34">
        <v>1194876</v>
      </c>
      <c r="AL34">
        <v>3046333</v>
      </c>
      <c r="AM34">
        <v>5371390</v>
      </c>
      <c r="AN34">
        <v>14716221</v>
      </c>
      <c r="AO34">
        <v>6225560</v>
      </c>
      <c r="AP34">
        <v>45226522</v>
      </c>
      <c r="AQ34">
        <v>581005</v>
      </c>
      <c r="AR34">
        <v>1742997</v>
      </c>
      <c r="AS34">
        <v>234052</v>
      </c>
      <c r="AT34">
        <v>3759739</v>
      </c>
      <c r="AU34">
        <v>1571080</v>
      </c>
      <c r="AV34">
        <v>2594762</v>
      </c>
      <c r="AW34">
        <v>9630414</v>
      </c>
      <c r="AX34">
        <v>11367717</v>
      </c>
      <c r="AY34">
        <v>177048</v>
      </c>
      <c r="AZ34">
        <v>165103</v>
      </c>
      <c r="BA34">
        <v>243964</v>
      </c>
      <c r="BB34">
        <v>316308</v>
      </c>
    </row>
    <row r="35" spans="1:54" x14ac:dyDescent="0.4">
      <c r="A35" s="1" t="s">
        <v>58</v>
      </c>
      <c r="B35" s="1" t="s">
        <v>59</v>
      </c>
      <c r="C35">
        <v>499584</v>
      </c>
      <c r="D35">
        <v>403389</v>
      </c>
      <c r="E35">
        <v>367733</v>
      </c>
      <c r="F35">
        <v>1077551</v>
      </c>
      <c r="G35">
        <v>13829</v>
      </c>
      <c r="H35">
        <v>1032</v>
      </c>
      <c r="I35">
        <v>2540</v>
      </c>
      <c r="J35">
        <v>400</v>
      </c>
      <c r="K35">
        <v>274259</v>
      </c>
      <c r="L35">
        <v>108475</v>
      </c>
      <c r="M35">
        <v>59936</v>
      </c>
      <c r="N35">
        <v>352900</v>
      </c>
      <c r="O35">
        <v>40922</v>
      </c>
      <c r="P35">
        <v>29720</v>
      </c>
      <c r="Q35">
        <v>42920</v>
      </c>
      <c r="R35">
        <v>29160</v>
      </c>
      <c r="S35">
        <v>2605457</v>
      </c>
      <c r="T35">
        <v>1922593</v>
      </c>
      <c r="U35">
        <v>594636</v>
      </c>
      <c r="V35">
        <v>820614</v>
      </c>
      <c r="W35">
        <v>66361</v>
      </c>
      <c r="X35">
        <v>46350</v>
      </c>
      <c r="Y35">
        <v>30168</v>
      </c>
      <c r="Z35">
        <v>81438</v>
      </c>
      <c r="AA35">
        <v>26382</v>
      </c>
      <c r="AB35">
        <v>3039</v>
      </c>
      <c r="AC35">
        <v>6201</v>
      </c>
      <c r="AD35">
        <v>12111</v>
      </c>
      <c r="AE35">
        <v>1431293</v>
      </c>
      <c r="AF35">
        <v>1470092</v>
      </c>
      <c r="AG35">
        <v>2865806</v>
      </c>
      <c r="AH35">
        <v>9194733</v>
      </c>
      <c r="AI35">
        <v>962246</v>
      </c>
      <c r="AJ35">
        <v>1684390</v>
      </c>
      <c r="AK35">
        <v>1221500</v>
      </c>
      <c r="AL35">
        <v>3032493</v>
      </c>
      <c r="AM35">
        <v>5820690</v>
      </c>
      <c r="AN35">
        <v>13061668</v>
      </c>
      <c r="AO35">
        <v>4741542</v>
      </c>
      <c r="AP35">
        <v>44701801</v>
      </c>
      <c r="AQ35">
        <v>518400</v>
      </c>
      <c r="AR35">
        <v>1742181</v>
      </c>
      <c r="AS35">
        <v>204811</v>
      </c>
      <c r="AT35">
        <v>3915911</v>
      </c>
      <c r="AU35">
        <v>1621499</v>
      </c>
      <c r="AV35">
        <v>2383362</v>
      </c>
      <c r="AW35">
        <v>8798123</v>
      </c>
      <c r="AX35">
        <v>11743528</v>
      </c>
      <c r="AY35">
        <v>172508</v>
      </c>
      <c r="AZ35">
        <v>179846</v>
      </c>
      <c r="BA35">
        <v>278824</v>
      </c>
      <c r="BB35">
        <v>302052</v>
      </c>
    </row>
    <row r="36" spans="1:54" x14ac:dyDescent="0.4">
      <c r="A36" s="1" t="s">
        <v>60</v>
      </c>
      <c r="B36" s="1" t="s">
        <v>61</v>
      </c>
      <c r="C36">
        <v>501186</v>
      </c>
      <c r="D36">
        <v>410598</v>
      </c>
      <c r="E36">
        <v>383908</v>
      </c>
      <c r="F36">
        <v>1071976</v>
      </c>
      <c r="G36">
        <v>12505</v>
      </c>
      <c r="H36">
        <v>1138</v>
      </c>
      <c r="I36">
        <v>2801</v>
      </c>
      <c r="J36">
        <v>300</v>
      </c>
      <c r="K36">
        <v>253447</v>
      </c>
      <c r="L36">
        <v>101035</v>
      </c>
      <c r="M36">
        <v>54885</v>
      </c>
      <c r="N36">
        <v>345819</v>
      </c>
      <c r="O36">
        <v>45149</v>
      </c>
      <c r="P36">
        <v>32640</v>
      </c>
      <c r="Q36">
        <v>43218</v>
      </c>
      <c r="R36">
        <v>29119</v>
      </c>
      <c r="S36">
        <v>2514872</v>
      </c>
      <c r="T36">
        <v>1849824</v>
      </c>
      <c r="U36">
        <v>583685</v>
      </c>
      <c r="V36">
        <v>826234</v>
      </c>
      <c r="W36">
        <v>65491</v>
      </c>
      <c r="X36">
        <v>51496</v>
      </c>
      <c r="Y36">
        <v>31673</v>
      </c>
      <c r="Z36">
        <v>79242</v>
      </c>
      <c r="AA36">
        <v>21188</v>
      </c>
      <c r="AB36">
        <v>4007</v>
      </c>
      <c r="AC36">
        <v>2094</v>
      </c>
      <c r="AD36">
        <v>9837</v>
      </c>
      <c r="AE36">
        <v>1347924</v>
      </c>
      <c r="AF36">
        <v>2384346</v>
      </c>
      <c r="AG36">
        <v>4728343</v>
      </c>
      <c r="AH36">
        <v>8472619</v>
      </c>
      <c r="AI36">
        <v>728678</v>
      </c>
      <c r="AJ36">
        <v>1451023</v>
      </c>
      <c r="AK36">
        <v>1067769</v>
      </c>
      <c r="AL36">
        <v>2810818</v>
      </c>
      <c r="AM36">
        <v>5422469</v>
      </c>
      <c r="AN36">
        <v>11181010</v>
      </c>
      <c r="AO36">
        <v>3424253</v>
      </c>
      <c r="AP36">
        <v>44208353</v>
      </c>
      <c r="AQ36">
        <v>535060</v>
      </c>
      <c r="AR36">
        <v>1649568</v>
      </c>
      <c r="AS36">
        <v>193665</v>
      </c>
      <c r="AT36">
        <v>4025161</v>
      </c>
      <c r="AU36">
        <v>1589451</v>
      </c>
      <c r="AV36">
        <v>2865200</v>
      </c>
      <c r="AW36">
        <v>10604405</v>
      </c>
      <c r="AX36">
        <v>11269821</v>
      </c>
      <c r="AY36">
        <v>178601</v>
      </c>
      <c r="AZ36">
        <v>157003</v>
      </c>
      <c r="BA36">
        <v>273251</v>
      </c>
      <c r="BB36">
        <v>315943</v>
      </c>
    </row>
    <row r="37" spans="1:54" x14ac:dyDescent="0.4">
      <c r="A37" s="1" t="s">
        <v>62</v>
      </c>
      <c r="B37" s="1" t="s">
        <v>63</v>
      </c>
      <c r="C37">
        <v>494258</v>
      </c>
      <c r="D37">
        <v>428820</v>
      </c>
      <c r="E37">
        <v>400305</v>
      </c>
      <c r="F37">
        <v>1028978</v>
      </c>
      <c r="G37">
        <v>12587</v>
      </c>
      <c r="H37">
        <v>1177</v>
      </c>
      <c r="I37">
        <v>2897</v>
      </c>
      <c r="J37">
        <v>300</v>
      </c>
      <c r="K37">
        <v>276945</v>
      </c>
      <c r="L37">
        <v>98666</v>
      </c>
      <c r="M37">
        <v>55258</v>
      </c>
      <c r="N37">
        <v>374986</v>
      </c>
      <c r="O37">
        <v>43117</v>
      </c>
      <c r="P37">
        <v>34090</v>
      </c>
      <c r="Q37">
        <v>45362</v>
      </c>
      <c r="R37">
        <v>29325</v>
      </c>
      <c r="S37">
        <v>2473619</v>
      </c>
      <c r="T37">
        <v>1842865</v>
      </c>
      <c r="U37">
        <v>588594</v>
      </c>
      <c r="V37">
        <v>816467</v>
      </c>
      <c r="W37">
        <v>74927</v>
      </c>
      <c r="X37">
        <v>52975</v>
      </c>
      <c r="Y37">
        <v>34216</v>
      </c>
      <c r="Z37">
        <v>85356</v>
      </c>
      <c r="AA37">
        <v>22605</v>
      </c>
      <c r="AB37">
        <v>1761</v>
      </c>
      <c r="AC37">
        <v>1107</v>
      </c>
      <c r="AD37">
        <v>11226</v>
      </c>
      <c r="AE37">
        <v>1387843</v>
      </c>
      <c r="AF37">
        <v>2907549</v>
      </c>
      <c r="AG37">
        <v>6024862</v>
      </c>
      <c r="AH37">
        <v>7247080</v>
      </c>
      <c r="AI37">
        <v>747435</v>
      </c>
      <c r="AJ37">
        <v>1568869</v>
      </c>
      <c r="AK37">
        <v>1201654</v>
      </c>
      <c r="AL37">
        <v>2601901</v>
      </c>
      <c r="AM37">
        <v>5553808</v>
      </c>
      <c r="AN37">
        <v>13849290</v>
      </c>
      <c r="AO37">
        <v>3814641</v>
      </c>
      <c r="AP37">
        <v>43335721</v>
      </c>
      <c r="AQ37">
        <v>538846</v>
      </c>
      <c r="AR37">
        <v>1569002</v>
      </c>
      <c r="AS37">
        <v>191951</v>
      </c>
      <c r="AT37">
        <v>4013655</v>
      </c>
      <c r="AU37">
        <v>1673992</v>
      </c>
      <c r="AV37">
        <v>3749398</v>
      </c>
      <c r="AW37">
        <v>15198785</v>
      </c>
      <c r="AX37">
        <v>10642812</v>
      </c>
      <c r="AY37">
        <v>164167</v>
      </c>
      <c r="AZ37">
        <v>166720</v>
      </c>
      <c r="BA37">
        <v>278579</v>
      </c>
      <c r="BB37">
        <v>306135</v>
      </c>
    </row>
    <row r="38" spans="1:54" x14ac:dyDescent="0.4">
      <c r="A38" s="1" t="s">
        <v>64</v>
      </c>
      <c r="B38" s="1" t="s">
        <v>65</v>
      </c>
      <c r="C38">
        <v>531565</v>
      </c>
      <c r="D38">
        <v>459061</v>
      </c>
      <c r="E38">
        <v>429695</v>
      </c>
      <c r="F38">
        <v>995259</v>
      </c>
      <c r="G38">
        <v>13632</v>
      </c>
      <c r="H38">
        <v>2494</v>
      </c>
      <c r="I38">
        <v>6139</v>
      </c>
      <c r="J38">
        <v>200</v>
      </c>
      <c r="K38">
        <v>254714</v>
      </c>
      <c r="L38">
        <v>119122</v>
      </c>
      <c r="M38">
        <v>64233</v>
      </c>
      <c r="N38">
        <v>368747</v>
      </c>
      <c r="O38">
        <v>44387</v>
      </c>
      <c r="P38">
        <v>34580</v>
      </c>
      <c r="Q38">
        <v>46483</v>
      </c>
      <c r="R38">
        <v>30144</v>
      </c>
      <c r="S38">
        <v>2573821</v>
      </c>
      <c r="T38">
        <v>1850517</v>
      </c>
      <c r="U38">
        <v>587072</v>
      </c>
      <c r="V38">
        <v>885285</v>
      </c>
      <c r="W38">
        <v>70130</v>
      </c>
      <c r="X38">
        <v>60245</v>
      </c>
      <c r="Y38">
        <v>37910</v>
      </c>
      <c r="Z38">
        <v>82389</v>
      </c>
      <c r="AA38">
        <v>22677</v>
      </c>
      <c r="AB38">
        <v>6145</v>
      </c>
      <c r="AC38">
        <v>8629</v>
      </c>
      <c r="AD38">
        <v>8303</v>
      </c>
      <c r="AE38">
        <v>1513440</v>
      </c>
      <c r="AF38">
        <v>3373983</v>
      </c>
      <c r="AG38">
        <v>6779711</v>
      </c>
      <c r="AH38">
        <v>5584520</v>
      </c>
      <c r="AI38">
        <v>697622</v>
      </c>
      <c r="AJ38">
        <v>1552048</v>
      </c>
      <c r="AK38">
        <v>1170773</v>
      </c>
      <c r="AL38">
        <v>2357897</v>
      </c>
      <c r="AM38">
        <v>5778537</v>
      </c>
      <c r="AN38">
        <v>14190357</v>
      </c>
      <c r="AO38">
        <v>3856876</v>
      </c>
      <c r="AP38">
        <v>43076100</v>
      </c>
      <c r="AQ38">
        <v>543452</v>
      </c>
      <c r="AR38">
        <v>1640781</v>
      </c>
      <c r="AS38">
        <v>203428</v>
      </c>
      <c r="AT38">
        <v>3760817</v>
      </c>
      <c r="AU38">
        <v>1734986</v>
      </c>
      <c r="AV38">
        <v>4926500</v>
      </c>
      <c r="AW38">
        <v>19947333</v>
      </c>
      <c r="AX38">
        <v>9958645</v>
      </c>
      <c r="AY38">
        <v>164832</v>
      </c>
      <c r="AZ38">
        <v>159316</v>
      </c>
      <c r="BA38">
        <v>246474</v>
      </c>
      <c r="BB38">
        <v>303874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78BD2-343A-4FD4-A41C-26DE48E951EF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1952</v>
      </c>
      <c r="D3" t="s">
        <v>1952</v>
      </c>
      <c r="E3" t="s">
        <v>1952</v>
      </c>
      <c r="F3" t="s">
        <v>1952</v>
      </c>
      <c r="G3" t="s">
        <v>1954</v>
      </c>
      <c r="H3" t="s">
        <v>1954</v>
      </c>
      <c r="I3" t="s">
        <v>1954</v>
      </c>
      <c r="J3" t="s">
        <v>1954</v>
      </c>
      <c r="K3" t="s">
        <v>1956</v>
      </c>
      <c r="L3" t="s">
        <v>1956</v>
      </c>
      <c r="M3" t="s">
        <v>1956</v>
      </c>
      <c r="N3" t="s">
        <v>1956</v>
      </c>
      <c r="O3" t="s">
        <v>1960</v>
      </c>
      <c r="P3" t="s">
        <v>1960</v>
      </c>
      <c r="Q3" t="s">
        <v>1960</v>
      </c>
      <c r="R3" t="s">
        <v>1960</v>
      </c>
      <c r="S3" t="s">
        <v>1962</v>
      </c>
      <c r="T3" t="s">
        <v>1962</v>
      </c>
      <c r="U3" t="s">
        <v>1962</v>
      </c>
      <c r="V3" t="s">
        <v>1962</v>
      </c>
      <c r="W3" t="s">
        <v>1964</v>
      </c>
      <c r="X3" t="s">
        <v>1964</v>
      </c>
      <c r="Y3" t="s">
        <v>1964</v>
      </c>
      <c r="Z3" t="s">
        <v>1964</v>
      </c>
      <c r="AA3" t="s">
        <v>1966</v>
      </c>
      <c r="AB3" t="s">
        <v>1966</v>
      </c>
      <c r="AC3" t="s">
        <v>1966</v>
      </c>
      <c r="AD3" t="s">
        <v>1966</v>
      </c>
      <c r="AE3" t="s">
        <v>1968</v>
      </c>
      <c r="AF3" t="s">
        <v>1968</v>
      </c>
      <c r="AG3" t="s">
        <v>1968</v>
      </c>
      <c r="AH3" t="s">
        <v>1968</v>
      </c>
      <c r="AI3" t="s">
        <v>1970</v>
      </c>
      <c r="AJ3" t="s">
        <v>1970</v>
      </c>
      <c r="AK3" t="s">
        <v>1970</v>
      </c>
      <c r="AL3" t="s">
        <v>1970</v>
      </c>
      <c r="AM3" t="s">
        <v>1972</v>
      </c>
      <c r="AN3" t="s">
        <v>1972</v>
      </c>
      <c r="AO3" t="s">
        <v>1972</v>
      </c>
      <c r="AP3" t="s">
        <v>1972</v>
      </c>
      <c r="AQ3" t="s">
        <v>1974</v>
      </c>
      <c r="AR3" t="s">
        <v>1974</v>
      </c>
      <c r="AS3" t="s">
        <v>1974</v>
      </c>
      <c r="AT3" t="s">
        <v>1974</v>
      </c>
      <c r="AU3" t="s">
        <v>1976</v>
      </c>
      <c r="AV3" t="s">
        <v>1976</v>
      </c>
      <c r="AW3" t="s">
        <v>1976</v>
      </c>
      <c r="AX3" t="s">
        <v>1976</v>
      </c>
      <c r="AY3" t="s">
        <v>1978</v>
      </c>
      <c r="AZ3" t="s">
        <v>1978</v>
      </c>
      <c r="BA3" t="s">
        <v>1978</v>
      </c>
      <c r="BB3" t="s">
        <v>1978</v>
      </c>
    </row>
    <row r="4" spans="1:54" x14ac:dyDescent="0.4">
      <c r="A4" s="1"/>
      <c r="B4" s="2" t="s">
        <v>1</v>
      </c>
      <c r="C4" t="s">
        <v>1953</v>
      </c>
      <c r="D4" t="s">
        <v>1953</v>
      </c>
      <c r="E4" t="s">
        <v>1953</v>
      </c>
      <c r="F4" t="s">
        <v>1953</v>
      </c>
      <c r="G4" t="s">
        <v>1955</v>
      </c>
      <c r="H4" t="s">
        <v>1955</v>
      </c>
      <c r="I4" t="s">
        <v>1955</v>
      </c>
      <c r="J4" t="s">
        <v>1955</v>
      </c>
      <c r="K4" t="s">
        <v>1958</v>
      </c>
      <c r="L4" t="s">
        <v>1958</v>
      </c>
      <c r="M4" t="s">
        <v>1958</v>
      </c>
      <c r="N4" t="s">
        <v>1958</v>
      </c>
      <c r="O4" t="s">
        <v>1961</v>
      </c>
      <c r="P4" t="s">
        <v>1961</v>
      </c>
      <c r="Q4" t="s">
        <v>1961</v>
      </c>
      <c r="R4" t="s">
        <v>1961</v>
      </c>
      <c r="S4" t="s">
        <v>1963</v>
      </c>
      <c r="T4" t="s">
        <v>1963</v>
      </c>
      <c r="U4" t="s">
        <v>1963</v>
      </c>
      <c r="V4" t="s">
        <v>1963</v>
      </c>
      <c r="W4" t="s">
        <v>1965</v>
      </c>
      <c r="X4" t="s">
        <v>1965</v>
      </c>
      <c r="Y4" t="s">
        <v>1965</v>
      </c>
      <c r="Z4" t="s">
        <v>1965</v>
      </c>
      <c r="AA4" t="s">
        <v>1967</v>
      </c>
      <c r="AB4" t="s">
        <v>1967</v>
      </c>
      <c r="AC4" t="s">
        <v>1967</v>
      </c>
      <c r="AD4" t="s">
        <v>1967</v>
      </c>
      <c r="AE4" t="s">
        <v>1969</v>
      </c>
      <c r="AF4" t="s">
        <v>1969</v>
      </c>
      <c r="AG4" t="s">
        <v>1969</v>
      </c>
      <c r="AH4" t="s">
        <v>1969</v>
      </c>
      <c r="AI4" t="s">
        <v>1971</v>
      </c>
      <c r="AJ4" t="s">
        <v>1971</v>
      </c>
      <c r="AK4" t="s">
        <v>1971</v>
      </c>
      <c r="AL4" t="s">
        <v>1971</v>
      </c>
      <c r="AM4" t="s">
        <v>1973</v>
      </c>
      <c r="AN4" t="s">
        <v>1973</v>
      </c>
      <c r="AO4" t="s">
        <v>1973</v>
      </c>
      <c r="AP4" t="s">
        <v>1973</v>
      </c>
      <c r="AQ4" t="s">
        <v>1975</v>
      </c>
      <c r="AR4" t="s">
        <v>1975</v>
      </c>
      <c r="AS4" t="s">
        <v>1975</v>
      </c>
      <c r="AT4" t="s">
        <v>1975</v>
      </c>
      <c r="AU4" t="s">
        <v>1977</v>
      </c>
      <c r="AV4" t="s">
        <v>1977</v>
      </c>
      <c r="AW4" t="s">
        <v>1977</v>
      </c>
      <c r="AX4" t="s">
        <v>1977</v>
      </c>
      <c r="AY4" t="s">
        <v>1979</v>
      </c>
      <c r="AZ4" t="s">
        <v>1979</v>
      </c>
      <c r="BA4" t="s">
        <v>1979</v>
      </c>
      <c r="BB4" t="s">
        <v>1979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1957</v>
      </c>
      <c r="L7" t="s">
        <v>1957</v>
      </c>
      <c r="M7" t="s">
        <v>341</v>
      </c>
      <c r="N7" t="s">
        <v>1957</v>
      </c>
      <c r="O7" t="s">
        <v>1957</v>
      </c>
      <c r="P7" t="s">
        <v>1957</v>
      </c>
      <c r="Q7" t="s">
        <v>341</v>
      </c>
      <c r="R7" t="s">
        <v>1957</v>
      </c>
      <c r="S7" t="s">
        <v>1957</v>
      </c>
      <c r="T7" t="s">
        <v>1957</v>
      </c>
      <c r="U7" t="s">
        <v>341</v>
      </c>
      <c r="V7" t="s">
        <v>1957</v>
      </c>
      <c r="W7" t="s">
        <v>1957</v>
      </c>
      <c r="X7" t="s">
        <v>1957</v>
      </c>
      <c r="Y7" t="s">
        <v>341</v>
      </c>
      <c r="Z7" t="s">
        <v>1957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1247</v>
      </c>
      <c r="AV7" t="s">
        <v>1247</v>
      </c>
      <c r="AW7" t="s">
        <v>341</v>
      </c>
      <c r="AX7" t="s">
        <v>1247</v>
      </c>
      <c r="AY7" t="s">
        <v>1247</v>
      </c>
      <c r="AZ7" t="s">
        <v>1247</v>
      </c>
      <c r="BA7" t="s">
        <v>341</v>
      </c>
      <c r="BB7" t="s">
        <v>1247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1959</v>
      </c>
      <c r="L8" t="s">
        <v>1959</v>
      </c>
      <c r="M8" t="s">
        <v>342</v>
      </c>
      <c r="N8" t="s">
        <v>1959</v>
      </c>
      <c r="O8" t="s">
        <v>1959</v>
      </c>
      <c r="P8" t="s">
        <v>1959</v>
      </c>
      <c r="Q8" t="s">
        <v>342</v>
      </c>
      <c r="R8" t="s">
        <v>1959</v>
      </c>
      <c r="S8" t="s">
        <v>1959</v>
      </c>
      <c r="T8" t="s">
        <v>1959</v>
      </c>
      <c r="U8" t="s">
        <v>342</v>
      </c>
      <c r="V8" t="s">
        <v>1959</v>
      </c>
      <c r="W8" t="s">
        <v>1959</v>
      </c>
      <c r="X8" t="s">
        <v>1959</v>
      </c>
      <c r="Y8" t="s">
        <v>342</v>
      </c>
      <c r="Z8" t="s">
        <v>1959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1247</v>
      </c>
      <c r="AV8" t="s">
        <v>1247</v>
      </c>
      <c r="AW8" t="s">
        <v>342</v>
      </c>
      <c r="AX8" t="s">
        <v>1247</v>
      </c>
      <c r="AY8" t="s">
        <v>1247</v>
      </c>
      <c r="AZ8" t="s">
        <v>1247</v>
      </c>
      <c r="BA8" t="s">
        <v>342</v>
      </c>
      <c r="BB8" t="s">
        <v>1247</v>
      </c>
    </row>
    <row r="9" spans="1:54" x14ac:dyDescent="0.4">
      <c r="A9" s="1" t="s">
        <v>6</v>
      </c>
      <c r="B9" s="3" t="s">
        <v>7</v>
      </c>
      <c r="C9">
        <v>2255280</v>
      </c>
      <c r="D9">
        <v>1187941</v>
      </c>
      <c r="E9">
        <v>809178</v>
      </c>
      <c r="F9">
        <v>61191</v>
      </c>
      <c r="G9">
        <v>835370</v>
      </c>
      <c r="H9">
        <v>17435</v>
      </c>
      <c r="I9">
        <v>22802</v>
      </c>
      <c r="J9">
        <v>48941</v>
      </c>
      <c r="K9">
        <v>534166</v>
      </c>
      <c r="L9">
        <v>569332</v>
      </c>
      <c r="M9">
        <v>1808813</v>
      </c>
      <c r="N9">
        <v>31200</v>
      </c>
      <c r="O9">
        <v>977332</v>
      </c>
      <c r="P9">
        <v>885088</v>
      </c>
      <c r="Q9">
        <v>5325131</v>
      </c>
      <c r="R9">
        <v>50465</v>
      </c>
      <c r="S9">
        <v>88726</v>
      </c>
      <c r="T9">
        <v>129116</v>
      </c>
      <c r="U9">
        <v>543770</v>
      </c>
      <c r="V9">
        <v>4889</v>
      </c>
      <c r="W9">
        <v>1334139</v>
      </c>
      <c r="X9">
        <v>1578654</v>
      </c>
      <c r="Y9">
        <v>18308177</v>
      </c>
      <c r="Z9">
        <v>54959</v>
      </c>
      <c r="AA9">
        <v>5535961</v>
      </c>
      <c r="AB9">
        <v>6022898</v>
      </c>
      <c r="AC9">
        <v>12955572</v>
      </c>
      <c r="AD9">
        <v>2420730</v>
      </c>
      <c r="AE9">
        <v>2178835</v>
      </c>
      <c r="AF9">
        <v>2553231</v>
      </c>
      <c r="AG9">
        <v>3089821</v>
      </c>
      <c r="AH9">
        <v>264606</v>
      </c>
      <c r="AI9">
        <v>11174239</v>
      </c>
      <c r="AJ9">
        <v>14686416</v>
      </c>
      <c r="AK9">
        <v>12548180</v>
      </c>
      <c r="AL9">
        <v>2990776</v>
      </c>
      <c r="AM9">
        <v>10438789</v>
      </c>
      <c r="AN9">
        <v>9679127</v>
      </c>
      <c r="AO9">
        <v>14361503</v>
      </c>
      <c r="AP9">
        <v>933464</v>
      </c>
      <c r="AQ9">
        <v>1108422</v>
      </c>
      <c r="AR9">
        <v>1141310</v>
      </c>
      <c r="AS9">
        <v>3511223</v>
      </c>
      <c r="AT9">
        <v>99147</v>
      </c>
      <c r="AU9">
        <v>25027080</v>
      </c>
      <c r="AV9">
        <v>33830706</v>
      </c>
      <c r="AW9">
        <v>9484995</v>
      </c>
      <c r="AX9">
        <v>3806662</v>
      </c>
      <c r="AY9">
        <v>467396</v>
      </c>
      <c r="AZ9">
        <v>397282</v>
      </c>
      <c r="BA9">
        <v>449303</v>
      </c>
      <c r="BB9">
        <v>95480</v>
      </c>
    </row>
    <row r="10" spans="1:54" x14ac:dyDescent="0.4">
      <c r="A10" s="1" t="s">
        <v>8</v>
      </c>
      <c r="B10" s="3" t="s">
        <v>9</v>
      </c>
      <c r="C10">
        <v>2071164</v>
      </c>
      <c r="D10">
        <v>1047320</v>
      </c>
      <c r="E10">
        <v>800292</v>
      </c>
      <c r="F10">
        <v>66043</v>
      </c>
      <c r="G10">
        <v>834126</v>
      </c>
      <c r="H10">
        <v>12750</v>
      </c>
      <c r="I10">
        <v>16016</v>
      </c>
      <c r="J10">
        <v>58393</v>
      </c>
      <c r="K10">
        <v>483942</v>
      </c>
      <c r="L10">
        <v>516341</v>
      </c>
      <c r="M10">
        <v>1704630</v>
      </c>
      <c r="N10">
        <v>35476</v>
      </c>
      <c r="O10">
        <v>950873</v>
      </c>
      <c r="P10">
        <v>844273</v>
      </c>
      <c r="Q10">
        <v>5330929</v>
      </c>
      <c r="R10">
        <v>53947</v>
      </c>
      <c r="S10">
        <v>69444</v>
      </c>
      <c r="T10">
        <v>115012</v>
      </c>
      <c r="U10">
        <v>518134</v>
      </c>
      <c r="V10">
        <v>6506</v>
      </c>
      <c r="W10">
        <v>1247724</v>
      </c>
      <c r="X10">
        <v>1508892</v>
      </c>
      <c r="Y10">
        <v>18658511</v>
      </c>
      <c r="Z10">
        <v>50406</v>
      </c>
      <c r="AA10">
        <v>5042880</v>
      </c>
      <c r="AB10">
        <v>5719852</v>
      </c>
      <c r="AC10">
        <v>12801915</v>
      </c>
      <c r="AD10">
        <v>2267784</v>
      </c>
      <c r="AE10">
        <v>2086430</v>
      </c>
      <c r="AF10">
        <v>2478986</v>
      </c>
      <c r="AG10">
        <v>3119654</v>
      </c>
      <c r="AH10">
        <v>225993</v>
      </c>
      <c r="AI10">
        <v>11166244</v>
      </c>
      <c r="AJ10">
        <v>14841594</v>
      </c>
      <c r="AK10">
        <v>13379321</v>
      </c>
      <c r="AL10">
        <v>2627198</v>
      </c>
      <c r="AM10">
        <v>9948690</v>
      </c>
      <c r="AN10">
        <v>9378357</v>
      </c>
      <c r="AO10">
        <v>14686345</v>
      </c>
      <c r="AP10">
        <v>927457</v>
      </c>
      <c r="AQ10">
        <v>1136632</v>
      </c>
      <c r="AR10">
        <v>1186171</v>
      </c>
      <c r="AS10">
        <v>3550770</v>
      </c>
      <c r="AT10">
        <v>96380</v>
      </c>
      <c r="AU10">
        <v>23995511</v>
      </c>
      <c r="AV10">
        <v>32889071</v>
      </c>
      <c r="AW10">
        <v>9485586</v>
      </c>
      <c r="AX10">
        <v>3409731</v>
      </c>
      <c r="AY10">
        <v>473238</v>
      </c>
      <c r="AZ10">
        <v>399312</v>
      </c>
      <c r="BA10">
        <v>405137</v>
      </c>
      <c r="BB10">
        <v>94430</v>
      </c>
    </row>
    <row r="11" spans="1:54" x14ac:dyDescent="0.4">
      <c r="A11" s="1" t="s">
        <v>10</v>
      </c>
      <c r="B11" s="3" t="s">
        <v>11</v>
      </c>
      <c r="C11">
        <v>1906433</v>
      </c>
      <c r="D11">
        <v>900942</v>
      </c>
      <c r="E11">
        <v>777923</v>
      </c>
      <c r="F11">
        <v>57034</v>
      </c>
      <c r="G11">
        <v>637619</v>
      </c>
      <c r="H11">
        <v>795</v>
      </c>
      <c r="I11">
        <v>1218</v>
      </c>
      <c r="J11">
        <v>47875</v>
      </c>
      <c r="K11">
        <v>407143</v>
      </c>
      <c r="L11">
        <v>458759</v>
      </c>
      <c r="M11">
        <v>1613152</v>
      </c>
      <c r="N11">
        <v>23802</v>
      </c>
      <c r="O11">
        <v>878093</v>
      </c>
      <c r="P11">
        <v>816554</v>
      </c>
      <c r="Q11">
        <v>5292692</v>
      </c>
      <c r="R11">
        <v>45883</v>
      </c>
      <c r="S11">
        <v>46409</v>
      </c>
      <c r="T11">
        <v>86660</v>
      </c>
      <c r="U11">
        <v>468560</v>
      </c>
      <c r="V11">
        <v>4587</v>
      </c>
      <c r="W11">
        <v>1083197</v>
      </c>
      <c r="X11">
        <v>1323947</v>
      </c>
      <c r="Y11">
        <v>18104822</v>
      </c>
      <c r="Z11">
        <v>42427</v>
      </c>
      <c r="AA11">
        <v>5470882</v>
      </c>
      <c r="AB11">
        <v>6177780</v>
      </c>
      <c r="AC11">
        <v>14710992</v>
      </c>
      <c r="AD11">
        <v>1911136</v>
      </c>
      <c r="AE11">
        <v>2042440</v>
      </c>
      <c r="AF11">
        <v>2408257</v>
      </c>
      <c r="AG11">
        <v>3095657</v>
      </c>
      <c r="AH11">
        <v>213758</v>
      </c>
      <c r="AI11">
        <v>11643525</v>
      </c>
      <c r="AJ11">
        <v>14975795</v>
      </c>
      <c r="AK11">
        <v>14622048</v>
      </c>
      <c r="AL11">
        <v>2695082</v>
      </c>
      <c r="AM11">
        <v>9263336</v>
      </c>
      <c r="AN11">
        <v>8605954</v>
      </c>
      <c r="AO11">
        <v>13430683</v>
      </c>
      <c r="AP11">
        <v>841939</v>
      </c>
      <c r="AQ11">
        <v>1112285</v>
      </c>
      <c r="AR11">
        <v>1148755</v>
      </c>
      <c r="AS11">
        <v>3513767</v>
      </c>
      <c r="AT11">
        <v>104725</v>
      </c>
      <c r="AU11">
        <v>21803324</v>
      </c>
      <c r="AV11">
        <v>29378648</v>
      </c>
      <c r="AW11">
        <v>8945709</v>
      </c>
      <c r="AX11">
        <v>3259401</v>
      </c>
      <c r="AY11">
        <v>458698</v>
      </c>
      <c r="AZ11">
        <v>383175</v>
      </c>
      <c r="BA11">
        <v>366646</v>
      </c>
      <c r="BB11">
        <v>94977</v>
      </c>
    </row>
    <row r="12" spans="1:54" x14ac:dyDescent="0.4">
      <c r="A12" s="1" t="s">
        <v>12</v>
      </c>
      <c r="B12" s="3" t="s">
        <v>13</v>
      </c>
      <c r="C12">
        <v>1746963</v>
      </c>
      <c r="D12">
        <v>780988</v>
      </c>
      <c r="E12">
        <v>729743</v>
      </c>
      <c r="F12">
        <v>49677</v>
      </c>
      <c r="G12">
        <v>436875</v>
      </c>
      <c r="H12">
        <v>352</v>
      </c>
      <c r="I12">
        <v>585</v>
      </c>
      <c r="J12">
        <v>47741</v>
      </c>
      <c r="K12">
        <v>393121</v>
      </c>
      <c r="L12">
        <v>430293</v>
      </c>
      <c r="M12">
        <v>1491804</v>
      </c>
      <c r="N12">
        <v>22245</v>
      </c>
      <c r="O12">
        <v>851387</v>
      </c>
      <c r="P12">
        <v>800009</v>
      </c>
      <c r="Q12">
        <v>6029481</v>
      </c>
      <c r="R12">
        <v>41116</v>
      </c>
      <c r="S12">
        <v>29330</v>
      </c>
      <c r="T12">
        <v>69577</v>
      </c>
      <c r="U12">
        <v>305309</v>
      </c>
      <c r="V12">
        <v>4471</v>
      </c>
      <c r="W12">
        <v>952576</v>
      </c>
      <c r="X12">
        <v>1145702</v>
      </c>
      <c r="Y12">
        <v>16648083</v>
      </c>
      <c r="Z12">
        <v>53480</v>
      </c>
      <c r="AA12">
        <v>5421160</v>
      </c>
      <c r="AB12">
        <v>5749410</v>
      </c>
      <c r="AC12">
        <v>14015338</v>
      </c>
      <c r="AD12">
        <v>2090391</v>
      </c>
      <c r="AE12">
        <v>2058893</v>
      </c>
      <c r="AF12">
        <v>2442519</v>
      </c>
      <c r="AG12">
        <v>3316421</v>
      </c>
      <c r="AH12">
        <v>202366</v>
      </c>
      <c r="AI12">
        <v>11280962</v>
      </c>
      <c r="AJ12">
        <v>14700696</v>
      </c>
      <c r="AK12">
        <v>15762402</v>
      </c>
      <c r="AL12">
        <v>2765140</v>
      </c>
      <c r="AM12">
        <v>9435819</v>
      </c>
      <c r="AN12">
        <v>8718087</v>
      </c>
      <c r="AO12">
        <v>13371582</v>
      </c>
      <c r="AP12">
        <v>712836</v>
      </c>
      <c r="AQ12">
        <v>1092646</v>
      </c>
      <c r="AR12">
        <v>1147233</v>
      </c>
      <c r="AS12">
        <v>3460215</v>
      </c>
      <c r="AT12">
        <v>103149</v>
      </c>
      <c r="AU12">
        <v>20903177</v>
      </c>
      <c r="AV12">
        <v>27550085</v>
      </c>
      <c r="AW12">
        <v>8931005</v>
      </c>
      <c r="AX12">
        <v>3361671</v>
      </c>
      <c r="AY12">
        <v>439981</v>
      </c>
      <c r="AZ12">
        <v>365650</v>
      </c>
      <c r="BA12">
        <v>330387</v>
      </c>
      <c r="BB12">
        <v>94332</v>
      </c>
    </row>
    <row r="13" spans="1:54" x14ac:dyDescent="0.4">
      <c r="A13" s="1" t="s">
        <v>14</v>
      </c>
      <c r="B13" s="3" t="s">
        <v>15</v>
      </c>
      <c r="C13">
        <v>1436227</v>
      </c>
      <c r="D13">
        <v>605509</v>
      </c>
      <c r="E13">
        <v>590190</v>
      </c>
      <c r="F13">
        <v>50808</v>
      </c>
      <c r="G13">
        <v>261186</v>
      </c>
      <c r="H13">
        <v>398</v>
      </c>
      <c r="I13">
        <v>366</v>
      </c>
      <c r="J13">
        <v>30440</v>
      </c>
      <c r="K13">
        <v>298927</v>
      </c>
      <c r="L13">
        <v>318584</v>
      </c>
      <c r="M13">
        <v>1099020</v>
      </c>
      <c r="N13">
        <v>18730</v>
      </c>
      <c r="O13">
        <v>704765</v>
      </c>
      <c r="P13">
        <v>653515</v>
      </c>
      <c r="Q13">
        <v>6817475</v>
      </c>
      <c r="R13">
        <v>32624</v>
      </c>
      <c r="S13">
        <v>23745</v>
      </c>
      <c r="T13">
        <v>31318</v>
      </c>
      <c r="U13">
        <v>153294</v>
      </c>
      <c r="V13">
        <v>1302</v>
      </c>
      <c r="W13">
        <v>965460</v>
      </c>
      <c r="X13">
        <v>1160607</v>
      </c>
      <c r="Y13">
        <v>18158414</v>
      </c>
      <c r="Z13">
        <v>67139</v>
      </c>
      <c r="AA13">
        <v>5254968</v>
      </c>
      <c r="AB13">
        <v>5615806</v>
      </c>
      <c r="AC13">
        <v>14951682</v>
      </c>
      <c r="AD13">
        <v>2237363</v>
      </c>
      <c r="AE13">
        <v>2153230</v>
      </c>
      <c r="AF13">
        <v>2499333</v>
      </c>
      <c r="AG13">
        <v>3394507</v>
      </c>
      <c r="AH13">
        <v>235430</v>
      </c>
      <c r="AI13">
        <v>10937543</v>
      </c>
      <c r="AJ13">
        <v>14101552</v>
      </c>
      <c r="AK13">
        <v>15138010</v>
      </c>
      <c r="AL13">
        <v>3137059</v>
      </c>
      <c r="AM13">
        <v>9367300</v>
      </c>
      <c r="AN13">
        <v>8776564</v>
      </c>
      <c r="AO13">
        <v>15935960</v>
      </c>
      <c r="AP13">
        <v>887074</v>
      </c>
      <c r="AQ13">
        <v>1132808</v>
      </c>
      <c r="AR13">
        <v>1209225</v>
      </c>
      <c r="AS13">
        <v>3721666</v>
      </c>
      <c r="AT13">
        <v>94638</v>
      </c>
      <c r="AU13">
        <v>17409634</v>
      </c>
      <c r="AV13">
        <v>23076479</v>
      </c>
      <c r="AW13">
        <v>6717777</v>
      </c>
      <c r="AX13">
        <v>2989334</v>
      </c>
      <c r="AY13" t="s">
        <v>73</v>
      </c>
      <c r="AZ13" t="s">
        <v>73</v>
      </c>
      <c r="BA13" t="s">
        <v>73</v>
      </c>
      <c r="BB13" t="s">
        <v>73</v>
      </c>
    </row>
    <row r="14" spans="1:54" x14ac:dyDescent="0.4">
      <c r="A14" s="1" t="s">
        <v>16</v>
      </c>
      <c r="B14" s="1" t="s">
        <v>17</v>
      </c>
      <c r="C14">
        <v>148798</v>
      </c>
      <c r="D14">
        <v>66060</v>
      </c>
      <c r="E14">
        <v>56575</v>
      </c>
      <c r="F14">
        <v>47871</v>
      </c>
      <c r="G14">
        <v>35280</v>
      </c>
      <c r="H14">
        <v>3</v>
      </c>
      <c r="I14">
        <v>37</v>
      </c>
      <c r="J14">
        <v>47857</v>
      </c>
      <c r="K14">
        <v>35393</v>
      </c>
      <c r="L14">
        <v>41558</v>
      </c>
      <c r="M14">
        <v>134487</v>
      </c>
      <c r="N14">
        <v>26382</v>
      </c>
      <c r="O14">
        <v>71246</v>
      </c>
      <c r="P14">
        <v>68810</v>
      </c>
      <c r="Q14">
        <v>471390</v>
      </c>
      <c r="R14">
        <v>41911</v>
      </c>
      <c r="S14">
        <v>907</v>
      </c>
      <c r="T14">
        <v>4237</v>
      </c>
      <c r="U14">
        <v>15076</v>
      </c>
      <c r="V14">
        <v>4573</v>
      </c>
      <c r="W14">
        <v>57270</v>
      </c>
      <c r="X14">
        <v>76144</v>
      </c>
      <c r="Y14">
        <v>1005278</v>
      </c>
      <c r="Z14">
        <v>54119</v>
      </c>
      <c r="AA14">
        <v>449121</v>
      </c>
      <c r="AB14">
        <v>434398</v>
      </c>
      <c r="AC14">
        <v>941803</v>
      </c>
      <c r="AD14">
        <v>1989509</v>
      </c>
      <c r="AE14">
        <v>177523</v>
      </c>
      <c r="AF14">
        <v>216390</v>
      </c>
      <c r="AG14">
        <v>278642</v>
      </c>
      <c r="AH14">
        <v>219660</v>
      </c>
      <c r="AI14">
        <v>1023604</v>
      </c>
      <c r="AJ14">
        <v>1500608</v>
      </c>
      <c r="AK14">
        <v>1509879</v>
      </c>
      <c r="AL14">
        <v>2759823</v>
      </c>
      <c r="AM14">
        <v>797416</v>
      </c>
      <c r="AN14">
        <v>751201</v>
      </c>
      <c r="AO14">
        <v>1134422</v>
      </c>
      <c r="AP14">
        <v>825206</v>
      </c>
      <c r="AQ14">
        <v>93557</v>
      </c>
      <c r="AR14">
        <v>99063</v>
      </c>
      <c r="AS14">
        <v>284972</v>
      </c>
      <c r="AT14">
        <v>101481</v>
      </c>
      <c r="AU14">
        <v>1781945</v>
      </c>
      <c r="AV14">
        <v>2242445</v>
      </c>
      <c r="AW14">
        <v>747191</v>
      </c>
      <c r="AX14">
        <v>3325719</v>
      </c>
      <c r="AY14">
        <v>34749</v>
      </c>
      <c r="AZ14">
        <v>29128</v>
      </c>
      <c r="BA14">
        <v>21611</v>
      </c>
      <c r="BB14">
        <v>92813</v>
      </c>
    </row>
    <row r="15" spans="1:54" x14ac:dyDescent="0.4">
      <c r="A15" s="1" t="s">
        <v>18</v>
      </c>
      <c r="B15" s="1" t="s">
        <v>19</v>
      </c>
      <c r="C15">
        <v>147497</v>
      </c>
      <c r="D15">
        <v>69108</v>
      </c>
      <c r="E15">
        <v>57528</v>
      </c>
      <c r="F15">
        <v>51760</v>
      </c>
      <c r="G15">
        <v>40293</v>
      </c>
      <c r="H15">
        <v>78</v>
      </c>
      <c r="I15">
        <v>96</v>
      </c>
      <c r="J15">
        <v>47835</v>
      </c>
      <c r="K15">
        <v>38391</v>
      </c>
      <c r="L15">
        <v>43726</v>
      </c>
      <c r="M15">
        <v>146512</v>
      </c>
      <c r="N15">
        <v>28997</v>
      </c>
      <c r="O15">
        <v>67693</v>
      </c>
      <c r="P15">
        <v>62859</v>
      </c>
      <c r="Q15">
        <v>438666</v>
      </c>
      <c r="R15">
        <v>45611</v>
      </c>
      <c r="S15">
        <v>907</v>
      </c>
      <c r="T15">
        <v>4230</v>
      </c>
      <c r="U15">
        <v>14968</v>
      </c>
      <c r="V15">
        <v>4571</v>
      </c>
      <c r="W15">
        <v>57919</v>
      </c>
      <c r="X15">
        <v>69977</v>
      </c>
      <c r="Y15">
        <v>878065</v>
      </c>
      <c r="Z15">
        <v>53631</v>
      </c>
      <c r="AA15">
        <v>510075</v>
      </c>
      <c r="AB15">
        <v>525144</v>
      </c>
      <c r="AC15">
        <v>1491305</v>
      </c>
      <c r="AD15">
        <v>2030994</v>
      </c>
      <c r="AE15">
        <v>175987</v>
      </c>
      <c r="AF15">
        <v>220164</v>
      </c>
      <c r="AG15">
        <v>292260</v>
      </c>
      <c r="AH15">
        <v>214655</v>
      </c>
      <c r="AI15">
        <v>953764</v>
      </c>
      <c r="AJ15">
        <v>1304037</v>
      </c>
      <c r="AK15">
        <v>1401041</v>
      </c>
      <c r="AL15">
        <v>2709502</v>
      </c>
      <c r="AM15">
        <v>826114</v>
      </c>
      <c r="AN15">
        <v>740589</v>
      </c>
      <c r="AO15">
        <v>1131143</v>
      </c>
      <c r="AP15">
        <v>850511</v>
      </c>
      <c r="AQ15">
        <v>88856</v>
      </c>
      <c r="AR15">
        <v>98006</v>
      </c>
      <c r="AS15">
        <v>286102</v>
      </c>
      <c r="AT15">
        <v>97377</v>
      </c>
      <c r="AU15">
        <v>1806660</v>
      </c>
      <c r="AV15">
        <v>2413903</v>
      </c>
      <c r="AW15">
        <v>779483</v>
      </c>
      <c r="AX15">
        <v>3347613</v>
      </c>
      <c r="AY15">
        <v>35405</v>
      </c>
      <c r="AZ15">
        <v>28250</v>
      </c>
      <c r="BA15">
        <v>20960</v>
      </c>
      <c r="BB15">
        <v>93720</v>
      </c>
    </row>
    <row r="16" spans="1:54" x14ac:dyDescent="0.4">
      <c r="A16" s="1" t="s">
        <v>20</v>
      </c>
      <c r="B16" s="1" t="s">
        <v>21</v>
      </c>
      <c r="C16">
        <v>140658</v>
      </c>
      <c r="D16">
        <v>63529</v>
      </c>
      <c r="E16">
        <v>48148</v>
      </c>
      <c r="F16">
        <v>53104</v>
      </c>
      <c r="G16">
        <v>38673</v>
      </c>
      <c r="H16">
        <v>76</v>
      </c>
      <c r="I16">
        <v>84</v>
      </c>
      <c r="J16">
        <v>47812</v>
      </c>
      <c r="K16">
        <v>33989</v>
      </c>
      <c r="L16">
        <v>41064</v>
      </c>
      <c r="M16">
        <v>139564</v>
      </c>
      <c r="N16">
        <v>29330</v>
      </c>
      <c r="O16">
        <v>74614</v>
      </c>
      <c r="P16">
        <v>72206</v>
      </c>
      <c r="Q16">
        <v>509778</v>
      </c>
      <c r="R16">
        <v>44093</v>
      </c>
      <c r="S16">
        <v>907</v>
      </c>
      <c r="T16">
        <v>4228</v>
      </c>
      <c r="U16">
        <v>14952</v>
      </c>
      <c r="V16">
        <v>4571</v>
      </c>
      <c r="W16">
        <v>53131</v>
      </c>
      <c r="X16">
        <v>65369</v>
      </c>
      <c r="Y16">
        <v>848420</v>
      </c>
      <c r="Z16">
        <v>54806</v>
      </c>
      <c r="AA16">
        <v>482548</v>
      </c>
      <c r="AB16">
        <v>467922</v>
      </c>
      <c r="AC16">
        <v>1021357</v>
      </c>
      <c r="AD16">
        <v>2097276</v>
      </c>
      <c r="AE16">
        <v>170070</v>
      </c>
      <c r="AF16">
        <v>191006</v>
      </c>
      <c r="AG16">
        <v>274453</v>
      </c>
      <c r="AH16">
        <v>226678</v>
      </c>
      <c r="AI16">
        <v>953654</v>
      </c>
      <c r="AJ16">
        <v>1320875</v>
      </c>
      <c r="AK16">
        <v>1308719</v>
      </c>
      <c r="AL16">
        <v>2669352</v>
      </c>
      <c r="AM16">
        <v>707406</v>
      </c>
      <c r="AN16">
        <v>686044</v>
      </c>
      <c r="AO16">
        <v>1080020</v>
      </c>
      <c r="AP16">
        <v>799778</v>
      </c>
      <c r="AQ16">
        <v>87205</v>
      </c>
      <c r="AR16">
        <v>95193</v>
      </c>
      <c r="AS16">
        <v>281236</v>
      </c>
      <c r="AT16">
        <v>93543</v>
      </c>
      <c r="AU16">
        <v>1829830</v>
      </c>
      <c r="AV16">
        <v>2262478</v>
      </c>
      <c r="AW16">
        <v>735686</v>
      </c>
      <c r="AX16">
        <v>3501012</v>
      </c>
      <c r="AY16">
        <v>45400</v>
      </c>
      <c r="AZ16">
        <v>38975</v>
      </c>
      <c r="BA16">
        <v>55397</v>
      </c>
      <c r="BB16">
        <v>93897</v>
      </c>
    </row>
    <row r="17" spans="1:54" x14ac:dyDescent="0.4">
      <c r="A17" s="1" t="s">
        <v>22</v>
      </c>
      <c r="B17" s="1" t="s">
        <v>23</v>
      </c>
      <c r="C17">
        <v>143410</v>
      </c>
      <c r="D17">
        <v>65424</v>
      </c>
      <c r="E17">
        <v>56343</v>
      </c>
      <c r="F17">
        <v>54381</v>
      </c>
      <c r="G17">
        <v>35015</v>
      </c>
      <c r="H17">
        <v>2</v>
      </c>
      <c r="I17">
        <v>25</v>
      </c>
      <c r="J17">
        <v>47785</v>
      </c>
      <c r="K17">
        <v>34412</v>
      </c>
      <c r="L17">
        <v>39812</v>
      </c>
      <c r="M17">
        <v>129447</v>
      </c>
      <c r="N17">
        <v>27056</v>
      </c>
      <c r="O17">
        <v>68414</v>
      </c>
      <c r="P17">
        <v>66369</v>
      </c>
      <c r="Q17">
        <v>487925</v>
      </c>
      <c r="R17">
        <v>42804</v>
      </c>
      <c r="S17">
        <v>3870</v>
      </c>
      <c r="T17">
        <v>7192</v>
      </c>
      <c r="U17">
        <v>42622</v>
      </c>
      <c r="V17">
        <v>4570</v>
      </c>
      <c r="W17">
        <v>57861</v>
      </c>
      <c r="X17">
        <v>86625</v>
      </c>
      <c r="Y17">
        <v>1045955</v>
      </c>
      <c r="Z17">
        <v>39647</v>
      </c>
      <c r="AA17">
        <v>519633</v>
      </c>
      <c r="AB17">
        <v>542874</v>
      </c>
      <c r="AC17">
        <v>1481832</v>
      </c>
      <c r="AD17">
        <v>2121019</v>
      </c>
      <c r="AE17">
        <v>177087</v>
      </c>
      <c r="AF17">
        <v>208681</v>
      </c>
      <c r="AG17">
        <v>290806</v>
      </c>
      <c r="AH17">
        <v>229687</v>
      </c>
      <c r="AI17">
        <v>971535</v>
      </c>
      <c r="AJ17">
        <v>1259552</v>
      </c>
      <c r="AK17">
        <v>1343486</v>
      </c>
      <c r="AL17">
        <v>2750854</v>
      </c>
      <c r="AM17">
        <v>813859</v>
      </c>
      <c r="AN17">
        <v>722958</v>
      </c>
      <c r="AO17">
        <v>1106920</v>
      </c>
      <c r="AP17">
        <v>811618</v>
      </c>
      <c r="AQ17">
        <v>91969</v>
      </c>
      <c r="AR17">
        <v>98970</v>
      </c>
      <c r="AS17">
        <v>300186</v>
      </c>
      <c r="AT17">
        <v>90981</v>
      </c>
      <c r="AU17">
        <v>1726495</v>
      </c>
      <c r="AV17">
        <v>2283425</v>
      </c>
      <c r="AW17">
        <v>750997</v>
      </c>
      <c r="AX17">
        <v>3503830</v>
      </c>
      <c r="AY17">
        <v>40129</v>
      </c>
      <c r="AZ17">
        <v>33895</v>
      </c>
      <c r="BA17">
        <v>37561</v>
      </c>
      <c r="BB17">
        <v>93883</v>
      </c>
    </row>
    <row r="18" spans="1:54" x14ac:dyDescent="0.4">
      <c r="A18" s="1" t="s">
        <v>24</v>
      </c>
      <c r="B18" s="1" t="s">
        <v>25</v>
      </c>
      <c r="C18">
        <v>150594</v>
      </c>
      <c r="D18">
        <v>69320</v>
      </c>
      <c r="E18">
        <v>55206</v>
      </c>
      <c r="F18">
        <v>56929</v>
      </c>
      <c r="G18">
        <v>44489</v>
      </c>
      <c r="H18">
        <v>2</v>
      </c>
      <c r="I18">
        <v>25</v>
      </c>
      <c r="J18">
        <v>47794</v>
      </c>
      <c r="K18">
        <v>34529</v>
      </c>
      <c r="L18">
        <v>39038</v>
      </c>
      <c r="M18">
        <v>131161</v>
      </c>
      <c r="N18">
        <v>25087</v>
      </c>
      <c r="O18">
        <v>70240</v>
      </c>
      <c r="P18">
        <v>67366</v>
      </c>
      <c r="Q18">
        <v>574235</v>
      </c>
      <c r="R18">
        <v>39915</v>
      </c>
      <c r="S18">
        <v>1389</v>
      </c>
      <c r="T18">
        <v>4455</v>
      </c>
      <c r="U18">
        <v>16887</v>
      </c>
      <c r="V18">
        <v>4825</v>
      </c>
      <c r="W18">
        <v>74838</v>
      </c>
      <c r="X18">
        <v>82042</v>
      </c>
      <c r="Y18">
        <v>1062136</v>
      </c>
      <c r="Z18">
        <v>47305</v>
      </c>
      <c r="AA18">
        <v>542124</v>
      </c>
      <c r="AB18">
        <v>592945</v>
      </c>
      <c r="AC18">
        <v>1492799</v>
      </c>
      <c r="AD18">
        <v>2112542</v>
      </c>
      <c r="AE18">
        <v>202494</v>
      </c>
      <c r="AF18">
        <v>205504</v>
      </c>
      <c r="AG18">
        <v>288960</v>
      </c>
      <c r="AH18">
        <v>254474</v>
      </c>
      <c r="AI18">
        <v>1026971</v>
      </c>
      <c r="AJ18">
        <v>1257094</v>
      </c>
      <c r="AK18">
        <v>1454615</v>
      </c>
      <c r="AL18">
        <v>2802527</v>
      </c>
      <c r="AM18">
        <v>897829</v>
      </c>
      <c r="AN18">
        <v>799926</v>
      </c>
      <c r="AO18">
        <v>1160170</v>
      </c>
      <c r="AP18">
        <v>823786</v>
      </c>
      <c r="AQ18">
        <v>92809</v>
      </c>
      <c r="AR18">
        <v>96228</v>
      </c>
      <c r="AS18">
        <v>288790</v>
      </c>
      <c r="AT18">
        <v>91702</v>
      </c>
      <c r="AU18">
        <v>1761701</v>
      </c>
      <c r="AV18">
        <v>2384541</v>
      </c>
      <c r="AW18">
        <v>772002</v>
      </c>
      <c r="AX18">
        <v>3486623</v>
      </c>
      <c r="AY18">
        <v>35123</v>
      </c>
      <c r="AZ18">
        <v>28775</v>
      </c>
      <c r="BA18">
        <v>23099</v>
      </c>
      <c r="BB18">
        <v>93983</v>
      </c>
    </row>
    <row r="19" spans="1:54" x14ac:dyDescent="0.4">
      <c r="A19" s="1" t="s">
        <v>26</v>
      </c>
      <c r="B19" s="1" t="s">
        <v>27</v>
      </c>
      <c r="C19">
        <v>138597</v>
      </c>
      <c r="D19">
        <v>63034</v>
      </c>
      <c r="E19">
        <v>55118</v>
      </c>
      <c r="F19">
        <v>52709</v>
      </c>
      <c r="G19">
        <v>34191</v>
      </c>
      <c r="H19">
        <v>19</v>
      </c>
      <c r="I19">
        <v>27</v>
      </c>
      <c r="J19">
        <v>47774</v>
      </c>
      <c r="K19">
        <v>25819</v>
      </c>
      <c r="L19">
        <v>28617</v>
      </c>
      <c r="M19">
        <v>106404</v>
      </c>
      <c r="N19">
        <v>23272</v>
      </c>
      <c r="O19">
        <v>67248</v>
      </c>
      <c r="P19">
        <v>65704</v>
      </c>
      <c r="Q19">
        <v>494004</v>
      </c>
      <c r="R19">
        <v>38996</v>
      </c>
      <c r="S19">
        <v>7387</v>
      </c>
      <c r="T19">
        <v>10783</v>
      </c>
      <c r="U19">
        <v>60081</v>
      </c>
      <c r="V19">
        <v>4750</v>
      </c>
      <c r="W19">
        <v>83560</v>
      </c>
      <c r="X19">
        <v>82802</v>
      </c>
      <c r="Y19">
        <v>1028151</v>
      </c>
      <c r="Z19">
        <v>60196</v>
      </c>
      <c r="AA19">
        <v>429154</v>
      </c>
      <c r="AB19">
        <v>442057</v>
      </c>
      <c r="AC19">
        <v>1169542</v>
      </c>
      <c r="AD19">
        <v>2142226</v>
      </c>
      <c r="AE19">
        <v>152342</v>
      </c>
      <c r="AF19">
        <v>193761</v>
      </c>
      <c r="AG19">
        <v>259699</v>
      </c>
      <c r="AH19">
        <v>243273</v>
      </c>
      <c r="AI19">
        <v>824016</v>
      </c>
      <c r="AJ19">
        <v>1200525</v>
      </c>
      <c r="AK19">
        <v>1286916</v>
      </c>
      <c r="AL19">
        <v>2697394</v>
      </c>
      <c r="AM19">
        <v>699852</v>
      </c>
      <c r="AN19">
        <v>642079</v>
      </c>
      <c r="AO19">
        <v>1037004</v>
      </c>
      <c r="AP19">
        <v>838701</v>
      </c>
      <c r="AQ19">
        <v>86905</v>
      </c>
      <c r="AR19">
        <v>87673</v>
      </c>
      <c r="AS19">
        <v>267415</v>
      </c>
      <c r="AT19">
        <v>94598</v>
      </c>
      <c r="AU19">
        <v>1626013</v>
      </c>
      <c r="AV19">
        <v>2123441</v>
      </c>
      <c r="AW19">
        <v>690728</v>
      </c>
      <c r="AX19">
        <v>3488275</v>
      </c>
      <c r="AY19">
        <v>34701</v>
      </c>
      <c r="AZ19">
        <v>28779</v>
      </c>
      <c r="BA19">
        <v>24707</v>
      </c>
      <c r="BB19">
        <v>93657</v>
      </c>
    </row>
    <row r="20" spans="1:54" x14ac:dyDescent="0.4">
      <c r="A20" s="1" t="s">
        <v>28</v>
      </c>
      <c r="B20" s="1" t="s">
        <v>29</v>
      </c>
      <c r="C20">
        <v>156102</v>
      </c>
      <c r="D20">
        <v>61441</v>
      </c>
      <c r="E20">
        <v>57325</v>
      </c>
      <c r="F20">
        <v>52472</v>
      </c>
      <c r="G20">
        <v>37335</v>
      </c>
      <c r="H20">
        <v>40</v>
      </c>
      <c r="I20">
        <v>55</v>
      </c>
      <c r="J20">
        <v>47769</v>
      </c>
      <c r="K20">
        <v>30158</v>
      </c>
      <c r="L20">
        <v>29957</v>
      </c>
      <c r="M20">
        <v>111624</v>
      </c>
      <c r="N20">
        <v>24174</v>
      </c>
      <c r="O20">
        <v>77854</v>
      </c>
      <c r="P20">
        <v>74199</v>
      </c>
      <c r="Q20">
        <v>568094</v>
      </c>
      <c r="R20">
        <v>39134</v>
      </c>
      <c r="S20">
        <v>4815</v>
      </c>
      <c r="T20">
        <v>8391</v>
      </c>
      <c r="U20">
        <v>38808</v>
      </c>
      <c r="V20">
        <v>4510</v>
      </c>
      <c r="W20">
        <v>91654</v>
      </c>
      <c r="X20">
        <v>99500</v>
      </c>
      <c r="Y20">
        <v>1436381</v>
      </c>
      <c r="Z20">
        <v>73657</v>
      </c>
      <c r="AA20">
        <v>476875</v>
      </c>
      <c r="AB20">
        <v>535381</v>
      </c>
      <c r="AC20">
        <v>1183020</v>
      </c>
      <c r="AD20">
        <v>2122089</v>
      </c>
      <c r="AE20">
        <v>173894</v>
      </c>
      <c r="AF20">
        <v>196857</v>
      </c>
      <c r="AG20">
        <v>252367</v>
      </c>
      <c r="AH20">
        <v>251661</v>
      </c>
      <c r="AI20">
        <v>936087</v>
      </c>
      <c r="AJ20">
        <v>1331749</v>
      </c>
      <c r="AK20">
        <v>1476343</v>
      </c>
      <c r="AL20">
        <v>2532029</v>
      </c>
      <c r="AM20">
        <v>812458</v>
      </c>
      <c r="AN20">
        <v>730803</v>
      </c>
      <c r="AO20">
        <v>1125308</v>
      </c>
      <c r="AP20">
        <v>834980</v>
      </c>
      <c r="AQ20">
        <v>95781</v>
      </c>
      <c r="AR20">
        <v>96622</v>
      </c>
      <c r="AS20">
        <v>299394</v>
      </c>
      <c r="AT20">
        <v>98325</v>
      </c>
      <c r="AU20">
        <v>1601582</v>
      </c>
      <c r="AV20">
        <v>2280186</v>
      </c>
      <c r="AW20">
        <v>720946</v>
      </c>
      <c r="AX20">
        <v>3329077</v>
      </c>
      <c r="AY20">
        <v>36056</v>
      </c>
      <c r="AZ20">
        <v>30018</v>
      </c>
      <c r="BA20">
        <v>24312</v>
      </c>
      <c r="BB20">
        <v>93447</v>
      </c>
    </row>
    <row r="21" spans="1:54" x14ac:dyDescent="0.4">
      <c r="A21" s="1" t="s">
        <v>30</v>
      </c>
      <c r="B21" s="1" t="s">
        <v>31</v>
      </c>
      <c r="C21">
        <v>149090</v>
      </c>
      <c r="D21">
        <v>61283</v>
      </c>
      <c r="E21">
        <v>59667</v>
      </c>
      <c r="F21">
        <v>49112</v>
      </c>
      <c r="G21">
        <v>34434</v>
      </c>
      <c r="H21">
        <v>2</v>
      </c>
      <c r="I21">
        <v>26</v>
      </c>
      <c r="J21">
        <v>47774</v>
      </c>
      <c r="K21">
        <v>31128</v>
      </c>
      <c r="L21">
        <v>31301</v>
      </c>
      <c r="M21">
        <v>114561</v>
      </c>
      <c r="N21">
        <v>25563</v>
      </c>
      <c r="O21">
        <v>72766</v>
      </c>
      <c r="P21">
        <v>63890</v>
      </c>
      <c r="Q21">
        <v>504010</v>
      </c>
      <c r="R21">
        <v>41339</v>
      </c>
      <c r="S21">
        <v>2903</v>
      </c>
      <c r="T21">
        <v>6262</v>
      </c>
      <c r="U21">
        <v>25810</v>
      </c>
      <c r="V21">
        <v>4489</v>
      </c>
      <c r="W21">
        <v>107507</v>
      </c>
      <c r="X21">
        <v>132833</v>
      </c>
      <c r="Y21">
        <v>2038108</v>
      </c>
      <c r="Z21">
        <v>66137</v>
      </c>
      <c r="AA21">
        <v>453678</v>
      </c>
      <c r="AB21">
        <v>505779</v>
      </c>
      <c r="AC21">
        <v>1292983</v>
      </c>
      <c r="AD21">
        <v>2112317</v>
      </c>
      <c r="AE21">
        <v>188251</v>
      </c>
      <c r="AF21">
        <v>231322</v>
      </c>
      <c r="AG21">
        <v>305965</v>
      </c>
      <c r="AH21">
        <v>240538</v>
      </c>
      <c r="AI21">
        <v>978627</v>
      </c>
      <c r="AJ21">
        <v>1256704</v>
      </c>
      <c r="AK21">
        <v>1523565</v>
      </c>
      <c r="AL21">
        <v>2510358</v>
      </c>
      <c r="AM21">
        <v>837852</v>
      </c>
      <c r="AN21">
        <v>803964</v>
      </c>
      <c r="AO21">
        <v>1214438</v>
      </c>
      <c r="AP21">
        <v>792063</v>
      </c>
      <c r="AQ21">
        <v>96181</v>
      </c>
      <c r="AR21">
        <v>100846</v>
      </c>
      <c r="AS21">
        <v>316643</v>
      </c>
      <c r="AT21">
        <v>98672</v>
      </c>
      <c r="AU21">
        <v>1829891</v>
      </c>
      <c r="AV21">
        <v>2394583</v>
      </c>
      <c r="AW21">
        <v>759953</v>
      </c>
      <c r="AX21">
        <v>3373966</v>
      </c>
      <c r="AY21">
        <v>35981</v>
      </c>
      <c r="AZ21">
        <v>28630</v>
      </c>
      <c r="BA21">
        <v>20250</v>
      </c>
      <c r="BB21">
        <v>94550</v>
      </c>
    </row>
    <row r="22" spans="1:54" x14ac:dyDescent="0.4">
      <c r="A22" s="1" t="s">
        <v>32</v>
      </c>
      <c r="B22" s="1" t="s">
        <v>33</v>
      </c>
      <c r="C22">
        <v>138939</v>
      </c>
      <c r="D22">
        <v>60130</v>
      </c>
      <c r="E22">
        <v>61012</v>
      </c>
      <c r="F22">
        <v>49212</v>
      </c>
      <c r="G22">
        <v>29121</v>
      </c>
      <c r="H22">
        <v>2</v>
      </c>
      <c r="I22">
        <v>26</v>
      </c>
      <c r="J22">
        <v>47760</v>
      </c>
      <c r="K22">
        <v>32202</v>
      </c>
      <c r="L22">
        <v>32659</v>
      </c>
      <c r="M22">
        <v>116874</v>
      </c>
      <c r="N22">
        <v>25770</v>
      </c>
      <c r="O22">
        <v>69145</v>
      </c>
      <c r="P22">
        <v>61910</v>
      </c>
      <c r="Q22">
        <v>516504</v>
      </c>
      <c r="R22">
        <v>41590</v>
      </c>
      <c r="S22">
        <v>3100</v>
      </c>
      <c r="T22">
        <v>6466</v>
      </c>
      <c r="U22">
        <v>25814</v>
      </c>
      <c r="V22">
        <v>4483</v>
      </c>
      <c r="W22">
        <v>110344</v>
      </c>
      <c r="X22">
        <v>135861</v>
      </c>
      <c r="Y22">
        <v>2243604</v>
      </c>
      <c r="Z22">
        <v>62397</v>
      </c>
      <c r="AA22">
        <v>411303</v>
      </c>
      <c r="AB22">
        <v>469413</v>
      </c>
      <c r="AC22">
        <v>1051981</v>
      </c>
      <c r="AD22">
        <v>2097804</v>
      </c>
      <c r="AE22">
        <v>171491</v>
      </c>
      <c r="AF22">
        <v>219522</v>
      </c>
      <c r="AG22">
        <v>288083</v>
      </c>
      <c r="AH22">
        <v>216884</v>
      </c>
      <c r="AI22">
        <v>914928</v>
      </c>
      <c r="AJ22">
        <v>1127047</v>
      </c>
      <c r="AK22">
        <v>1220210</v>
      </c>
      <c r="AL22">
        <v>2626896</v>
      </c>
      <c r="AM22">
        <v>774124</v>
      </c>
      <c r="AN22">
        <v>740110</v>
      </c>
      <c r="AO22">
        <v>1171674</v>
      </c>
      <c r="AP22">
        <v>754300</v>
      </c>
      <c r="AQ22">
        <v>95327</v>
      </c>
      <c r="AR22">
        <v>98842</v>
      </c>
      <c r="AS22">
        <v>306613</v>
      </c>
      <c r="AT22">
        <v>100465</v>
      </c>
      <c r="AU22">
        <v>1809532</v>
      </c>
      <c r="AV22">
        <v>2312558</v>
      </c>
      <c r="AW22">
        <v>744508</v>
      </c>
      <c r="AX22">
        <v>3412953</v>
      </c>
      <c r="AY22">
        <v>35479</v>
      </c>
      <c r="AZ22">
        <v>29255</v>
      </c>
      <c r="BA22">
        <v>22960</v>
      </c>
      <c r="BB22">
        <v>94526</v>
      </c>
    </row>
    <row r="23" spans="1:54" x14ac:dyDescent="0.4">
      <c r="A23" s="1" t="s">
        <v>34</v>
      </c>
      <c r="B23" s="1" t="s">
        <v>35</v>
      </c>
      <c r="C23">
        <v>134192</v>
      </c>
      <c r="D23">
        <v>58170</v>
      </c>
      <c r="E23">
        <v>57772</v>
      </c>
      <c r="F23">
        <v>49677</v>
      </c>
      <c r="G23">
        <v>22654</v>
      </c>
      <c r="H23">
        <v>39</v>
      </c>
      <c r="I23">
        <v>66</v>
      </c>
      <c r="J23">
        <v>47741</v>
      </c>
      <c r="K23">
        <v>33738</v>
      </c>
      <c r="L23">
        <v>35169</v>
      </c>
      <c r="M23">
        <v>124374</v>
      </c>
      <c r="N23">
        <v>22245</v>
      </c>
      <c r="O23">
        <v>66652</v>
      </c>
      <c r="P23">
        <v>61305</v>
      </c>
      <c r="Q23">
        <v>584688</v>
      </c>
      <c r="R23">
        <v>41116</v>
      </c>
      <c r="S23">
        <v>1315</v>
      </c>
      <c r="T23">
        <v>4681</v>
      </c>
      <c r="U23">
        <v>17682</v>
      </c>
      <c r="V23">
        <v>4471</v>
      </c>
      <c r="W23">
        <v>111115</v>
      </c>
      <c r="X23">
        <v>137286</v>
      </c>
      <c r="Y23">
        <v>2305895</v>
      </c>
      <c r="Z23">
        <v>53480</v>
      </c>
      <c r="AA23">
        <v>374275</v>
      </c>
      <c r="AB23">
        <v>421192</v>
      </c>
      <c r="AC23">
        <v>1065061</v>
      </c>
      <c r="AD23">
        <v>2090391</v>
      </c>
      <c r="AE23">
        <v>158818</v>
      </c>
      <c r="AF23">
        <v>197873</v>
      </c>
      <c r="AG23">
        <v>259361</v>
      </c>
      <c r="AH23">
        <v>202366</v>
      </c>
      <c r="AI23">
        <v>893298</v>
      </c>
      <c r="AJ23">
        <v>1021471</v>
      </c>
      <c r="AK23">
        <v>1040779</v>
      </c>
      <c r="AL23">
        <v>2765140</v>
      </c>
      <c r="AM23">
        <v>739836</v>
      </c>
      <c r="AN23">
        <v>708030</v>
      </c>
      <c r="AO23">
        <v>1108644</v>
      </c>
      <c r="AP23">
        <v>712836</v>
      </c>
      <c r="AQ23">
        <v>91119</v>
      </c>
      <c r="AR23">
        <v>93754</v>
      </c>
      <c r="AS23">
        <v>288728</v>
      </c>
      <c r="AT23">
        <v>103149</v>
      </c>
      <c r="AU23">
        <v>1882180</v>
      </c>
      <c r="AV23">
        <v>2377154</v>
      </c>
      <c r="AW23">
        <v>761575</v>
      </c>
      <c r="AX23">
        <v>3361671</v>
      </c>
      <c r="AY23">
        <v>35002</v>
      </c>
      <c r="AZ23">
        <v>28948</v>
      </c>
      <c r="BA23">
        <v>25466</v>
      </c>
      <c r="BB23">
        <v>94332</v>
      </c>
    </row>
    <row r="24" spans="1:54" x14ac:dyDescent="0.4">
      <c r="A24" s="1" t="s">
        <v>36</v>
      </c>
      <c r="B24" s="1" t="s">
        <v>37</v>
      </c>
      <c r="C24">
        <v>128229</v>
      </c>
      <c r="D24">
        <v>58389</v>
      </c>
      <c r="E24">
        <v>59914</v>
      </c>
      <c r="F24">
        <v>44905</v>
      </c>
      <c r="G24">
        <v>33548</v>
      </c>
      <c r="H24">
        <v>75</v>
      </c>
      <c r="I24">
        <v>59</v>
      </c>
      <c r="J24">
        <v>41380</v>
      </c>
      <c r="K24">
        <v>21296</v>
      </c>
      <c r="L24">
        <v>21334</v>
      </c>
      <c r="M24">
        <v>81112</v>
      </c>
      <c r="N24">
        <v>19006</v>
      </c>
      <c r="O24">
        <v>59000</v>
      </c>
      <c r="P24">
        <v>50778</v>
      </c>
      <c r="Q24">
        <v>512724</v>
      </c>
      <c r="R24">
        <v>38006</v>
      </c>
      <c r="S24">
        <v>582</v>
      </c>
      <c r="T24">
        <v>1217</v>
      </c>
      <c r="U24">
        <v>7364</v>
      </c>
      <c r="V24">
        <v>1267</v>
      </c>
      <c r="W24">
        <v>83412</v>
      </c>
      <c r="X24">
        <v>98079</v>
      </c>
      <c r="Y24">
        <v>1628175</v>
      </c>
      <c r="Z24">
        <v>43078</v>
      </c>
      <c r="AA24">
        <v>384993</v>
      </c>
      <c r="AB24">
        <v>451595</v>
      </c>
      <c r="AC24">
        <v>867771</v>
      </c>
      <c r="AD24">
        <v>2057830</v>
      </c>
      <c r="AE24">
        <v>179382</v>
      </c>
      <c r="AF24">
        <v>208357</v>
      </c>
      <c r="AG24">
        <v>307773</v>
      </c>
      <c r="AH24">
        <v>205158</v>
      </c>
      <c r="AI24">
        <v>856442</v>
      </c>
      <c r="AJ24">
        <v>1054412</v>
      </c>
      <c r="AK24">
        <v>1115454</v>
      </c>
      <c r="AL24">
        <v>3051506</v>
      </c>
      <c r="AM24">
        <v>833854</v>
      </c>
      <c r="AN24">
        <v>760100</v>
      </c>
      <c r="AO24">
        <v>1187579</v>
      </c>
      <c r="AP24">
        <v>890674</v>
      </c>
      <c r="AQ24">
        <v>94433</v>
      </c>
      <c r="AR24">
        <v>100046</v>
      </c>
      <c r="AS24">
        <v>300555</v>
      </c>
      <c r="AT24">
        <v>103312</v>
      </c>
      <c r="AU24">
        <v>1381098</v>
      </c>
      <c r="AV24">
        <v>1769631</v>
      </c>
      <c r="AW24">
        <v>532025</v>
      </c>
      <c r="AX24">
        <v>3007206</v>
      </c>
      <c r="AY24" t="s">
        <v>73</v>
      </c>
      <c r="AZ24" t="s">
        <v>73</v>
      </c>
      <c r="BA24" t="s">
        <v>73</v>
      </c>
      <c r="BB24" t="s">
        <v>73</v>
      </c>
    </row>
    <row r="25" spans="1:54" x14ac:dyDescent="0.4">
      <c r="A25" s="1" t="s">
        <v>38</v>
      </c>
      <c r="B25" s="1" t="s">
        <v>39</v>
      </c>
      <c r="C25">
        <v>113410</v>
      </c>
      <c r="D25">
        <v>52045</v>
      </c>
      <c r="E25">
        <v>69314</v>
      </c>
      <c r="F25">
        <v>37177</v>
      </c>
      <c r="G25">
        <v>25864</v>
      </c>
      <c r="H25">
        <v>112</v>
      </c>
      <c r="I25">
        <v>99</v>
      </c>
      <c r="J25">
        <v>30440</v>
      </c>
      <c r="K25">
        <v>22560</v>
      </c>
      <c r="L25">
        <v>25849</v>
      </c>
      <c r="M25">
        <v>90594</v>
      </c>
      <c r="N25">
        <v>18452</v>
      </c>
      <c r="O25">
        <v>55064</v>
      </c>
      <c r="P25">
        <v>52062</v>
      </c>
      <c r="Q25">
        <v>449898</v>
      </c>
      <c r="R25">
        <v>31606</v>
      </c>
      <c r="S25">
        <v>582</v>
      </c>
      <c r="T25">
        <v>1216</v>
      </c>
      <c r="U25">
        <v>7348</v>
      </c>
      <c r="V25">
        <v>1266</v>
      </c>
      <c r="W25">
        <v>62605</v>
      </c>
      <c r="X25">
        <v>73218</v>
      </c>
      <c r="Y25">
        <v>1208792</v>
      </c>
      <c r="Z25">
        <v>38265</v>
      </c>
      <c r="AA25">
        <v>390766</v>
      </c>
      <c r="AB25">
        <v>387014</v>
      </c>
      <c r="AC25">
        <v>1067403</v>
      </c>
      <c r="AD25">
        <v>2107771</v>
      </c>
      <c r="AE25">
        <v>167830</v>
      </c>
      <c r="AF25">
        <v>202855</v>
      </c>
      <c r="AG25">
        <v>278547</v>
      </c>
      <c r="AH25">
        <v>203508</v>
      </c>
      <c r="AI25">
        <v>875128</v>
      </c>
      <c r="AJ25">
        <v>1026931</v>
      </c>
      <c r="AK25">
        <v>1086820</v>
      </c>
      <c r="AL25">
        <v>3113305</v>
      </c>
      <c r="AM25">
        <v>813983</v>
      </c>
      <c r="AN25">
        <v>721882</v>
      </c>
      <c r="AO25">
        <v>1185719</v>
      </c>
      <c r="AP25">
        <v>898208</v>
      </c>
      <c r="AQ25">
        <v>90481</v>
      </c>
      <c r="AR25">
        <v>90953</v>
      </c>
      <c r="AS25">
        <v>282450</v>
      </c>
      <c r="AT25">
        <v>106647</v>
      </c>
      <c r="AU25">
        <v>1483759</v>
      </c>
      <c r="AV25">
        <v>1931274</v>
      </c>
      <c r="AW25">
        <v>562968</v>
      </c>
      <c r="AX25">
        <v>3058371</v>
      </c>
      <c r="AY25" t="s">
        <v>73</v>
      </c>
      <c r="AZ25" t="s">
        <v>73</v>
      </c>
      <c r="BA25" t="s">
        <v>73</v>
      </c>
      <c r="BB25" t="s">
        <v>73</v>
      </c>
    </row>
    <row r="26" spans="1:54" x14ac:dyDescent="0.4">
      <c r="A26" s="1" t="s">
        <v>40</v>
      </c>
      <c r="B26" s="1" t="s">
        <v>41</v>
      </c>
      <c r="C26">
        <v>109911</v>
      </c>
      <c r="D26">
        <v>45106</v>
      </c>
      <c r="E26">
        <v>50318</v>
      </c>
      <c r="F26">
        <v>37837</v>
      </c>
      <c r="G26">
        <v>19811</v>
      </c>
      <c r="H26">
        <v>38</v>
      </c>
      <c r="I26">
        <v>40</v>
      </c>
      <c r="J26">
        <v>30440</v>
      </c>
      <c r="K26">
        <v>27326</v>
      </c>
      <c r="L26">
        <v>29212</v>
      </c>
      <c r="M26">
        <v>97350</v>
      </c>
      <c r="N26">
        <v>19198</v>
      </c>
      <c r="O26">
        <v>57394</v>
      </c>
      <c r="P26">
        <v>50045</v>
      </c>
      <c r="Q26">
        <v>508012</v>
      </c>
      <c r="R26">
        <v>30825</v>
      </c>
      <c r="S26">
        <v>582</v>
      </c>
      <c r="T26">
        <v>1216</v>
      </c>
      <c r="U26">
        <v>7348</v>
      </c>
      <c r="V26">
        <v>1266</v>
      </c>
      <c r="W26">
        <v>52696</v>
      </c>
      <c r="X26">
        <v>66151</v>
      </c>
      <c r="Y26">
        <v>995688</v>
      </c>
      <c r="Z26">
        <v>41757</v>
      </c>
      <c r="AA26">
        <v>445089</v>
      </c>
      <c r="AB26">
        <v>456566</v>
      </c>
      <c r="AC26">
        <v>1190678</v>
      </c>
      <c r="AD26">
        <v>2154395</v>
      </c>
      <c r="AE26">
        <v>195020</v>
      </c>
      <c r="AF26">
        <v>219294</v>
      </c>
      <c r="AG26">
        <v>298720</v>
      </c>
      <c r="AH26">
        <v>213172</v>
      </c>
      <c r="AI26">
        <v>1012774</v>
      </c>
      <c r="AJ26">
        <v>1394632</v>
      </c>
      <c r="AK26">
        <v>1445830</v>
      </c>
      <c r="AL26">
        <v>3002923</v>
      </c>
      <c r="AM26">
        <v>801693</v>
      </c>
      <c r="AN26">
        <v>760289</v>
      </c>
      <c r="AO26">
        <v>1281793</v>
      </c>
      <c r="AP26">
        <v>912408</v>
      </c>
      <c r="AQ26">
        <v>94232</v>
      </c>
      <c r="AR26">
        <v>95096</v>
      </c>
      <c r="AS26">
        <v>285994</v>
      </c>
      <c r="AT26">
        <v>111148</v>
      </c>
      <c r="AU26">
        <v>1559116</v>
      </c>
      <c r="AV26">
        <v>2008837</v>
      </c>
      <c r="AW26">
        <v>549522</v>
      </c>
      <c r="AX26">
        <v>3079559</v>
      </c>
      <c r="AY26" t="s">
        <v>73</v>
      </c>
      <c r="AZ26" t="s">
        <v>73</v>
      </c>
      <c r="BA26" t="s">
        <v>73</v>
      </c>
      <c r="BB26" t="s">
        <v>73</v>
      </c>
    </row>
    <row r="27" spans="1:54" x14ac:dyDescent="0.4">
      <c r="A27" s="1" t="s">
        <v>42</v>
      </c>
      <c r="B27" s="1" t="s">
        <v>43</v>
      </c>
      <c r="C27">
        <v>118862</v>
      </c>
      <c r="D27">
        <v>53409</v>
      </c>
      <c r="E27">
        <v>50750</v>
      </c>
      <c r="F27">
        <v>42751</v>
      </c>
      <c r="G27">
        <v>17919</v>
      </c>
      <c r="H27">
        <v>23</v>
      </c>
      <c r="I27">
        <v>30</v>
      </c>
      <c r="J27">
        <v>30440</v>
      </c>
      <c r="K27">
        <v>26176</v>
      </c>
      <c r="L27">
        <v>26442</v>
      </c>
      <c r="M27">
        <v>90197</v>
      </c>
      <c r="N27">
        <v>20477</v>
      </c>
      <c r="O27">
        <v>54951</v>
      </c>
      <c r="P27">
        <v>50918</v>
      </c>
      <c r="Q27">
        <v>520119</v>
      </c>
      <c r="R27">
        <v>34228</v>
      </c>
      <c r="S27">
        <v>582</v>
      </c>
      <c r="T27">
        <v>1216</v>
      </c>
      <c r="U27">
        <v>7348</v>
      </c>
      <c r="V27">
        <v>1266</v>
      </c>
      <c r="W27">
        <v>47074</v>
      </c>
      <c r="X27">
        <v>60717</v>
      </c>
      <c r="Y27">
        <v>947628</v>
      </c>
      <c r="Z27">
        <v>39454</v>
      </c>
      <c r="AA27">
        <v>456729</v>
      </c>
      <c r="AB27">
        <v>547503</v>
      </c>
      <c r="AC27">
        <v>1628435</v>
      </c>
      <c r="AD27">
        <v>2120408</v>
      </c>
      <c r="AE27">
        <v>170332</v>
      </c>
      <c r="AF27">
        <v>198575</v>
      </c>
      <c r="AG27">
        <v>289498</v>
      </c>
      <c r="AH27">
        <v>223706</v>
      </c>
      <c r="AI27">
        <v>982071</v>
      </c>
      <c r="AJ27">
        <v>1279150</v>
      </c>
      <c r="AK27">
        <v>1343864</v>
      </c>
      <c r="AL27">
        <v>3036880</v>
      </c>
      <c r="AM27">
        <v>830950</v>
      </c>
      <c r="AN27">
        <v>752633</v>
      </c>
      <c r="AO27">
        <v>1305537</v>
      </c>
      <c r="AP27">
        <v>939219</v>
      </c>
      <c r="AQ27">
        <v>94256</v>
      </c>
      <c r="AR27">
        <v>101928</v>
      </c>
      <c r="AS27">
        <v>310875</v>
      </c>
      <c r="AT27">
        <v>109837</v>
      </c>
      <c r="AU27">
        <v>1586979</v>
      </c>
      <c r="AV27">
        <v>2082584</v>
      </c>
      <c r="AW27">
        <v>607217</v>
      </c>
      <c r="AX27">
        <v>3081562</v>
      </c>
      <c r="AY27" t="s">
        <v>73</v>
      </c>
      <c r="AZ27" t="s">
        <v>73</v>
      </c>
      <c r="BA27" t="s">
        <v>73</v>
      </c>
      <c r="BB27" t="s">
        <v>73</v>
      </c>
    </row>
    <row r="28" spans="1:54" x14ac:dyDescent="0.4">
      <c r="A28" s="1" t="s">
        <v>44</v>
      </c>
      <c r="B28" s="1" t="s">
        <v>45</v>
      </c>
      <c r="C28">
        <v>113390</v>
      </c>
      <c r="D28">
        <v>50084</v>
      </c>
      <c r="E28">
        <v>47602</v>
      </c>
      <c r="F28">
        <v>41452</v>
      </c>
      <c r="G28">
        <v>22728</v>
      </c>
      <c r="H28">
        <v>37</v>
      </c>
      <c r="I28">
        <v>29</v>
      </c>
      <c r="J28">
        <v>30451</v>
      </c>
      <c r="K28">
        <v>26055</v>
      </c>
      <c r="L28">
        <v>28241</v>
      </c>
      <c r="M28">
        <v>92424</v>
      </c>
      <c r="N28">
        <v>20591</v>
      </c>
      <c r="O28">
        <v>56769</v>
      </c>
      <c r="P28">
        <v>54297</v>
      </c>
      <c r="Q28">
        <v>628256</v>
      </c>
      <c r="R28">
        <v>34012</v>
      </c>
      <c r="S28">
        <v>585</v>
      </c>
      <c r="T28">
        <v>1216</v>
      </c>
      <c r="U28">
        <v>7348</v>
      </c>
      <c r="V28">
        <v>1269</v>
      </c>
      <c r="W28">
        <v>48482</v>
      </c>
      <c r="X28">
        <v>60244</v>
      </c>
      <c r="Y28">
        <v>918332</v>
      </c>
      <c r="Z28">
        <v>37596</v>
      </c>
      <c r="AA28">
        <v>483677</v>
      </c>
      <c r="AB28">
        <v>472769</v>
      </c>
      <c r="AC28">
        <v>1171715</v>
      </c>
      <c r="AD28">
        <v>2182355</v>
      </c>
      <c r="AE28">
        <v>178000</v>
      </c>
      <c r="AF28">
        <v>202379</v>
      </c>
      <c r="AG28">
        <v>263242</v>
      </c>
      <c r="AH28">
        <v>230463</v>
      </c>
      <c r="AI28">
        <v>1004908</v>
      </c>
      <c r="AJ28">
        <v>1385750</v>
      </c>
      <c r="AK28">
        <v>1447111</v>
      </c>
      <c r="AL28">
        <v>2977659</v>
      </c>
      <c r="AM28">
        <v>766395</v>
      </c>
      <c r="AN28">
        <v>695056</v>
      </c>
      <c r="AO28">
        <v>1252448</v>
      </c>
      <c r="AP28">
        <v>946233</v>
      </c>
      <c r="AQ28">
        <v>93024</v>
      </c>
      <c r="AR28">
        <v>102827</v>
      </c>
      <c r="AS28">
        <v>324433</v>
      </c>
      <c r="AT28">
        <v>106682</v>
      </c>
      <c r="AU28">
        <v>1421453</v>
      </c>
      <c r="AV28">
        <v>1906706</v>
      </c>
      <c r="AW28">
        <v>550954</v>
      </c>
      <c r="AX28">
        <v>3065987</v>
      </c>
      <c r="AY28" t="s">
        <v>73</v>
      </c>
      <c r="AZ28" t="s">
        <v>73</v>
      </c>
      <c r="BA28" t="s">
        <v>73</v>
      </c>
      <c r="BB28" t="s">
        <v>73</v>
      </c>
    </row>
    <row r="29" spans="1:54" x14ac:dyDescent="0.4">
      <c r="A29" s="1" t="s">
        <v>46</v>
      </c>
      <c r="B29" s="1" t="s">
        <v>47</v>
      </c>
      <c r="C29">
        <v>115672</v>
      </c>
      <c r="D29">
        <v>48431</v>
      </c>
      <c r="E29">
        <v>47805</v>
      </c>
      <c r="F29">
        <v>41378</v>
      </c>
      <c r="G29">
        <v>16864</v>
      </c>
      <c r="H29">
        <v>38</v>
      </c>
      <c r="I29">
        <v>29</v>
      </c>
      <c r="J29">
        <v>30440</v>
      </c>
      <c r="K29">
        <v>31599</v>
      </c>
      <c r="L29">
        <v>34931</v>
      </c>
      <c r="M29">
        <v>104246</v>
      </c>
      <c r="N29">
        <v>18688</v>
      </c>
      <c r="O29">
        <v>58538</v>
      </c>
      <c r="P29">
        <v>56017</v>
      </c>
      <c r="Q29">
        <v>605022</v>
      </c>
      <c r="R29">
        <v>31689</v>
      </c>
      <c r="S29">
        <v>582</v>
      </c>
      <c r="T29">
        <v>1216</v>
      </c>
      <c r="U29">
        <v>7348</v>
      </c>
      <c r="V29">
        <v>1269</v>
      </c>
      <c r="W29">
        <v>65763</v>
      </c>
      <c r="X29">
        <v>80716</v>
      </c>
      <c r="Y29">
        <v>1111552</v>
      </c>
      <c r="Z29">
        <v>34120</v>
      </c>
      <c r="AA29">
        <v>546256</v>
      </c>
      <c r="AB29">
        <v>546579</v>
      </c>
      <c r="AC29">
        <v>1477377</v>
      </c>
      <c r="AD29">
        <v>2221394</v>
      </c>
      <c r="AE29">
        <v>184533</v>
      </c>
      <c r="AF29">
        <v>212670</v>
      </c>
      <c r="AG29">
        <v>277002</v>
      </c>
      <c r="AH29">
        <v>238095</v>
      </c>
      <c r="AI29">
        <v>964556</v>
      </c>
      <c r="AJ29">
        <v>1232082</v>
      </c>
      <c r="AK29">
        <v>1359877</v>
      </c>
      <c r="AL29">
        <v>2956833</v>
      </c>
      <c r="AM29">
        <v>765706</v>
      </c>
      <c r="AN29">
        <v>757639</v>
      </c>
      <c r="AO29">
        <v>1335799</v>
      </c>
      <c r="AP29">
        <v>944819</v>
      </c>
      <c r="AQ29">
        <v>95797</v>
      </c>
      <c r="AR29">
        <v>106145</v>
      </c>
      <c r="AS29">
        <v>331412</v>
      </c>
      <c r="AT29">
        <v>101847</v>
      </c>
      <c r="AU29">
        <v>1449003</v>
      </c>
      <c r="AV29">
        <v>1926558</v>
      </c>
      <c r="AW29">
        <v>564767</v>
      </c>
      <c r="AX29">
        <v>3068463</v>
      </c>
      <c r="AY29" t="s">
        <v>73</v>
      </c>
      <c r="AZ29" t="s">
        <v>73</v>
      </c>
      <c r="BA29" t="s">
        <v>73</v>
      </c>
      <c r="BB29" t="s">
        <v>73</v>
      </c>
    </row>
    <row r="30" spans="1:54" x14ac:dyDescent="0.4">
      <c r="A30" s="1" t="s">
        <v>48</v>
      </c>
      <c r="B30" s="1" t="s">
        <v>49</v>
      </c>
      <c r="C30">
        <v>131301</v>
      </c>
      <c r="D30">
        <v>53226</v>
      </c>
      <c r="E30">
        <v>47917</v>
      </c>
      <c r="F30">
        <v>44979</v>
      </c>
      <c r="G30">
        <v>20730</v>
      </c>
      <c r="H30">
        <v>37</v>
      </c>
      <c r="I30">
        <v>40</v>
      </c>
      <c r="J30">
        <v>30440</v>
      </c>
      <c r="K30">
        <v>27896</v>
      </c>
      <c r="L30">
        <v>31954</v>
      </c>
      <c r="M30">
        <v>101048</v>
      </c>
      <c r="N30">
        <v>19186</v>
      </c>
      <c r="O30">
        <v>61894</v>
      </c>
      <c r="P30">
        <v>59096</v>
      </c>
      <c r="Q30">
        <v>623744</v>
      </c>
      <c r="R30">
        <v>30757</v>
      </c>
      <c r="S30">
        <v>1621</v>
      </c>
      <c r="T30">
        <v>1217</v>
      </c>
      <c r="U30">
        <v>7363</v>
      </c>
      <c r="V30">
        <v>2307</v>
      </c>
      <c r="W30">
        <v>82782</v>
      </c>
      <c r="X30">
        <v>81879</v>
      </c>
      <c r="Y30">
        <v>1075915</v>
      </c>
      <c r="Z30">
        <v>44095</v>
      </c>
      <c r="AA30">
        <v>523169</v>
      </c>
      <c r="AB30">
        <v>548660</v>
      </c>
      <c r="AC30">
        <v>1399931</v>
      </c>
      <c r="AD30">
        <v>2233405</v>
      </c>
      <c r="AE30">
        <v>187160</v>
      </c>
      <c r="AF30">
        <v>224759</v>
      </c>
      <c r="AG30">
        <v>315683</v>
      </c>
      <c r="AH30">
        <v>234994</v>
      </c>
      <c r="AI30">
        <v>1006402</v>
      </c>
      <c r="AJ30">
        <v>1209941</v>
      </c>
      <c r="AK30">
        <v>1225209</v>
      </c>
      <c r="AL30">
        <v>3028686</v>
      </c>
      <c r="AM30">
        <v>809323</v>
      </c>
      <c r="AN30">
        <v>804711</v>
      </c>
      <c r="AO30">
        <v>1494930</v>
      </c>
      <c r="AP30">
        <v>893852</v>
      </c>
      <c r="AQ30">
        <v>92669</v>
      </c>
      <c r="AR30">
        <v>100038</v>
      </c>
      <c r="AS30">
        <v>307896</v>
      </c>
      <c r="AT30">
        <v>99864</v>
      </c>
      <c r="AU30">
        <v>1573024</v>
      </c>
      <c r="AV30">
        <v>1974436</v>
      </c>
      <c r="AW30">
        <v>572308</v>
      </c>
      <c r="AX30">
        <v>3170341</v>
      </c>
      <c r="AY30" t="s">
        <v>73</v>
      </c>
      <c r="AZ30" t="s">
        <v>73</v>
      </c>
      <c r="BA30" t="s">
        <v>73</v>
      </c>
      <c r="BB30" t="s">
        <v>73</v>
      </c>
    </row>
    <row r="31" spans="1:54" x14ac:dyDescent="0.4">
      <c r="A31" s="1" t="s">
        <v>50</v>
      </c>
      <c r="B31" s="1" t="s">
        <v>51</v>
      </c>
      <c r="C31">
        <v>113255</v>
      </c>
      <c r="D31">
        <v>44555</v>
      </c>
      <c r="E31">
        <v>41002</v>
      </c>
      <c r="F31">
        <v>44310</v>
      </c>
      <c r="G31">
        <v>19815</v>
      </c>
      <c r="H31">
        <v>1</v>
      </c>
      <c r="I31">
        <v>0</v>
      </c>
      <c r="J31">
        <v>30440</v>
      </c>
      <c r="K31">
        <v>18706</v>
      </c>
      <c r="L31">
        <v>21367</v>
      </c>
      <c r="M31">
        <v>77012</v>
      </c>
      <c r="N31">
        <v>17402</v>
      </c>
      <c r="O31">
        <v>53766</v>
      </c>
      <c r="P31">
        <v>52020</v>
      </c>
      <c r="Q31">
        <v>548490</v>
      </c>
      <c r="R31">
        <v>28729</v>
      </c>
      <c r="S31">
        <v>3295</v>
      </c>
      <c r="T31">
        <v>4812</v>
      </c>
      <c r="U31">
        <v>21100</v>
      </c>
      <c r="V31">
        <v>1424</v>
      </c>
      <c r="W31">
        <v>82264</v>
      </c>
      <c r="X31">
        <v>86920</v>
      </c>
      <c r="Y31">
        <v>1222317</v>
      </c>
      <c r="Z31">
        <v>44906</v>
      </c>
      <c r="AA31">
        <v>388147</v>
      </c>
      <c r="AB31">
        <v>482121</v>
      </c>
      <c r="AC31">
        <v>1304057</v>
      </c>
      <c r="AD31">
        <v>2179656</v>
      </c>
      <c r="AE31">
        <v>172756</v>
      </c>
      <c r="AF31">
        <v>200891</v>
      </c>
      <c r="AG31">
        <v>272890</v>
      </c>
      <c r="AH31">
        <v>238895</v>
      </c>
      <c r="AI31">
        <v>755959</v>
      </c>
      <c r="AJ31">
        <v>1248997</v>
      </c>
      <c r="AK31">
        <v>1356098</v>
      </c>
      <c r="AL31">
        <v>2844867</v>
      </c>
      <c r="AM31">
        <v>667701</v>
      </c>
      <c r="AN31">
        <v>615008</v>
      </c>
      <c r="AO31">
        <v>1159482</v>
      </c>
      <c r="AP31">
        <v>929463</v>
      </c>
      <c r="AQ31">
        <v>88587</v>
      </c>
      <c r="AR31">
        <v>98339</v>
      </c>
      <c r="AS31">
        <v>293147</v>
      </c>
      <c r="AT31">
        <v>95891</v>
      </c>
      <c r="AU31">
        <v>1279210</v>
      </c>
      <c r="AV31">
        <v>1781674</v>
      </c>
      <c r="AW31">
        <v>522079</v>
      </c>
      <c r="AX31">
        <v>3110224</v>
      </c>
      <c r="AY31" t="s">
        <v>73</v>
      </c>
      <c r="AZ31" t="s">
        <v>73</v>
      </c>
      <c r="BA31" t="s">
        <v>73</v>
      </c>
      <c r="BB31" t="s">
        <v>73</v>
      </c>
    </row>
    <row r="32" spans="1:54" x14ac:dyDescent="0.4">
      <c r="A32" s="1" t="s">
        <v>52</v>
      </c>
      <c r="B32" s="1" t="s">
        <v>53</v>
      </c>
      <c r="C32">
        <v>145449</v>
      </c>
      <c r="D32">
        <v>57889</v>
      </c>
      <c r="E32">
        <v>47526</v>
      </c>
      <c r="F32">
        <v>49770</v>
      </c>
      <c r="G32">
        <v>15163</v>
      </c>
      <c r="H32">
        <v>0</v>
      </c>
      <c r="I32">
        <v>0</v>
      </c>
      <c r="J32">
        <v>30440</v>
      </c>
      <c r="K32">
        <v>23018</v>
      </c>
      <c r="L32">
        <v>23447</v>
      </c>
      <c r="M32">
        <v>83928</v>
      </c>
      <c r="N32">
        <v>18645</v>
      </c>
      <c r="O32">
        <v>65299</v>
      </c>
      <c r="P32">
        <v>59735</v>
      </c>
      <c r="Q32">
        <v>613793</v>
      </c>
      <c r="R32">
        <v>28660</v>
      </c>
      <c r="S32">
        <v>4261</v>
      </c>
      <c r="T32">
        <v>4944</v>
      </c>
      <c r="U32">
        <v>21760</v>
      </c>
      <c r="V32">
        <v>1375</v>
      </c>
      <c r="W32">
        <v>99380</v>
      </c>
      <c r="X32">
        <v>99468</v>
      </c>
      <c r="Y32">
        <v>1406155</v>
      </c>
      <c r="Z32">
        <v>61521</v>
      </c>
      <c r="AA32">
        <v>450675</v>
      </c>
      <c r="AB32">
        <v>498224</v>
      </c>
      <c r="AC32">
        <v>1157221</v>
      </c>
      <c r="AD32">
        <v>2157315</v>
      </c>
      <c r="AE32">
        <v>191285</v>
      </c>
      <c r="AF32">
        <v>207725</v>
      </c>
      <c r="AG32">
        <v>257965</v>
      </c>
      <c r="AH32">
        <v>247252</v>
      </c>
      <c r="AI32">
        <v>889082</v>
      </c>
      <c r="AJ32">
        <v>1086181</v>
      </c>
      <c r="AK32">
        <v>1221727</v>
      </c>
      <c r="AL32">
        <v>2953171</v>
      </c>
      <c r="AM32">
        <v>785949</v>
      </c>
      <c r="AN32">
        <v>744546</v>
      </c>
      <c r="AO32">
        <v>1324933</v>
      </c>
      <c r="AP32">
        <v>943585</v>
      </c>
      <c r="AQ32">
        <v>96898</v>
      </c>
      <c r="AR32">
        <v>102496</v>
      </c>
      <c r="AS32">
        <v>318449</v>
      </c>
      <c r="AT32">
        <v>96158</v>
      </c>
      <c r="AU32">
        <v>1463170</v>
      </c>
      <c r="AV32">
        <v>1934023</v>
      </c>
      <c r="AW32">
        <v>567648</v>
      </c>
      <c r="AX32">
        <v>3103955</v>
      </c>
      <c r="AY32" t="s">
        <v>73</v>
      </c>
      <c r="AZ32" t="s">
        <v>73</v>
      </c>
      <c r="BA32" t="s">
        <v>73</v>
      </c>
      <c r="BB32" t="s">
        <v>73</v>
      </c>
    </row>
    <row r="33" spans="1:54" x14ac:dyDescent="0.4">
      <c r="A33" s="1" t="s">
        <v>54</v>
      </c>
      <c r="B33" s="1" t="s">
        <v>55</v>
      </c>
      <c r="C33">
        <v>129307</v>
      </c>
      <c r="D33">
        <v>52405</v>
      </c>
      <c r="E33">
        <v>46135</v>
      </c>
      <c r="F33">
        <v>50944</v>
      </c>
      <c r="G33">
        <v>23147</v>
      </c>
      <c r="H33">
        <v>0</v>
      </c>
      <c r="I33">
        <v>0</v>
      </c>
      <c r="J33">
        <v>30440</v>
      </c>
      <c r="K33">
        <v>25260</v>
      </c>
      <c r="L33">
        <v>25244</v>
      </c>
      <c r="M33">
        <v>91078</v>
      </c>
      <c r="N33">
        <v>19324</v>
      </c>
      <c r="O33">
        <v>64091</v>
      </c>
      <c r="P33">
        <v>57977</v>
      </c>
      <c r="Q33">
        <v>598306</v>
      </c>
      <c r="R33">
        <v>31618</v>
      </c>
      <c r="S33">
        <v>4438</v>
      </c>
      <c r="T33">
        <v>5113</v>
      </c>
      <c r="U33">
        <v>23129</v>
      </c>
      <c r="V33">
        <v>1334</v>
      </c>
      <c r="W33">
        <v>119196</v>
      </c>
      <c r="X33">
        <v>183955</v>
      </c>
      <c r="Y33">
        <v>2962851</v>
      </c>
      <c r="Z33">
        <v>63154</v>
      </c>
      <c r="AA33">
        <v>420561</v>
      </c>
      <c r="AB33">
        <v>455634</v>
      </c>
      <c r="AC33">
        <v>1606532</v>
      </c>
      <c r="AD33">
        <v>2159151</v>
      </c>
      <c r="AE33">
        <v>190167</v>
      </c>
      <c r="AF33">
        <v>222102</v>
      </c>
      <c r="AG33">
        <v>301972</v>
      </c>
      <c r="AH33">
        <v>246651</v>
      </c>
      <c r="AI33">
        <v>916124</v>
      </c>
      <c r="AJ33">
        <v>1210538</v>
      </c>
      <c r="AK33">
        <v>1301312</v>
      </c>
      <c r="AL33">
        <v>2934746</v>
      </c>
      <c r="AM33">
        <v>831365</v>
      </c>
      <c r="AN33">
        <v>798170</v>
      </c>
      <c r="AO33">
        <v>1928670</v>
      </c>
      <c r="AP33">
        <v>885398</v>
      </c>
      <c r="AQ33">
        <v>97302</v>
      </c>
      <c r="AR33">
        <v>103023</v>
      </c>
      <c r="AS33">
        <v>324198</v>
      </c>
      <c r="AT33">
        <v>96225</v>
      </c>
      <c r="AU33">
        <v>1528532</v>
      </c>
      <c r="AV33">
        <v>2026659</v>
      </c>
      <c r="AW33">
        <v>581927</v>
      </c>
      <c r="AX33">
        <v>3125651</v>
      </c>
      <c r="AY33" t="s">
        <v>73</v>
      </c>
      <c r="AZ33" t="s">
        <v>73</v>
      </c>
      <c r="BA33" t="s">
        <v>73</v>
      </c>
      <c r="BB33" t="s">
        <v>73</v>
      </c>
    </row>
    <row r="34" spans="1:54" x14ac:dyDescent="0.4">
      <c r="A34" s="1" t="s">
        <v>56</v>
      </c>
      <c r="B34" s="1" t="s">
        <v>57</v>
      </c>
      <c r="C34">
        <v>108706</v>
      </c>
      <c r="D34">
        <v>42557</v>
      </c>
      <c r="E34">
        <v>40879</v>
      </c>
      <c r="F34">
        <v>50487</v>
      </c>
      <c r="G34">
        <v>25549</v>
      </c>
      <c r="H34">
        <v>0</v>
      </c>
      <c r="I34">
        <v>0</v>
      </c>
      <c r="J34">
        <v>30440</v>
      </c>
      <c r="K34">
        <v>25486</v>
      </c>
      <c r="L34">
        <v>26435</v>
      </c>
      <c r="M34">
        <v>99322</v>
      </c>
      <c r="N34">
        <v>19745</v>
      </c>
      <c r="O34">
        <v>61849</v>
      </c>
      <c r="P34">
        <v>56556</v>
      </c>
      <c r="Q34">
        <v>585228</v>
      </c>
      <c r="R34">
        <v>32240</v>
      </c>
      <c r="S34">
        <v>4345</v>
      </c>
      <c r="T34">
        <v>4960</v>
      </c>
      <c r="U34">
        <v>21739</v>
      </c>
      <c r="V34">
        <v>1353</v>
      </c>
      <c r="W34">
        <v>113142</v>
      </c>
      <c r="X34">
        <v>134352</v>
      </c>
      <c r="Y34">
        <v>2335345</v>
      </c>
      <c r="Z34">
        <v>64780</v>
      </c>
      <c r="AA34">
        <v>383720</v>
      </c>
      <c r="AB34">
        <v>427931</v>
      </c>
      <c r="AC34">
        <v>1180539</v>
      </c>
      <c r="AD34">
        <v>2162430</v>
      </c>
      <c r="AE34">
        <v>178100</v>
      </c>
      <c r="AF34">
        <v>215381</v>
      </c>
      <c r="AG34">
        <v>288761</v>
      </c>
      <c r="AH34">
        <v>234196</v>
      </c>
      <c r="AI34">
        <v>843222</v>
      </c>
      <c r="AJ34">
        <v>1049806</v>
      </c>
      <c r="AK34">
        <v>1174604</v>
      </c>
      <c r="AL34">
        <v>2950444</v>
      </c>
      <c r="AM34">
        <v>750149</v>
      </c>
      <c r="AN34">
        <v>691325</v>
      </c>
      <c r="AO34">
        <v>1296722</v>
      </c>
      <c r="AP34">
        <v>928328</v>
      </c>
      <c r="AQ34">
        <v>100279</v>
      </c>
      <c r="AR34">
        <v>109662</v>
      </c>
      <c r="AS34">
        <v>336147</v>
      </c>
      <c r="AT34">
        <v>92654</v>
      </c>
      <c r="AU34">
        <v>1310649</v>
      </c>
      <c r="AV34">
        <v>1914114</v>
      </c>
      <c r="AW34">
        <v>537363</v>
      </c>
      <c r="AX34">
        <v>2977762</v>
      </c>
      <c r="AY34" t="s">
        <v>73</v>
      </c>
      <c r="AZ34" t="s">
        <v>73</v>
      </c>
      <c r="BA34" t="s">
        <v>73</v>
      </c>
      <c r="BB34" t="s">
        <v>73</v>
      </c>
    </row>
    <row r="35" spans="1:54" x14ac:dyDescent="0.4">
      <c r="A35" s="1" t="s">
        <v>58</v>
      </c>
      <c r="B35" s="1" t="s">
        <v>59</v>
      </c>
      <c r="C35">
        <v>108735</v>
      </c>
      <c r="D35">
        <v>47413</v>
      </c>
      <c r="E35">
        <v>41028</v>
      </c>
      <c r="F35">
        <v>50808</v>
      </c>
      <c r="G35">
        <v>20048</v>
      </c>
      <c r="H35">
        <v>37</v>
      </c>
      <c r="I35">
        <v>40</v>
      </c>
      <c r="J35">
        <v>30440</v>
      </c>
      <c r="K35">
        <v>23549</v>
      </c>
      <c r="L35">
        <v>24128</v>
      </c>
      <c r="M35">
        <v>90709</v>
      </c>
      <c r="N35">
        <v>18730</v>
      </c>
      <c r="O35">
        <v>56150</v>
      </c>
      <c r="P35">
        <v>54014</v>
      </c>
      <c r="Q35">
        <v>623883</v>
      </c>
      <c r="R35">
        <v>32624</v>
      </c>
      <c r="S35">
        <v>2290</v>
      </c>
      <c r="T35">
        <v>2975</v>
      </c>
      <c r="U35">
        <v>14099</v>
      </c>
      <c r="V35">
        <v>1302</v>
      </c>
      <c r="W35">
        <v>108664</v>
      </c>
      <c r="X35">
        <v>134908</v>
      </c>
      <c r="Y35">
        <v>2345664</v>
      </c>
      <c r="Z35">
        <v>67139</v>
      </c>
      <c r="AA35">
        <v>381186</v>
      </c>
      <c r="AB35">
        <v>341210</v>
      </c>
      <c r="AC35">
        <v>900023</v>
      </c>
      <c r="AD35">
        <v>2237363</v>
      </c>
      <c r="AE35">
        <v>158665</v>
      </c>
      <c r="AF35">
        <v>184345</v>
      </c>
      <c r="AG35">
        <v>242454</v>
      </c>
      <c r="AH35">
        <v>235430</v>
      </c>
      <c r="AI35">
        <v>830875</v>
      </c>
      <c r="AJ35">
        <v>923132</v>
      </c>
      <c r="AK35">
        <v>1060104</v>
      </c>
      <c r="AL35">
        <v>3137059</v>
      </c>
      <c r="AM35">
        <v>710232</v>
      </c>
      <c r="AN35">
        <v>675205</v>
      </c>
      <c r="AO35">
        <v>1182348</v>
      </c>
      <c r="AP35">
        <v>887074</v>
      </c>
      <c r="AQ35">
        <v>94850</v>
      </c>
      <c r="AR35">
        <v>98672</v>
      </c>
      <c r="AS35">
        <v>306110</v>
      </c>
      <c r="AT35">
        <v>94638</v>
      </c>
      <c r="AU35">
        <v>1373641</v>
      </c>
      <c r="AV35">
        <v>1819983</v>
      </c>
      <c r="AW35">
        <v>568999</v>
      </c>
      <c r="AX35">
        <v>2989334</v>
      </c>
      <c r="AY35" t="s">
        <v>73</v>
      </c>
      <c r="AZ35" t="s">
        <v>73</v>
      </c>
      <c r="BA35" t="s">
        <v>73</v>
      </c>
      <c r="BB35" t="s">
        <v>73</v>
      </c>
    </row>
    <row r="36" spans="1:54" x14ac:dyDescent="0.4">
      <c r="A36" s="1" t="s">
        <v>60</v>
      </c>
      <c r="B36" s="1" t="s">
        <v>61</v>
      </c>
      <c r="C36">
        <v>106488</v>
      </c>
      <c r="D36">
        <v>45013</v>
      </c>
      <c r="E36">
        <v>40521</v>
      </c>
      <c r="F36">
        <v>49317</v>
      </c>
      <c r="G36">
        <v>20521</v>
      </c>
      <c r="H36">
        <v>37</v>
      </c>
      <c r="I36">
        <v>29</v>
      </c>
      <c r="J36">
        <v>30440</v>
      </c>
      <c r="K36">
        <v>21796</v>
      </c>
      <c r="L36">
        <v>22745</v>
      </c>
      <c r="M36">
        <v>81270</v>
      </c>
      <c r="N36">
        <v>18628</v>
      </c>
      <c r="O36">
        <v>53913</v>
      </c>
      <c r="P36">
        <v>50796</v>
      </c>
      <c r="Q36">
        <v>632433</v>
      </c>
      <c r="R36">
        <v>36147</v>
      </c>
      <c r="S36">
        <v>582</v>
      </c>
      <c r="T36">
        <v>1220</v>
      </c>
      <c r="U36">
        <v>7399</v>
      </c>
      <c r="V36">
        <v>1298</v>
      </c>
      <c r="W36">
        <v>67760</v>
      </c>
      <c r="X36">
        <v>85787</v>
      </c>
      <c r="Y36">
        <v>1559466</v>
      </c>
      <c r="Z36">
        <v>55163</v>
      </c>
      <c r="AA36">
        <v>363012</v>
      </c>
      <c r="AB36">
        <v>387535</v>
      </c>
      <c r="AC36">
        <v>1002716</v>
      </c>
      <c r="AD36">
        <v>2256597</v>
      </c>
      <c r="AE36">
        <v>165124</v>
      </c>
      <c r="AF36">
        <v>202258</v>
      </c>
      <c r="AG36">
        <v>301101</v>
      </c>
      <c r="AH36">
        <v>227054</v>
      </c>
      <c r="AI36">
        <v>812829</v>
      </c>
      <c r="AJ36">
        <v>949357</v>
      </c>
      <c r="AK36">
        <v>985178</v>
      </c>
      <c r="AL36">
        <v>3201566</v>
      </c>
      <c r="AM36">
        <v>779232</v>
      </c>
      <c r="AN36">
        <v>690199</v>
      </c>
      <c r="AO36">
        <v>1200885</v>
      </c>
      <c r="AP36">
        <v>969111</v>
      </c>
      <c r="AQ36">
        <v>93364</v>
      </c>
      <c r="AR36">
        <v>99883</v>
      </c>
      <c r="AS36">
        <v>303657</v>
      </c>
      <c r="AT36">
        <v>93873</v>
      </c>
      <c r="AU36">
        <v>1391131</v>
      </c>
      <c r="AV36">
        <v>1865506</v>
      </c>
      <c r="AW36">
        <v>556724</v>
      </c>
      <c r="AX36">
        <v>2990971</v>
      </c>
      <c r="AY36" t="s">
        <v>73</v>
      </c>
      <c r="AZ36" t="s">
        <v>73</v>
      </c>
      <c r="BA36" t="s">
        <v>73</v>
      </c>
      <c r="BB36" t="s">
        <v>73</v>
      </c>
    </row>
    <row r="37" spans="1:54" x14ac:dyDescent="0.4">
      <c r="A37" s="1" t="s">
        <v>62</v>
      </c>
      <c r="B37" s="1" t="s">
        <v>63</v>
      </c>
      <c r="C37">
        <v>99610</v>
      </c>
      <c r="D37">
        <v>44969</v>
      </c>
      <c r="E37">
        <v>40502</v>
      </c>
      <c r="F37">
        <v>43048</v>
      </c>
      <c r="G37">
        <v>19932</v>
      </c>
      <c r="H37">
        <v>0</v>
      </c>
      <c r="I37">
        <v>0</v>
      </c>
      <c r="J37">
        <v>18664</v>
      </c>
      <c r="K37">
        <v>21147</v>
      </c>
      <c r="L37">
        <v>23528</v>
      </c>
      <c r="M37">
        <v>85904</v>
      </c>
      <c r="N37">
        <v>18429</v>
      </c>
      <c r="O37">
        <v>52484</v>
      </c>
      <c r="P37">
        <v>52448</v>
      </c>
      <c r="Q37">
        <v>483937</v>
      </c>
      <c r="R37">
        <v>31485</v>
      </c>
      <c r="S37">
        <v>582</v>
      </c>
      <c r="T37">
        <v>1216</v>
      </c>
      <c r="U37">
        <v>7348</v>
      </c>
      <c r="V37">
        <v>1298</v>
      </c>
      <c r="W37">
        <v>53584</v>
      </c>
      <c r="X37">
        <v>75359</v>
      </c>
      <c r="Y37">
        <v>1311227</v>
      </c>
      <c r="Z37">
        <v>51180</v>
      </c>
      <c r="AA37">
        <v>398807</v>
      </c>
      <c r="AB37">
        <v>399823</v>
      </c>
      <c r="AC37">
        <v>951576</v>
      </c>
      <c r="AD37">
        <v>2296184</v>
      </c>
      <c r="AE37">
        <v>151516</v>
      </c>
      <c r="AF37">
        <v>195098</v>
      </c>
      <c r="AG37">
        <v>289282</v>
      </c>
      <c r="AH37">
        <v>223223</v>
      </c>
      <c r="AI37">
        <v>887549</v>
      </c>
      <c r="AJ37">
        <v>1016627</v>
      </c>
      <c r="AK37">
        <v>1021382</v>
      </c>
      <c r="AL37">
        <v>3247762</v>
      </c>
      <c r="AM37">
        <v>772937</v>
      </c>
      <c r="AN37">
        <v>733222</v>
      </c>
      <c r="AO37">
        <v>1250385</v>
      </c>
      <c r="AP37">
        <v>939806</v>
      </c>
      <c r="AQ37">
        <v>94527</v>
      </c>
      <c r="AR37">
        <v>100834</v>
      </c>
      <c r="AS37">
        <v>299327</v>
      </c>
      <c r="AT37">
        <v>94453</v>
      </c>
      <c r="AU37">
        <v>1324614</v>
      </c>
      <c r="AV37">
        <v>1748078</v>
      </c>
      <c r="AW37">
        <v>542266</v>
      </c>
      <c r="AX37">
        <v>2989263</v>
      </c>
      <c r="AY37" t="s">
        <v>73</v>
      </c>
      <c r="AZ37" t="s">
        <v>73</v>
      </c>
      <c r="BA37" t="s">
        <v>73</v>
      </c>
      <c r="BB37" t="s">
        <v>73</v>
      </c>
    </row>
    <row r="38" spans="1:54" x14ac:dyDescent="0.4">
      <c r="A38" s="1" t="s">
        <v>64</v>
      </c>
      <c r="B38" s="1" t="s">
        <v>65</v>
      </c>
      <c r="C38">
        <v>107200</v>
      </c>
      <c r="D38">
        <v>42125</v>
      </c>
      <c r="E38">
        <v>40257</v>
      </c>
      <c r="F38">
        <v>43606</v>
      </c>
      <c r="G38">
        <v>18328</v>
      </c>
      <c r="H38">
        <v>112</v>
      </c>
      <c r="I38">
        <v>88</v>
      </c>
      <c r="J38">
        <v>18664</v>
      </c>
      <c r="K38">
        <v>26898</v>
      </c>
      <c r="L38">
        <v>26131</v>
      </c>
      <c r="M38">
        <v>89723</v>
      </c>
      <c r="N38">
        <v>21880</v>
      </c>
      <c r="O38">
        <v>56720</v>
      </c>
      <c r="P38">
        <v>55053</v>
      </c>
      <c r="Q38">
        <v>613561</v>
      </c>
      <c r="R38">
        <v>31160</v>
      </c>
      <c r="S38">
        <v>582</v>
      </c>
      <c r="T38">
        <v>1216</v>
      </c>
      <c r="U38">
        <v>7348</v>
      </c>
      <c r="V38">
        <v>1298</v>
      </c>
      <c r="W38">
        <v>53425</v>
      </c>
      <c r="X38">
        <v>64916</v>
      </c>
      <c r="Y38">
        <v>1107589</v>
      </c>
      <c r="Z38">
        <v>50887</v>
      </c>
      <c r="AA38">
        <v>431369</v>
      </c>
      <c r="AB38">
        <v>490325</v>
      </c>
      <c r="AC38">
        <v>1493031</v>
      </c>
      <c r="AD38">
        <v>2267666</v>
      </c>
      <c r="AE38">
        <v>170836</v>
      </c>
      <c r="AF38">
        <v>202554</v>
      </c>
      <c r="AG38">
        <v>274104</v>
      </c>
      <c r="AH38">
        <v>232666</v>
      </c>
      <c r="AI38">
        <v>940281</v>
      </c>
      <c r="AJ38">
        <v>1479246</v>
      </c>
      <c r="AK38">
        <v>1577328</v>
      </c>
      <c r="AL38">
        <v>3046551</v>
      </c>
      <c r="AM38">
        <v>786518</v>
      </c>
      <c r="AN38">
        <v>735862</v>
      </c>
      <c r="AO38">
        <v>1297609</v>
      </c>
      <c r="AP38">
        <v>917996</v>
      </c>
      <c r="AQ38">
        <v>95012</v>
      </c>
      <c r="AR38">
        <v>99988</v>
      </c>
      <c r="AS38">
        <v>304634</v>
      </c>
      <c r="AT38">
        <v>94503</v>
      </c>
      <c r="AU38">
        <v>1524559</v>
      </c>
      <c r="AV38">
        <v>1808569</v>
      </c>
      <c r="AW38">
        <v>549879</v>
      </c>
      <c r="AX38">
        <v>3125967</v>
      </c>
      <c r="AY38" t="s">
        <v>73</v>
      </c>
      <c r="AZ38" t="s">
        <v>73</v>
      </c>
      <c r="BA38" t="s">
        <v>73</v>
      </c>
      <c r="BB38" t="s">
        <v>73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CED35-A16D-4939-8400-180A729217A1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1980</v>
      </c>
      <c r="D3" t="s">
        <v>1980</v>
      </c>
      <c r="E3" t="s">
        <v>1980</v>
      </c>
      <c r="F3" t="s">
        <v>1980</v>
      </c>
      <c r="G3" t="s">
        <v>1982</v>
      </c>
      <c r="H3" t="s">
        <v>1982</v>
      </c>
      <c r="I3" t="s">
        <v>1982</v>
      </c>
      <c r="J3" t="s">
        <v>1982</v>
      </c>
      <c r="K3" t="s">
        <v>1984</v>
      </c>
      <c r="L3" t="s">
        <v>1984</v>
      </c>
      <c r="M3" t="s">
        <v>1984</v>
      </c>
      <c r="N3" t="s">
        <v>1984</v>
      </c>
      <c r="O3" t="s">
        <v>1986</v>
      </c>
      <c r="P3" t="s">
        <v>1986</v>
      </c>
      <c r="Q3" t="s">
        <v>1986</v>
      </c>
      <c r="R3" t="s">
        <v>1986</v>
      </c>
      <c r="S3" t="s">
        <v>1988</v>
      </c>
      <c r="T3" t="s">
        <v>1988</v>
      </c>
      <c r="U3" t="s">
        <v>1988</v>
      </c>
      <c r="V3" t="s">
        <v>1988</v>
      </c>
      <c r="W3" t="s">
        <v>1990</v>
      </c>
      <c r="X3" t="s">
        <v>1990</v>
      </c>
      <c r="Y3" t="s">
        <v>1990</v>
      </c>
      <c r="Z3" t="s">
        <v>1990</v>
      </c>
      <c r="AA3" t="s">
        <v>1992</v>
      </c>
      <c r="AB3" t="s">
        <v>1992</v>
      </c>
      <c r="AC3" t="s">
        <v>1992</v>
      </c>
      <c r="AD3" t="s">
        <v>1992</v>
      </c>
    </row>
    <row r="4" spans="1:30" x14ac:dyDescent="0.4">
      <c r="A4" s="1"/>
      <c r="B4" s="2" t="s">
        <v>1</v>
      </c>
      <c r="C4" t="s">
        <v>1981</v>
      </c>
      <c r="D4" t="s">
        <v>1981</v>
      </c>
      <c r="E4" t="s">
        <v>1981</v>
      </c>
      <c r="F4" t="s">
        <v>1981</v>
      </c>
      <c r="G4" t="s">
        <v>1983</v>
      </c>
      <c r="H4" t="s">
        <v>1983</v>
      </c>
      <c r="I4" t="s">
        <v>1983</v>
      </c>
      <c r="J4" t="s">
        <v>1983</v>
      </c>
      <c r="K4" t="s">
        <v>1985</v>
      </c>
      <c r="L4" t="s">
        <v>1985</v>
      </c>
      <c r="M4" t="s">
        <v>1985</v>
      </c>
      <c r="N4" t="s">
        <v>1985</v>
      </c>
      <c r="O4" t="s">
        <v>1987</v>
      </c>
      <c r="P4" t="s">
        <v>1987</v>
      </c>
      <c r="Q4" t="s">
        <v>1987</v>
      </c>
      <c r="R4" t="s">
        <v>1987</v>
      </c>
      <c r="S4" t="s">
        <v>1989</v>
      </c>
      <c r="T4" t="s">
        <v>1989</v>
      </c>
      <c r="U4" t="s">
        <v>1989</v>
      </c>
      <c r="V4" t="s">
        <v>1989</v>
      </c>
      <c r="W4" t="s">
        <v>1991</v>
      </c>
      <c r="X4" t="s">
        <v>1991</v>
      </c>
      <c r="Y4" t="s">
        <v>1991</v>
      </c>
      <c r="Z4" t="s">
        <v>1991</v>
      </c>
      <c r="AA4" t="s">
        <v>1993</v>
      </c>
      <c r="AB4" t="s">
        <v>1993</v>
      </c>
      <c r="AC4" t="s">
        <v>1993</v>
      </c>
      <c r="AD4" t="s">
        <v>1993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970893</v>
      </c>
      <c r="D9">
        <v>169044</v>
      </c>
      <c r="E9">
        <v>13287</v>
      </c>
      <c r="F9">
        <v>21273</v>
      </c>
      <c r="G9">
        <v>5143930</v>
      </c>
      <c r="H9">
        <v>552742</v>
      </c>
      <c r="I9">
        <v>36107</v>
      </c>
      <c r="J9">
        <v>63641</v>
      </c>
      <c r="K9">
        <v>1015303</v>
      </c>
      <c r="L9">
        <v>237905</v>
      </c>
      <c r="M9">
        <v>16841</v>
      </c>
      <c r="N9">
        <v>26546</v>
      </c>
      <c r="O9">
        <v>282487</v>
      </c>
      <c r="P9">
        <v>0</v>
      </c>
      <c r="Q9">
        <v>0</v>
      </c>
      <c r="R9">
        <v>1701</v>
      </c>
      <c r="S9">
        <v>105090</v>
      </c>
      <c r="T9">
        <v>0</v>
      </c>
      <c r="U9">
        <v>0</v>
      </c>
      <c r="V9">
        <v>194</v>
      </c>
      <c r="W9">
        <v>77489</v>
      </c>
      <c r="X9">
        <v>0</v>
      </c>
      <c r="Y9">
        <v>0</v>
      </c>
      <c r="Z9">
        <v>374</v>
      </c>
      <c r="AA9">
        <v>17366</v>
      </c>
      <c r="AB9">
        <v>4638</v>
      </c>
      <c r="AC9">
        <v>2799</v>
      </c>
      <c r="AD9">
        <v>1068</v>
      </c>
    </row>
    <row r="10" spans="1:30" x14ac:dyDescent="0.4">
      <c r="A10" s="1" t="s">
        <v>8</v>
      </c>
      <c r="B10" s="3" t="s">
        <v>9</v>
      </c>
      <c r="C10">
        <v>980431</v>
      </c>
      <c r="D10">
        <v>206702</v>
      </c>
      <c r="E10">
        <v>19803</v>
      </c>
      <c r="F10">
        <v>31973</v>
      </c>
      <c r="G10">
        <v>5060251</v>
      </c>
      <c r="H10">
        <v>677908</v>
      </c>
      <c r="I10">
        <v>53128</v>
      </c>
      <c r="J10">
        <v>62532</v>
      </c>
      <c r="K10">
        <v>1061009</v>
      </c>
      <c r="L10">
        <v>245516</v>
      </c>
      <c r="M10">
        <v>21762</v>
      </c>
      <c r="N10">
        <v>35342</v>
      </c>
      <c r="O10">
        <v>277308</v>
      </c>
      <c r="P10">
        <v>0</v>
      </c>
      <c r="Q10">
        <v>0</v>
      </c>
      <c r="R10">
        <v>1614</v>
      </c>
      <c r="S10">
        <v>94344</v>
      </c>
      <c r="T10">
        <v>0</v>
      </c>
      <c r="U10">
        <v>0</v>
      </c>
      <c r="V10">
        <v>171</v>
      </c>
      <c r="W10">
        <v>73488</v>
      </c>
      <c r="X10">
        <v>0</v>
      </c>
      <c r="Y10">
        <v>0</v>
      </c>
      <c r="Z10">
        <v>345</v>
      </c>
      <c r="AA10">
        <v>14418</v>
      </c>
      <c r="AB10">
        <v>4172</v>
      </c>
      <c r="AC10">
        <v>2604</v>
      </c>
      <c r="AD10">
        <v>716</v>
      </c>
    </row>
    <row r="11" spans="1:30" x14ac:dyDescent="0.4">
      <c r="A11" s="1" t="s">
        <v>10</v>
      </c>
      <c r="B11" s="3" t="s">
        <v>11</v>
      </c>
      <c r="C11">
        <v>986399</v>
      </c>
      <c r="D11">
        <v>248366</v>
      </c>
      <c r="E11">
        <v>25701</v>
      </c>
      <c r="F11">
        <v>52157</v>
      </c>
      <c r="G11">
        <v>4785169</v>
      </c>
      <c r="H11">
        <v>694842</v>
      </c>
      <c r="I11">
        <v>58917</v>
      </c>
      <c r="J11">
        <v>95157</v>
      </c>
      <c r="K11">
        <v>981925</v>
      </c>
      <c r="L11">
        <v>233511</v>
      </c>
      <c r="M11">
        <v>20148</v>
      </c>
      <c r="N11">
        <v>30894</v>
      </c>
      <c r="O11">
        <v>239848</v>
      </c>
      <c r="P11">
        <v>0</v>
      </c>
      <c r="Q11">
        <v>0</v>
      </c>
      <c r="R11">
        <v>1509</v>
      </c>
      <c r="S11">
        <v>60869</v>
      </c>
      <c r="T11">
        <v>0</v>
      </c>
      <c r="U11">
        <v>0</v>
      </c>
      <c r="V11">
        <v>152</v>
      </c>
      <c r="W11">
        <v>55998</v>
      </c>
      <c r="X11">
        <v>0</v>
      </c>
      <c r="Y11">
        <v>0</v>
      </c>
      <c r="Z11">
        <v>186</v>
      </c>
      <c r="AA11">
        <v>9911</v>
      </c>
      <c r="AB11">
        <v>4397</v>
      </c>
      <c r="AC11">
        <v>3547</v>
      </c>
      <c r="AD11">
        <v>598</v>
      </c>
    </row>
    <row r="12" spans="1:30" x14ac:dyDescent="0.4">
      <c r="A12" s="1" t="s">
        <v>12</v>
      </c>
      <c r="B12" s="3" t="s">
        <v>13</v>
      </c>
      <c r="C12">
        <v>1041962</v>
      </c>
      <c r="D12">
        <v>347956</v>
      </c>
      <c r="E12">
        <v>38367</v>
      </c>
      <c r="F12">
        <v>37890</v>
      </c>
      <c r="G12">
        <v>4738106</v>
      </c>
      <c r="H12">
        <v>751337</v>
      </c>
      <c r="I12">
        <v>67253</v>
      </c>
      <c r="J12">
        <v>73088</v>
      </c>
      <c r="K12">
        <v>1026457</v>
      </c>
      <c r="L12">
        <v>247909</v>
      </c>
      <c r="M12">
        <v>22156</v>
      </c>
      <c r="N12">
        <v>42839</v>
      </c>
      <c r="O12">
        <v>215213</v>
      </c>
      <c r="P12">
        <v>0</v>
      </c>
      <c r="Q12">
        <v>0</v>
      </c>
      <c r="R12">
        <v>1511</v>
      </c>
      <c r="S12">
        <v>68303</v>
      </c>
      <c r="T12">
        <v>0</v>
      </c>
      <c r="U12">
        <v>0</v>
      </c>
      <c r="V12">
        <v>125</v>
      </c>
      <c r="W12">
        <v>43524</v>
      </c>
      <c r="X12">
        <v>0</v>
      </c>
      <c r="Y12">
        <v>0</v>
      </c>
      <c r="Z12">
        <v>231</v>
      </c>
      <c r="AA12">
        <v>10027</v>
      </c>
      <c r="AB12">
        <v>4411</v>
      </c>
      <c r="AC12">
        <v>3786</v>
      </c>
      <c r="AD12">
        <v>610</v>
      </c>
    </row>
    <row r="13" spans="1:30" x14ac:dyDescent="0.4">
      <c r="A13" s="1" t="s">
        <v>14</v>
      </c>
      <c r="B13" s="3" t="s">
        <v>15</v>
      </c>
      <c r="C13">
        <v>916453</v>
      </c>
      <c r="D13">
        <v>257173</v>
      </c>
      <c r="E13">
        <v>28375</v>
      </c>
      <c r="F13">
        <v>36215</v>
      </c>
      <c r="G13">
        <v>4514423</v>
      </c>
      <c r="H13">
        <v>643052</v>
      </c>
      <c r="I13">
        <v>56385</v>
      </c>
      <c r="J13">
        <v>75166</v>
      </c>
      <c r="K13">
        <v>1040043</v>
      </c>
      <c r="L13">
        <v>261011</v>
      </c>
      <c r="M13">
        <v>22326</v>
      </c>
      <c r="N13">
        <v>46574</v>
      </c>
      <c r="O13">
        <v>201815</v>
      </c>
      <c r="P13">
        <v>0</v>
      </c>
      <c r="Q13">
        <v>0</v>
      </c>
      <c r="R13">
        <v>948</v>
      </c>
      <c r="S13">
        <v>77751</v>
      </c>
      <c r="T13">
        <v>0</v>
      </c>
      <c r="U13">
        <v>0</v>
      </c>
      <c r="V13">
        <v>167</v>
      </c>
      <c r="W13">
        <v>27688</v>
      </c>
      <c r="X13">
        <v>0</v>
      </c>
      <c r="Y13">
        <v>0</v>
      </c>
      <c r="Z13">
        <v>153</v>
      </c>
      <c r="AA13">
        <v>9916</v>
      </c>
      <c r="AB13">
        <v>3848</v>
      </c>
      <c r="AC13">
        <v>3702</v>
      </c>
      <c r="AD13">
        <v>775</v>
      </c>
    </row>
    <row r="14" spans="1:30" x14ac:dyDescent="0.4">
      <c r="A14" s="1" t="s">
        <v>16</v>
      </c>
      <c r="B14" s="1" t="s">
        <v>17</v>
      </c>
      <c r="C14">
        <v>82294</v>
      </c>
      <c r="D14">
        <v>25260</v>
      </c>
      <c r="E14">
        <v>2809</v>
      </c>
      <c r="F14">
        <v>58248</v>
      </c>
      <c r="G14">
        <v>449194</v>
      </c>
      <c r="H14">
        <v>68115</v>
      </c>
      <c r="I14">
        <v>5869</v>
      </c>
      <c r="J14">
        <v>91227</v>
      </c>
      <c r="K14">
        <v>88852</v>
      </c>
      <c r="L14">
        <v>19495</v>
      </c>
      <c r="M14">
        <v>1727</v>
      </c>
      <c r="N14">
        <v>45614</v>
      </c>
      <c r="O14">
        <v>19290</v>
      </c>
      <c r="P14">
        <v>0</v>
      </c>
      <c r="Q14">
        <v>0</v>
      </c>
      <c r="R14">
        <v>1545</v>
      </c>
      <c r="S14">
        <v>4599</v>
      </c>
      <c r="T14">
        <v>0</v>
      </c>
      <c r="U14">
        <v>0</v>
      </c>
      <c r="V14">
        <v>173</v>
      </c>
      <c r="W14">
        <v>3328</v>
      </c>
      <c r="X14">
        <v>0</v>
      </c>
      <c r="Y14">
        <v>0</v>
      </c>
      <c r="Z14">
        <v>135</v>
      </c>
      <c r="AA14">
        <v>858</v>
      </c>
      <c r="AB14">
        <v>320</v>
      </c>
      <c r="AC14">
        <v>255</v>
      </c>
      <c r="AD14">
        <v>847</v>
      </c>
    </row>
    <row r="15" spans="1:30" x14ac:dyDescent="0.4">
      <c r="A15" s="1" t="s">
        <v>18</v>
      </c>
      <c r="B15" s="1" t="s">
        <v>19</v>
      </c>
      <c r="C15">
        <v>81576</v>
      </c>
      <c r="D15">
        <v>25928</v>
      </c>
      <c r="E15">
        <v>2910</v>
      </c>
      <c r="F15">
        <v>53072</v>
      </c>
      <c r="G15">
        <v>376431</v>
      </c>
      <c r="H15">
        <v>72081</v>
      </c>
      <c r="I15">
        <v>6281</v>
      </c>
      <c r="J15">
        <v>82563</v>
      </c>
      <c r="K15">
        <v>84879</v>
      </c>
      <c r="L15">
        <v>23771</v>
      </c>
      <c r="M15">
        <v>2142</v>
      </c>
      <c r="N15">
        <v>43694</v>
      </c>
      <c r="O15">
        <v>16970</v>
      </c>
      <c r="P15">
        <v>0</v>
      </c>
      <c r="Q15">
        <v>0</v>
      </c>
      <c r="R15">
        <v>1211</v>
      </c>
      <c r="S15">
        <v>4895</v>
      </c>
      <c r="T15">
        <v>0</v>
      </c>
      <c r="U15">
        <v>0</v>
      </c>
      <c r="V15">
        <v>151</v>
      </c>
      <c r="W15">
        <v>3899</v>
      </c>
      <c r="X15">
        <v>0</v>
      </c>
      <c r="Y15">
        <v>0</v>
      </c>
      <c r="Z15">
        <v>205</v>
      </c>
      <c r="AA15">
        <v>784</v>
      </c>
      <c r="AB15">
        <v>436</v>
      </c>
      <c r="AC15">
        <v>351</v>
      </c>
      <c r="AD15">
        <v>747</v>
      </c>
    </row>
    <row r="16" spans="1:30" x14ac:dyDescent="0.4">
      <c r="A16" s="1" t="s">
        <v>20</v>
      </c>
      <c r="B16" s="1" t="s">
        <v>21</v>
      </c>
      <c r="C16">
        <v>94095</v>
      </c>
      <c r="D16">
        <v>28612</v>
      </c>
      <c r="E16">
        <v>3214</v>
      </c>
      <c r="F16">
        <v>55709</v>
      </c>
      <c r="G16">
        <v>384688</v>
      </c>
      <c r="H16">
        <v>63943</v>
      </c>
      <c r="I16">
        <v>5726</v>
      </c>
      <c r="J16">
        <v>76128</v>
      </c>
      <c r="K16">
        <v>74565</v>
      </c>
      <c r="L16">
        <v>21100</v>
      </c>
      <c r="M16">
        <v>1895</v>
      </c>
      <c r="N16">
        <v>33481</v>
      </c>
      <c r="O16">
        <v>18725</v>
      </c>
      <c r="P16">
        <v>0</v>
      </c>
      <c r="Q16">
        <v>0</v>
      </c>
      <c r="R16">
        <v>1567</v>
      </c>
      <c r="S16">
        <v>6713</v>
      </c>
      <c r="T16">
        <v>0</v>
      </c>
      <c r="U16">
        <v>0</v>
      </c>
      <c r="V16">
        <v>174</v>
      </c>
      <c r="W16">
        <v>4016</v>
      </c>
      <c r="X16">
        <v>0</v>
      </c>
      <c r="Y16">
        <v>0</v>
      </c>
      <c r="Z16">
        <v>206</v>
      </c>
      <c r="AA16">
        <v>705</v>
      </c>
      <c r="AB16">
        <v>406</v>
      </c>
      <c r="AC16">
        <v>380</v>
      </c>
      <c r="AD16">
        <v>694</v>
      </c>
    </row>
    <row r="17" spans="1:30" x14ac:dyDescent="0.4">
      <c r="A17" s="1" t="s">
        <v>22</v>
      </c>
      <c r="B17" s="1" t="s">
        <v>23</v>
      </c>
      <c r="C17">
        <v>72076</v>
      </c>
      <c r="D17">
        <v>28070</v>
      </c>
      <c r="E17">
        <v>3224</v>
      </c>
      <c r="F17">
        <v>49148</v>
      </c>
      <c r="G17">
        <v>294508</v>
      </c>
      <c r="H17">
        <v>54169</v>
      </c>
      <c r="I17">
        <v>5117</v>
      </c>
      <c r="J17">
        <v>64121</v>
      </c>
      <c r="K17">
        <v>85782</v>
      </c>
      <c r="L17">
        <v>17813</v>
      </c>
      <c r="M17">
        <v>1602</v>
      </c>
      <c r="N17">
        <v>39121</v>
      </c>
      <c r="O17">
        <v>19025</v>
      </c>
      <c r="P17">
        <v>0</v>
      </c>
      <c r="Q17">
        <v>0</v>
      </c>
      <c r="R17">
        <v>1624</v>
      </c>
      <c r="S17">
        <v>6896</v>
      </c>
      <c r="T17">
        <v>0</v>
      </c>
      <c r="U17">
        <v>0</v>
      </c>
      <c r="V17">
        <v>165</v>
      </c>
      <c r="W17">
        <v>4703</v>
      </c>
      <c r="X17">
        <v>0</v>
      </c>
      <c r="Y17">
        <v>0</v>
      </c>
      <c r="Z17">
        <v>202</v>
      </c>
      <c r="AA17">
        <v>919</v>
      </c>
      <c r="AB17">
        <v>356</v>
      </c>
      <c r="AC17">
        <v>308</v>
      </c>
      <c r="AD17">
        <v>744</v>
      </c>
    </row>
    <row r="18" spans="1:30" x14ac:dyDescent="0.4">
      <c r="A18" s="1" t="s">
        <v>24</v>
      </c>
      <c r="B18" s="1" t="s">
        <v>25</v>
      </c>
      <c r="C18">
        <v>85376</v>
      </c>
      <c r="D18">
        <v>31059</v>
      </c>
      <c r="E18">
        <v>3535</v>
      </c>
      <c r="F18">
        <v>43858</v>
      </c>
      <c r="G18">
        <v>417724</v>
      </c>
      <c r="H18">
        <v>60761</v>
      </c>
      <c r="I18">
        <v>5641</v>
      </c>
      <c r="J18">
        <v>76527</v>
      </c>
      <c r="K18">
        <v>91865</v>
      </c>
      <c r="L18">
        <v>21122</v>
      </c>
      <c r="M18">
        <v>1986</v>
      </c>
      <c r="N18">
        <v>40733</v>
      </c>
      <c r="O18">
        <v>15913</v>
      </c>
      <c r="P18">
        <v>0</v>
      </c>
      <c r="Q18">
        <v>0</v>
      </c>
      <c r="R18">
        <v>1465</v>
      </c>
      <c r="S18">
        <v>5982</v>
      </c>
      <c r="T18">
        <v>0</v>
      </c>
      <c r="U18">
        <v>0</v>
      </c>
      <c r="V18">
        <v>148</v>
      </c>
      <c r="W18">
        <v>1913</v>
      </c>
      <c r="X18">
        <v>0</v>
      </c>
      <c r="Y18">
        <v>0</v>
      </c>
      <c r="Z18">
        <v>107</v>
      </c>
      <c r="AA18">
        <v>910</v>
      </c>
      <c r="AB18">
        <v>330</v>
      </c>
      <c r="AC18">
        <v>263</v>
      </c>
      <c r="AD18">
        <v>758</v>
      </c>
    </row>
    <row r="19" spans="1:30" x14ac:dyDescent="0.4">
      <c r="A19" s="1" t="s">
        <v>26</v>
      </c>
      <c r="B19" s="1" t="s">
        <v>27</v>
      </c>
      <c r="C19">
        <v>96262</v>
      </c>
      <c r="D19">
        <v>32916</v>
      </c>
      <c r="E19">
        <v>3553</v>
      </c>
      <c r="F19">
        <v>46531</v>
      </c>
      <c r="G19">
        <v>431857</v>
      </c>
      <c r="H19">
        <v>61598</v>
      </c>
      <c r="I19">
        <v>5669</v>
      </c>
      <c r="J19">
        <v>81934</v>
      </c>
      <c r="K19">
        <v>86653</v>
      </c>
      <c r="L19">
        <v>20587</v>
      </c>
      <c r="M19">
        <v>1778</v>
      </c>
      <c r="N19">
        <v>37031</v>
      </c>
      <c r="O19">
        <v>18168</v>
      </c>
      <c r="P19">
        <v>0</v>
      </c>
      <c r="Q19">
        <v>0</v>
      </c>
      <c r="R19">
        <v>1495</v>
      </c>
      <c r="S19">
        <v>7035</v>
      </c>
      <c r="T19">
        <v>0</v>
      </c>
      <c r="U19">
        <v>0</v>
      </c>
      <c r="V19">
        <v>172</v>
      </c>
      <c r="W19">
        <v>4827</v>
      </c>
      <c r="X19">
        <v>0</v>
      </c>
      <c r="Y19">
        <v>0</v>
      </c>
      <c r="Z19">
        <v>233</v>
      </c>
      <c r="AA19">
        <v>793</v>
      </c>
      <c r="AB19">
        <v>238</v>
      </c>
      <c r="AC19">
        <v>203</v>
      </c>
      <c r="AD19">
        <v>796</v>
      </c>
    </row>
    <row r="20" spans="1:30" x14ac:dyDescent="0.4">
      <c r="A20" s="1" t="s">
        <v>28</v>
      </c>
      <c r="B20" s="1" t="s">
        <v>29</v>
      </c>
      <c r="C20">
        <v>91882</v>
      </c>
      <c r="D20">
        <v>32977</v>
      </c>
      <c r="E20">
        <v>3468</v>
      </c>
      <c r="F20">
        <v>44729</v>
      </c>
      <c r="G20">
        <v>438464</v>
      </c>
      <c r="H20">
        <v>68194</v>
      </c>
      <c r="I20">
        <v>6093</v>
      </c>
      <c r="J20">
        <v>90184</v>
      </c>
      <c r="K20">
        <v>86232</v>
      </c>
      <c r="L20">
        <v>20948</v>
      </c>
      <c r="M20">
        <v>1819</v>
      </c>
      <c r="N20">
        <v>36796</v>
      </c>
      <c r="O20">
        <v>19636</v>
      </c>
      <c r="P20">
        <v>0</v>
      </c>
      <c r="Q20">
        <v>0</v>
      </c>
      <c r="R20">
        <v>1607</v>
      </c>
      <c r="S20">
        <v>6980</v>
      </c>
      <c r="T20">
        <v>0</v>
      </c>
      <c r="U20">
        <v>0</v>
      </c>
      <c r="V20">
        <v>149</v>
      </c>
      <c r="W20">
        <v>4739</v>
      </c>
      <c r="X20">
        <v>0</v>
      </c>
      <c r="Y20">
        <v>0</v>
      </c>
      <c r="Z20">
        <v>189</v>
      </c>
      <c r="AA20">
        <v>760</v>
      </c>
      <c r="AB20">
        <v>470</v>
      </c>
      <c r="AC20">
        <v>411</v>
      </c>
      <c r="AD20">
        <v>679</v>
      </c>
    </row>
    <row r="21" spans="1:30" x14ac:dyDescent="0.4">
      <c r="A21" s="1" t="s">
        <v>30</v>
      </c>
      <c r="B21" s="1" t="s">
        <v>31</v>
      </c>
      <c r="C21">
        <v>103492</v>
      </c>
      <c r="D21">
        <v>36701</v>
      </c>
      <c r="E21">
        <v>3904</v>
      </c>
      <c r="F21">
        <v>48228</v>
      </c>
      <c r="G21">
        <v>409688</v>
      </c>
      <c r="H21">
        <v>68671</v>
      </c>
      <c r="I21">
        <v>6139</v>
      </c>
      <c r="J21">
        <v>84541</v>
      </c>
      <c r="K21">
        <v>93925</v>
      </c>
      <c r="L21">
        <v>23566</v>
      </c>
      <c r="M21">
        <v>2075</v>
      </c>
      <c r="N21">
        <v>38915</v>
      </c>
      <c r="O21">
        <v>19683</v>
      </c>
      <c r="P21">
        <v>0</v>
      </c>
      <c r="Q21">
        <v>0</v>
      </c>
      <c r="R21">
        <v>1613</v>
      </c>
      <c r="S21">
        <v>4121</v>
      </c>
      <c r="T21">
        <v>0</v>
      </c>
      <c r="U21">
        <v>0</v>
      </c>
      <c r="V21">
        <v>101</v>
      </c>
      <c r="W21">
        <v>2683</v>
      </c>
      <c r="X21">
        <v>0</v>
      </c>
      <c r="Y21">
        <v>0</v>
      </c>
      <c r="Z21">
        <v>192</v>
      </c>
      <c r="AA21">
        <v>947</v>
      </c>
      <c r="AB21">
        <v>442</v>
      </c>
      <c r="AC21">
        <v>414</v>
      </c>
      <c r="AD21">
        <v>613</v>
      </c>
    </row>
    <row r="22" spans="1:30" x14ac:dyDescent="0.4">
      <c r="A22" s="1" t="s">
        <v>32</v>
      </c>
      <c r="B22" s="1" t="s">
        <v>33</v>
      </c>
      <c r="C22">
        <v>85845</v>
      </c>
      <c r="D22">
        <v>35621</v>
      </c>
      <c r="E22">
        <v>3874</v>
      </c>
      <c r="F22">
        <v>42922</v>
      </c>
      <c r="G22">
        <v>377176</v>
      </c>
      <c r="H22">
        <v>62681</v>
      </c>
      <c r="I22">
        <v>5584</v>
      </c>
      <c r="J22">
        <v>67337</v>
      </c>
      <c r="K22">
        <v>79831</v>
      </c>
      <c r="L22">
        <v>19902</v>
      </c>
      <c r="M22">
        <v>1757</v>
      </c>
      <c r="N22">
        <v>36210</v>
      </c>
      <c r="O22">
        <v>14935</v>
      </c>
      <c r="P22">
        <v>0</v>
      </c>
      <c r="Q22">
        <v>0</v>
      </c>
      <c r="R22">
        <v>1403</v>
      </c>
      <c r="S22">
        <v>5068</v>
      </c>
      <c r="T22">
        <v>0</v>
      </c>
      <c r="U22">
        <v>0</v>
      </c>
      <c r="V22">
        <v>127</v>
      </c>
      <c r="W22">
        <v>2116</v>
      </c>
      <c r="X22">
        <v>0</v>
      </c>
      <c r="Y22">
        <v>0</v>
      </c>
      <c r="Z22">
        <v>189</v>
      </c>
      <c r="AA22">
        <v>823</v>
      </c>
      <c r="AB22">
        <v>391</v>
      </c>
      <c r="AC22">
        <v>336</v>
      </c>
      <c r="AD22">
        <v>563</v>
      </c>
    </row>
    <row r="23" spans="1:30" x14ac:dyDescent="0.4">
      <c r="A23" s="1" t="s">
        <v>34</v>
      </c>
      <c r="B23" s="1" t="s">
        <v>35</v>
      </c>
      <c r="C23">
        <v>84069</v>
      </c>
      <c r="D23">
        <v>31535</v>
      </c>
      <c r="E23">
        <v>3512</v>
      </c>
      <c r="F23">
        <v>37890</v>
      </c>
      <c r="G23">
        <v>406762</v>
      </c>
      <c r="H23">
        <v>54456</v>
      </c>
      <c r="I23">
        <v>4980</v>
      </c>
      <c r="J23">
        <v>73088</v>
      </c>
      <c r="K23">
        <v>82665</v>
      </c>
      <c r="L23">
        <v>18803</v>
      </c>
      <c r="M23">
        <v>1722</v>
      </c>
      <c r="N23">
        <v>42839</v>
      </c>
      <c r="O23">
        <v>17780</v>
      </c>
      <c r="P23">
        <v>0</v>
      </c>
      <c r="Q23">
        <v>0</v>
      </c>
      <c r="R23">
        <v>1511</v>
      </c>
      <c r="S23">
        <v>6319</v>
      </c>
      <c r="T23">
        <v>0</v>
      </c>
      <c r="U23">
        <v>0</v>
      </c>
      <c r="V23">
        <v>125</v>
      </c>
      <c r="W23">
        <v>2843</v>
      </c>
      <c r="X23">
        <v>0</v>
      </c>
      <c r="Y23">
        <v>0</v>
      </c>
      <c r="Z23">
        <v>231</v>
      </c>
      <c r="AA23">
        <v>982</v>
      </c>
      <c r="AB23">
        <v>340</v>
      </c>
      <c r="AC23">
        <v>290</v>
      </c>
      <c r="AD23">
        <v>610</v>
      </c>
    </row>
    <row r="24" spans="1:30" x14ac:dyDescent="0.4">
      <c r="A24" s="1" t="s">
        <v>36</v>
      </c>
      <c r="B24" s="1" t="s">
        <v>37</v>
      </c>
      <c r="C24">
        <v>92661</v>
      </c>
      <c r="D24">
        <v>28001</v>
      </c>
      <c r="E24">
        <v>3117</v>
      </c>
      <c r="F24">
        <v>49321</v>
      </c>
      <c r="G24">
        <v>360803</v>
      </c>
      <c r="H24">
        <v>49889</v>
      </c>
      <c r="I24">
        <v>4421</v>
      </c>
      <c r="J24">
        <v>71886</v>
      </c>
      <c r="K24">
        <v>84472</v>
      </c>
      <c r="L24">
        <v>19203</v>
      </c>
      <c r="M24">
        <v>1758</v>
      </c>
      <c r="N24">
        <v>47514</v>
      </c>
      <c r="O24">
        <v>19009</v>
      </c>
      <c r="P24">
        <v>0</v>
      </c>
      <c r="Q24">
        <v>0</v>
      </c>
      <c r="R24">
        <v>1635</v>
      </c>
      <c r="S24">
        <v>6831</v>
      </c>
      <c r="T24">
        <v>0</v>
      </c>
      <c r="U24">
        <v>0</v>
      </c>
      <c r="V24">
        <v>153</v>
      </c>
      <c r="W24">
        <v>2455</v>
      </c>
      <c r="X24">
        <v>0</v>
      </c>
      <c r="Y24">
        <v>0</v>
      </c>
      <c r="Z24">
        <v>171</v>
      </c>
      <c r="AA24">
        <v>807</v>
      </c>
      <c r="AB24">
        <v>290</v>
      </c>
      <c r="AC24">
        <v>271</v>
      </c>
      <c r="AD24">
        <v>620</v>
      </c>
    </row>
    <row r="25" spans="1:30" x14ac:dyDescent="0.4">
      <c r="A25" s="1" t="s">
        <v>38</v>
      </c>
      <c r="B25" s="1" t="s">
        <v>39</v>
      </c>
      <c r="C25">
        <v>85680</v>
      </c>
      <c r="D25">
        <v>33239</v>
      </c>
      <c r="E25">
        <v>3643</v>
      </c>
      <c r="F25">
        <v>49361</v>
      </c>
      <c r="G25">
        <v>373905</v>
      </c>
      <c r="H25">
        <v>62989</v>
      </c>
      <c r="I25">
        <v>5548</v>
      </c>
      <c r="J25">
        <v>74019</v>
      </c>
      <c r="K25">
        <v>93303</v>
      </c>
      <c r="L25">
        <v>21848</v>
      </c>
      <c r="M25">
        <v>1930</v>
      </c>
      <c r="N25">
        <v>46728</v>
      </c>
      <c r="O25">
        <v>18267</v>
      </c>
      <c r="P25">
        <v>0</v>
      </c>
      <c r="Q25">
        <v>0</v>
      </c>
      <c r="R25">
        <v>1426</v>
      </c>
      <c r="S25">
        <v>6258</v>
      </c>
      <c r="T25">
        <v>0</v>
      </c>
      <c r="U25">
        <v>0</v>
      </c>
      <c r="V25">
        <v>155</v>
      </c>
      <c r="W25">
        <v>2003</v>
      </c>
      <c r="X25">
        <v>0</v>
      </c>
      <c r="Y25">
        <v>0</v>
      </c>
      <c r="Z25">
        <v>168</v>
      </c>
      <c r="AA25">
        <v>855</v>
      </c>
      <c r="AB25">
        <v>409</v>
      </c>
      <c r="AC25">
        <v>386</v>
      </c>
      <c r="AD25">
        <v>586</v>
      </c>
    </row>
    <row r="26" spans="1:30" x14ac:dyDescent="0.4">
      <c r="A26" s="1" t="s">
        <v>40</v>
      </c>
      <c r="B26" s="1" t="s">
        <v>41</v>
      </c>
      <c r="C26">
        <v>78561</v>
      </c>
      <c r="D26">
        <v>29044</v>
      </c>
      <c r="E26">
        <v>3219</v>
      </c>
      <c r="F26">
        <v>38332</v>
      </c>
      <c r="G26">
        <v>445767</v>
      </c>
      <c r="H26">
        <v>62041</v>
      </c>
      <c r="I26">
        <v>5526</v>
      </c>
      <c r="J26">
        <v>73763</v>
      </c>
      <c r="K26">
        <v>93345</v>
      </c>
      <c r="L26">
        <v>22843</v>
      </c>
      <c r="M26">
        <v>1976</v>
      </c>
      <c r="N26">
        <v>46612</v>
      </c>
      <c r="O26">
        <v>17408</v>
      </c>
      <c r="P26">
        <v>0</v>
      </c>
      <c r="Q26">
        <v>0</v>
      </c>
      <c r="R26">
        <v>1306</v>
      </c>
      <c r="S26">
        <v>6586</v>
      </c>
      <c r="T26">
        <v>0</v>
      </c>
      <c r="U26">
        <v>0</v>
      </c>
      <c r="V26">
        <v>161</v>
      </c>
      <c r="W26">
        <v>3118</v>
      </c>
      <c r="X26">
        <v>0</v>
      </c>
      <c r="Y26">
        <v>0</v>
      </c>
      <c r="Z26">
        <v>182</v>
      </c>
      <c r="AA26">
        <v>837</v>
      </c>
      <c r="AB26">
        <v>261</v>
      </c>
      <c r="AC26">
        <v>214</v>
      </c>
      <c r="AD26">
        <v>734</v>
      </c>
    </row>
    <row r="27" spans="1:30" x14ac:dyDescent="0.4">
      <c r="A27" s="1" t="s">
        <v>42</v>
      </c>
      <c r="B27" s="1" t="s">
        <v>43</v>
      </c>
      <c r="C27">
        <v>81495</v>
      </c>
      <c r="D27">
        <v>24762</v>
      </c>
      <c r="E27">
        <v>2774</v>
      </c>
      <c r="F27">
        <v>34991</v>
      </c>
      <c r="G27">
        <v>385900</v>
      </c>
      <c r="H27">
        <v>64838</v>
      </c>
      <c r="I27">
        <v>5844</v>
      </c>
      <c r="J27">
        <v>69083</v>
      </c>
      <c r="K27">
        <v>98025</v>
      </c>
      <c r="L27">
        <v>21238</v>
      </c>
      <c r="M27">
        <v>1827</v>
      </c>
      <c r="N27">
        <v>53857</v>
      </c>
      <c r="O27">
        <v>17406</v>
      </c>
      <c r="P27">
        <v>0</v>
      </c>
      <c r="Q27">
        <v>0</v>
      </c>
      <c r="R27">
        <v>1097</v>
      </c>
      <c r="S27">
        <v>6699</v>
      </c>
      <c r="T27">
        <v>0</v>
      </c>
      <c r="U27">
        <v>0</v>
      </c>
      <c r="V27">
        <v>170</v>
      </c>
      <c r="W27">
        <v>2556</v>
      </c>
      <c r="X27">
        <v>0</v>
      </c>
      <c r="Y27">
        <v>0</v>
      </c>
      <c r="Z27">
        <v>158</v>
      </c>
      <c r="AA27">
        <v>743</v>
      </c>
      <c r="AB27">
        <v>367</v>
      </c>
      <c r="AC27">
        <v>350</v>
      </c>
      <c r="AD27">
        <v>629</v>
      </c>
    </row>
    <row r="28" spans="1:30" x14ac:dyDescent="0.4">
      <c r="A28" s="1" t="s">
        <v>44</v>
      </c>
      <c r="B28" s="1" t="s">
        <v>45</v>
      </c>
      <c r="C28">
        <v>79861</v>
      </c>
      <c r="D28">
        <v>17841</v>
      </c>
      <c r="E28">
        <v>1970</v>
      </c>
      <c r="F28">
        <v>38463</v>
      </c>
      <c r="G28">
        <v>396131</v>
      </c>
      <c r="H28">
        <v>56980</v>
      </c>
      <c r="I28">
        <v>5103</v>
      </c>
      <c r="J28">
        <v>71163</v>
      </c>
      <c r="K28">
        <v>82614</v>
      </c>
      <c r="L28">
        <v>23447</v>
      </c>
      <c r="M28">
        <v>2029</v>
      </c>
      <c r="N28">
        <v>47529</v>
      </c>
      <c r="O28">
        <v>18824</v>
      </c>
      <c r="P28">
        <v>0</v>
      </c>
      <c r="Q28">
        <v>0</v>
      </c>
      <c r="R28">
        <v>1064</v>
      </c>
      <c r="S28">
        <v>7257</v>
      </c>
      <c r="T28">
        <v>0</v>
      </c>
      <c r="U28">
        <v>0</v>
      </c>
      <c r="V28">
        <v>175</v>
      </c>
      <c r="W28">
        <v>2449</v>
      </c>
      <c r="X28">
        <v>0</v>
      </c>
      <c r="Y28">
        <v>0</v>
      </c>
      <c r="Z28">
        <v>211</v>
      </c>
      <c r="AA28">
        <v>790</v>
      </c>
      <c r="AB28">
        <v>351</v>
      </c>
      <c r="AC28">
        <v>324</v>
      </c>
      <c r="AD28">
        <v>642</v>
      </c>
    </row>
    <row r="29" spans="1:30" x14ac:dyDescent="0.4">
      <c r="A29" s="1" t="s">
        <v>46</v>
      </c>
      <c r="B29" s="1" t="s">
        <v>47</v>
      </c>
      <c r="C29">
        <v>49993</v>
      </c>
      <c r="D29">
        <v>15764</v>
      </c>
      <c r="E29">
        <v>1790</v>
      </c>
      <c r="F29">
        <v>33016</v>
      </c>
      <c r="G29">
        <v>243366</v>
      </c>
      <c r="H29">
        <v>37492</v>
      </c>
      <c r="I29">
        <v>3414</v>
      </c>
      <c r="J29">
        <v>59953</v>
      </c>
      <c r="K29">
        <v>79193</v>
      </c>
      <c r="L29">
        <v>18808</v>
      </c>
      <c r="M29">
        <v>1546</v>
      </c>
      <c r="N29">
        <v>54306</v>
      </c>
      <c r="O29">
        <v>17789</v>
      </c>
      <c r="P29">
        <v>0</v>
      </c>
      <c r="Q29">
        <v>0</v>
      </c>
      <c r="R29">
        <v>964</v>
      </c>
      <c r="S29">
        <v>7134</v>
      </c>
      <c r="T29">
        <v>0</v>
      </c>
      <c r="U29">
        <v>0</v>
      </c>
      <c r="V29">
        <v>161</v>
      </c>
      <c r="W29">
        <v>2135</v>
      </c>
      <c r="X29">
        <v>0</v>
      </c>
      <c r="Y29">
        <v>0</v>
      </c>
      <c r="Z29">
        <v>62</v>
      </c>
      <c r="AA29">
        <v>1027</v>
      </c>
      <c r="AB29">
        <v>411</v>
      </c>
      <c r="AC29">
        <v>419</v>
      </c>
      <c r="AD29">
        <v>673</v>
      </c>
    </row>
    <row r="30" spans="1:30" x14ac:dyDescent="0.4">
      <c r="A30" s="1" t="s">
        <v>48</v>
      </c>
      <c r="B30" s="1" t="s">
        <v>49</v>
      </c>
      <c r="C30">
        <v>67717</v>
      </c>
      <c r="D30">
        <v>14238</v>
      </c>
      <c r="E30">
        <v>1557</v>
      </c>
      <c r="F30">
        <v>36349</v>
      </c>
      <c r="G30">
        <v>383312</v>
      </c>
      <c r="H30">
        <v>50227</v>
      </c>
      <c r="I30">
        <v>4335</v>
      </c>
      <c r="J30">
        <v>77646</v>
      </c>
      <c r="K30">
        <v>80771</v>
      </c>
      <c r="L30">
        <v>21417</v>
      </c>
      <c r="M30">
        <v>1827</v>
      </c>
      <c r="N30">
        <v>51491</v>
      </c>
      <c r="O30">
        <v>15114</v>
      </c>
      <c r="P30">
        <v>0</v>
      </c>
      <c r="Q30">
        <v>0</v>
      </c>
      <c r="R30">
        <v>1113</v>
      </c>
      <c r="S30">
        <v>6480</v>
      </c>
      <c r="T30">
        <v>0</v>
      </c>
      <c r="U30">
        <v>0</v>
      </c>
      <c r="V30">
        <v>159</v>
      </c>
      <c r="W30">
        <v>1187</v>
      </c>
      <c r="X30">
        <v>0</v>
      </c>
      <c r="Y30">
        <v>0</v>
      </c>
      <c r="Z30">
        <v>162</v>
      </c>
      <c r="AA30">
        <v>905</v>
      </c>
      <c r="AB30">
        <v>271</v>
      </c>
      <c r="AC30">
        <v>274</v>
      </c>
      <c r="AD30">
        <v>698</v>
      </c>
    </row>
    <row r="31" spans="1:30" x14ac:dyDescent="0.4">
      <c r="A31" s="1" t="s">
        <v>50</v>
      </c>
      <c r="B31" s="1" t="s">
        <v>51</v>
      </c>
      <c r="C31">
        <v>82400</v>
      </c>
      <c r="D31">
        <v>17956</v>
      </c>
      <c r="E31">
        <v>1961</v>
      </c>
      <c r="F31">
        <v>41391</v>
      </c>
      <c r="G31">
        <v>414811</v>
      </c>
      <c r="H31">
        <v>53120</v>
      </c>
      <c r="I31">
        <v>4503</v>
      </c>
      <c r="J31">
        <v>77729</v>
      </c>
      <c r="K31">
        <v>83507</v>
      </c>
      <c r="L31">
        <v>21587</v>
      </c>
      <c r="M31">
        <v>1818</v>
      </c>
      <c r="N31">
        <v>45155</v>
      </c>
      <c r="O31">
        <v>16523</v>
      </c>
      <c r="P31">
        <v>0</v>
      </c>
      <c r="Q31">
        <v>0</v>
      </c>
      <c r="R31">
        <v>1265</v>
      </c>
      <c r="S31">
        <v>7774</v>
      </c>
      <c r="T31">
        <v>0</v>
      </c>
      <c r="U31">
        <v>0</v>
      </c>
      <c r="V31">
        <v>168</v>
      </c>
      <c r="W31">
        <v>2772</v>
      </c>
      <c r="X31">
        <v>0</v>
      </c>
      <c r="Y31">
        <v>0</v>
      </c>
      <c r="Z31">
        <v>63</v>
      </c>
      <c r="AA31">
        <v>812</v>
      </c>
      <c r="AB31">
        <v>116</v>
      </c>
      <c r="AC31">
        <v>69</v>
      </c>
      <c r="AD31">
        <v>837</v>
      </c>
    </row>
    <row r="32" spans="1:30" x14ac:dyDescent="0.4">
      <c r="A32" s="1" t="s">
        <v>52</v>
      </c>
      <c r="B32" s="1" t="s">
        <v>53</v>
      </c>
      <c r="C32">
        <v>76158</v>
      </c>
      <c r="D32">
        <v>18581</v>
      </c>
      <c r="E32">
        <v>2016</v>
      </c>
      <c r="F32">
        <v>37940</v>
      </c>
      <c r="G32">
        <v>425209</v>
      </c>
      <c r="H32">
        <v>53591</v>
      </c>
      <c r="I32">
        <v>4465</v>
      </c>
      <c r="J32">
        <v>85719</v>
      </c>
      <c r="K32">
        <v>84376</v>
      </c>
      <c r="L32">
        <v>20889</v>
      </c>
      <c r="M32">
        <v>1712</v>
      </c>
      <c r="N32">
        <v>44344</v>
      </c>
      <c r="O32">
        <v>16466</v>
      </c>
      <c r="P32">
        <v>0</v>
      </c>
      <c r="Q32">
        <v>0</v>
      </c>
      <c r="R32">
        <v>1256</v>
      </c>
      <c r="S32">
        <v>6863</v>
      </c>
      <c r="T32">
        <v>0</v>
      </c>
      <c r="U32">
        <v>0</v>
      </c>
      <c r="V32">
        <v>169</v>
      </c>
      <c r="W32">
        <v>2523</v>
      </c>
      <c r="X32">
        <v>0</v>
      </c>
      <c r="Y32">
        <v>0</v>
      </c>
      <c r="Z32">
        <v>131</v>
      </c>
      <c r="AA32">
        <v>642</v>
      </c>
      <c r="AB32">
        <v>380</v>
      </c>
      <c r="AC32">
        <v>381</v>
      </c>
      <c r="AD32">
        <v>688</v>
      </c>
    </row>
    <row r="33" spans="1:30" x14ac:dyDescent="0.4">
      <c r="A33" s="1" t="s">
        <v>54</v>
      </c>
      <c r="B33" s="1" t="s">
        <v>55</v>
      </c>
      <c r="C33">
        <v>79263</v>
      </c>
      <c r="D33">
        <v>20345</v>
      </c>
      <c r="E33">
        <v>2246</v>
      </c>
      <c r="F33">
        <v>36525</v>
      </c>
      <c r="G33">
        <v>391707</v>
      </c>
      <c r="H33">
        <v>57876</v>
      </c>
      <c r="I33">
        <v>4987</v>
      </c>
      <c r="J33">
        <v>81321</v>
      </c>
      <c r="K33">
        <v>89303</v>
      </c>
      <c r="L33">
        <v>25128</v>
      </c>
      <c r="M33">
        <v>2110</v>
      </c>
      <c r="N33">
        <v>42220</v>
      </c>
      <c r="O33">
        <v>15107</v>
      </c>
      <c r="P33">
        <v>0</v>
      </c>
      <c r="Q33">
        <v>0</v>
      </c>
      <c r="R33">
        <v>1209</v>
      </c>
      <c r="S33">
        <v>4241</v>
      </c>
      <c r="T33">
        <v>0</v>
      </c>
      <c r="U33">
        <v>0</v>
      </c>
      <c r="V33">
        <v>104</v>
      </c>
      <c r="W33">
        <v>2231</v>
      </c>
      <c r="X33">
        <v>0</v>
      </c>
      <c r="Y33">
        <v>0</v>
      </c>
      <c r="Z33">
        <v>164</v>
      </c>
      <c r="AA33">
        <v>990</v>
      </c>
      <c r="AB33">
        <v>311</v>
      </c>
      <c r="AC33">
        <v>321</v>
      </c>
      <c r="AD33">
        <v>826</v>
      </c>
    </row>
    <row r="34" spans="1:30" x14ac:dyDescent="0.4">
      <c r="A34" s="1" t="s">
        <v>56</v>
      </c>
      <c r="B34" s="1" t="s">
        <v>57</v>
      </c>
      <c r="C34">
        <v>72079</v>
      </c>
      <c r="D34">
        <v>18435</v>
      </c>
      <c r="E34">
        <v>2037</v>
      </c>
      <c r="F34">
        <v>36213</v>
      </c>
      <c r="G34">
        <v>341344</v>
      </c>
      <c r="H34">
        <v>49540</v>
      </c>
      <c r="I34">
        <v>4238</v>
      </c>
      <c r="J34">
        <v>70867</v>
      </c>
      <c r="K34">
        <v>84206</v>
      </c>
      <c r="L34">
        <v>21284</v>
      </c>
      <c r="M34">
        <v>1843</v>
      </c>
      <c r="N34">
        <v>44262</v>
      </c>
      <c r="O34">
        <v>16226</v>
      </c>
      <c r="P34">
        <v>0</v>
      </c>
      <c r="Q34">
        <v>0</v>
      </c>
      <c r="R34">
        <v>1125</v>
      </c>
      <c r="S34">
        <v>5698</v>
      </c>
      <c r="T34">
        <v>0</v>
      </c>
      <c r="U34">
        <v>0</v>
      </c>
      <c r="V34">
        <v>154</v>
      </c>
      <c r="W34">
        <v>2445</v>
      </c>
      <c r="X34">
        <v>0</v>
      </c>
      <c r="Y34">
        <v>0</v>
      </c>
      <c r="Z34">
        <v>232</v>
      </c>
      <c r="AA34">
        <v>772</v>
      </c>
      <c r="AB34">
        <v>418</v>
      </c>
      <c r="AC34">
        <v>431</v>
      </c>
      <c r="AD34">
        <v>788</v>
      </c>
    </row>
    <row r="35" spans="1:30" x14ac:dyDescent="0.4">
      <c r="A35" s="1" t="s">
        <v>58</v>
      </c>
      <c r="B35" s="1" t="s">
        <v>59</v>
      </c>
      <c r="C35">
        <v>70585</v>
      </c>
      <c r="D35">
        <v>18967</v>
      </c>
      <c r="E35">
        <v>2045</v>
      </c>
      <c r="F35">
        <v>36215</v>
      </c>
      <c r="G35">
        <v>352168</v>
      </c>
      <c r="H35">
        <v>44469</v>
      </c>
      <c r="I35">
        <v>4001</v>
      </c>
      <c r="J35">
        <v>75166</v>
      </c>
      <c r="K35">
        <v>86928</v>
      </c>
      <c r="L35">
        <v>23319</v>
      </c>
      <c r="M35">
        <v>1950</v>
      </c>
      <c r="N35">
        <v>46574</v>
      </c>
      <c r="O35">
        <v>13676</v>
      </c>
      <c r="P35">
        <v>0</v>
      </c>
      <c r="Q35">
        <v>0</v>
      </c>
      <c r="R35">
        <v>948</v>
      </c>
      <c r="S35">
        <v>5930</v>
      </c>
      <c r="T35">
        <v>0</v>
      </c>
      <c r="U35">
        <v>0</v>
      </c>
      <c r="V35">
        <v>167</v>
      </c>
      <c r="W35">
        <v>1814</v>
      </c>
      <c r="X35">
        <v>0</v>
      </c>
      <c r="Y35">
        <v>0</v>
      </c>
      <c r="Z35">
        <v>153</v>
      </c>
      <c r="AA35">
        <v>736</v>
      </c>
      <c r="AB35">
        <v>263</v>
      </c>
      <c r="AC35">
        <v>262</v>
      </c>
      <c r="AD35">
        <v>775</v>
      </c>
    </row>
    <row r="36" spans="1:30" x14ac:dyDescent="0.4">
      <c r="A36" s="1" t="s">
        <v>60</v>
      </c>
      <c r="B36" s="1" t="s">
        <v>61</v>
      </c>
      <c r="C36">
        <v>74151</v>
      </c>
      <c r="D36">
        <v>15703</v>
      </c>
      <c r="E36">
        <v>1699</v>
      </c>
      <c r="F36">
        <v>45322</v>
      </c>
      <c r="G36">
        <v>348075</v>
      </c>
      <c r="H36">
        <v>46143</v>
      </c>
      <c r="I36">
        <v>4007</v>
      </c>
      <c r="J36">
        <v>80337</v>
      </c>
      <c r="K36">
        <v>87668</v>
      </c>
      <c r="L36">
        <v>23896</v>
      </c>
      <c r="M36">
        <v>2113</v>
      </c>
      <c r="N36">
        <v>47672</v>
      </c>
      <c r="O36">
        <v>13992</v>
      </c>
      <c r="P36">
        <v>0</v>
      </c>
      <c r="Q36">
        <v>0</v>
      </c>
      <c r="R36">
        <v>846</v>
      </c>
      <c r="S36">
        <v>7604</v>
      </c>
      <c r="T36">
        <v>0</v>
      </c>
      <c r="U36">
        <v>0</v>
      </c>
      <c r="V36">
        <v>167</v>
      </c>
      <c r="W36">
        <v>2380</v>
      </c>
      <c r="X36">
        <v>0</v>
      </c>
      <c r="Y36">
        <v>0</v>
      </c>
      <c r="Z36">
        <v>205</v>
      </c>
      <c r="AA36">
        <v>665</v>
      </c>
      <c r="AB36">
        <v>365</v>
      </c>
      <c r="AC36">
        <v>357</v>
      </c>
      <c r="AD36">
        <v>589</v>
      </c>
    </row>
    <row r="37" spans="1:30" x14ac:dyDescent="0.4">
      <c r="A37" s="1" t="s">
        <v>62</v>
      </c>
      <c r="B37" s="1" t="s">
        <v>63</v>
      </c>
      <c r="C37">
        <v>75363</v>
      </c>
      <c r="D37">
        <v>18970</v>
      </c>
      <c r="E37">
        <v>2061</v>
      </c>
      <c r="F37">
        <v>52326</v>
      </c>
      <c r="G37">
        <v>353875</v>
      </c>
      <c r="H37">
        <v>55859</v>
      </c>
      <c r="I37">
        <v>4924</v>
      </c>
      <c r="J37">
        <v>79673</v>
      </c>
      <c r="K37">
        <v>96728</v>
      </c>
      <c r="L37">
        <v>20792</v>
      </c>
      <c r="M37">
        <v>1826</v>
      </c>
      <c r="N37">
        <v>52663</v>
      </c>
      <c r="O37">
        <v>11508</v>
      </c>
      <c r="P37">
        <v>0</v>
      </c>
      <c r="Q37">
        <v>0</v>
      </c>
      <c r="R37">
        <v>934</v>
      </c>
      <c r="S37">
        <v>5873</v>
      </c>
      <c r="T37">
        <v>0</v>
      </c>
      <c r="U37">
        <v>0</v>
      </c>
      <c r="V37">
        <v>153</v>
      </c>
      <c r="W37">
        <v>900</v>
      </c>
      <c r="X37">
        <v>0</v>
      </c>
      <c r="Y37">
        <v>0</v>
      </c>
      <c r="Z37">
        <v>176</v>
      </c>
      <c r="AA37">
        <v>719</v>
      </c>
      <c r="AB37">
        <v>269</v>
      </c>
      <c r="AC37">
        <v>255</v>
      </c>
      <c r="AD37">
        <v>570</v>
      </c>
    </row>
    <row r="38" spans="1:30" x14ac:dyDescent="0.4">
      <c r="A38" s="1" t="s">
        <v>64</v>
      </c>
      <c r="B38" s="1" t="s">
        <v>65</v>
      </c>
      <c r="C38">
        <v>72780</v>
      </c>
      <c r="D38">
        <v>24208</v>
      </c>
      <c r="E38">
        <v>2652</v>
      </c>
      <c r="F38">
        <v>44951</v>
      </c>
      <c r="G38">
        <v>419274</v>
      </c>
      <c r="H38">
        <v>53337</v>
      </c>
      <c r="I38">
        <v>4916</v>
      </c>
      <c r="J38">
        <v>86178</v>
      </c>
      <c r="K38">
        <v>95433</v>
      </c>
      <c r="L38">
        <v>29216</v>
      </c>
      <c r="M38">
        <v>2574</v>
      </c>
      <c r="N38">
        <v>47372</v>
      </c>
      <c r="O38">
        <v>14025</v>
      </c>
      <c r="P38">
        <v>0</v>
      </c>
      <c r="Q38">
        <v>0</v>
      </c>
      <c r="R38">
        <v>957</v>
      </c>
      <c r="S38">
        <v>6657</v>
      </c>
      <c r="T38">
        <v>0</v>
      </c>
      <c r="U38">
        <v>0</v>
      </c>
      <c r="V38">
        <v>182</v>
      </c>
      <c r="W38">
        <v>2064</v>
      </c>
      <c r="X38">
        <v>0</v>
      </c>
      <c r="Y38">
        <v>0</v>
      </c>
      <c r="Z38">
        <v>159</v>
      </c>
      <c r="AA38">
        <v>650</v>
      </c>
      <c r="AB38">
        <v>378</v>
      </c>
      <c r="AC38">
        <v>346</v>
      </c>
      <c r="AD38">
        <v>541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05D1-F1EC-482D-AA01-E8D21CC44F38}">
  <dimension ref="A1:DV40"/>
  <sheetViews>
    <sheetView workbookViewId="0">
      <selection activeCell="C9" sqref="C9"/>
    </sheetView>
  </sheetViews>
  <sheetFormatPr defaultColWidth="15.62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1994</v>
      </c>
      <c r="D3" t="s">
        <v>1994</v>
      </c>
      <c r="E3" t="s">
        <v>1994</v>
      </c>
      <c r="F3" t="s">
        <v>1994</v>
      </c>
      <c r="G3" t="s">
        <v>1996</v>
      </c>
      <c r="H3" t="s">
        <v>1996</v>
      </c>
      <c r="I3" t="s">
        <v>1996</v>
      </c>
      <c r="J3" t="s">
        <v>1996</v>
      </c>
      <c r="K3" t="s">
        <v>1998</v>
      </c>
      <c r="L3" t="s">
        <v>1998</v>
      </c>
      <c r="M3" t="s">
        <v>1998</v>
      </c>
      <c r="N3" t="s">
        <v>1998</v>
      </c>
      <c r="O3" t="s">
        <v>2000</v>
      </c>
      <c r="P3" t="s">
        <v>2000</v>
      </c>
      <c r="Q3" t="s">
        <v>2000</v>
      </c>
      <c r="R3" t="s">
        <v>2000</v>
      </c>
      <c r="S3" t="s">
        <v>2002</v>
      </c>
      <c r="T3" t="s">
        <v>2002</v>
      </c>
      <c r="U3" t="s">
        <v>2002</v>
      </c>
      <c r="V3" t="s">
        <v>2002</v>
      </c>
      <c r="W3" t="s">
        <v>2004</v>
      </c>
      <c r="X3" t="s">
        <v>2004</v>
      </c>
      <c r="Y3" t="s">
        <v>2004</v>
      </c>
      <c r="Z3" t="s">
        <v>2004</v>
      </c>
      <c r="AA3" t="s">
        <v>2006</v>
      </c>
      <c r="AB3" t="s">
        <v>2006</v>
      </c>
      <c r="AC3" t="s">
        <v>2006</v>
      </c>
      <c r="AD3" t="s">
        <v>2006</v>
      </c>
      <c r="AE3" t="s">
        <v>2008</v>
      </c>
      <c r="AF3" t="s">
        <v>2008</v>
      </c>
      <c r="AG3" t="s">
        <v>2008</v>
      </c>
      <c r="AH3" t="s">
        <v>2008</v>
      </c>
      <c r="AI3" t="s">
        <v>2010</v>
      </c>
      <c r="AJ3" t="s">
        <v>2010</v>
      </c>
      <c r="AK3" t="s">
        <v>2010</v>
      </c>
      <c r="AL3" t="s">
        <v>2010</v>
      </c>
      <c r="AM3" t="s">
        <v>2012</v>
      </c>
      <c r="AN3" t="s">
        <v>2012</v>
      </c>
      <c r="AO3" t="s">
        <v>2012</v>
      </c>
      <c r="AP3" t="s">
        <v>2012</v>
      </c>
      <c r="AQ3" t="s">
        <v>2014</v>
      </c>
      <c r="AR3" t="s">
        <v>2014</v>
      </c>
      <c r="AS3" t="s">
        <v>2014</v>
      </c>
      <c r="AT3" t="s">
        <v>2014</v>
      </c>
      <c r="AU3" t="s">
        <v>2016</v>
      </c>
      <c r="AV3" t="s">
        <v>2016</v>
      </c>
      <c r="AW3" t="s">
        <v>2016</v>
      </c>
      <c r="AX3" t="s">
        <v>2016</v>
      </c>
      <c r="AY3" t="s">
        <v>2018</v>
      </c>
      <c r="AZ3" t="s">
        <v>2018</v>
      </c>
      <c r="BA3" t="s">
        <v>2018</v>
      </c>
      <c r="BB3" t="s">
        <v>2018</v>
      </c>
      <c r="BC3" t="s">
        <v>2020</v>
      </c>
      <c r="BD3" t="s">
        <v>2020</v>
      </c>
      <c r="BE3" t="s">
        <v>2020</v>
      </c>
      <c r="BF3" t="s">
        <v>2020</v>
      </c>
      <c r="BG3" t="s">
        <v>2022</v>
      </c>
      <c r="BH3" t="s">
        <v>2022</v>
      </c>
      <c r="BI3" t="s">
        <v>2022</v>
      </c>
      <c r="BJ3" t="s">
        <v>2022</v>
      </c>
      <c r="BK3" t="s">
        <v>2024</v>
      </c>
      <c r="BL3" t="s">
        <v>2024</v>
      </c>
      <c r="BM3" t="s">
        <v>2024</v>
      </c>
      <c r="BN3" t="s">
        <v>2024</v>
      </c>
      <c r="BO3" t="s">
        <v>2026</v>
      </c>
      <c r="BP3" t="s">
        <v>2026</v>
      </c>
      <c r="BQ3" t="s">
        <v>2026</v>
      </c>
      <c r="BR3" t="s">
        <v>2026</v>
      </c>
      <c r="BS3" t="s">
        <v>2028</v>
      </c>
      <c r="BT3" t="s">
        <v>2028</v>
      </c>
      <c r="BU3" t="s">
        <v>2028</v>
      </c>
      <c r="BV3" t="s">
        <v>2028</v>
      </c>
      <c r="BW3" t="s">
        <v>2030</v>
      </c>
      <c r="BX3" t="s">
        <v>2030</v>
      </c>
      <c r="BY3" t="s">
        <v>2030</v>
      </c>
      <c r="BZ3" t="s">
        <v>2030</v>
      </c>
      <c r="CA3" t="s">
        <v>2032</v>
      </c>
      <c r="CB3" t="s">
        <v>2032</v>
      </c>
      <c r="CC3" t="s">
        <v>2032</v>
      </c>
      <c r="CD3" t="s">
        <v>2032</v>
      </c>
      <c r="CE3" t="s">
        <v>2034</v>
      </c>
      <c r="CF3" t="s">
        <v>2034</v>
      </c>
      <c r="CG3" t="s">
        <v>2034</v>
      </c>
      <c r="CH3" t="s">
        <v>2034</v>
      </c>
      <c r="CI3" t="s">
        <v>2036</v>
      </c>
      <c r="CJ3" t="s">
        <v>2036</v>
      </c>
      <c r="CK3" t="s">
        <v>2036</v>
      </c>
      <c r="CL3" t="s">
        <v>2036</v>
      </c>
      <c r="CM3" t="s">
        <v>2038</v>
      </c>
      <c r="CN3" t="s">
        <v>2038</v>
      </c>
      <c r="CO3" t="s">
        <v>2038</v>
      </c>
      <c r="CP3" t="s">
        <v>2038</v>
      </c>
      <c r="CQ3" t="s">
        <v>2040</v>
      </c>
      <c r="CR3" t="s">
        <v>2040</v>
      </c>
      <c r="CS3" t="s">
        <v>2040</v>
      </c>
      <c r="CT3" t="s">
        <v>2040</v>
      </c>
      <c r="CU3" t="s">
        <v>2042</v>
      </c>
      <c r="CV3" t="s">
        <v>2042</v>
      </c>
      <c r="CW3" t="s">
        <v>2042</v>
      </c>
      <c r="CX3" t="s">
        <v>2042</v>
      </c>
      <c r="CY3" t="s">
        <v>2044</v>
      </c>
      <c r="CZ3" t="s">
        <v>2044</v>
      </c>
      <c r="DA3" t="s">
        <v>2044</v>
      </c>
      <c r="DB3" t="s">
        <v>2044</v>
      </c>
      <c r="DC3" t="s">
        <v>2046</v>
      </c>
      <c r="DD3" t="s">
        <v>2046</v>
      </c>
      <c r="DE3" t="s">
        <v>2046</v>
      </c>
      <c r="DF3" t="s">
        <v>2046</v>
      </c>
      <c r="DG3" t="s">
        <v>2048</v>
      </c>
      <c r="DH3" t="s">
        <v>2048</v>
      </c>
      <c r="DI3" t="s">
        <v>2048</v>
      </c>
      <c r="DJ3" t="s">
        <v>2048</v>
      </c>
      <c r="DK3" t="s">
        <v>2050</v>
      </c>
      <c r="DL3" t="s">
        <v>2050</v>
      </c>
      <c r="DM3" t="s">
        <v>2050</v>
      </c>
      <c r="DN3" t="s">
        <v>2050</v>
      </c>
      <c r="DO3" t="s">
        <v>2052</v>
      </c>
      <c r="DP3" t="s">
        <v>2052</v>
      </c>
      <c r="DQ3" t="s">
        <v>2052</v>
      </c>
      <c r="DR3" t="s">
        <v>2052</v>
      </c>
      <c r="DS3" t="s">
        <v>2054</v>
      </c>
      <c r="DT3" t="s">
        <v>2054</v>
      </c>
      <c r="DU3" t="s">
        <v>2054</v>
      </c>
      <c r="DV3" t="s">
        <v>2054</v>
      </c>
    </row>
    <row r="4" spans="1:126" x14ac:dyDescent="0.4">
      <c r="A4" s="1"/>
      <c r="B4" s="2" t="s">
        <v>1</v>
      </c>
      <c r="C4" t="s">
        <v>1995</v>
      </c>
      <c r="D4" t="s">
        <v>1995</v>
      </c>
      <c r="E4" t="s">
        <v>1995</v>
      </c>
      <c r="F4" t="s">
        <v>1995</v>
      </c>
      <c r="G4" t="s">
        <v>1997</v>
      </c>
      <c r="H4" t="s">
        <v>1997</v>
      </c>
      <c r="I4" t="s">
        <v>1997</v>
      </c>
      <c r="J4" t="s">
        <v>1997</v>
      </c>
      <c r="K4" t="s">
        <v>1999</v>
      </c>
      <c r="L4" t="s">
        <v>1999</v>
      </c>
      <c r="M4" t="s">
        <v>1999</v>
      </c>
      <c r="N4" t="s">
        <v>1999</v>
      </c>
      <c r="O4" t="s">
        <v>2001</v>
      </c>
      <c r="P4" t="s">
        <v>2001</v>
      </c>
      <c r="Q4" t="s">
        <v>2001</v>
      </c>
      <c r="R4" t="s">
        <v>2001</v>
      </c>
      <c r="S4" t="s">
        <v>2003</v>
      </c>
      <c r="T4" t="s">
        <v>2003</v>
      </c>
      <c r="U4" t="s">
        <v>2003</v>
      </c>
      <c r="V4" t="s">
        <v>2003</v>
      </c>
      <c r="W4" t="s">
        <v>2005</v>
      </c>
      <c r="X4" t="s">
        <v>2005</v>
      </c>
      <c r="Y4" t="s">
        <v>2005</v>
      </c>
      <c r="Z4" t="s">
        <v>2005</v>
      </c>
      <c r="AA4" t="s">
        <v>2007</v>
      </c>
      <c r="AB4" t="s">
        <v>2007</v>
      </c>
      <c r="AC4" t="s">
        <v>2007</v>
      </c>
      <c r="AD4" t="s">
        <v>2007</v>
      </c>
      <c r="AE4" t="s">
        <v>2009</v>
      </c>
      <c r="AF4" t="s">
        <v>2009</v>
      </c>
      <c r="AG4" t="s">
        <v>2009</v>
      </c>
      <c r="AH4" t="s">
        <v>2009</v>
      </c>
      <c r="AI4" t="s">
        <v>2011</v>
      </c>
      <c r="AJ4" t="s">
        <v>2011</v>
      </c>
      <c r="AK4" t="s">
        <v>2011</v>
      </c>
      <c r="AL4" t="s">
        <v>2011</v>
      </c>
      <c r="AM4" t="s">
        <v>2013</v>
      </c>
      <c r="AN4" t="s">
        <v>2013</v>
      </c>
      <c r="AO4" t="s">
        <v>2013</v>
      </c>
      <c r="AP4" t="s">
        <v>2013</v>
      </c>
      <c r="AQ4" t="s">
        <v>2015</v>
      </c>
      <c r="AR4" t="s">
        <v>2015</v>
      </c>
      <c r="AS4" t="s">
        <v>2015</v>
      </c>
      <c r="AT4" t="s">
        <v>2015</v>
      </c>
      <c r="AU4" t="s">
        <v>2017</v>
      </c>
      <c r="AV4" t="s">
        <v>2017</v>
      </c>
      <c r="AW4" t="s">
        <v>2017</v>
      </c>
      <c r="AX4" t="s">
        <v>2017</v>
      </c>
      <c r="AY4" t="s">
        <v>2019</v>
      </c>
      <c r="AZ4" t="s">
        <v>2019</v>
      </c>
      <c r="BA4" t="s">
        <v>2019</v>
      </c>
      <c r="BB4" t="s">
        <v>2019</v>
      </c>
      <c r="BC4" t="s">
        <v>2021</v>
      </c>
      <c r="BD4" t="s">
        <v>2021</v>
      </c>
      <c r="BE4" t="s">
        <v>2021</v>
      </c>
      <c r="BF4" t="s">
        <v>2021</v>
      </c>
      <c r="BG4" t="s">
        <v>2023</v>
      </c>
      <c r="BH4" t="s">
        <v>2023</v>
      </c>
      <c r="BI4" t="s">
        <v>2023</v>
      </c>
      <c r="BJ4" t="s">
        <v>2023</v>
      </c>
      <c r="BK4" t="s">
        <v>2025</v>
      </c>
      <c r="BL4" t="s">
        <v>2025</v>
      </c>
      <c r="BM4" t="s">
        <v>2025</v>
      </c>
      <c r="BN4" t="s">
        <v>2025</v>
      </c>
      <c r="BO4" t="s">
        <v>2027</v>
      </c>
      <c r="BP4" t="s">
        <v>2027</v>
      </c>
      <c r="BQ4" t="s">
        <v>2027</v>
      </c>
      <c r="BR4" t="s">
        <v>2027</v>
      </c>
      <c r="BS4" t="s">
        <v>2029</v>
      </c>
      <c r="BT4" t="s">
        <v>2029</v>
      </c>
      <c r="BU4" t="s">
        <v>2029</v>
      </c>
      <c r="BV4" t="s">
        <v>2029</v>
      </c>
      <c r="BW4" t="s">
        <v>2031</v>
      </c>
      <c r="BX4" t="s">
        <v>2031</v>
      </c>
      <c r="BY4" t="s">
        <v>2031</v>
      </c>
      <c r="BZ4" t="s">
        <v>2031</v>
      </c>
      <c r="CA4" t="s">
        <v>2033</v>
      </c>
      <c r="CB4" t="s">
        <v>2033</v>
      </c>
      <c r="CC4" t="s">
        <v>2033</v>
      </c>
      <c r="CD4" t="s">
        <v>2033</v>
      </c>
      <c r="CE4" t="s">
        <v>2035</v>
      </c>
      <c r="CF4" t="s">
        <v>2035</v>
      </c>
      <c r="CG4" t="s">
        <v>2035</v>
      </c>
      <c r="CH4" t="s">
        <v>2035</v>
      </c>
      <c r="CI4" t="s">
        <v>2037</v>
      </c>
      <c r="CJ4" t="s">
        <v>2037</v>
      </c>
      <c r="CK4" t="s">
        <v>2037</v>
      </c>
      <c r="CL4" t="s">
        <v>2037</v>
      </c>
      <c r="CM4" t="s">
        <v>2039</v>
      </c>
      <c r="CN4" t="s">
        <v>2039</v>
      </c>
      <c r="CO4" t="s">
        <v>2039</v>
      </c>
      <c r="CP4" t="s">
        <v>2039</v>
      </c>
      <c r="CQ4" t="s">
        <v>2041</v>
      </c>
      <c r="CR4" t="s">
        <v>2041</v>
      </c>
      <c r="CS4" t="s">
        <v>2041</v>
      </c>
      <c r="CT4" t="s">
        <v>2041</v>
      </c>
      <c r="CU4" t="s">
        <v>2043</v>
      </c>
      <c r="CV4" t="s">
        <v>2043</v>
      </c>
      <c r="CW4" t="s">
        <v>2043</v>
      </c>
      <c r="CX4" t="s">
        <v>2043</v>
      </c>
      <c r="CY4" t="s">
        <v>2045</v>
      </c>
      <c r="CZ4" t="s">
        <v>2045</v>
      </c>
      <c r="DA4" t="s">
        <v>2045</v>
      </c>
      <c r="DB4" t="s">
        <v>2045</v>
      </c>
      <c r="DC4" t="s">
        <v>2047</v>
      </c>
      <c r="DD4" t="s">
        <v>2047</v>
      </c>
      <c r="DE4" t="s">
        <v>2047</v>
      </c>
      <c r="DF4" t="s">
        <v>2047</v>
      </c>
      <c r="DG4" t="s">
        <v>2049</v>
      </c>
      <c r="DH4" t="s">
        <v>2049</v>
      </c>
      <c r="DI4" t="s">
        <v>2049</v>
      </c>
      <c r="DJ4" t="s">
        <v>2049</v>
      </c>
      <c r="DK4" t="s">
        <v>2051</v>
      </c>
      <c r="DL4" t="s">
        <v>2051</v>
      </c>
      <c r="DM4" t="s">
        <v>2051</v>
      </c>
      <c r="DN4" t="s">
        <v>2051</v>
      </c>
      <c r="DO4" t="s">
        <v>2053</v>
      </c>
      <c r="DP4" t="s">
        <v>2053</v>
      </c>
      <c r="DQ4" t="s">
        <v>2053</v>
      </c>
      <c r="DR4" t="s">
        <v>2053</v>
      </c>
      <c r="DS4" t="s">
        <v>2055</v>
      </c>
      <c r="DT4" t="s">
        <v>2055</v>
      </c>
      <c r="DU4" t="s">
        <v>2055</v>
      </c>
      <c r="DV4" t="s">
        <v>2055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  <c r="AQ7" t="s">
        <v>70</v>
      </c>
      <c r="AR7" t="s">
        <v>70</v>
      </c>
      <c r="AS7" t="s">
        <v>258</v>
      </c>
      <c r="AT7" t="s">
        <v>70</v>
      </c>
      <c r="AU7" t="s">
        <v>70</v>
      </c>
      <c r="AV7" t="s">
        <v>70</v>
      </c>
      <c r="AW7" t="s">
        <v>258</v>
      </c>
      <c r="AX7" t="s">
        <v>70</v>
      </c>
      <c r="AY7" t="s">
        <v>70</v>
      </c>
      <c r="AZ7" t="s">
        <v>70</v>
      </c>
      <c r="BA7" t="s">
        <v>258</v>
      </c>
      <c r="BB7" t="s">
        <v>70</v>
      </c>
      <c r="BC7" t="s">
        <v>70</v>
      </c>
      <c r="BD7" t="s">
        <v>70</v>
      </c>
      <c r="BE7" t="s">
        <v>258</v>
      </c>
      <c r="BF7" t="s">
        <v>70</v>
      </c>
      <c r="BG7" t="s">
        <v>70</v>
      </c>
      <c r="BH7" t="s">
        <v>70</v>
      </c>
      <c r="BI7" t="s">
        <v>258</v>
      </c>
      <c r="BJ7" t="s">
        <v>70</v>
      </c>
      <c r="BK7" t="s">
        <v>70</v>
      </c>
      <c r="BL7" t="s">
        <v>70</v>
      </c>
      <c r="BM7" t="s">
        <v>258</v>
      </c>
      <c r="BN7" t="s">
        <v>70</v>
      </c>
      <c r="BO7" t="s">
        <v>70</v>
      </c>
      <c r="BP7" t="s">
        <v>70</v>
      </c>
      <c r="BQ7" t="s">
        <v>258</v>
      </c>
      <c r="BR7" t="s">
        <v>70</v>
      </c>
      <c r="BS7" t="s">
        <v>70</v>
      </c>
      <c r="BT7" t="s">
        <v>70</v>
      </c>
      <c r="BU7" t="s">
        <v>258</v>
      </c>
      <c r="BV7" t="s">
        <v>70</v>
      </c>
      <c r="BW7" t="s">
        <v>70</v>
      </c>
      <c r="BX7" t="s">
        <v>70</v>
      </c>
      <c r="BY7" t="s">
        <v>258</v>
      </c>
      <c r="BZ7" t="s">
        <v>70</v>
      </c>
      <c r="CA7" t="s">
        <v>70</v>
      </c>
      <c r="CB7" t="s">
        <v>70</v>
      </c>
      <c r="CC7" t="s">
        <v>258</v>
      </c>
      <c r="CD7" t="s">
        <v>70</v>
      </c>
      <c r="CE7" t="s">
        <v>70</v>
      </c>
      <c r="CF7" t="s">
        <v>70</v>
      </c>
      <c r="CG7" t="s">
        <v>258</v>
      </c>
      <c r="CH7" t="s">
        <v>70</v>
      </c>
      <c r="CI7" t="s">
        <v>70</v>
      </c>
      <c r="CJ7" t="s">
        <v>70</v>
      </c>
      <c r="CK7" t="s">
        <v>258</v>
      </c>
      <c r="CL7" t="s">
        <v>70</v>
      </c>
      <c r="CM7" t="s">
        <v>70</v>
      </c>
      <c r="CN7" t="s">
        <v>70</v>
      </c>
      <c r="CO7" t="s">
        <v>258</v>
      </c>
      <c r="CP7" t="s">
        <v>70</v>
      </c>
      <c r="CQ7" t="s">
        <v>70</v>
      </c>
      <c r="CR7" t="s">
        <v>70</v>
      </c>
      <c r="CS7" t="s">
        <v>258</v>
      </c>
      <c r="CT7" t="s">
        <v>70</v>
      </c>
      <c r="CU7" t="s">
        <v>70</v>
      </c>
      <c r="CV7" t="s">
        <v>70</v>
      </c>
      <c r="CW7" t="s">
        <v>258</v>
      </c>
      <c r="CX7" t="s">
        <v>70</v>
      </c>
      <c r="CY7" t="s">
        <v>70</v>
      </c>
      <c r="CZ7" t="s">
        <v>70</v>
      </c>
      <c r="DA7" t="s">
        <v>258</v>
      </c>
      <c r="DB7" t="s">
        <v>70</v>
      </c>
      <c r="DC7" t="s">
        <v>70</v>
      </c>
      <c r="DD7" t="s">
        <v>70</v>
      </c>
      <c r="DE7" t="s">
        <v>258</v>
      </c>
      <c r="DF7" t="s">
        <v>70</v>
      </c>
      <c r="DG7" t="s">
        <v>70</v>
      </c>
      <c r="DH7" t="s">
        <v>70</v>
      </c>
      <c r="DI7" t="s">
        <v>258</v>
      </c>
      <c r="DJ7" t="s">
        <v>70</v>
      </c>
      <c r="DK7" t="s">
        <v>70</v>
      </c>
      <c r="DL7" t="s">
        <v>70</v>
      </c>
      <c r="DM7" t="s">
        <v>258</v>
      </c>
      <c r="DN7" t="s">
        <v>70</v>
      </c>
      <c r="DO7" t="s">
        <v>70</v>
      </c>
      <c r="DP7" t="s">
        <v>70</v>
      </c>
      <c r="DQ7" t="s">
        <v>258</v>
      </c>
      <c r="DR7" t="s">
        <v>70</v>
      </c>
      <c r="DS7" t="s">
        <v>70</v>
      </c>
      <c r="DT7" t="s">
        <v>70</v>
      </c>
      <c r="DU7" t="s">
        <v>258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  <c r="AQ8" t="s">
        <v>70</v>
      </c>
      <c r="AR8" t="s">
        <v>70</v>
      </c>
      <c r="AS8" t="s">
        <v>260</v>
      </c>
      <c r="AT8" t="s">
        <v>70</v>
      </c>
      <c r="AU8" t="s">
        <v>70</v>
      </c>
      <c r="AV8" t="s">
        <v>70</v>
      </c>
      <c r="AW8" t="s">
        <v>260</v>
      </c>
      <c r="AX8" t="s">
        <v>70</v>
      </c>
      <c r="AY8" t="s">
        <v>70</v>
      </c>
      <c r="AZ8" t="s">
        <v>70</v>
      </c>
      <c r="BA8" t="s">
        <v>260</v>
      </c>
      <c r="BB8" t="s">
        <v>70</v>
      </c>
      <c r="BC8" t="s">
        <v>70</v>
      </c>
      <c r="BD8" t="s">
        <v>70</v>
      </c>
      <c r="BE8" t="s">
        <v>260</v>
      </c>
      <c r="BF8" t="s">
        <v>70</v>
      </c>
      <c r="BG8" t="s">
        <v>70</v>
      </c>
      <c r="BH8" t="s">
        <v>70</v>
      </c>
      <c r="BI8" t="s">
        <v>260</v>
      </c>
      <c r="BJ8" t="s">
        <v>70</v>
      </c>
      <c r="BK8" t="s">
        <v>70</v>
      </c>
      <c r="BL8" t="s">
        <v>70</v>
      </c>
      <c r="BM8" t="s">
        <v>260</v>
      </c>
      <c r="BN8" t="s">
        <v>70</v>
      </c>
      <c r="BO8" t="s">
        <v>70</v>
      </c>
      <c r="BP8" t="s">
        <v>70</v>
      </c>
      <c r="BQ8" t="s">
        <v>260</v>
      </c>
      <c r="BR8" t="s">
        <v>70</v>
      </c>
      <c r="BS8" t="s">
        <v>70</v>
      </c>
      <c r="BT8" t="s">
        <v>70</v>
      </c>
      <c r="BU8" t="s">
        <v>260</v>
      </c>
      <c r="BV8" t="s">
        <v>70</v>
      </c>
      <c r="BW8" t="s">
        <v>70</v>
      </c>
      <c r="BX8" t="s">
        <v>70</v>
      </c>
      <c r="BY8" t="s">
        <v>260</v>
      </c>
      <c r="BZ8" t="s">
        <v>70</v>
      </c>
      <c r="CA8" t="s">
        <v>70</v>
      </c>
      <c r="CB8" t="s">
        <v>70</v>
      </c>
      <c r="CC8" t="s">
        <v>260</v>
      </c>
      <c r="CD8" t="s">
        <v>70</v>
      </c>
      <c r="CE8" t="s">
        <v>70</v>
      </c>
      <c r="CF8" t="s">
        <v>70</v>
      </c>
      <c r="CG8" t="s">
        <v>260</v>
      </c>
      <c r="CH8" t="s">
        <v>70</v>
      </c>
      <c r="CI8" t="s">
        <v>70</v>
      </c>
      <c r="CJ8" t="s">
        <v>70</v>
      </c>
      <c r="CK8" t="s">
        <v>260</v>
      </c>
      <c r="CL8" t="s">
        <v>70</v>
      </c>
      <c r="CM8" t="s">
        <v>70</v>
      </c>
      <c r="CN8" t="s">
        <v>70</v>
      </c>
      <c r="CO8" t="s">
        <v>260</v>
      </c>
      <c r="CP8" t="s">
        <v>70</v>
      </c>
      <c r="CQ8" t="s">
        <v>70</v>
      </c>
      <c r="CR8" t="s">
        <v>70</v>
      </c>
      <c r="CS8" t="s">
        <v>260</v>
      </c>
      <c r="CT8" t="s">
        <v>70</v>
      </c>
      <c r="CU8" t="s">
        <v>70</v>
      </c>
      <c r="CV8" t="s">
        <v>70</v>
      </c>
      <c r="CW8" t="s">
        <v>260</v>
      </c>
      <c r="CX8" t="s">
        <v>70</v>
      </c>
      <c r="CY8" t="s">
        <v>70</v>
      </c>
      <c r="CZ8" t="s">
        <v>70</v>
      </c>
      <c r="DA8" t="s">
        <v>260</v>
      </c>
      <c r="DB8" t="s">
        <v>70</v>
      </c>
      <c r="DC8" t="s">
        <v>70</v>
      </c>
      <c r="DD8" t="s">
        <v>70</v>
      </c>
      <c r="DE8" t="s">
        <v>260</v>
      </c>
      <c r="DF8" t="s">
        <v>70</v>
      </c>
      <c r="DG8" t="s">
        <v>70</v>
      </c>
      <c r="DH8" t="s">
        <v>70</v>
      </c>
      <c r="DI8" t="s">
        <v>260</v>
      </c>
      <c r="DJ8" t="s">
        <v>70</v>
      </c>
      <c r="DK8" t="s">
        <v>70</v>
      </c>
      <c r="DL8" t="s">
        <v>70</v>
      </c>
      <c r="DM8" t="s">
        <v>260</v>
      </c>
      <c r="DN8" t="s">
        <v>70</v>
      </c>
      <c r="DO8" t="s">
        <v>70</v>
      </c>
      <c r="DP8" t="s">
        <v>70</v>
      </c>
      <c r="DQ8" t="s">
        <v>260</v>
      </c>
      <c r="DR8" t="s">
        <v>70</v>
      </c>
      <c r="DS8" t="s">
        <v>70</v>
      </c>
      <c r="DT8" t="s">
        <v>70</v>
      </c>
      <c r="DU8" t="s">
        <v>260</v>
      </c>
      <c r="DV8" t="s">
        <v>70</v>
      </c>
    </row>
    <row r="9" spans="1:126" x14ac:dyDescent="0.4">
      <c r="A9" s="1" t="s">
        <v>6</v>
      </c>
      <c r="B9" s="3" t="s">
        <v>7</v>
      </c>
      <c r="C9">
        <v>1977977</v>
      </c>
      <c r="D9">
        <v>1998303</v>
      </c>
      <c r="E9">
        <v>223874</v>
      </c>
      <c r="F9">
        <v>161423</v>
      </c>
      <c r="G9">
        <v>983050</v>
      </c>
      <c r="H9">
        <v>962893</v>
      </c>
      <c r="I9">
        <v>105247</v>
      </c>
      <c r="J9">
        <v>112233</v>
      </c>
      <c r="K9">
        <v>220909</v>
      </c>
      <c r="L9">
        <v>216902</v>
      </c>
      <c r="M9">
        <v>23894</v>
      </c>
      <c r="N9">
        <v>32577</v>
      </c>
      <c r="O9">
        <v>276257</v>
      </c>
      <c r="P9">
        <v>266594</v>
      </c>
      <c r="Q9">
        <v>23715</v>
      </c>
      <c r="R9">
        <v>47466</v>
      </c>
      <c r="S9">
        <v>19679</v>
      </c>
      <c r="T9">
        <v>20423</v>
      </c>
      <c r="U9">
        <v>5453</v>
      </c>
      <c r="V9">
        <v>3966</v>
      </c>
      <c r="W9">
        <v>806898</v>
      </c>
      <c r="X9">
        <v>798363</v>
      </c>
      <c r="Y9">
        <v>79769</v>
      </c>
      <c r="Z9">
        <v>81662</v>
      </c>
      <c r="AA9">
        <v>35618</v>
      </c>
      <c r="AB9">
        <v>35272</v>
      </c>
      <c r="AC9">
        <v>5071</v>
      </c>
      <c r="AD9">
        <v>5676</v>
      </c>
      <c r="AE9">
        <v>1454699</v>
      </c>
      <c r="AF9">
        <v>1451569</v>
      </c>
      <c r="AG9">
        <v>146755</v>
      </c>
      <c r="AH9">
        <v>147789</v>
      </c>
      <c r="AI9">
        <v>978830</v>
      </c>
      <c r="AJ9">
        <v>965079</v>
      </c>
      <c r="AK9">
        <v>91303</v>
      </c>
      <c r="AL9">
        <v>98571</v>
      </c>
      <c r="AM9">
        <v>192008</v>
      </c>
      <c r="AN9">
        <v>187200</v>
      </c>
      <c r="AO9">
        <v>25757</v>
      </c>
      <c r="AP9">
        <v>34816</v>
      </c>
      <c r="AQ9">
        <v>55485</v>
      </c>
      <c r="AR9">
        <v>54960</v>
      </c>
      <c r="AS9">
        <v>9451</v>
      </c>
      <c r="AT9">
        <v>23437</v>
      </c>
      <c r="AU9">
        <v>130586</v>
      </c>
      <c r="AV9">
        <v>131881</v>
      </c>
      <c r="AW9">
        <v>35366</v>
      </c>
      <c r="AX9">
        <v>26771</v>
      </c>
      <c r="AY9">
        <v>122097</v>
      </c>
      <c r="AZ9">
        <v>75643</v>
      </c>
      <c r="BA9">
        <v>8067</v>
      </c>
      <c r="BB9">
        <v>11790</v>
      </c>
      <c r="BC9">
        <v>207667</v>
      </c>
      <c r="BD9">
        <v>206007</v>
      </c>
      <c r="BE9">
        <v>24327</v>
      </c>
      <c r="BF9">
        <v>28559</v>
      </c>
      <c r="BG9">
        <v>682500</v>
      </c>
      <c r="BH9">
        <v>681436</v>
      </c>
      <c r="BI9">
        <v>78299</v>
      </c>
      <c r="BJ9">
        <v>83553</v>
      </c>
      <c r="BK9">
        <v>122732</v>
      </c>
      <c r="BL9">
        <v>58460</v>
      </c>
      <c r="BM9">
        <v>8230</v>
      </c>
      <c r="BN9">
        <v>13969</v>
      </c>
      <c r="BO9">
        <v>25378</v>
      </c>
      <c r="BP9">
        <v>24328</v>
      </c>
      <c r="BQ9">
        <v>6029</v>
      </c>
      <c r="BR9">
        <v>5263</v>
      </c>
      <c r="BS9">
        <v>334915</v>
      </c>
      <c r="BT9">
        <v>334128</v>
      </c>
      <c r="BU9">
        <v>32286</v>
      </c>
      <c r="BV9">
        <v>39611</v>
      </c>
      <c r="BW9">
        <v>215359</v>
      </c>
      <c r="BX9">
        <v>217592</v>
      </c>
      <c r="BY9">
        <v>23611</v>
      </c>
      <c r="BZ9">
        <v>25744</v>
      </c>
      <c r="CA9">
        <v>13183</v>
      </c>
      <c r="CB9">
        <v>13139</v>
      </c>
      <c r="CC9">
        <v>1819</v>
      </c>
      <c r="CD9">
        <v>2050</v>
      </c>
      <c r="CE9">
        <v>60830</v>
      </c>
      <c r="CF9">
        <v>60539</v>
      </c>
      <c r="CG9">
        <v>7910</v>
      </c>
      <c r="CH9">
        <v>5407</v>
      </c>
      <c r="CI9">
        <v>190367</v>
      </c>
      <c r="CJ9">
        <v>191195</v>
      </c>
      <c r="CK9">
        <v>23362</v>
      </c>
      <c r="CL9">
        <v>22898</v>
      </c>
      <c r="CM9">
        <v>16322</v>
      </c>
      <c r="CN9">
        <v>16988</v>
      </c>
      <c r="CO9">
        <v>3895</v>
      </c>
      <c r="CP9">
        <v>4735</v>
      </c>
      <c r="CQ9">
        <v>407139</v>
      </c>
      <c r="CR9">
        <v>406657</v>
      </c>
      <c r="CS9">
        <v>83298</v>
      </c>
      <c r="CT9">
        <v>13649</v>
      </c>
      <c r="CU9">
        <v>1048317</v>
      </c>
      <c r="CV9">
        <v>1049955</v>
      </c>
      <c r="CW9">
        <v>176295</v>
      </c>
      <c r="CX9">
        <v>51668</v>
      </c>
      <c r="CY9">
        <v>253531</v>
      </c>
      <c r="CZ9">
        <v>248698</v>
      </c>
      <c r="DA9">
        <v>46388</v>
      </c>
      <c r="DB9">
        <v>13398</v>
      </c>
      <c r="DC9">
        <v>88509</v>
      </c>
      <c r="DD9">
        <v>85879</v>
      </c>
      <c r="DE9">
        <v>19746</v>
      </c>
      <c r="DF9">
        <v>4021</v>
      </c>
      <c r="DG9">
        <v>597738</v>
      </c>
      <c r="DH9">
        <v>516172</v>
      </c>
      <c r="DI9">
        <v>91875</v>
      </c>
      <c r="DJ9">
        <v>69319</v>
      </c>
      <c r="DK9">
        <v>18208</v>
      </c>
      <c r="DL9">
        <v>14924</v>
      </c>
      <c r="DM9">
        <v>20429</v>
      </c>
      <c r="DN9">
        <v>4417</v>
      </c>
      <c r="DO9">
        <v>101640</v>
      </c>
      <c r="DP9">
        <v>101587</v>
      </c>
      <c r="DQ9">
        <v>34182</v>
      </c>
      <c r="DR9">
        <v>11773</v>
      </c>
      <c r="DS9">
        <v>42543</v>
      </c>
      <c r="DT9">
        <v>42474</v>
      </c>
      <c r="DU9">
        <v>21503</v>
      </c>
      <c r="DV9">
        <v>6229</v>
      </c>
    </row>
    <row r="10" spans="1:126" x14ac:dyDescent="0.4">
      <c r="A10" s="1" t="s">
        <v>8</v>
      </c>
      <c r="B10" s="3" t="s">
        <v>9</v>
      </c>
      <c r="C10">
        <v>1854152</v>
      </c>
      <c r="D10">
        <v>1861436</v>
      </c>
      <c r="E10">
        <v>207025</v>
      </c>
      <c r="F10">
        <v>151506</v>
      </c>
      <c r="G10">
        <v>904539</v>
      </c>
      <c r="H10">
        <v>918715</v>
      </c>
      <c r="I10">
        <v>108301</v>
      </c>
      <c r="J10">
        <v>93018</v>
      </c>
      <c r="K10">
        <v>198849</v>
      </c>
      <c r="L10">
        <v>205036</v>
      </c>
      <c r="M10">
        <v>23609</v>
      </c>
      <c r="N10">
        <v>26349</v>
      </c>
      <c r="O10">
        <v>251379</v>
      </c>
      <c r="P10">
        <v>263425</v>
      </c>
      <c r="Q10">
        <v>25100</v>
      </c>
      <c r="R10">
        <v>30303</v>
      </c>
      <c r="S10">
        <v>15550</v>
      </c>
      <c r="T10">
        <v>16575</v>
      </c>
      <c r="U10">
        <v>4513</v>
      </c>
      <c r="V10">
        <v>2934</v>
      </c>
      <c r="W10">
        <v>845315</v>
      </c>
      <c r="X10">
        <v>862235</v>
      </c>
      <c r="Y10">
        <v>92885</v>
      </c>
      <c r="Z10">
        <v>64614</v>
      </c>
      <c r="AA10">
        <v>31036</v>
      </c>
      <c r="AB10">
        <v>32798</v>
      </c>
      <c r="AC10">
        <v>5083</v>
      </c>
      <c r="AD10">
        <v>3888</v>
      </c>
      <c r="AE10">
        <v>1404452</v>
      </c>
      <c r="AF10">
        <v>1421271</v>
      </c>
      <c r="AG10">
        <v>158534</v>
      </c>
      <c r="AH10">
        <v>130737</v>
      </c>
      <c r="AI10">
        <v>896867</v>
      </c>
      <c r="AJ10">
        <v>913120</v>
      </c>
      <c r="AK10">
        <v>96161</v>
      </c>
      <c r="AL10">
        <v>82226</v>
      </c>
      <c r="AM10">
        <v>155423</v>
      </c>
      <c r="AN10">
        <v>163255</v>
      </c>
      <c r="AO10">
        <v>25040</v>
      </c>
      <c r="AP10">
        <v>26961</v>
      </c>
      <c r="AQ10">
        <v>58553</v>
      </c>
      <c r="AR10">
        <v>56457</v>
      </c>
      <c r="AS10">
        <v>10114</v>
      </c>
      <c r="AT10">
        <v>24773</v>
      </c>
      <c r="AU10">
        <v>126742</v>
      </c>
      <c r="AV10">
        <v>123660</v>
      </c>
      <c r="AW10">
        <v>33055</v>
      </c>
      <c r="AX10">
        <v>29218</v>
      </c>
      <c r="AY10">
        <v>113971</v>
      </c>
      <c r="AZ10">
        <v>64996</v>
      </c>
      <c r="BA10">
        <v>7822</v>
      </c>
      <c r="BB10">
        <v>17389</v>
      </c>
      <c r="BC10">
        <v>197740</v>
      </c>
      <c r="BD10">
        <v>200959</v>
      </c>
      <c r="BE10">
        <v>25457</v>
      </c>
      <c r="BF10">
        <v>24343</v>
      </c>
      <c r="BG10">
        <v>636839</v>
      </c>
      <c r="BH10">
        <v>656055</v>
      </c>
      <c r="BI10">
        <v>77326</v>
      </c>
      <c r="BJ10">
        <v>64059</v>
      </c>
      <c r="BK10">
        <v>136519</v>
      </c>
      <c r="BL10">
        <v>71651</v>
      </c>
      <c r="BM10">
        <v>10187</v>
      </c>
      <c r="BN10">
        <v>14969</v>
      </c>
      <c r="BO10">
        <v>22823</v>
      </c>
      <c r="BP10">
        <v>22379</v>
      </c>
      <c r="BQ10">
        <v>5565</v>
      </c>
      <c r="BR10">
        <v>5486</v>
      </c>
      <c r="BS10">
        <v>337541</v>
      </c>
      <c r="BT10">
        <v>339763</v>
      </c>
      <c r="BU10">
        <v>36702</v>
      </c>
      <c r="BV10">
        <v>36844</v>
      </c>
      <c r="BW10">
        <v>211480</v>
      </c>
      <c r="BX10">
        <v>216265</v>
      </c>
      <c r="BY10">
        <v>25870</v>
      </c>
      <c r="BZ10">
        <v>20304</v>
      </c>
      <c r="CA10">
        <v>14234</v>
      </c>
      <c r="CB10">
        <v>14284</v>
      </c>
      <c r="CC10">
        <v>2056</v>
      </c>
      <c r="CD10">
        <v>1996</v>
      </c>
      <c r="CE10">
        <v>63313</v>
      </c>
      <c r="CF10">
        <v>62771</v>
      </c>
      <c r="CG10">
        <v>9150</v>
      </c>
      <c r="CH10">
        <v>5857</v>
      </c>
      <c r="CI10">
        <v>199809</v>
      </c>
      <c r="CJ10">
        <v>200447</v>
      </c>
      <c r="CK10">
        <v>26799</v>
      </c>
      <c r="CL10">
        <v>21745</v>
      </c>
      <c r="CM10">
        <v>15631</v>
      </c>
      <c r="CN10">
        <v>15403</v>
      </c>
      <c r="CO10">
        <v>3830</v>
      </c>
      <c r="CP10">
        <v>4642</v>
      </c>
      <c r="CQ10">
        <v>415312</v>
      </c>
      <c r="CR10">
        <v>401035</v>
      </c>
      <c r="CS10">
        <v>94641</v>
      </c>
      <c r="CT10">
        <v>12401</v>
      </c>
      <c r="CU10">
        <v>1099746</v>
      </c>
      <c r="CV10">
        <v>1105309</v>
      </c>
      <c r="CW10">
        <v>195661</v>
      </c>
      <c r="CX10">
        <v>45336</v>
      </c>
      <c r="CY10">
        <v>271598</v>
      </c>
      <c r="CZ10">
        <v>270552</v>
      </c>
      <c r="DA10">
        <v>56131</v>
      </c>
      <c r="DB10">
        <v>14429</v>
      </c>
      <c r="DC10">
        <v>85703</v>
      </c>
      <c r="DD10">
        <v>84949</v>
      </c>
      <c r="DE10">
        <v>21575</v>
      </c>
      <c r="DF10">
        <v>3824</v>
      </c>
      <c r="DG10">
        <v>556459</v>
      </c>
      <c r="DH10">
        <v>467384</v>
      </c>
      <c r="DI10">
        <v>93891</v>
      </c>
      <c r="DJ10">
        <v>73147</v>
      </c>
      <c r="DK10">
        <v>15770</v>
      </c>
      <c r="DL10">
        <v>13767</v>
      </c>
      <c r="DM10">
        <v>19520</v>
      </c>
      <c r="DN10">
        <v>4194</v>
      </c>
      <c r="DO10">
        <v>97248</v>
      </c>
      <c r="DP10">
        <v>94622</v>
      </c>
      <c r="DQ10">
        <v>36135</v>
      </c>
      <c r="DR10">
        <v>13530</v>
      </c>
      <c r="DS10">
        <v>38850</v>
      </c>
      <c r="DT10">
        <v>38956</v>
      </c>
      <c r="DU10">
        <v>20617</v>
      </c>
      <c r="DV10">
        <v>5924</v>
      </c>
    </row>
    <row r="11" spans="1:126" x14ac:dyDescent="0.4">
      <c r="A11" s="1" t="s">
        <v>10</v>
      </c>
      <c r="B11" s="3" t="s">
        <v>11</v>
      </c>
      <c r="C11">
        <v>1666486</v>
      </c>
      <c r="D11">
        <v>1678008</v>
      </c>
      <c r="E11">
        <v>226691</v>
      </c>
      <c r="F11">
        <v>137318</v>
      </c>
      <c r="G11">
        <v>834185</v>
      </c>
      <c r="H11">
        <v>829022</v>
      </c>
      <c r="I11">
        <v>118837</v>
      </c>
      <c r="J11">
        <v>93387</v>
      </c>
      <c r="K11">
        <v>185641</v>
      </c>
      <c r="L11">
        <v>188448</v>
      </c>
      <c r="M11">
        <v>26081</v>
      </c>
      <c r="N11">
        <v>23494</v>
      </c>
      <c r="O11">
        <v>227608</v>
      </c>
      <c r="P11">
        <v>224078</v>
      </c>
      <c r="Q11">
        <v>26610</v>
      </c>
      <c r="R11">
        <v>28734</v>
      </c>
      <c r="S11">
        <v>12326</v>
      </c>
      <c r="T11">
        <v>12446</v>
      </c>
      <c r="U11">
        <v>3670</v>
      </c>
      <c r="V11">
        <v>2768</v>
      </c>
      <c r="W11">
        <v>785536</v>
      </c>
      <c r="X11">
        <v>774417</v>
      </c>
      <c r="Y11">
        <v>103187</v>
      </c>
      <c r="Z11">
        <v>75639</v>
      </c>
      <c r="AA11">
        <v>26565</v>
      </c>
      <c r="AB11">
        <v>27211</v>
      </c>
      <c r="AC11">
        <v>4818</v>
      </c>
      <c r="AD11">
        <v>3214</v>
      </c>
      <c r="AE11">
        <v>1253667</v>
      </c>
      <c r="AF11">
        <v>1264799</v>
      </c>
      <c r="AG11">
        <v>172078</v>
      </c>
      <c r="AH11">
        <v>119434</v>
      </c>
      <c r="AI11">
        <v>838383</v>
      </c>
      <c r="AJ11">
        <v>840493</v>
      </c>
      <c r="AK11">
        <v>106216</v>
      </c>
      <c r="AL11">
        <v>80001</v>
      </c>
      <c r="AM11">
        <v>159316</v>
      </c>
      <c r="AN11">
        <v>160574</v>
      </c>
      <c r="AO11">
        <v>27603</v>
      </c>
      <c r="AP11">
        <v>25676</v>
      </c>
      <c r="AQ11">
        <v>52388</v>
      </c>
      <c r="AR11">
        <v>53436</v>
      </c>
      <c r="AS11">
        <v>10230</v>
      </c>
      <c r="AT11">
        <v>23720</v>
      </c>
      <c r="AU11">
        <v>113873</v>
      </c>
      <c r="AV11">
        <v>112510</v>
      </c>
      <c r="AW11">
        <v>33474</v>
      </c>
      <c r="AX11">
        <v>29426</v>
      </c>
      <c r="AY11">
        <v>96255</v>
      </c>
      <c r="AZ11">
        <v>52645</v>
      </c>
      <c r="BA11">
        <v>8054</v>
      </c>
      <c r="BB11">
        <v>12922</v>
      </c>
      <c r="BC11">
        <v>186779</v>
      </c>
      <c r="BD11">
        <v>186213</v>
      </c>
      <c r="BE11">
        <v>27984</v>
      </c>
      <c r="BF11">
        <v>24116</v>
      </c>
      <c r="BG11">
        <v>624166</v>
      </c>
      <c r="BH11">
        <v>619983</v>
      </c>
      <c r="BI11">
        <v>90115</v>
      </c>
      <c r="BJ11">
        <v>67998</v>
      </c>
      <c r="BK11">
        <v>133846</v>
      </c>
      <c r="BL11">
        <v>62014</v>
      </c>
      <c r="BM11">
        <v>11114</v>
      </c>
      <c r="BN11">
        <v>13058</v>
      </c>
      <c r="BO11">
        <v>21315</v>
      </c>
      <c r="BP11">
        <v>21260</v>
      </c>
      <c r="BQ11">
        <v>6042</v>
      </c>
      <c r="BR11">
        <v>5209</v>
      </c>
      <c r="BS11">
        <v>303773</v>
      </c>
      <c r="BT11">
        <v>296610</v>
      </c>
      <c r="BU11">
        <v>37779</v>
      </c>
      <c r="BV11">
        <v>43221</v>
      </c>
      <c r="BW11">
        <v>200870</v>
      </c>
      <c r="BX11">
        <v>195553</v>
      </c>
      <c r="BY11">
        <v>27022</v>
      </c>
      <c r="BZ11">
        <v>24897</v>
      </c>
      <c r="CA11">
        <v>17686</v>
      </c>
      <c r="CB11">
        <v>17569</v>
      </c>
      <c r="CC11">
        <v>2567</v>
      </c>
      <c r="CD11">
        <v>2097</v>
      </c>
      <c r="CE11">
        <v>62918</v>
      </c>
      <c r="CF11">
        <v>61076</v>
      </c>
      <c r="CG11">
        <v>10217</v>
      </c>
      <c r="CH11">
        <v>7618</v>
      </c>
      <c r="CI11">
        <v>164856</v>
      </c>
      <c r="CJ11">
        <v>166608</v>
      </c>
      <c r="CK11">
        <v>26118</v>
      </c>
      <c r="CL11">
        <v>18975</v>
      </c>
      <c r="CM11">
        <v>14387</v>
      </c>
      <c r="CN11">
        <v>13650</v>
      </c>
      <c r="CO11">
        <v>3985</v>
      </c>
      <c r="CP11">
        <v>5007</v>
      </c>
      <c r="CQ11">
        <v>392676</v>
      </c>
      <c r="CR11">
        <v>386538</v>
      </c>
      <c r="CS11">
        <v>105580</v>
      </c>
      <c r="CT11">
        <v>13328</v>
      </c>
      <c r="CU11">
        <v>1082621</v>
      </c>
      <c r="CV11">
        <v>1081926</v>
      </c>
      <c r="CW11">
        <v>216812</v>
      </c>
      <c r="CX11">
        <v>45400</v>
      </c>
      <c r="CY11">
        <v>265484</v>
      </c>
      <c r="CZ11">
        <v>263935</v>
      </c>
      <c r="DA11">
        <v>61481</v>
      </c>
      <c r="DB11">
        <v>15884</v>
      </c>
      <c r="DC11">
        <v>81955</v>
      </c>
      <c r="DD11">
        <v>80429</v>
      </c>
      <c r="DE11">
        <v>22930</v>
      </c>
      <c r="DF11">
        <v>4141</v>
      </c>
      <c r="DG11">
        <v>488997</v>
      </c>
      <c r="DH11">
        <v>412966</v>
      </c>
      <c r="DI11">
        <v>91627</v>
      </c>
      <c r="DJ11">
        <v>70758</v>
      </c>
      <c r="DK11">
        <v>14553</v>
      </c>
      <c r="DL11">
        <v>12986</v>
      </c>
      <c r="DM11">
        <v>17587</v>
      </c>
      <c r="DN11">
        <v>4192</v>
      </c>
      <c r="DO11">
        <v>81805</v>
      </c>
      <c r="DP11">
        <v>81862</v>
      </c>
      <c r="DQ11">
        <v>34436</v>
      </c>
      <c r="DR11">
        <v>12680</v>
      </c>
      <c r="DS11">
        <v>38815</v>
      </c>
      <c r="DT11">
        <v>38106</v>
      </c>
      <c r="DU11">
        <v>21220</v>
      </c>
      <c r="DV11">
        <v>6452</v>
      </c>
    </row>
    <row r="12" spans="1:126" x14ac:dyDescent="0.4">
      <c r="A12" s="1" t="s">
        <v>12</v>
      </c>
      <c r="B12" s="3" t="s">
        <v>13</v>
      </c>
      <c r="C12">
        <v>1523956</v>
      </c>
      <c r="D12">
        <v>1528722</v>
      </c>
      <c r="E12">
        <v>207275</v>
      </c>
      <c r="F12">
        <v>130189</v>
      </c>
      <c r="G12">
        <v>815998</v>
      </c>
      <c r="H12">
        <v>817684</v>
      </c>
      <c r="I12">
        <v>120061</v>
      </c>
      <c r="J12">
        <v>86925</v>
      </c>
      <c r="K12">
        <v>173357</v>
      </c>
      <c r="L12">
        <v>176782</v>
      </c>
      <c r="M12">
        <v>25013</v>
      </c>
      <c r="N12">
        <v>20063</v>
      </c>
      <c r="O12">
        <v>202721</v>
      </c>
      <c r="P12">
        <v>196763</v>
      </c>
      <c r="Q12">
        <v>24016</v>
      </c>
      <c r="R12">
        <v>27806</v>
      </c>
      <c r="S12">
        <v>10739</v>
      </c>
      <c r="T12">
        <v>11076</v>
      </c>
      <c r="U12">
        <v>3532</v>
      </c>
      <c r="V12">
        <v>2426</v>
      </c>
      <c r="W12">
        <v>700921</v>
      </c>
      <c r="X12">
        <v>711509</v>
      </c>
      <c r="Y12">
        <v>96562</v>
      </c>
      <c r="Z12">
        <v>64926</v>
      </c>
      <c r="AA12">
        <v>27088</v>
      </c>
      <c r="AB12">
        <v>27662</v>
      </c>
      <c r="AC12">
        <v>4917</v>
      </c>
      <c r="AD12">
        <v>2625</v>
      </c>
      <c r="AE12">
        <v>1229232</v>
      </c>
      <c r="AF12">
        <v>1226882</v>
      </c>
      <c r="AG12">
        <v>167113</v>
      </c>
      <c r="AH12">
        <v>121543</v>
      </c>
      <c r="AI12">
        <v>788117</v>
      </c>
      <c r="AJ12">
        <v>779075</v>
      </c>
      <c r="AK12">
        <v>99974</v>
      </c>
      <c r="AL12">
        <v>88959</v>
      </c>
      <c r="AM12">
        <v>164996</v>
      </c>
      <c r="AN12">
        <v>165195</v>
      </c>
      <c r="AO12">
        <v>29266</v>
      </c>
      <c r="AP12">
        <v>25436</v>
      </c>
      <c r="AQ12">
        <v>47417</v>
      </c>
      <c r="AR12">
        <v>50393</v>
      </c>
      <c r="AS12">
        <v>9855</v>
      </c>
      <c r="AT12">
        <v>20740</v>
      </c>
      <c r="AU12">
        <v>110519</v>
      </c>
      <c r="AV12">
        <v>109920</v>
      </c>
      <c r="AW12">
        <v>34000</v>
      </c>
      <c r="AX12">
        <v>28748</v>
      </c>
      <c r="AY12">
        <v>89592</v>
      </c>
      <c r="AZ12">
        <v>26403</v>
      </c>
      <c r="BA12">
        <v>4481</v>
      </c>
      <c r="BB12">
        <v>10390</v>
      </c>
      <c r="BC12">
        <v>185742</v>
      </c>
      <c r="BD12">
        <v>182551</v>
      </c>
      <c r="BE12">
        <v>28147</v>
      </c>
      <c r="BF12">
        <v>26270</v>
      </c>
      <c r="BG12">
        <v>576231</v>
      </c>
      <c r="BH12">
        <v>582072</v>
      </c>
      <c r="BI12">
        <v>88491</v>
      </c>
      <c r="BJ12">
        <v>61917</v>
      </c>
      <c r="BK12">
        <v>134759</v>
      </c>
      <c r="BL12">
        <v>55393</v>
      </c>
      <c r="BM12">
        <v>9796</v>
      </c>
      <c r="BN12">
        <v>15605</v>
      </c>
      <c r="BO12">
        <v>17775</v>
      </c>
      <c r="BP12">
        <v>18857</v>
      </c>
      <c r="BQ12">
        <v>5480</v>
      </c>
      <c r="BR12">
        <v>3835</v>
      </c>
      <c r="BS12">
        <v>303573</v>
      </c>
      <c r="BT12">
        <v>310531</v>
      </c>
      <c r="BU12">
        <v>39903</v>
      </c>
      <c r="BV12">
        <v>35749</v>
      </c>
      <c r="BW12">
        <v>190438</v>
      </c>
      <c r="BX12">
        <v>191727</v>
      </c>
      <c r="BY12">
        <v>27229</v>
      </c>
      <c r="BZ12">
        <v>23091</v>
      </c>
      <c r="CA12">
        <v>16592</v>
      </c>
      <c r="CB12">
        <v>16659</v>
      </c>
      <c r="CC12">
        <v>2449</v>
      </c>
      <c r="CD12">
        <v>2023</v>
      </c>
      <c r="CE12">
        <v>63893</v>
      </c>
      <c r="CF12">
        <v>65538</v>
      </c>
      <c r="CG12">
        <v>11282</v>
      </c>
      <c r="CH12">
        <v>5874</v>
      </c>
      <c r="CI12">
        <v>166060</v>
      </c>
      <c r="CJ12">
        <v>163613</v>
      </c>
      <c r="CK12">
        <v>25887</v>
      </c>
      <c r="CL12">
        <v>20763</v>
      </c>
      <c r="CM12">
        <v>13000</v>
      </c>
      <c r="CN12">
        <v>13089</v>
      </c>
      <c r="CO12">
        <v>3878</v>
      </c>
      <c r="CP12">
        <v>4375</v>
      </c>
      <c r="CQ12">
        <v>408743</v>
      </c>
      <c r="CR12">
        <v>396925</v>
      </c>
      <c r="CS12">
        <v>109360</v>
      </c>
      <c r="CT12">
        <v>16942</v>
      </c>
      <c r="CU12">
        <v>1112046</v>
      </c>
      <c r="CV12">
        <v>1110677</v>
      </c>
      <c r="CW12">
        <v>229400</v>
      </c>
      <c r="CX12">
        <v>46132</v>
      </c>
      <c r="CY12">
        <v>267406</v>
      </c>
      <c r="CZ12">
        <v>267378</v>
      </c>
      <c r="DA12">
        <v>64259</v>
      </c>
      <c r="DB12">
        <v>15826</v>
      </c>
      <c r="DC12">
        <v>80712</v>
      </c>
      <c r="DD12">
        <v>79110</v>
      </c>
      <c r="DE12">
        <v>23032</v>
      </c>
      <c r="DF12">
        <v>4579</v>
      </c>
      <c r="DG12">
        <v>521757</v>
      </c>
      <c r="DH12">
        <v>431710</v>
      </c>
      <c r="DI12">
        <v>95184</v>
      </c>
      <c r="DJ12">
        <v>73363</v>
      </c>
      <c r="DK12">
        <v>14291</v>
      </c>
      <c r="DL12">
        <v>12654</v>
      </c>
      <c r="DM12">
        <v>18448</v>
      </c>
      <c r="DN12">
        <v>4201</v>
      </c>
      <c r="DO12">
        <v>89033</v>
      </c>
      <c r="DP12">
        <v>86810</v>
      </c>
      <c r="DQ12">
        <v>37842</v>
      </c>
      <c r="DR12">
        <v>13635</v>
      </c>
      <c r="DS12">
        <v>37081</v>
      </c>
      <c r="DT12">
        <v>36662</v>
      </c>
      <c r="DU12">
        <v>21087</v>
      </c>
      <c r="DV12">
        <v>5703</v>
      </c>
    </row>
    <row r="13" spans="1:126" x14ac:dyDescent="0.4">
      <c r="A13" s="1" t="s">
        <v>14</v>
      </c>
      <c r="B13" s="3" t="s">
        <v>15</v>
      </c>
      <c r="C13">
        <v>1404207</v>
      </c>
      <c r="D13">
        <v>1383823</v>
      </c>
      <c r="E13">
        <v>193030</v>
      </c>
      <c r="F13">
        <v>145360</v>
      </c>
      <c r="G13">
        <v>789981</v>
      </c>
      <c r="H13">
        <v>781867</v>
      </c>
      <c r="I13">
        <v>114931</v>
      </c>
      <c r="J13">
        <v>90443</v>
      </c>
      <c r="K13">
        <v>159364</v>
      </c>
      <c r="L13">
        <v>159329</v>
      </c>
      <c r="M13">
        <v>22914</v>
      </c>
      <c r="N13">
        <v>19835</v>
      </c>
      <c r="O13">
        <v>188683</v>
      </c>
      <c r="P13">
        <v>183125</v>
      </c>
      <c r="Q13">
        <v>22254</v>
      </c>
      <c r="R13">
        <v>24487</v>
      </c>
      <c r="S13">
        <v>9430</v>
      </c>
      <c r="T13">
        <v>9682</v>
      </c>
      <c r="U13">
        <v>3189</v>
      </c>
      <c r="V13">
        <v>2169</v>
      </c>
      <c r="W13">
        <v>648849</v>
      </c>
      <c r="X13">
        <v>644656</v>
      </c>
      <c r="Y13">
        <v>86669</v>
      </c>
      <c r="Z13">
        <v>69005</v>
      </c>
      <c r="AA13">
        <v>25178</v>
      </c>
      <c r="AB13">
        <v>25208</v>
      </c>
      <c r="AC13">
        <v>4599</v>
      </c>
      <c r="AD13">
        <v>2589</v>
      </c>
      <c r="AE13">
        <v>1213984</v>
      </c>
      <c r="AF13">
        <v>1192232</v>
      </c>
      <c r="AG13">
        <v>162369</v>
      </c>
      <c r="AH13">
        <v>143072</v>
      </c>
      <c r="AI13">
        <v>731026</v>
      </c>
      <c r="AJ13">
        <v>735694</v>
      </c>
      <c r="AK13">
        <v>93102</v>
      </c>
      <c r="AL13">
        <v>84240</v>
      </c>
      <c r="AM13">
        <v>163953</v>
      </c>
      <c r="AN13">
        <v>158769</v>
      </c>
      <c r="AO13">
        <v>28093</v>
      </c>
      <c r="AP13">
        <v>30594</v>
      </c>
      <c r="AQ13">
        <v>46841</v>
      </c>
      <c r="AR13">
        <v>46930</v>
      </c>
      <c r="AS13">
        <v>9359</v>
      </c>
      <c r="AT13">
        <v>20647</v>
      </c>
      <c r="AU13">
        <v>106619</v>
      </c>
      <c r="AV13">
        <v>103558</v>
      </c>
      <c r="AW13">
        <v>32959</v>
      </c>
      <c r="AX13">
        <v>30304</v>
      </c>
      <c r="AY13">
        <v>80273</v>
      </c>
      <c r="AZ13">
        <v>21141</v>
      </c>
      <c r="BA13">
        <v>3679</v>
      </c>
      <c r="BB13">
        <v>9334</v>
      </c>
      <c r="BC13">
        <v>171621</v>
      </c>
      <c r="BD13">
        <v>172628</v>
      </c>
      <c r="BE13">
        <v>26503</v>
      </c>
      <c r="BF13">
        <v>24381</v>
      </c>
      <c r="BG13">
        <v>568433</v>
      </c>
      <c r="BH13">
        <v>557188</v>
      </c>
      <c r="BI13">
        <v>84834</v>
      </c>
      <c r="BJ13">
        <v>72906</v>
      </c>
      <c r="BK13">
        <v>119717</v>
      </c>
      <c r="BL13">
        <v>51398</v>
      </c>
      <c r="BM13">
        <v>9254</v>
      </c>
      <c r="BN13">
        <v>14828</v>
      </c>
      <c r="BO13">
        <v>18936</v>
      </c>
      <c r="BP13">
        <v>18315</v>
      </c>
      <c r="BQ13">
        <v>5146</v>
      </c>
      <c r="BR13">
        <v>4162</v>
      </c>
      <c r="BS13">
        <v>302195</v>
      </c>
      <c r="BT13">
        <v>303038</v>
      </c>
      <c r="BU13">
        <v>38815</v>
      </c>
      <c r="BV13">
        <v>34328</v>
      </c>
      <c r="BW13">
        <v>195393</v>
      </c>
      <c r="BX13">
        <v>195392</v>
      </c>
      <c r="BY13">
        <v>27538</v>
      </c>
      <c r="BZ13">
        <v>22555</v>
      </c>
      <c r="CA13">
        <v>17077</v>
      </c>
      <c r="CB13">
        <v>17219</v>
      </c>
      <c r="CC13">
        <v>2465</v>
      </c>
      <c r="CD13">
        <v>1873</v>
      </c>
      <c r="CE13">
        <v>60932</v>
      </c>
      <c r="CF13">
        <v>61289</v>
      </c>
      <c r="CG13">
        <v>10437</v>
      </c>
      <c r="CH13">
        <v>5442</v>
      </c>
      <c r="CI13">
        <v>155224</v>
      </c>
      <c r="CJ13">
        <v>157385</v>
      </c>
      <c r="CK13">
        <v>24632</v>
      </c>
      <c r="CL13">
        <v>17806</v>
      </c>
      <c r="CM13">
        <v>14819</v>
      </c>
      <c r="CN13">
        <v>14024</v>
      </c>
      <c r="CO13">
        <v>4426</v>
      </c>
      <c r="CP13">
        <v>4616</v>
      </c>
      <c r="CQ13">
        <v>390718</v>
      </c>
      <c r="CR13">
        <v>380759</v>
      </c>
      <c r="CS13">
        <v>106003</v>
      </c>
      <c r="CT13">
        <v>16791</v>
      </c>
      <c r="CU13">
        <v>1105661</v>
      </c>
      <c r="CV13">
        <v>1099382</v>
      </c>
      <c r="CW13">
        <v>232353</v>
      </c>
      <c r="CX13">
        <v>51070</v>
      </c>
      <c r="CY13">
        <v>277476</v>
      </c>
      <c r="CZ13">
        <v>280258</v>
      </c>
      <c r="DA13">
        <v>72129</v>
      </c>
      <c r="DB13">
        <v>15426</v>
      </c>
      <c r="DC13">
        <v>75165</v>
      </c>
      <c r="DD13">
        <v>73737</v>
      </c>
      <c r="DE13">
        <v>22288</v>
      </c>
      <c r="DF13">
        <v>4772</v>
      </c>
      <c r="DG13">
        <v>515101</v>
      </c>
      <c r="DH13">
        <v>426891</v>
      </c>
      <c r="DI13">
        <v>95466</v>
      </c>
      <c r="DJ13">
        <v>74371</v>
      </c>
      <c r="DK13">
        <v>15020</v>
      </c>
      <c r="DL13">
        <v>12672</v>
      </c>
      <c r="DM13">
        <v>20616</v>
      </c>
      <c r="DN13">
        <v>4450</v>
      </c>
      <c r="DO13">
        <v>89459</v>
      </c>
      <c r="DP13">
        <v>84374</v>
      </c>
      <c r="DQ13">
        <v>38766</v>
      </c>
      <c r="DR13">
        <v>17883</v>
      </c>
      <c r="DS13">
        <v>35921</v>
      </c>
      <c r="DT13">
        <v>35535</v>
      </c>
      <c r="DU13">
        <v>21218</v>
      </c>
      <c r="DV13">
        <v>5918</v>
      </c>
    </row>
    <row r="14" spans="1:126" x14ac:dyDescent="0.4">
      <c r="A14" s="1" t="s">
        <v>16</v>
      </c>
      <c r="B14" s="1" t="s">
        <v>17</v>
      </c>
      <c r="C14">
        <v>136200</v>
      </c>
      <c r="D14">
        <v>138686</v>
      </c>
      <c r="E14">
        <v>18932</v>
      </c>
      <c r="F14">
        <v>148721</v>
      </c>
      <c r="G14">
        <v>81983</v>
      </c>
      <c r="H14">
        <v>75450</v>
      </c>
      <c r="I14">
        <v>11185</v>
      </c>
      <c r="J14">
        <v>89356</v>
      </c>
      <c r="K14">
        <v>14256</v>
      </c>
      <c r="L14">
        <v>15535</v>
      </c>
      <c r="M14">
        <v>2214</v>
      </c>
      <c r="N14">
        <v>23488</v>
      </c>
      <c r="O14">
        <v>18289</v>
      </c>
      <c r="P14">
        <v>17157</v>
      </c>
      <c r="Q14">
        <v>2088</v>
      </c>
      <c r="R14">
        <v>31438</v>
      </c>
      <c r="S14">
        <v>478</v>
      </c>
      <c r="T14">
        <v>805</v>
      </c>
      <c r="U14">
        <v>254</v>
      </c>
      <c r="V14">
        <v>2167</v>
      </c>
      <c r="W14">
        <v>71902</v>
      </c>
      <c r="X14">
        <v>65544</v>
      </c>
      <c r="Y14">
        <v>8975</v>
      </c>
      <c r="Z14">
        <v>66837</v>
      </c>
      <c r="AA14">
        <v>3440</v>
      </c>
      <c r="AB14">
        <v>2802</v>
      </c>
      <c r="AC14">
        <v>506</v>
      </c>
      <c r="AD14">
        <v>4054</v>
      </c>
      <c r="AE14">
        <v>116037</v>
      </c>
      <c r="AF14">
        <v>110923</v>
      </c>
      <c r="AG14">
        <v>15255</v>
      </c>
      <c r="AH14">
        <v>128081</v>
      </c>
      <c r="AI14">
        <v>78295</v>
      </c>
      <c r="AJ14">
        <v>66254</v>
      </c>
      <c r="AK14">
        <v>8632</v>
      </c>
      <c r="AL14">
        <v>86583</v>
      </c>
      <c r="AM14">
        <v>14953</v>
      </c>
      <c r="AN14">
        <v>14529</v>
      </c>
      <c r="AO14">
        <v>2591</v>
      </c>
      <c r="AP14">
        <v>24590</v>
      </c>
      <c r="AQ14">
        <v>4122</v>
      </c>
      <c r="AR14">
        <v>5156</v>
      </c>
      <c r="AS14">
        <v>1017</v>
      </c>
      <c r="AT14">
        <v>21539</v>
      </c>
      <c r="AU14">
        <v>9095</v>
      </c>
      <c r="AV14">
        <v>10028</v>
      </c>
      <c r="AW14">
        <v>3029</v>
      </c>
      <c r="AX14">
        <v>28310</v>
      </c>
      <c r="AY14">
        <v>7315</v>
      </c>
      <c r="AZ14">
        <v>2109</v>
      </c>
      <c r="BA14">
        <v>333</v>
      </c>
      <c r="BB14">
        <v>10386</v>
      </c>
      <c r="BC14">
        <v>16234</v>
      </c>
      <c r="BD14">
        <v>16147</v>
      </c>
      <c r="BE14">
        <v>2523</v>
      </c>
      <c r="BF14">
        <v>24161</v>
      </c>
      <c r="BG14">
        <v>52124</v>
      </c>
      <c r="BH14">
        <v>55827</v>
      </c>
      <c r="BI14">
        <v>8568</v>
      </c>
      <c r="BJ14">
        <v>68842</v>
      </c>
      <c r="BK14">
        <v>11653</v>
      </c>
      <c r="BL14">
        <v>4536</v>
      </c>
      <c r="BM14">
        <v>793</v>
      </c>
      <c r="BN14">
        <v>14302</v>
      </c>
      <c r="BO14">
        <v>2218</v>
      </c>
      <c r="BP14">
        <v>2429</v>
      </c>
      <c r="BQ14">
        <v>626</v>
      </c>
      <c r="BR14">
        <v>4892</v>
      </c>
      <c r="BS14">
        <v>26318</v>
      </c>
      <c r="BT14">
        <v>29324</v>
      </c>
      <c r="BU14">
        <v>3778</v>
      </c>
      <c r="BV14">
        <v>38792</v>
      </c>
      <c r="BW14">
        <v>15891</v>
      </c>
      <c r="BX14">
        <v>16592</v>
      </c>
      <c r="BY14">
        <v>2356</v>
      </c>
      <c r="BZ14">
        <v>22821</v>
      </c>
      <c r="CA14">
        <v>1650</v>
      </c>
      <c r="CB14">
        <v>1396</v>
      </c>
      <c r="CC14">
        <v>197</v>
      </c>
      <c r="CD14">
        <v>2175</v>
      </c>
      <c r="CE14">
        <v>5917</v>
      </c>
      <c r="CF14">
        <v>6312</v>
      </c>
      <c r="CG14">
        <v>1066</v>
      </c>
      <c r="CH14">
        <v>7012</v>
      </c>
      <c r="CI14">
        <v>14829</v>
      </c>
      <c r="CJ14">
        <v>13663</v>
      </c>
      <c r="CK14">
        <v>2141</v>
      </c>
      <c r="CL14">
        <v>21574</v>
      </c>
      <c r="CM14">
        <v>1040</v>
      </c>
      <c r="CN14">
        <v>1134</v>
      </c>
      <c r="CO14">
        <v>330</v>
      </c>
      <c r="CP14">
        <v>4817</v>
      </c>
      <c r="CQ14">
        <v>36670</v>
      </c>
      <c r="CR14">
        <v>38250</v>
      </c>
      <c r="CS14">
        <v>10772</v>
      </c>
      <c r="CT14">
        <v>13436</v>
      </c>
      <c r="CU14">
        <v>98466</v>
      </c>
      <c r="CV14">
        <v>98960</v>
      </c>
      <c r="CW14">
        <v>20247</v>
      </c>
      <c r="CX14">
        <v>50398</v>
      </c>
      <c r="CY14">
        <v>21769</v>
      </c>
      <c r="CZ14">
        <v>21561</v>
      </c>
      <c r="DA14">
        <v>5200</v>
      </c>
      <c r="DB14">
        <v>17383</v>
      </c>
      <c r="DC14">
        <v>7305</v>
      </c>
      <c r="DD14">
        <v>7082</v>
      </c>
      <c r="DE14">
        <v>2020</v>
      </c>
      <c r="DF14">
        <v>4209</v>
      </c>
      <c r="DG14">
        <v>47954</v>
      </c>
      <c r="DH14">
        <v>37171</v>
      </c>
      <c r="DI14">
        <v>8116</v>
      </c>
      <c r="DJ14">
        <v>73733</v>
      </c>
      <c r="DK14">
        <v>1065</v>
      </c>
      <c r="DL14">
        <v>1046</v>
      </c>
      <c r="DM14">
        <v>1442</v>
      </c>
      <c r="DN14">
        <v>3493</v>
      </c>
      <c r="DO14">
        <v>8044</v>
      </c>
      <c r="DP14">
        <v>6968</v>
      </c>
      <c r="DQ14">
        <v>3225</v>
      </c>
      <c r="DR14">
        <v>13415</v>
      </c>
      <c r="DS14">
        <v>3040</v>
      </c>
      <c r="DT14">
        <v>3055</v>
      </c>
      <c r="DU14">
        <v>1717</v>
      </c>
      <c r="DV14">
        <v>5921</v>
      </c>
    </row>
    <row r="15" spans="1:126" x14ac:dyDescent="0.4">
      <c r="A15" s="1" t="s">
        <v>18</v>
      </c>
      <c r="B15" s="1" t="s">
        <v>19</v>
      </c>
      <c r="C15">
        <v>134275</v>
      </c>
      <c r="D15">
        <v>124120</v>
      </c>
      <c r="E15">
        <v>16740</v>
      </c>
      <c r="F15">
        <v>158546</v>
      </c>
      <c r="G15">
        <v>62772</v>
      </c>
      <c r="H15">
        <v>67270</v>
      </c>
      <c r="I15">
        <v>9855</v>
      </c>
      <c r="J15">
        <v>84643</v>
      </c>
      <c r="K15">
        <v>14134</v>
      </c>
      <c r="L15">
        <v>14778</v>
      </c>
      <c r="M15">
        <v>2074</v>
      </c>
      <c r="N15">
        <v>22843</v>
      </c>
      <c r="O15">
        <v>16266</v>
      </c>
      <c r="P15">
        <v>17247</v>
      </c>
      <c r="Q15">
        <v>2094</v>
      </c>
      <c r="R15">
        <v>29960</v>
      </c>
      <c r="S15">
        <v>1182</v>
      </c>
      <c r="T15">
        <v>716</v>
      </c>
      <c r="U15">
        <v>234</v>
      </c>
      <c r="V15">
        <v>2633</v>
      </c>
      <c r="W15">
        <v>65169</v>
      </c>
      <c r="X15">
        <v>58906</v>
      </c>
      <c r="Y15">
        <v>7939</v>
      </c>
      <c r="Z15">
        <v>73098</v>
      </c>
      <c r="AA15">
        <v>994</v>
      </c>
      <c r="AB15">
        <v>1664</v>
      </c>
      <c r="AC15">
        <v>293</v>
      </c>
      <c r="AD15">
        <v>3384</v>
      </c>
      <c r="AE15">
        <v>90650</v>
      </c>
      <c r="AF15">
        <v>97240</v>
      </c>
      <c r="AG15">
        <v>13112</v>
      </c>
      <c r="AH15">
        <v>121482</v>
      </c>
      <c r="AI15">
        <v>58716</v>
      </c>
      <c r="AJ15">
        <v>66972</v>
      </c>
      <c r="AK15">
        <v>8601</v>
      </c>
      <c r="AL15">
        <v>78320</v>
      </c>
      <c r="AM15">
        <v>13683</v>
      </c>
      <c r="AN15">
        <v>13358</v>
      </c>
      <c r="AO15">
        <v>2387</v>
      </c>
      <c r="AP15">
        <v>24914</v>
      </c>
      <c r="AQ15">
        <v>5390</v>
      </c>
      <c r="AR15">
        <v>4715</v>
      </c>
      <c r="AS15">
        <v>913</v>
      </c>
      <c r="AT15">
        <v>22214</v>
      </c>
      <c r="AU15">
        <v>8741</v>
      </c>
      <c r="AV15">
        <v>9026</v>
      </c>
      <c r="AW15">
        <v>2772</v>
      </c>
      <c r="AX15">
        <v>27897</v>
      </c>
      <c r="AY15">
        <v>6504</v>
      </c>
      <c r="AZ15">
        <v>1889</v>
      </c>
      <c r="BA15">
        <v>319</v>
      </c>
      <c r="BB15">
        <v>9321</v>
      </c>
      <c r="BC15">
        <v>17014</v>
      </c>
      <c r="BD15">
        <v>16119</v>
      </c>
      <c r="BE15">
        <v>2478</v>
      </c>
      <c r="BF15">
        <v>25040</v>
      </c>
      <c r="BG15">
        <v>46282</v>
      </c>
      <c r="BH15">
        <v>50097</v>
      </c>
      <c r="BI15">
        <v>7555</v>
      </c>
      <c r="BJ15">
        <v>65010</v>
      </c>
      <c r="BK15">
        <v>13862</v>
      </c>
      <c r="BL15">
        <v>5122</v>
      </c>
      <c r="BM15">
        <v>895</v>
      </c>
      <c r="BN15">
        <v>16347</v>
      </c>
      <c r="BO15">
        <v>1516</v>
      </c>
      <c r="BP15">
        <v>1985</v>
      </c>
      <c r="BQ15">
        <v>565</v>
      </c>
      <c r="BR15">
        <v>4406</v>
      </c>
      <c r="BS15">
        <v>26777</v>
      </c>
      <c r="BT15">
        <v>25741</v>
      </c>
      <c r="BU15">
        <v>3321</v>
      </c>
      <c r="BV15">
        <v>39757</v>
      </c>
      <c r="BW15">
        <v>16236</v>
      </c>
      <c r="BX15">
        <v>16390</v>
      </c>
      <c r="BY15">
        <v>2335</v>
      </c>
      <c r="BZ15">
        <v>22634</v>
      </c>
      <c r="CA15">
        <v>1800</v>
      </c>
      <c r="CB15">
        <v>1432</v>
      </c>
      <c r="CC15">
        <v>211</v>
      </c>
      <c r="CD15">
        <v>2543</v>
      </c>
      <c r="CE15">
        <v>5341</v>
      </c>
      <c r="CF15">
        <v>5826</v>
      </c>
      <c r="CG15">
        <v>1007</v>
      </c>
      <c r="CH15">
        <v>6523</v>
      </c>
      <c r="CI15">
        <v>15245</v>
      </c>
      <c r="CJ15">
        <v>14250</v>
      </c>
      <c r="CK15">
        <v>2287</v>
      </c>
      <c r="CL15">
        <v>22500</v>
      </c>
      <c r="CM15">
        <v>1008</v>
      </c>
      <c r="CN15">
        <v>1208</v>
      </c>
      <c r="CO15">
        <v>347</v>
      </c>
      <c r="CP15">
        <v>4576</v>
      </c>
      <c r="CQ15">
        <v>36548</v>
      </c>
      <c r="CR15">
        <v>35665</v>
      </c>
      <c r="CS15">
        <v>9756</v>
      </c>
      <c r="CT15">
        <v>13706</v>
      </c>
      <c r="CU15">
        <v>96169</v>
      </c>
      <c r="CV15">
        <v>99547</v>
      </c>
      <c r="CW15">
        <v>20037</v>
      </c>
      <c r="CX15">
        <v>46969</v>
      </c>
      <c r="CY15">
        <v>22207</v>
      </c>
      <c r="CZ15">
        <v>23059</v>
      </c>
      <c r="DA15">
        <v>5532</v>
      </c>
      <c r="DB15">
        <v>16509</v>
      </c>
      <c r="DC15">
        <v>7160</v>
      </c>
      <c r="DD15">
        <v>7054</v>
      </c>
      <c r="DE15">
        <v>1989</v>
      </c>
      <c r="DF15">
        <v>4213</v>
      </c>
      <c r="DG15">
        <v>46287</v>
      </c>
      <c r="DH15">
        <v>40350</v>
      </c>
      <c r="DI15">
        <v>8641</v>
      </c>
      <c r="DJ15">
        <v>72797</v>
      </c>
      <c r="DK15">
        <v>1432</v>
      </c>
      <c r="DL15">
        <v>984</v>
      </c>
      <c r="DM15">
        <v>1462</v>
      </c>
      <c r="DN15">
        <v>3805</v>
      </c>
      <c r="DO15">
        <v>7780</v>
      </c>
      <c r="DP15">
        <v>7088</v>
      </c>
      <c r="DQ15">
        <v>3031</v>
      </c>
      <c r="DR15">
        <v>14016</v>
      </c>
      <c r="DS15">
        <v>3031</v>
      </c>
      <c r="DT15">
        <v>3365</v>
      </c>
      <c r="DU15">
        <v>1858</v>
      </c>
      <c r="DV15">
        <v>5569</v>
      </c>
    </row>
    <row r="16" spans="1:126" x14ac:dyDescent="0.4">
      <c r="A16" s="1" t="s">
        <v>20</v>
      </c>
      <c r="B16" s="1" t="s">
        <v>21</v>
      </c>
      <c r="C16">
        <v>130463</v>
      </c>
      <c r="D16">
        <v>124825</v>
      </c>
      <c r="E16">
        <v>16848</v>
      </c>
      <c r="F16">
        <v>164004</v>
      </c>
      <c r="G16">
        <v>60738</v>
      </c>
      <c r="H16">
        <v>66174</v>
      </c>
      <c r="I16">
        <v>9708</v>
      </c>
      <c r="J16">
        <v>78872</v>
      </c>
      <c r="K16">
        <v>16987</v>
      </c>
      <c r="L16">
        <v>13514</v>
      </c>
      <c r="M16">
        <v>1872</v>
      </c>
      <c r="N16">
        <v>26315</v>
      </c>
      <c r="O16">
        <v>17119</v>
      </c>
      <c r="P16">
        <v>15425</v>
      </c>
      <c r="Q16">
        <v>1890</v>
      </c>
      <c r="R16">
        <v>31005</v>
      </c>
      <c r="S16">
        <v>873</v>
      </c>
      <c r="T16">
        <v>884</v>
      </c>
      <c r="U16">
        <v>294</v>
      </c>
      <c r="V16">
        <v>2621</v>
      </c>
      <c r="W16">
        <v>64185</v>
      </c>
      <c r="X16">
        <v>54306</v>
      </c>
      <c r="Y16">
        <v>7311</v>
      </c>
      <c r="Z16">
        <v>82957</v>
      </c>
      <c r="AA16">
        <v>2295</v>
      </c>
      <c r="AB16">
        <v>2776</v>
      </c>
      <c r="AC16">
        <v>491</v>
      </c>
      <c r="AD16">
        <v>2902</v>
      </c>
      <c r="AE16">
        <v>97822</v>
      </c>
      <c r="AF16">
        <v>97314</v>
      </c>
      <c r="AG16">
        <v>13284</v>
      </c>
      <c r="AH16">
        <v>121964</v>
      </c>
      <c r="AI16">
        <v>80673</v>
      </c>
      <c r="AJ16">
        <v>64601</v>
      </c>
      <c r="AK16">
        <v>8377</v>
      </c>
      <c r="AL16">
        <v>94385</v>
      </c>
      <c r="AM16">
        <v>12727</v>
      </c>
      <c r="AN16">
        <v>13354</v>
      </c>
      <c r="AO16">
        <v>2385</v>
      </c>
      <c r="AP16">
        <v>24282</v>
      </c>
      <c r="AQ16">
        <v>3913</v>
      </c>
      <c r="AR16">
        <v>4145</v>
      </c>
      <c r="AS16">
        <v>809</v>
      </c>
      <c r="AT16">
        <v>21982</v>
      </c>
      <c r="AU16">
        <v>8422</v>
      </c>
      <c r="AV16">
        <v>9142</v>
      </c>
      <c r="AW16">
        <v>2784</v>
      </c>
      <c r="AX16">
        <v>27126</v>
      </c>
      <c r="AY16">
        <v>7230</v>
      </c>
      <c r="AZ16">
        <v>2398</v>
      </c>
      <c r="BA16">
        <v>411</v>
      </c>
      <c r="BB16">
        <v>8311</v>
      </c>
      <c r="BC16">
        <v>15566</v>
      </c>
      <c r="BD16">
        <v>16239</v>
      </c>
      <c r="BE16">
        <v>2511</v>
      </c>
      <c r="BF16">
        <v>24235</v>
      </c>
      <c r="BG16">
        <v>49996</v>
      </c>
      <c r="BH16">
        <v>48144</v>
      </c>
      <c r="BI16">
        <v>7293</v>
      </c>
      <c r="BJ16">
        <v>66820</v>
      </c>
      <c r="BK16">
        <v>8814</v>
      </c>
      <c r="BL16">
        <v>3977</v>
      </c>
      <c r="BM16">
        <v>682</v>
      </c>
      <c r="BN16">
        <v>14528</v>
      </c>
      <c r="BO16">
        <v>1832</v>
      </c>
      <c r="BP16">
        <v>1576</v>
      </c>
      <c r="BQ16">
        <v>472</v>
      </c>
      <c r="BR16">
        <v>4614</v>
      </c>
      <c r="BS16">
        <v>23202</v>
      </c>
      <c r="BT16">
        <v>24796</v>
      </c>
      <c r="BU16">
        <v>3241</v>
      </c>
      <c r="BV16">
        <v>38111</v>
      </c>
      <c r="BW16">
        <v>15943</v>
      </c>
      <c r="BX16">
        <v>15882</v>
      </c>
      <c r="BY16">
        <v>2286</v>
      </c>
      <c r="BZ16">
        <v>22638</v>
      </c>
      <c r="CA16">
        <v>1178</v>
      </c>
      <c r="CB16">
        <v>1358</v>
      </c>
      <c r="CC16">
        <v>197</v>
      </c>
      <c r="CD16">
        <v>2363</v>
      </c>
      <c r="CE16">
        <v>5920</v>
      </c>
      <c r="CF16">
        <v>5627</v>
      </c>
      <c r="CG16">
        <v>987</v>
      </c>
      <c r="CH16">
        <v>6795</v>
      </c>
      <c r="CI16">
        <v>11851</v>
      </c>
      <c r="CJ16">
        <v>12980</v>
      </c>
      <c r="CK16">
        <v>2087</v>
      </c>
      <c r="CL16">
        <v>21301</v>
      </c>
      <c r="CM16">
        <v>889</v>
      </c>
      <c r="CN16">
        <v>1026</v>
      </c>
      <c r="CO16">
        <v>289</v>
      </c>
      <c r="CP16">
        <v>4384</v>
      </c>
      <c r="CQ16">
        <v>35841</v>
      </c>
      <c r="CR16">
        <v>31612</v>
      </c>
      <c r="CS16">
        <v>8484</v>
      </c>
      <c r="CT16">
        <v>17355</v>
      </c>
      <c r="CU16">
        <v>92692</v>
      </c>
      <c r="CV16">
        <v>86960</v>
      </c>
      <c r="CW16">
        <v>18047</v>
      </c>
      <c r="CX16">
        <v>52648</v>
      </c>
      <c r="CY16">
        <v>21085</v>
      </c>
      <c r="CZ16">
        <v>20661</v>
      </c>
      <c r="DA16">
        <v>4940</v>
      </c>
      <c r="DB16">
        <v>16927</v>
      </c>
      <c r="DC16">
        <v>6410</v>
      </c>
      <c r="DD16">
        <v>6343</v>
      </c>
      <c r="DE16">
        <v>1883</v>
      </c>
      <c r="DF16">
        <v>4210</v>
      </c>
      <c r="DG16">
        <v>45125</v>
      </c>
      <c r="DH16">
        <v>35817</v>
      </c>
      <c r="DI16">
        <v>7646</v>
      </c>
      <c r="DJ16">
        <v>75130</v>
      </c>
      <c r="DK16">
        <v>1246</v>
      </c>
      <c r="DL16">
        <v>1067</v>
      </c>
      <c r="DM16">
        <v>1476</v>
      </c>
      <c r="DN16">
        <v>3830</v>
      </c>
      <c r="DO16">
        <v>7724</v>
      </c>
      <c r="DP16">
        <v>7870</v>
      </c>
      <c r="DQ16">
        <v>3304</v>
      </c>
      <c r="DR16">
        <v>13830</v>
      </c>
      <c r="DS16">
        <v>3279</v>
      </c>
      <c r="DT16">
        <v>2922</v>
      </c>
      <c r="DU16">
        <v>1692</v>
      </c>
      <c r="DV16">
        <v>5905</v>
      </c>
    </row>
    <row r="17" spans="1:126" x14ac:dyDescent="0.4">
      <c r="A17" s="1" t="s">
        <v>22</v>
      </c>
      <c r="B17" s="1" t="s">
        <v>23</v>
      </c>
      <c r="C17">
        <v>129142</v>
      </c>
      <c r="D17">
        <v>121055</v>
      </c>
      <c r="E17">
        <v>16268</v>
      </c>
      <c r="F17">
        <v>171870</v>
      </c>
      <c r="G17">
        <v>53963</v>
      </c>
      <c r="H17">
        <v>61956</v>
      </c>
      <c r="I17">
        <v>9066</v>
      </c>
      <c r="J17">
        <v>70536</v>
      </c>
      <c r="K17">
        <v>14248</v>
      </c>
      <c r="L17">
        <v>16257</v>
      </c>
      <c r="M17">
        <v>2319</v>
      </c>
      <c r="N17">
        <v>24306</v>
      </c>
      <c r="O17">
        <v>17998</v>
      </c>
      <c r="P17">
        <v>16062</v>
      </c>
      <c r="Q17">
        <v>1978</v>
      </c>
      <c r="R17">
        <v>32372</v>
      </c>
      <c r="S17">
        <v>789</v>
      </c>
      <c r="T17">
        <v>796</v>
      </c>
      <c r="U17">
        <v>250</v>
      </c>
      <c r="V17">
        <v>2614</v>
      </c>
      <c r="W17">
        <v>34566</v>
      </c>
      <c r="X17">
        <v>52838</v>
      </c>
      <c r="Y17">
        <v>7126</v>
      </c>
      <c r="Z17">
        <v>64676</v>
      </c>
      <c r="AA17">
        <v>2053</v>
      </c>
      <c r="AB17">
        <v>2454</v>
      </c>
      <c r="AC17">
        <v>432</v>
      </c>
      <c r="AD17">
        <v>2501</v>
      </c>
      <c r="AE17">
        <v>71798</v>
      </c>
      <c r="AF17">
        <v>99553</v>
      </c>
      <c r="AG17">
        <v>13481</v>
      </c>
      <c r="AH17">
        <v>94199</v>
      </c>
      <c r="AI17">
        <v>48050</v>
      </c>
      <c r="AJ17">
        <v>65815</v>
      </c>
      <c r="AK17">
        <v>8449</v>
      </c>
      <c r="AL17">
        <v>76615</v>
      </c>
      <c r="AM17">
        <v>9309</v>
      </c>
      <c r="AN17">
        <v>12254</v>
      </c>
      <c r="AO17">
        <v>2165</v>
      </c>
      <c r="AP17">
        <v>21322</v>
      </c>
      <c r="AQ17">
        <v>4194</v>
      </c>
      <c r="AR17">
        <v>3986</v>
      </c>
      <c r="AS17">
        <v>772</v>
      </c>
      <c r="AT17">
        <v>22190</v>
      </c>
      <c r="AU17">
        <v>9793</v>
      </c>
      <c r="AV17">
        <v>8838</v>
      </c>
      <c r="AW17">
        <v>2737</v>
      </c>
      <c r="AX17">
        <v>27959</v>
      </c>
      <c r="AY17">
        <v>3292</v>
      </c>
      <c r="AZ17">
        <v>1708</v>
      </c>
      <c r="BA17">
        <v>299</v>
      </c>
      <c r="BB17">
        <v>5373</v>
      </c>
      <c r="BC17">
        <v>12625</v>
      </c>
      <c r="BD17">
        <v>15433</v>
      </c>
      <c r="BE17">
        <v>2376</v>
      </c>
      <c r="BF17">
        <v>21388</v>
      </c>
      <c r="BG17">
        <v>38595</v>
      </c>
      <c r="BH17">
        <v>47643</v>
      </c>
      <c r="BI17">
        <v>7221</v>
      </c>
      <c r="BJ17">
        <v>57769</v>
      </c>
      <c r="BK17">
        <v>6654</v>
      </c>
      <c r="BL17">
        <v>3785</v>
      </c>
      <c r="BM17">
        <v>688</v>
      </c>
      <c r="BN17">
        <v>11867</v>
      </c>
      <c r="BO17">
        <v>843</v>
      </c>
      <c r="BP17">
        <v>1355</v>
      </c>
      <c r="BQ17">
        <v>400</v>
      </c>
      <c r="BR17">
        <v>4087</v>
      </c>
      <c r="BS17">
        <v>24413</v>
      </c>
      <c r="BT17">
        <v>24709</v>
      </c>
      <c r="BU17">
        <v>3175</v>
      </c>
      <c r="BV17">
        <v>37779</v>
      </c>
      <c r="BW17">
        <v>14774</v>
      </c>
      <c r="BX17">
        <v>15413</v>
      </c>
      <c r="BY17">
        <v>2225</v>
      </c>
      <c r="BZ17">
        <v>21968</v>
      </c>
      <c r="CA17">
        <v>1263</v>
      </c>
      <c r="CB17">
        <v>1324</v>
      </c>
      <c r="CC17">
        <v>199</v>
      </c>
      <c r="CD17">
        <v>2302</v>
      </c>
      <c r="CE17">
        <v>3824</v>
      </c>
      <c r="CF17">
        <v>4857</v>
      </c>
      <c r="CG17">
        <v>843</v>
      </c>
      <c r="CH17">
        <v>5749</v>
      </c>
      <c r="CI17">
        <v>10265</v>
      </c>
      <c r="CJ17">
        <v>11349</v>
      </c>
      <c r="CK17">
        <v>1797</v>
      </c>
      <c r="CL17">
        <v>20202</v>
      </c>
      <c r="CM17">
        <v>1050</v>
      </c>
      <c r="CN17">
        <v>1148</v>
      </c>
      <c r="CO17">
        <v>345</v>
      </c>
      <c r="CP17">
        <v>4254</v>
      </c>
      <c r="CQ17">
        <v>30838</v>
      </c>
      <c r="CR17">
        <v>28433</v>
      </c>
      <c r="CS17">
        <v>7703</v>
      </c>
      <c r="CT17">
        <v>19207</v>
      </c>
      <c r="CU17">
        <v>93179</v>
      </c>
      <c r="CV17">
        <v>86038</v>
      </c>
      <c r="CW17">
        <v>18235</v>
      </c>
      <c r="CX17">
        <v>59724</v>
      </c>
      <c r="CY17">
        <v>21629</v>
      </c>
      <c r="CZ17">
        <v>21104</v>
      </c>
      <c r="DA17">
        <v>4920</v>
      </c>
      <c r="DB17">
        <v>17446</v>
      </c>
      <c r="DC17">
        <v>6987</v>
      </c>
      <c r="DD17">
        <v>6508</v>
      </c>
      <c r="DE17">
        <v>1888</v>
      </c>
      <c r="DF17">
        <v>4599</v>
      </c>
      <c r="DG17">
        <v>37227</v>
      </c>
      <c r="DH17">
        <v>34625</v>
      </c>
      <c r="DI17">
        <v>7759</v>
      </c>
      <c r="DJ17">
        <v>71258</v>
      </c>
      <c r="DK17">
        <v>1376</v>
      </c>
      <c r="DL17">
        <v>1014</v>
      </c>
      <c r="DM17">
        <v>1554</v>
      </c>
      <c r="DN17">
        <v>4040</v>
      </c>
      <c r="DO17">
        <v>7705</v>
      </c>
      <c r="DP17">
        <v>7273</v>
      </c>
      <c r="DQ17">
        <v>3163</v>
      </c>
      <c r="DR17">
        <v>14171</v>
      </c>
      <c r="DS17">
        <v>3181</v>
      </c>
      <c r="DT17">
        <v>2979</v>
      </c>
      <c r="DU17">
        <v>1722</v>
      </c>
      <c r="DV17">
        <v>6094</v>
      </c>
    </row>
    <row r="18" spans="1:126" x14ac:dyDescent="0.4">
      <c r="A18" s="1" t="s">
        <v>24</v>
      </c>
      <c r="B18" s="1" t="s">
        <v>25</v>
      </c>
      <c r="C18">
        <v>116667</v>
      </c>
      <c r="D18">
        <v>131237</v>
      </c>
      <c r="E18">
        <v>17808</v>
      </c>
      <c r="F18">
        <v>157153</v>
      </c>
      <c r="G18">
        <v>67075</v>
      </c>
      <c r="H18">
        <v>63515</v>
      </c>
      <c r="I18">
        <v>9364</v>
      </c>
      <c r="J18">
        <v>73621</v>
      </c>
      <c r="K18">
        <v>14043</v>
      </c>
      <c r="L18">
        <v>15204</v>
      </c>
      <c r="M18">
        <v>2149</v>
      </c>
      <c r="N18">
        <v>23145</v>
      </c>
      <c r="O18">
        <v>14770</v>
      </c>
      <c r="P18">
        <v>17497</v>
      </c>
      <c r="Q18">
        <v>2124</v>
      </c>
      <c r="R18">
        <v>29216</v>
      </c>
      <c r="S18">
        <v>988</v>
      </c>
      <c r="T18">
        <v>970</v>
      </c>
      <c r="U18">
        <v>323</v>
      </c>
      <c r="V18">
        <v>2632</v>
      </c>
      <c r="W18">
        <v>51123</v>
      </c>
      <c r="X18">
        <v>57680</v>
      </c>
      <c r="Y18">
        <v>7834</v>
      </c>
      <c r="Z18">
        <v>58112</v>
      </c>
      <c r="AA18">
        <v>2668</v>
      </c>
      <c r="AB18">
        <v>2448</v>
      </c>
      <c r="AC18">
        <v>418</v>
      </c>
      <c r="AD18">
        <v>2721</v>
      </c>
      <c r="AE18">
        <v>107744</v>
      </c>
      <c r="AF18">
        <v>99232</v>
      </c>
      <c r="AG18">
        <v>13568</v>
      </c>
      <c r="AH18">
        <v>102692</v>
      </c>
      <c r="AI18">
        <v>55549</v>
      </c>
      <c r="AJ18">
        <v>60640</v>
      </c>
      <c r="AK18">
        <v>7808</v>
      </c>
      <c r="AL18">
        <v>71514</v>
      </c>
      <c r="AM18">
        <v>15034</v>
      </c>
      <c r="AN18">
        <v>13994</v>
      </c>
      <c r="AO18">
        <v>2528</v>
      </c>
      <c r="AP18">
        <v>22360</v>
      </c>
      <c r="AQ18">
        <v>1725</v>
      </c>
      <c r="AR18">
        <v>3917</v>
      </c>
      <c r="AS18">
        <v>768</v>
      </c>
      <c r="AT18">
        <v>19998</v>
      </c>
      <c r="AU18">
        <v>10292</v>
      </c>
      <c r="AV18">
        <v>9766</v>
      </c>
      <c r="AW18">
        <v>2998</v>
      </c>
      <c r="AX18">
        <v>28399</v>
      </c>
      <c r="AY18">
        <v>8882</v>
      </c>
      <c r="AZ18">
        <v>1637</v>
      </c>
      <c r="BA18">
        <v>285</v>
      </c>
      <c r="BB18">
        <v>7515</v>
      </c>
      <c r="BC18">
        <v>16696</v>
      </c>
      <c r="BD18">
        <v>15418</v>
      </c>
      <c r="BE18">
        <v>2373</v>
      </c>
      <c r="BF18">
        <v>22636</v>
      </c>
      <c r="BG18">
        <v>51695</v>
      </c>
      <c r="BH18">
        <v>50427</v>
      </c>
      <c r="BI18">
        <v>7637</v>
      </c>
      <c r="BJ18">
        <v>59013</v>
      </c>
      <c r="BK18">
        <v>13786</v>
      </c>
      <c r="BL18">
        <v>4942</v>
      </c>
      <c r="BM18">
        <v>950</v>
      </c>
      <c r="BN18">
        <v>13646</v>
      </c>
      <c r="BO18">
        <v>1188</v>
      </c>
      <c r="BP18">
        <v>1327</v>
      </c>
      <c r="BQ18">
        <v>424</v>
      </c>
      <c r="BR18">
        <v>3941</v>
      </c>
      <c r="BS18">
        <v>27563</v>
      </c>
      <c r="BT18">
        <v>28734</v>
      </c>
      <c r="BU18">
        <v>3770</v>
      </c>
      <c r="BV18">
        <v>36570</v>
      </c>
      <c r="BW18">
        <v>16427</v>
      </c>
      <c r="BX18">
        <v>17038</v>
      </c>
      <c r="BY18">
        <v>2449</v>
      </c>
      <c r="BZ18">
        <v>21294</v>
      </c>
      <c r="CA18">
        <v>1203</v>
      </c>
      <c r="CB18">
        <v>1425</v>
      </c>
      <c r="CC18">
        <v>206</v>
      </c>
      <c r="CD18">
        <v>2080</v>
      </c>
      <c r="CE18">
        <v>5489</v>
      </c>
      <c r="CF18">
        <v>5700</v>
      </c>
      <c r="CG18">
        <v>1017</v>
      </c>
      <c r="CH18">
        <v>5526</v>
      </c>
      <c r="CI18">
        <v>14066</v>
      </c>
      <c r="CJ18">
        <v>14579</v>
      </c>
      <c r="CK18">
        <v>2350</v>
      </c>
      <c r="CL18">
        <v>19607</v>
      </c>
      <c r="CM18">
        <v>1338</v>
      </c>
      <c r="CN18">
        <v>1072</v>
      </c>
      <c r="CO18">
        <v>326</v>
      </c>
      <c r="CP18">
        <v>4455</v>
      </c>
      <c r="CQ18">
        <v>32924</v>
      </c>
      <c r="CR18">
        <v>33517</v>
      </c>
      <c r="CS18">
        <v>9042</v>
      </c>
      <c r="CT18">
        <v>18281</v>
      </c>
      <c r="CU18">
        <v>88110</v>
      </c>
      <c r="CV18">
        <v>90471</v>
      </c>
      <c r="CW18">
        <v>18889</v>
      </c>
      <c r="CX18">
        <v>57307</v>
      </c>
      <c r="CY18">
        <v>21793</v>
      </c>
      <c r="CZ18">
        <v>22879</v>
      </c>
      <c r="DA18">
        <v>5535</v>
      </c>
      <c r="DB18">
        <v>16355</v>
      </c>
      <c r="DC18">
        <v>6827</v>
      </c>
      <c r="DD18">
        <v>6981</v>
      </c>
      <c r="DE18">
        <v>1924</v>
      </c>
      <c r="DF18">
        <v>4379</v>
      </c>
      <c r="DG18">
        <v>41332</v>
      </c>
      <c r="DH18">
        <v>37847</v>
      </c>
      <c r="DI18">
        <v>8215</v>
      </c>
      <c r="DJ18">
        <v>67138</v>
      </c>
      <c r="DK18">
        <v>1412</v>
      </c>
      <c r="DL18">
        <v>1357</v>
      </c>
      <c r="DM18">
        <v>1921</v>
      </c>
      <c r="DN18">
        <v>3925</v>
      </c>
      <c r="DO18">
        <v>8218</v>
      </c>
      <c r="DP18">
        <v>8160</v>
      </c>
      <c r="DQ18">
        <v>3603</v>
      </c>
      <c r="DR18">
        <v>14169</v>
      </c>
      <c r="DS18">
        <v>3340</v>
      </c>
      <c r="DT18">
        <v>3301</v>
      </c>
      <c r="DU18">
        <v>1856</v>
      </c>
      <c r="DV18">
        <v>6115</v>
      </c>
    </row>
    <row r="19" spans="1:126" x14ac:dyDescent="0.4">
      <c r="A19" s="1" t="s">
        <v>26</v>
      </c>
      <c r="B19" s="1" t="s">
        <v>27</v>
      </c>
      <c r="C19">
        <v>132254</v>
      </c>
      <c r="D19">
        <v>126953</v>
      </c>
      <c r="E19">
        <v>17006</v>
      </c>
      <c r="F19">
        <v>162251</v>
      </c>
      <c r="G19">
        <v>75833</v>
      </c>
      <c r="H19">
        <v>63765</v>
      </c>
      <c r="I19">
        <v>9307</v>
      </c>
      <c r="J19">
        <v>85211</v>
      </c>
      <c r="K19">
        <v>16413</v>
      </c>
      <c r="L19">
        <v>14739</v>
      </c>
      <c r="M19">
        <v>2075</v>
      </c>
      <c r="N19">
        <v>24818</v>
      </c>
      <c r="O19">
        <v>16330</v>
      </c>
      <c r="P19">
        <v>15798</v>
      </c>
      <c r="Q19">
        <v>1895</v>
      </c>
      <c r="R19">
        <v>29407</v>
      </c>
      <c r="S19">
        <v>988</v>
      </c>
      <c r="T19">
        <v>982</v>
      </c>
      <c r="U19">
        <v>318</v>
      </c>
      <c r="V19">
        <v>2637</v>
      </c>
      <c r="W19">
        <v>65817</v>
      </c>
      <c r="X19">
        <v>53989</v>
      </c>
      <c r="Y19">
        <v>7323</v>
      </c>
      <c r="Z19">
        <v>69938</v>
      </c>
      <c r="AA19">
        <v>2374</v>
      </c>
      <c r="AB19">
        <v>2214</v>
      </c>
      <c r="AC19">
        <v>391</v>
      </c>
      <c r="AD19">
        <v>2880</v>
      </c>
      <c r="AE19">
        <v>111577</v>
      </c>
      <c r="AF19">
        <v>99530</v>
      </c>
      <c r="AG19">
        <v>13488</v>
      </c>
      <c r="AH19">
        <v>114722</v>
      </c>
      <c r="AI19">
        <v>77286</v>
      </c>
      <c r="AJ19">
        <v>59044</v>
      </c>
      <c r="AK19">
        <v>7588</v>
      </c>
      <c r="AL19">
        <v>89752</v>
      </c>
      <c r="AM19">
        <v>11785</v>
      </c>
      <c r="AN19">
        <v>11840</v>
      </c>
      <c r="AO19">
        <v>2086</v>
      </c>
      <c r="AP19">
        <v>22301</v>
      </c>
      <c r="AQ19">
        <v>4135</v>
      </c>
      <c r="AR19">
        <v>3721</v>
      </c>
      <c r="AS19">
        <v>732</v>
      </c>
      <c r="AT19">
        <v>20412</v>
      </c>
      <c r="AU19">
        <v>8006</v>
      </c>
      <c r="AV19">
        <v>7970</v>
      </c>
      <c r="AW19">
        <v>2412</v>
      </c>
      <c r="AX19">
        <v>28333</v>
      </c>
      <c r="AY19">
        <v>9303</v>
      </c>
      <c r="AZ19">
        <v>3096</v>
      </c>
      <c r="BA19">
        <v>494</v>
      </c>
      <c r="BB19">
        <v>7870</v>
      </c>
      <c r="BC19">
        <v>14561</v>
      </c>
      <c r="BD19">
        <v>13704</v>
      </c>
      <c r="BE19">
        <v>2112</v>
      </c>
      <c r="BF19">
        <v>23473</v>
      </c>
      <c r="BG19">
        <v>41926</v>
      </c>
      <c r="BH19">
        <v>39587</v>
      </c>
      <c r="BI19">
        <v>6006</v>
      </c>
      <c r="BJ19">
        <v>61336</v>
      </c>
      <c r="BK19">
        <v>12366</v>
      </c>
      <c r="BL19">
        <v>4373</v>
      </c>
      <c r="BM19">
        <v>796</v>
      </c>
      <c r="BN19">
        <v>14269</v>
      </c>
      <c r="BO19">
        <v>1170</v>
      </c>
      <c r="BP19">
        <v>1163</v>
      </c>
      <c r="BQ19">
        <v>349</v>
      </c>
      <c r="BR19">
        <v>3943</v>
      </c>
      <c r="BS19">
        <v>26818</v>
      </c>
      <c r="BT19">
        <v>25278</v>
      </c>
      <c r="BU19">
        <v>3227</v>
      </c>
      <c r="BV19">
        <v>38064</v>
      </c>
      <c r="BW19">
        <v>16365</v>
      </c>
      <c r="BX19">
        <v>14204</v>
      </c>
      <c r="BY19">
        <v>1998</v>
      </c>
      <c r="BZ19">
        <v>23418</v>
      </c>
      <c r="CA19">
        <v>1362</v>
      </c>
      <c r="CB19">
        <v>1330</v>
      </c>
      <c r="CC19">
        <v>190</v>
      </c>
      <c r="CD19">
        <v>2112</v>
      </c>
      <c r="CE19">
        <v>5485</v>
      </c>
      <c r="CF19">
        <v>4875</v>
      </c>
      <c r="CG19">
        <v>840</v>
      </c>
      <c r="CH19">
        <v>6130</v>
      </c>
      <c r="CI19">
        <v>14621</v>
      </c>
      <c r="CJ19">
        <v>13079</v>
      </c>
      <c r="CK19">
        <v>2071</v>
      </c>
      <c r="CL19">
        <v>21123</v>
      </c>
      <c r="CM19">
        <v>971</v>
      </c>
      <c r="CN19">
        <v>964</v>
      </c>
      <c r="CO19">
        <v>299</v>
      </c>
      <c r="CP19">
        <v>4424</v>
      </c>
      <c r="CQ19">
        <v>34242</v>
      </c>
      <c r="CR19">
        <v>31855</v>
      </c>
      <c r="CS19">
        <v>8687</v>
      </c>
      <c r="CT19">
        <v>19924</v>
      </c>
      <c r="CU19">
        <v>88452</v>
      </c>
      <c r="CV19">
        <v>93797</v>
      </c>
      <c r="CW19">
        <v>19203</v>
      </c>
      <c r="CX19">
        <v>51889</v>
      </c>
      <c r="CY19">
        <v>21332</v>
      </c>
      <c r="CZ19">
        <v>21915</v>
      </c>
      <c r="DA19">
        <v>5351</v>
      </c>
      <c r="DB19">
        <v>15767</v>
      </c>
      <c r="DC19">
        <v>5842</v>
      </c>
      <c r="DD19">
        <v>5984</v>
      </c>
      <c r="DE19">
        <v>1730</v>
      </c>
      <c r="DF19">
        <v>4119</v>
      </c>
      <c r="DG19">
        <v>41917</v>
      </c>
      <c r="DH19">
        <v>32268</v>
      </c>
      <c r="DI19">
        <v>6968</v>
      </c>
      <c r="DJ19">
        <v>71690</v>
      </c>
      <c r="DK19">
        <v>1170</v>
      </c>
      <c r="DL19">
        <v>1057</v>
      </c>
      <c r="DM19">
        <v>1459</v>
      </c>
      <c r="DN19">
        <v>3919</v>
      </c>
      <c r="DO19">
        <v>5991</v>
      </c>
      <c r="DP19">
        <v>6394</v>
      </c>
      <c r="DQ19">
        <v>2824</v>
      </c>
      <c r="DR19">
        <v>13697</v>
      </c>
      <c r="DS19">
        <v>2729</v>
      </c>
      <c r="DT19">
        <v>2743</v>
      </c>
      <c r="DU19">
        <v>1596</v>
      </c>
      <c r="DV19">
        <v>6088</v>
      </c>
    </row>
    <row r="20" spans="1:126" x14ac:dyDescent="0.4">
      <c r="A20" s="1" t="s">
        <v>28</v>
      </c>
      <c r="B20" s="1" t="s">
        <v>29</v>
      </c>
      <c r="C20">
        <v>127163</v>
      </c>
      <c r="D20">
        <v>118917</v>
      </c>
      <c r="E20">
        <v>16165</v>
      </c>
      <c r="F20">
        <v>170269</v>
      </c>
      <c r="G20">
        <v>70554</v>
      </c>
      <c r="H20">
        <v>71906</v>
      </c>
      <c r="I20">
        <v>10605</v>
      </c>
      <c r="J20">
        <v>83338</v>
      </c>
      <c r="K20">
        <v>15610</v>
      </c>
      <c r="L20">
        <v>14798</v>
      </c>
      <c r="M20">
        <v>2088</v>
      </c>
      <c r="N20">
        <v>25628</v>
      </c>
      <c r="O20">
        <v>17148</v>
      </c>
      <c r="P20">
        <v>15655</v>
      </c>
      <c r="Q20">
        <v>1942</v>
      </c>
      <c r="R20">
        <v>30053</v>
      </c>
      <c r="S20">
        <v>1190</v>
      </c>
      <c r="T20">
        <v>1300</v>
      </c>
      <c r="U20">
        <v>405</v>
      </c>
      <c r="V20">
        <v>2526</v>
      </c>
      <c r="W20">
        <v>72235</v>
      </c>
      <c r="X20">
        <v>64255</v>
      </c>
      <c r="Y20">
        <v>8716</v>
      </c>
      <c r="Z20">
        <v>77903</v>
      </c>
      <c r="AA20">
        <v>2394</v>
      </c>
      <c r="AB20">
        <v>2255</v>
      </c>
      <c r="AC20">
        <v>396</v>
      </c>
      <c r="AD20">
        <v>3019</v>
      </c>
      <c r="AE20">
        <v>105738</v>
      </c>
      <c r="AF20">
        <v>109405</v>
      </c>
      <c r="AG20">
        <v>14822</v>
      </c>
      <c r="AH20">
        <v>111037</v>
      </c>
      <c r="AI20">
        <v>68813</v>
      </c>
      <c r="AJ20">
        <v>71616</v>
      </c>
      <c r="AK20">
        <v>9093</v>
      </c>
      <c r="AL20">
        <v>86936</v>
      </c>
      <c r="AM20">
        <v>13251</v>
      </c>
      <c r="AN20">
        <v>12173</v>
      </c>
      <c r="AO20">
        <v>2190</v>
      </c>
      <c r="AP20">
        <v>23376</v>
      </c>
      <c r="AQ20">
        <v>4514</v>
      </c>
      <c r="AR20">
        <v>4258</v>
      </c>
      <c r="AS20">
        <v>830</v>
      </c>
      <c r="AT20">
        <v>20668</v>
      </c>
      <c r="AU20">
        <v>10185</v>
      </c>
      <c r="AV20">
        <v>10059</v>
      </c>
      <c r="AW20">
        <v>3091</v>
      </c>
      <c r="AX20">
        <v>28340</v>
      </c>
      <c r="AY20">
        <v>7796</v>
      </c>
      <c r="AZ20">
        <v>1695</v>
      </c>
      <c r="BA20">
        <v>289</v>
      </c>
      <c r="BB20">
        <v>9174</v>
      </c>
      <c r="BC20">
        <v>15153</v>
      </c>
      <c r="BD20">
        <v>15524</v>
      </c>
      <c r="BE20">
        <v>2418</v>
      </c>
      <c r="BF20">
        <v>23009</v>
      </c>
      <c r="BG20">
        <v>51550</v>
      </c>
      <c r="BH20">
        <v>45967</v>
      </c>
      <c r="BI20">
        <v>6993</v>
      </c>
      <c r="BJ20">
        <v>66907</v>
      </c>
      <c r="BK20">
        <v>11193</v>
      </c>
      <c r="BL20">
        <v>4948</v>
      </c>
      <c r="BM20">
        <v>895</v>
      </c>
      <c r="BN20">
        <v>14199</v>
      </c>
      <c r="BO20">
        <v>1449</v>
      </c>
      <c r="BP20">
        <v>1368</v>
      </c>
      <c r="BQ20">
        <v>426</v>
      </c>
      <c r="BR20">
        <v>3999</v>
      </c>
      <c r="BS20">
        <v>26602</v>
      </c>
      <c r="BT20">
        <v>25919</v>
      </c>
      <c r="BU20">
        <v>3292</v>
      </c>
      <c r="BV20">
        <v>38689</v>
      </c>
      <c r="BW20">
        <v>16752</v>
      </c>
      <c r="BX20">
        <v>17885</v>
      </c>
      <c r="BY20">
        <v>2519</v>
      </c>
      <c r="BZ20">
        <v>22236</v>
      </c>
      <c r="CA20">
        <v>1358</v>
      </c>
      <c r="CB20">
        <v>1368</v>
      </c>
      <c r="CC20">
        <v>208</v>
      </c>
      <c r="CD20">
        <v>2102</v>
      </c>
      <c r="CE20">
        <v>5856</v>
      </c>
      <c r="CF20">
        <v>5246</v>
      </c>
      <c r="CG20">
        <v>888</v>
      </c>
      <c r="CH20">
        <v>6736</v>
      </c>
      <c r="CI20">
        <v>15496</v>
      </c>
      <c r="CJ20">
        <v>14976</v>
      </c>
      <c r="CK20">
        <v>2331</v>
      </c>
      <c r="CL20">
        <v>21578</v>
      </c>
      <c r="CM20">
        <v>993</v>
      </c>
      <c r="CN20">
        <v>1087</v>
      </c>
      <c r="CO20">
        <v>326</v>
      </c>
      <c r="CP20">
        <v>4321</v>
      </c>
      <c r="CQ20">
        <v>34101</v>
      </c>
      <c r="CR20">
        <v>32714</v>
      </c>
      <c r="CS20">
        <v>8858</v>
      </c>
      <c r="CT20">
        <v>20749</v>
      </c>
      <c r="CU20">
        <v>94414</v>
      </c>
      <c r="CV20">
        <v>89808</v>
      </c>
      <c r="CW20">
        <v>18424</v>
      </c>
      <c r="CX20">
        <v>56446</v>
      </c>
      <c r="CY20">
        <v>22971</v>
      </c>
      <c r="CZ20">
        <v>22146</v>
      </c>
      <c r="DA20">
        <v>5362</v>
      </c>
      <c r="DB20">
        <v>16580</v>
      </c>
      <c r="DC20">
        <v>6948</v>
      </c>
      <c r="DD20">
        <v>6740</v>
      </c>
      <c r="DE20">
        <v>1951</v>
      </c>
      <c r="DF20">
        <v>4229</v>
      </c>
      <c r="DG20">
        <v>50024</v>
      </c>
      <c r="DH20">
        <v>35967</v>
      </c>
      <c r="DI20">
        <v>7840</v>
      </c>
      <c r="DJ20">
        <v>77517</v>
      </c>
      <c r="DK20">
        <v>1137</v>
      </c>
      <c r="DL20">
        <v>1091</v>
      </c>
      <c r="DM20">
        <v>1690</v>
      </c>
      <c r="DN20">
        <v>3825</v>
      </c>
      <c r="DO20">
        <v>7920</v>
      </c>
      <c r="DP20">
        <v>7300</v>
      </c>
      <c r="DQ20">
        <v>3238</v>
      </c>
      <c r="DR20">
        <v>14041</v>
      </c>
      <c r="DS20">
        <v>3102</v>
      </c>
      <c r="DT20">
        <v>3090</v>
      </c>
      <c r="DU20">
        <v>1741</v>
      </c>
      <c r="DV20">
        <v>6081</v>
      </c>
    </row>
    <row r="21" spans="1:126" x14ac:dyDescent="0.4">
      <c r="A21" s="1" t="s">
        <v>30</v>
      </c>
      <c r="B21" s="1" t="s">
        <v>31</v>
      </c>
      <c r="C21">
        <v>116600</v>
      </c>
      <c r="D21">
        <v>134822</v>
      </c>
      <c r="E21">
        <v>18318</v>
      </c>
      <c r="F21">
        <v>151946</v>
      </c>
      <c r="G21">
        <v>75827</v>
      </c>
      <c r="H21">
        <v>75364</v>
      </c>
      <c r="I21">
        <v>11093</v>
      </c>
      <c r="J21">
        <v>83228</v>
      </c>
      <c r="K21">
        <v>14931</v>
      </c>
      <c r="L21">
        <v>15702</v>
      </c>
      <c r="M21">
        <v>2239</v>
      </c>
      <c r="N21">
        <v>24856</v>
      </c>
      <c r="O21">
        <v>18833</v>
      </c>
      <c r="P21">
        <v>18088</v>
      </c>
      <c r="Q21">
        <v>2211</v>
      </c>
      <c r="R21">
        <v>29907</v>
      </c>
      <c r="S21">
        <v>1240</v>
      </c>
      <c r="T21">
        <v>1313</v>
      </c>
      <c r="U21">
        <v>388</v>
      </c>
      <c r="V21">
        <v>2452</v>
      </c>
      <c r="W21">
        <v>62699</v>
      </c>
      <c r="X21">
        <v>66661</v>
      </c>
      <c r="Y21">
        <v>8913</v>
      </c>
      <c r="Z21">
        <v>73925</v>
      </c>
      <c r="AA21">
        <v>2248</v>
      </c>
      <c r="AB21">
        <v>2538</v>
      </c>
      <c r="AC21">
        <v>456</v>
      </c>
      <c r="AD21">
        <v>2727</v>
      </c>
      <c r="AE21">
        <v>107634</v>
      </c>
      <c r="AF21">
        <v>109491</v>
      </c>
      <c r="AG21">
        <v>14760</v>
      </c>
      <c r="AH21">
        <v>109142</v>
      </c>
      <c r="AI21">
        <v>53232</v>
      </c>
      <c r="AJ21">
        <v>62919</v>
      </c>
      <c r="AK21">
        <v>7984</v>
      </c>
      <c r="AL21">
        <v>77241</v>
      </c>
      <c r="AM21">
        <v>16233</v>
      </c>
      <c r="AN21">
        <v>15442</v>
      </c>
      <c r="AO21">
        <v>2751</v>
      </c>
      <c r="AP21">
        <v>24164</v>
      </c>
      <c r="AQ21">
        <v>3937</v>
      </c>
      <c r="AR21">
        <v>4215</v>
      </c>
      <c r="AS21">
        <v>830</v>
      </c>
      <c r="AT21">
        <v>20389</v>
      </c>
      <c r="AU21">
        <v>9947</v>
      </c>
      <c r="AV21">
        <v>9367</v>
      </c>
      <c r="AW21">
        <v>2967</v>
      </c>
      <c r="AX21">
        <v>28790</v>
      </c>
      <c r="AY21">
        <v>7982</v>
      </c>
      <c r="AZ21">
        <v>1529</v>
      </c>
      <c r="BA21">
        <v>257</v>
      </c>
      <c r="BB21">
        <v>10304</v>
      </c>
      <c r="BC21">
        <v>18102</v>
      </c>
      <c r="BD21">
        <v>16225</v>
      </c>
      <c r="BE21">
        <v>2485</v>
      </c>
      <c r="BF21">
        <v>24816</v>
      </c>
      <c r="BG21">
        <v>53226</v>
      </c>
      <c r="BH21">
        <v>49981</v>
      </c>
      <c r="BI21">
        <v>7523</v>
      </c>
      <c r="BJ21">
        <v>70132</v>
      </c>
      <c r="BK21">
        <v>12472</v>
      </c>
      <c r="BL21">
        <v>5985</v>
      </c>
      <c r="BM21">
        <v>979</v>
      </c>
      <c r="BN21">
        <v>16141</v>
      </c>
      <c r="BO21">
        <v>1349</v>
      </c>
      <c r="BP21">
        <v>1345</v>
      </c>
      <c r="BQ21">
        <v>432</v>
      </c>
      <c r="BR21">
        <v>3977</v>
      </c>
      <c r="BS21">
        <v>25828</v>
      </c>
      <c r="BT21">
        <v>27820</v>
      </c>
      <c r="BU21">
        <v>3510</v>
      </c>
      <c r="BV21">
        <v>36655</v>
      </c>
      <c r="BW21">
        <v>18063</v>
      </c>
      <c r="BX21">
        <v>16344</v>
      </c>
      <c r="BY21">
        <v>2280</v>
      </c>
      <c r="BZ21">
        <v>23926</v>
      </c>
      <c r="CA21">
        <v>1450</v>
      </c>
      <c r="CB21">
        <v>1347</v>
      </c>
      <c r="CC21">
        <v>204</v>
      </c>
      <c r="CD21">
        <v>2205</v>
      </c>
      <c r="CE21">
        <v>5846</v>
      </c>
      <c r="CF21">
        <v>5470</v>
      </c>
      <c r="CG21">
        <v>925</v>
      </c>
      <c r="CH21">
        <v>7107</v>
      </c>
      <c r="CI21">
        <v>17297</v>
      </c>
      <c r="CJ21">
        <v>15429</v>
      </c>
      <c r="CK21">
        <v>2416</v>
      </c>
      <c r="CL21">
        <v>23332</v>
      </c>
      <c r="CM21">
        <v>1291</v>
      </c>
      <c r="CN21">
        <v>1027</v>
      </c>
      <c r="CO21">
        <v>315</v>
      </c>
      <c r="CP21">
        <v>4483</v>
      </c>
      <c r="CQ21">
        <v>35228</v>
      </c>
      <c r="CR21">
        <v>33408</v>
      </c>
      <c r="CS21">
        <v>9195</v>
      </c>
      <c r="CT21">
        <v>21839</v>
      </c>
      <c r="CU21">
        <v>97828</v>
      </c>
      <c r="CV21">
        <v>96541</v>
      </c>
      <c r="CW21">
        <v>20292</v>
      </c>
      <c r="CX21">
        <v>57675</v>
      </c>
      <c r="CY21">
        <v>25142</v>
      </c>
      <c r="CZ21">
        <v>24808</v>
      </c>
      <c r="DA21">
        <v>5900</v>
      </c>
      <c r="DB21">
        <v>16907</v>
      </c>
      <c r="DC21">
        <v>7025</v>
      </c>
      <c r="DD21">
        <v>6986</v>
      </c>
      <c r="DE21">
        <v>2054</v>
      </c>
      <c r="DF21">
        <v>4186</v>
      </c>
      <c r="DG21">
        <v>45393</v>
      </c>
      <c r="DH21">
        <v>38772</v>
      </c>
      <c r="DI21">
        <v>8661</v>
      </c>
      <c r="DJ21">
        <v>76184</v>
      </c>
      <c r="DK21">
        <v>1636</v>
      </c>
      <c r="DL21">
        <v>1039</v>
      </c>
      <c r="DM21">
        <v>1685</v>
      </c>
      <c r="DN21">
        <v>4302</v>
      </c>
      <c r="DO21">
        <v>7235</v>
      </c>
      <c r="DP21">
        <v>7547</v>
      </c>
      <c r="DQ21">
        <v>3316</v>
      </c>
      <c r="DR21">
        <v>13641</v>
      </c>
      <c r="DS21">
        <v>3275</v>
      </c>
      <c r="DT21">
        <v>3190</v>
      </c>
      <c r="DU21">
        <v>1888</v>
      </c>
      <c r="DV21">
        <v>6149</v>
      </c>
    </row>
    <row r="22" spans="1:126" x14ac:dyDescent="0.4">
      <c r="A22" s="1" t="s">
        <v>32</v>
      </c>
      <c r="B22" s="1" t="s">
        <v>33</v>
      </c>
      <c r="C22">
        <v>98443</v>
      </c>
      <c r="D22">
        <v>124073</v>
      </c>
      <c r="E22">
        <v>16929</v>
      </c>
      <c r="F22">
        <v>126123</v>
      </c>
      <c r="G22">
        <v>65292</v>
      </c>
      <c r="H22">
        <v>68990</v>
      </c>
      <c r="I22">
        <v>10210</v>
      </c>
      <c r="J22">
        <v>79212</v>
      </c>
      <c r="K22">
        <v>12594</v>
      </c>
      <c r="L22">
        <v>15814</v>
      </c>
      <c r="M22">
        <v>2267</v>
      </c>
      <c r="N22">
        <v>21636</v>
      </c>
      <c r="O22">
        <v>16152</v>
      </c>
      <c r="P22">
        <v>16306</v>
      </c>
      <c r="Q22">
        <v>1993</v>
      </c>
      <c r="R22">
        <v>28979</v>
      </c>
      <c r="S22">
        <v>939</v>
      </c>
      <c r="T22">
        <v>862</v>
      </c>
      <c r="U22">
        <v>284</v>
      </c>
      <c r="V22">
        <v>2528</v>
      </c>
      <c r="W22">
        <v>66504</v>
      </c>
      <c r="X22">
        <v>62316</v>
      </c>
      <c r="Y22">
        <v>8489</v>
      </c>
      <c r="Z22">
        <v>78102</v>
      </c>
      <c r="AA22">
        <v>2189</v>
      </c>
      <c r="AB22">
        <v>2149</v>
      </c>
      <c r="AC22">
        <v>400</v>
      </c>
      <c r="AD22">
        <v>2767</v>
      </c>
      <c r="AE22">
        <v>104883</v>
      </c>
      <c r="AF22">
        <v>103584</v>
      </c>
      <c r="AG22">
        <v>14163</v>
      </c>
      <c r="AH22">
        <v>110424</v>
      </c>
      <c r="AI22">
        <v>66592</v>
      </c>
      <c r="AJ22">
        <v>65401</v>
      </c>
      <c r="AK22">
        <v>8483</v>
      </c>
      <c r="AL22">
        <v>78420</v>
      </c>
      <c r="AM22">
        <v>13621</v>
      </c>
      <c r="AN22">
        <v>14294</v>
      </c>
      <c r="AO22">
        <v>2450</v>
      </c>
      <c r="AP22">
        <v>23491</v>
      </c>
      <c r="AQ22">
        <v>6144</v>
      </c>
      <c r="AR22">
        <v>3916</v>
      </c>
      <c r="AS22">
        <v>764</v>
      </c>
      <c r="AT22">
        <v>22615</v>
      </c>
      <c r="AU22">
        <v>9660</v>
      </c>
      <c r="AV22">
        <v>9547</v>
      </c>
      <c r="AW22">
        <v>3078</v>
      </c>
      <c r="AX22">
        <v>28803</v>
      </c>
      <c r="AY22">
        <v>7070</v>
      </c>
      <c r="AZ22">
        <v>1893</v>
      </c>
      <c r="BA22">
        <v>322</v>
      </c>
      <c r="BB22">
        <v>10171</v>
      </c>
      <c r="BC22">
        <v>14307</v>
      </c>
      <c r="BD22">
        <v>13788</v>
      </c>
      <c r="BE22">
        <v>2114</v>
      </c>
      <c r="BF22">
        <v>25243</v>
      </c>
      <c r="BG22">
        <v>44125</v>
      </c>
      <c r="BH22">
        <v>48654</v>
      </c>
      <c r="BI22">
        <v>7389</v>
      </c>
      <c r="BJ22">
        <v>65585</v>
      </c>
      <c r="BK22">
        <v>6620</v>
      </c>
      <c r="BL22">
        <v>4354</v>
      </c>
      <c r="BM22">
        <v>789</v>
      </c>
      <c r="BN22">
        <v>12694</v>
      </c>
      <c r="BO22">
        <v>1443</v>
      </c>
      <c r="BP22">
        <v>1254</v>
      </c>
      <c r="BQ22">
        <v>386</v>
      </c>
      <c r="BR22">
        <v>4139</v>
      </c>
      <c r="BS22">
        <v>26213</v>
      </c>
      <c r="BT22">
        <v>25042</v>
      </c>
      <c r="BU22">
        <v>3222</v>
      </c>
      <c r="BV22">
        <v>37770</v>
      </c>
      <c r="BW22">
        <v>14982</v>
      </c>
      <c r="BX22">
        <v>16345</v>
      </c>
      <c r="BY22">
        <v>2337</v>
      </c>
      <c r="BZ22">
        <v>22509</v>
      </c>
      <c r="CA22">
        <v>1355</v>
      </c>
      <c r="CB22">
        <v>1483</v>
      </c>
      <c r="CC22">
        <v>225</v>
      </c>
      <c r="CD22">
        <v>2077</v>
      </c>
      <c r="CE22">
        <v>5023</v>
      </c>
      <c r="CF22">
        <v>5771</v>
      </c>
      <c r="CG22">
        <v>998</v>
      </c>
      <c r="CH22">
        <v>6357</v>
      </c>
      <c r="CI22">
        <v>13545</v>
      </c>
      <c r="CJ22">
        <v>14381</v>
      </c>
      <c r="CK22">
        <v>2212</v>
      </c>
      <c r="CL22">
        <v>22447</v>
      </c>
      <c r="CM22">
        <v>972</v>
      </c>
      <c r="CN22">
        <v>1092</v>
      </c>
      <c r="CO22">
        <v>331</v>
      </c>
      <c r="CP22">
        <v>4325</v>
      </c>
      <c r="CQ22">
        <v>32562</v>
      </c>
      <c r="CR22">
        <v>33127</v>
      </c>
      <c r="CS22">
        <v>9239</v>
      </c>
      <c r="CT22">
        <v>20724</v>
      </c>
      <c r="CU22">
        <v>92869</v>
      </c>
      <c r="CV22">
        <v>93979</v>
      </c>
      <c r="CW22">
        <v>19965</v>
      </c>
      <c r="CX22">
        <v>56506</v>
      </c>
      <c r="CY22">
        <v>24406</v>
      </c>
      <c r="CZ22">
        <v>24135</v>
      </c>
      <c r="DA22">
        <v>5804</v>
      </c>
      <c r="DB22">
        <v>17167</v>
      </c>
      <c r="DC22">
        <v>7090</v>
      </c>
      <c r="DD22">
        <v>6867</v>
      </c>
      <c r="DE22">
        <v>1916</v>
      </c>
      <c r="DF22">
        <v>4360</v>
      </c>
      <c r="DG22">
        <v>41814</v>
      </c>
      <c r="DH22">
        <v>35231</v>
      </c>
      <c r="DI22">
        <v>8312</v>
      </c>
      <c r="DJ22">
        <v>75507</v>
      </c>
      <c r="DK22">
        <v>1296</v>
      </c>
      <c r="DL22">
        <v>1027</v>
      </c>
      <c r="DM22">
        <v>1503</v>
      </c>
      <c r="DN22">
        <v>4418</v>
      </c>
      <c r="DO22">
        <v>7558</v>
      </c>
      <c r="DP22">
        <v>7339</v>
      </c>
      <c r="DQ22">
        <v>3201</v>
      </c>
      <c r="DR22">
        <v>13805</v>
      </c>
      <c r="DS22">
        <v>3047</v>
      </c>
      <c r="DT22">
        <v>3246</v>
      </c>
      <c r="DU22">
        <v>1902</v>
      </c>
      <c r="DV22">
        <v>5930</v>
      </c>
    </row>
    <row r="23" spans="1:126" x14ac:dyDescent="0.4">
      <c r="A23" s="1" t="s">
        <v>34</v>
      </c>
      <c r="B23" s="1" t="s">
        <v>35</v>
      </c>
      <c r="C23">
        <v>133898</v>
      </c>
      <c r="D23">
        <v>129729</v>
      </c>
      <c r="E23">
        <v>17531</v>
      </c>
      <c r="F23">
        <v>130189</v>
      </c>
      <c r="G23">
        <v>71653</v>
      </c>
      <c r="H23">
        <v>63766</v>
      </c>
      <c r="I23">
        <v>9332</v>
      </c>
      <c r="J23">
        <v>86925</v>
      </c>
      <c r="K23">
        <v>12713</v>
      </c>
      <c r="L23">
        <v>14286</v>
      </c>
      <c r="M23">
        <v>2028</v>
      </c>
      <c r="N23">
        <v>20063</v>
      </c>
      <c r="O23">
        <v>15257</v>
      </c>
      <c r="P23">
        <v>15870</v>
      </c>
      <c r="Q23">
        <v>1931</v>
      </c>
      <c r="R23">
        <v>27806</v>
      </c>
      <c r="S23">
        <v>742</v>
      </c>
      <c r="T23">
        <v>844</v>
      </c>
      <c r="U23">
        <v>264</v>
      </c>
      <c r="V23">
        <v>2426</v>
      </c>
      <c r="W23">
        <v>48924</v>
      </c>
      <c r="X23">
        <v>62091</v>
      </c>
      <c r="Y23">
        <v>8446</v>
      </c>
      <c r="Z23">
        <v>64926</v>
      </c>
      <c r="AA23">
        <v>2076</v>
      </c>
      <c r="AB23">
        <v>2217</v>
      </c>
      <c r="AC23">
        <v>400</v>
      </c>
      <c r="AD23">
        <v>2625</v>
      </c>
      <c r="AE23">
        <v>115804</v>
      </c>
      <c r="AF23">
        <v>104646</v>
      </c>
      <c r="AG23">
        <v>14332</v>
      </c>
      <c r="AH23">
        <v>121543</v>
      </c>
      <c r="AI23">
        <v>77309</v>
      </c>
      <c r="AJ23">
        <v>66766</v>
      </c>
      <c r="AK23">
        <v>8495</v>
      </c>
      <c r="AL23">
        <v>88959</v>
      </c>
      <c r="AM23">
        <v>16855</v>
      </c>
      <c r="AN23">
        <v>14909</v>
      </c>
      <c r="AO23">
        <v>2635</v>
      </c>
      <c r="AP23">
        <v>25436</v>
      </c>
      <c r="AQ23">
        <v>1924</v>
      </c>
      <c r="AR23">
        <v>3798</v>
      </c>
      <c r="AS23">
        <v>751</v>
      </c>
      <c r="AT23">
        <v>20740</v>
      </c>
      <c r="AU23">
        <v>8696</v>
      </c>
      <c r="AV23">
        <v>8596</v>
      </c>
      <c r="AW23">
        <v>2690</v>
      </c>
      <c r="AX23">
        <v>28748</v>
      </c>
      <c r="AY23">
        <v>8907</v>
      </c>
      <c r="AZ23">
        <v>2287</v>
      </c>
      <c r="BA23">
        <v>391</v>
      </c>
      <c r="BB23">
        <v>10390</v>
      </c>
      <c r="BC23">
        <v>15891</v>
      </c>
      <c r="BD23">
        <v>14679</v>
      </c>
      <c r="BE23">
        <v>2268</v>
      </c>
      <c r="BF23">
        <v>26270</v>
      </c>
      <c r="BG23">
        <v>47581</v>
      </c>
      <c r="BH23">
        <v>51223</v>
      </c>
      <c r="BI23">
        <v>7785</v>
      </c>
      <c r="BJ23">
        <v>61917</v>
      </c>
      <c r="BK23">
        <v>12485</v>
      </c>
      <c r="BL23">
        <v>3822</v>
      </c>
      <c r="BM23">
        <v>695</v>
      </c>
      <c r="BN23">
        <v>15605</v>
      </c>
      <c r="BO23">
        <v>1123</v>
      </c>
      <c r="BP23">
        <v>1421</v>
      </c>
      <c r="BQ23">
        <v>414</v>
      </c>
      <c r="BR23">
        <v>3835</v>
      </c>
      <c r="BS23">
        <v>21614</v>
      </c>
      <c r="BT23">
        <v>23597</v>
      </c>
      <c r="BU23">
        <v>3051</v>
      </c>
      <c r="BV23">
        <v>35749</v>
      </c>
      <c r="BW23">
        <v>14628</v>
      </c>
      <c r="BX23">
        <v>14024</v>
      </c>
      <c r="BY23">
        <v>1999</v>
      </c>
      <c r="BZ23">
        <v>23091</v>
      </c>
      <c r="CA23">
        <v>1285</v>
      </c>
      <c r="CB23">
        <v>1338</v>
      </c>
      <c r="CC23">
        <v>191</v>
      </c>
      <c r="CD23">
        <v>2023</v>
      </c>
      <c r="CE23">
        <v>4886</v>
      </c>
      <c r="CF23">
        <v>5369</v>
      </c>
      <c r="CG23">
        <v>926</v>
      </c>
      <c r="CH23">
        <v>5874</v>
      </c>
      <c r="CI23">
        <v>11849</v>
      </c>
      <c r="CJ23">
        <v>13478</v>
      </c>
      <c r="CK23">
        <v>2160</v>
      </c>
      <c r="CL23">
        <v>20763</v>
      </c>
      <c r="CM23">
        <v>1226</v>
      </c>
      <c r="CN23">
        <v>1109</v>
      </c>
      <c r="CO23">
        <v>339</v>
      </c>
      <c r="CP23">
        <v>4375</v>
      </c>
      <c r="CQ23">
        <v>30954</v>
      </c>
      <c r="CR23">
        <v>34147</v>
      </c>
      <c r="CS23">
        <v>9721</v>
      </c>
      <c r="CT23">
        <v>16942</v>
      </c>
      <c r="CU23">
        <v>91419</v>
      </c>
      <c r="CV23">
        <v>101733</v>
      </c>
      <c r="CW23">
        <v>21162</v>
      </c>
      <c r="CX23">
        <v>46132</v>
      </c>
      <c r="CY23">
        <v>22998</v>
      </c>
      <c r="CZ23">
        <v>24334</v>
      </c>
      <c r="DA23">
        <v>5866</v>
      </c>
      <c r="DB23">
        <v>15826</v>
      </c>
      <c r="DC23">
        <v>6706</v>
      </c>
      <c r="DD23">
        <v>6330</v>
      </c>
      <c r="DE23">
        <v>2141</v>
      </c>
      <c r="DF23">
        <v>4579</v>
      </c>
      <c r="DG23">
        <v>40631</v>
      </c>
      <c r="DH23">
        <v>35227</v>
      </c>
      <c r="DI23">
        <v>7913</v>
      </c>
      <c r="DJ23">
        <v>73363</v>
      </c>
      <c r="DK23">
        <v>1009</v>
      </c>
      <c r="DL23">
        <v>1115</v>
      </c>
      <c r="DM23">
        <v>1541</v>
      </c>
      <c r="DN23">
        <v>4201</v>
      </c>
      <c r="DO23">
        <v>7012</v>
      </c>
      <c r="DP23">
        <v>7099</v>
      </c>
      <c r="DQ23">
        <v>3145</v>
      </c>
      <c r="DR23">
        <v>13635</v>
      </c>
      <c r="DS23">
        <v>2853</v>
      </c>
      <c r="DT23">
        <v>3064</v>
      </c>
      <c r="DU23">
        <v>1851</v>
      </c>
      <c r="DV23">
        <v>5703</v>
      </c>
    </row>
    <row r="24" spans="1:126" x14ac:dyDescent="0.4">
      <c r="A24" s="1" t="s">
        <v>36</v>
      </c>
      <c r="B24" s="1" t="s">
        <v>37</v>
      </c>
      <c r="C24">
        <v>133205</v>
      </c>
      <c r="D24">
        <v>119840</v>
      </c>
      <c r="E24">
        <v>16364</v>
      </c>
      <c r="F24">
        <v>143310</v>
      </c>
      <c r="G24">
        <v>74399</v>
      </c>
      <c r="H24">
        <v>71799</v>
      </c>
      <c r="I24">
        <v>10551</v>
      </c>
      <c r="J24">
        <v>89116</v>
      </c>
      <c r="K24">
        <v>13061</v>
      </c>
      <c r="L24">
        <v>12169</v>
      </c>
      <c r="M24">
        <v>1717</v>
      </c>
      <c r="N24">
        <v>20954</v>
      </c>
      <c r="O24">
        <v>14211</v>
      </c>
      <c r="P24">
        <v>14031</v>
      </c>
      <c r="Q24">
        <v>1717</v>
      </c>
      <c r="R24">
        <v>24821</v>
      </c>
      <c r="S24">
        <v>630</v>
      </c>
      <c r="T24">
        <v>841</v>
      </c>
      <c r="U24">
        <v>272</v>
      </c>
      <c r="V24">
        <v>2215</v>
      </c>
      <c r="W24">
        <v>43487</v>
      </c>
      <c r="X24">
        <v>49810</v>
      </c>
      <c r="Y24">
        <v>6830</v>
      </c>
      <c r="Z24">
        <v>58590</v>
      </c>
      <c r="AA24">
        <v>2615</v>
      </c>
      <c r="AB24">
        <v>2094</v>
      </c>
      <c r="AC24">
        <v>383</v>
      </c>
      <c r="AD24">
        <v>3145</v>
      </c>
      <c r="AE24">
        <v>96303</v>
      </c>
      <c r="AF24">
        <v>97758</v>
      </c>
      <c r="AG24">
        <v>13499</v>
      </c>
      <c r="AH24">
        <v>120080</v>
      </c>
      <c r="AI24">
        <v>46932</v>
      </c>
      <c r="AJ24">
        <v>62468</v>
      </c>
      <c r="AK24">
        <v>8002</v>
      </c>
      <c r="AL24">
        <v>73419</v>
      </c>
      <c r="AM24">
        <v>13947</v>
      </c>
      <c r="AN24">
        <v>16253</v>
      </c>
      <c r="AO24">
        <v>2864</v>
      </c>
      <c r="AP24">
        <v>23130</v>
      </c>
      <c r="AQ24">
        <v>3397</v>
      </c>
      <c r="AR24">
        <v>3663</v>
      </c>
      <c r="AS24">
        <v>736</v>
      </c>
      <c r="AT24">
        <v>20474</v>
      </c>
      <c r="AU24">
        <v>7700</v>
      </c>
      <c r="AV24">
        <v>8523</v>
      </c>
      <c r="AW24">
        <v>2668</v>
      </c>
      <c r="AX24">
        <v>27817</v>
      </c>
      <c r="AY24">
        <v>7827</v>
      </c>
      <c r="AZ24">
        <v>3339</v>
      </c>
      <c r="BA24">
        <v>593</v>
      </c>
      <c r="BB24">
        <v>10255</v>
      </c>
      <c r="BC24">
        <v>10714</v>
      </c>
      <c r="BD24">
        <v>13623</v>
      </c>
      <c r="BE24">
        <v>2105</v>
      </c>
      <c r="BF24">
        <v>23340</v>
      </c>
      <c r="BG24">
        <v>46925</v>
      </c>
      <c r="BH24">
        <v>43827</v>
      </c>
      <c r="BI24">
        <v>6676</v>
      </c>
      <c r="BJ24">
        <v>64990</v>
      </c>
      <c r="BK24">
        <v>13130</v>
      </c>
      <c r="BL24">
        <v>4262</v>
      </c>
      <c r="BM24">
        <v>778</v>
      </c>
      <c r="BN24">
        <v>18062</v>
      </c>
      <c r="BO24">
        <v>1816</v>
      </c>
      <c r="BP24">
        <v>1402</v>
      </c>
      <c r="BQ24">
        <v>398</v>
      </c>
      <c r="BR24">
        <v>4222</v>
      </c>
      <c r="BS24">
        <v>24062</v>
      </c>
      <c r="BT24">
        <v>25761</v>
      </c>
      <c r="BU24">
        <v>3336</v>
      </c>
      <c r="BV24">
        <v>34002</v>
      </c>
      <c r="BW24">
        <v>15818</v>
      </c>
      <c r="BX24">
        <v>17057</v>
      </c>
      <c r="BY24">
        <v>2435</v>
      </c>
      <c r="BZ24">
        <v>21795</v>
      </c>
      <c r="CA24">
        <v>1352</v>
      </c>
      <c r="CB24">
        <v>1457</v>
      </c>
      <c r="CC24">
        <v>212</v>
      </c>
      <c r="CD24">
        <v>1918</v>
      </c>
      <c r="CE24">
        <v>4895</v>
      </c>
      <c r="CF24">
        <v>4609</v>
      </c>
      <c r="CG24">
        <v>797</v>
      </c>
      <c r="CH24">
        <v>6153</v>
      </c>
      <c r="CI24">
        <v>12806</v>
      </c>
      <c r="CJ24">
        <v>13007</v>
      </c>
      <c r="CK24">
        <v>2073</v>
      </c>
      <c r="CL24">
        <v>20493</v>
      </c>
      <c r="CM24">
        <v>1050</v>
      </c>
      <c r="CN24">
        <v>1057</v>
      </c>
      <c r="CO24">
        <v>308</v>
      </c>
      <c r="CP24">
        <v>4304</v>
      </c>
      <c r="CQ24">
        <v>31423</v>
      </c>
      <c r="CR24">
        <v>29835</v>
      </c>
      <c r="CS24">
        <v>8315</v>
      </c>
      <c r="CT24">
        <v>17934</v>
      </c>
      <c r="CU24">
        <v>86652</v>
      </c>
      <c r="CV24">
        <v>83739</v>
      </c>
      <c r="CW24">
        <v>17363</v>
      </c>
      <c r="CX24">
        <v>49000</v>
      </c>
      <c r="CY24">
        <v>22202</v>
      </c>
      <c r="CZ24">
        <v>21192</v>
      </c>
      <c r="DA24">
        <v>5351</v>
      </c>
      <c r="DB24">
        <v>19876</v>
      </c>
      <c r="DC24">
        <v>6011</v>
      </c>
      <c r="DD24">
        <v>5977</v>
      </c>
      <c r="DE24">
        <v>1781</v>
      </c>
      <c r="DF24">
        <v>4564</v>
      </c>
      <c r="DG24">
        <v>42738</v>
      </c>
      <c r="DH24">
        <v>33738</v>
      </c>
      <c r="DI24">
        <v>7840</v>
      </c>
      <c r="DJ24">
        <v>75456</v>
      </c>
      <c r="DK24">
        <v>746</v>
      </c>
      <c r="DL24">
        <v>1035</v>
      </c>
      <c r="DM24">
        <v>1483</v>
      </c>
      <c r="DN24">
        <v>3801</v>
      </c>
      <c r="DO24">
        <v>7372</v>
      </c>
      <c r="DP24">
        <v>7046</v>
      </c>
      <c r="DQ24">
        <v>3231</v>
      </c>
      <c r="DR24">
        <v>13862</v>
      </c>
      <c r="DS24">
        <v>3091</v>
      </c>
      <c r="DT24">
        <v>2848</v>
      </c>
      <c r="DU24">
        <v>1628</v>
      </c>
      <c r="DV24">
        <v>5919</v>
      </c>
    </row>
    <row r="25" spans="1:126" x14ac:dyDescent="0.4">
      <c r="A25" s="1" t="s">
        <v>38</v>
      </c>
      <c r="B25" s="1" t="s">
        <v>39</v>
      </c>
      <c r="C25">
        <v>118887</v>
      </c>
      <c r="D25">
        <v>108682</v>
      </c>
      <c r="E25">
        <v>14855</v>
      </c>
      <c r="F25">
        <v>153324</v>
      </c>
      <c r="G25">
        <v>64958</v>
      </c>
      <c r="H25">
        <v>69748</v>
      </c>
      <c r="I25">
        <v>10278</v>
      </c>
      <c r="J25">
        <v>83803</v>
      </c>
      <c r="K25">
        <v>12481</v>
      </c>
      <c r="L25">
        <v>14799</v>
      </c>
      <c r="M25">
        <v>2127</v>
      </c>
      <c r="N25">
        <v>18636</v>
      </c>
      <c r="O25">
        <v>17982</v>
      </c>
      <c r="P25">
        <v>15089</v>
      </c>
      <c r="Q25">
        <v>1862</v>
      </c>
      <c r="R25">
        <v>27008</v>
      </c>
      <c r="S25">
        <v>666</v>
      </c>
      <c r="T25">
        <v>730</v>
      </c>
      <c r="U25">
        <v>233</v>
      </c>
      <c r="V25">
        <v>2151</v>
      </c>
      <c r="W25">
        <v>56421</v>
      </c>
      <c r="X25">
        <v>54312</v>
      </c>
      <c r="Y25">
        <v>7315</v>
      </c>
      <c r="Z25">
        <v>60685</v>
      </c>
      <c r="AA25">
        <v>1782</v>
      </c>
      <c r="AB25">
        <v>2023</v>
      </c>
      <c r="AC25">
        <v>368</v>
      </c>
      <c r="AD25">
        <v>2903</v>
      </c>
      <c r="AE25">
        <v>97266</v>
      </c>
      <c r="AF25">
        <v>103256</v>
      </c>
      <c r="AG25">
        <v>14109</v>
      </c>
      <c r="AH25">
        <v>114074</v>
      </c>
      <c r="AI25">
        <v>66915</v>
      </c>
      <c r="AJ25">
        <v>62521</v>
      </c>
      <c r="AK25">
        <v>8020</v>
      </c>
      <c r="AL25">
        <v>77807</v>
      </c>
      <c r="AM25">
        <v>12415</v>
      </c>
      <c r="AN25">
        <v>13667</v>
      </c>
      <c r="AO25">
        <v>2400</v>
      </c>
      <c r="AP25">
        <v>21874</v>
      </c>
      <c r="AQ25">
        <v>4742</v>
      </c>
      <c r="AR25">
        <v>4770</v>
      </c>
      <c r="AS25">
        <v>936</v>
      </c>
      <c r="AT25">
        <v>20446</v>
      </c>
      <c r="AU25">
        <v>8563</v>
      </c>
      <c r="AV25">
        <v>8506</v>
      </c>
      <c r="AW25">
        <v>2674</v>
      </c>
      <c r="AX25">
        <v>27762</v>
      </c>
      <c r="AY25">
        <v>6291</v>
      </c>
      <c r="AZ25">
        <v>1552</v>
      </c>
      <c r="BA25">
        <v>281</v>
      </c>
      <c r="BB25">
        <v>10476</v>
      </c>
      <c r="BC25">
        <v>13519</v>
      </c>
      <c r="BD25">
        <v>14178</v>
      </c>
      <c r="BE25">
        <v>2182</v>
      </c>
      <c r="BF25">
        <v>22677</v>
      </c>
      <c r="BG25">
        <v>44986</v>
      </c>
      <c r="BH25">
        <v>47549</v>
      </c>
      <c r="BI25">
        <v>7250</v>
      </c>
      <c r="BJ25">
        <v>62413</v>
      </c>
      <c r="BK25">
        <v>9770</v>
      </c>
      <c r="BL25">
        <v>5422</v>
      </c>
      <c r="BM25">
        <v>969</v>
      </c>
      <c r="BN25">
        <v>17055</v>
      </c>
      <c r="BO25">
        <v>1823</v>
      </c>
      <c r="BP25">
        <v>1992</v>
      </c>
      <c r="BQ25">
        <v>533</v>
      </c>
      <c r="BR25">
        <v>4039</v>
      </c>
      <c r="BS25">
        <v>26537</v>
      </c>
      <c r="BT25">
        <v>25364</v>
      </c>
      <c r="BU25">
        <v>3282</v>
      </c>
      <c r="BV25">
        <v>35136</v>
      </c>
      <c r="BW25">
        <v>16178</v>
      </c>
      <c r="BX25">
        <v>15147</v>
      </c>
      <c r="BY25">
        <v>2151</v>
      </c>
      <c r="BZ25">
        <v>22797</v>
      </c>
      <c r="CA25">
        <v>1441</v>
      </c>
      <c r="CB25">
        <v>1387</v>
      </c>
      <c r="CC25">
        <v>204</v>
      </c>
      <c r="CD25">
        <v>1972</v>
      </c>
      <c r="CE25">
        <v>4861</v>
      </c>
      <c r="CF25">
        <v>5024</v>
      </c>
      <c r="CG25">
        <v>863</v>
      </c>
      <c r="CH25">
        <v>5989</v>
      </c>
      <c r="CI25">
        <v>14025</v>
      </c>
      <c r="CJ25">
        <v>14000</v>
      </c>
      <c r="CK25">
        <v>2227</v>
      </c>
      <c r="CL25">
        <v>20463</v>
      </c>
      <c r="CM25">
        <v>1082</v>
      </c>
      <c r="CN25">
        <v>1050</v>
      </c>
      <c r="CO25">
        <v>305</v>
      </c>
      <c r="CP25">
        <v>4306</v>
      </c>
      <c r="CQ25">
        <v>32153</v>
      </c>
      <c r="CR25">
        <v>31801</v>
      </c>
      <c r="CS25">
        <v>8829</v>
      </c>
      <c r="CT25">
        <v>17545</v>
      </c>
      <c r="CU25">
        <v>89051</v>
      </c>
      <c r="CV25">
        <v>88265</v>
      </c>
      <c r="CW25">
        <v>18576</v>
      </c>
      <c r="CX25">
        <v>49747</v>
      </c>
      <c r="CY25">
        <v>22785</v>
      </c>
      <c r="CZ25">
        <v>21789</v>
      </c>
      <c r="DA25">
        <v>5466</v>
      </c>
      <c r="DB25">
        <v>20821</v>
      </c>
      <c r="DC25">
        <v>6184</v>
      </c>
      <c r="DD25">
        <v>6262</v>
      </c>
      <c r="DE25">
        <v>1804</v>
      </c>
      <c r="DF25">
        <v>4430</v>
      </c>
      <c r="DG25">
        <v>43130</v>
      </c>
      <c r="DH25">
        <v>33861</v>
      </c>
      <c r="DI25">
        <v>7575</v>
      </c>
      <c r="DJ25">
        <v>77653</v>
      </c>
      <c r="DK25">
        <v>920</v>
      </c>
      <c r="DL25">
        <v>927</v>
      </c>
      <c r="DM25">
        <v>1484</v>
      </c>
      <c r="DN25">
        <v>3661</v>
      </c>
      <c r="DO25">
        <v>7766</v>
      </c>
      <c r="DP25">
        <v>7161</v>
      </c>
      <c r="DQ25">
        <v>3324</v>
      </c>
      <c r="DR25">
        <v>14398</v>
      </c>
      <c r="DS25">
        <v>2925</v>
      </c>
      <c r="DT25">
        <v>2780</v>
      </c>
      <c r="DU25">
        <v>1666</v>
      </c>
      <c r="DV25">
        <v>6051</v>
      </c>
    </row>
    <row r="26" spans="1:126" x14ac:dyDescent="0.4">
      <c r="A26" s="1" t="s">
        <v>40</v>
      </c>
      <c r="B26" s="1" t="s">
        <v>41</v>
      </c>
      <c r="C26">
        <v>122533</v>
      </c>
      <c r="D26">
        <v>127561</v>
      </c>
      <c r="E26">
        <v>17405</v>
      </c>
      <c r="F26">
        <v>148115</v>
      </c>
      <c r="G26">
        <v>81315</v>
      </c>
      <c r="H26">
        <v>72068</v>
      </c>
      <c r="I26">
        <v>10669</v>
      </c>
      <c r="J26">
        <v>92736</v>
      </c>
      <c r="K26">
        <v>12808</v>
      </c>
      <c r="L26">
        <v>13149</v>
      </c>
      <c r="M26">
        <v>1853</v>
      </c>
      <c r="N26">
        <v>18294</v>
      </c>
      <c r="O26">
        <v>15277</v>
      </c>
      <c r="P26">
        <v>16355</v>
      </c>
      <c r="Q26">
        <v>1978</v>
      </c>
      <c r="R26">
        <v>25221</v>
      </c>
      <c r="S26">
        <v>691</v>
      </c>
      <c r="T26">
        <v>744</v>
      </c>
      <c r="U26">
        <v>248</v>
      </c>
      <c r="V26">
        <v>2098</v>
      </c>
      <c r="W26">
        <v>74763</v>
      </c>
      <c r="X26">
        <v>62871</v>
      </c>
      <c r="Y26">
        <v>8319</v>
      </c>
      <c r="Z26">
        <v>72566</v>
      </c>
      <c r="AA26">
        <v>2652</v>
      </c>
      <c r="AB26">
        <v>2034</v>
      </c>
      <c r="AC26">
        <v>371</v>
      </c>
      <c r="AD26">
        <v>3521</v>
      </c>
      <c r="AE26">
        <v>123731</v>
      </c>
      <c r="AF26">
        <v>113306</v>
      </c>
      <c r="AG26">
        <v>15356</v>
      </c>
      <c r="AH26">
        <v>124487</v>
      </c>
      <c r="AI26">
        <v>79572</v>
      </c>
      <c r="AJ26">
        <v>71321</v>
      </c>
      <c r="AK26">
        <v>9025</v>
      </c>
      <c r="AL26">
        <v>86056</v>
      </c>
      <c r="AM26">
        <v>17503</v>
      </c>
      <c r="AN26">
        <v>14364</v>
      </c>
      <c r="AO26">
        <v>2549</v>
      </c>
      <c r="AP26">
        <v>25012</v>
      </c>
      <c r="AQ26">
        <v>4565</v>
      </c>
      <c r="AR26">
        <v>5124</v>
      </c>
      <c r="AS26">
        <v>1036</v>
      </c>
      <c r="AT26">
        <v>19887</v>
      </c>
      <c r="AU26">
        <v>10165</v>
      </c>
      <c r="AV26">
        <v>9372</v>
      </c>
      <c r="AW26">
        <v>2931</v>
      </c>
      <c r="AX26">
        <v>28307</v>
      </c>
      <c r="AY26">
        <v>6999</v>
      </c>
      <c r="AZ26">
        <v>978</v>
      </c>
      <c r="BA26">
        <v>182</v>
      </c>
      <c r="BB26">
        <v>10922</v>
      </c>
      <c r="BC26">
        <v>16025</v>
      </c>
      <c r="BD26">
        <v>15416</v>
      </c>
      <c r="BE26">
        <v>2417</v>
      </c>
      <c r="BF26">
        <v>22970</v>
      </c>
      <c r="BG26">
        <v>52502</v>
      </c>
      <c r="BH26">
        <v>56048</v>
      </c>
      <c r="BI26">
        <v>8536</v>
      </c>
      <c r="BJ26">
        <v>58850</v>
      </c>
      <c r="BK26">
        <v>11501</v>
      </c>
      <c r="BL26">
        <v>5829</v>
      </c>
      <c r="BM26">
        <v>976</v>
      </c>
      <c r="BN26">
        <v>15852</v>
      </c>
      <c r="BO26">
        <v>2011</v>
      </c>
      <c r="BP26">
        <v>2276</v>
      </c>
      <c r="BQ26">
        <v>582</v>
      </c>
      <c r="BR26">
        <v>3717</v>
      </c>
      <c r="BS26">
        <v>31032</v>
      </c>
      <c r="BT26">
        <v>29777</v>
      </c>
      <c r="BU26">
        <v>3840</v>
      </c>
      <c r="BV26">
        <v>36344</v>
      </c>
      <c r="BW26">
        <v>17929</v>
      </c>
      <c r="BX26">
        <v>17275</v>
      </c>
      <c r="BY26">
        <v>2442</v>
      </c>
      <c r="BZ26">
        <v>23395</v>
      </c>
      <c r="CA26">
        <v>1662</v>
      </c>
      <c r="CB26">
        <v>1520</v>
      </c>
      <c r="CC26">
        <v>216</v>
      </c>
      <c r="CD26">
        <v>2108</v>
      </c>
      <c r="CE26">
        <v>5755</v>
      </c>
      <c r="CF26">
        <v>5520</v>
      </c>
      <c r="CG26">
        <v>944</v>
      </c>
      <c r="CH26">
        <v>6208</v>
      </c>
      <c r="CI26">
        <v>14912</v>
      </c>
      <c r="CJ26">
        <v>14745</v>
      </c>
      <c r="CK26">
        <v>2308</v>
      </c>
      <c r="CL26">
        <v>20541</v>
      </c>
      <c r="CM26">
        <v>1087</v>
      </c>
      <c r="CN26">
        <v>1133</v>
      </c>
      <c r="CO26">
        <v>342</v>
      </c>
      <c r="CP26">
        <v>4232</v>
      </c>
      <c r="CQ26">
        <v>36308</v>
      </c>
      <c r="CR26">
        <v>37482</v>
      </c>
      <c r="CS26">
        <v>10538</v>
      </c>
      <c r="CT26">
        <v>15438</v>
      </c>
      <c r="CU26">
        <v>100633</v>
      </c>
      <c r="CV26">
        <v>98327</v>
      </c>
      <c r="CW26">
        <v>20191</v>
      </c>
      <c r="CX26">
        <v>51991</v>
      </c>
      <c r="CY26">
        <v>22656</v>
      </c>
      <c r="CZ26">
        <v>23777</v>
      </c>
      <c r="DA26">
        <v>5971</v>
      </c>
      <c r="DB26">
        <v>19669</v>
      </c>
      <c r="DC26">
        <v>6578</v>
      </c>
      <c r="DD26">
        <v>6139</v>
      </c>
      <c r="DE26">
        <v>1860</v>
      </c>
      <c r="DF26">
        <v>4762</v>
      </c>
      <c r="DG26">
        <v>49906</v>
      </c>
      <c r="DH26">
        <v>41234</v>
      </c>
      <c r="DI26">
        <v>9169</v>
      </c>
      <c r="DJ26">
        <v>78644</v>
      </c>
      <c r="DK26">
        <v>1054</v>
      </c>
      <c r="DL26">
        <v>972</v>
      </c>
      <c r="DM26">
        <v>1558</v>
      </c>
      <c r="DN26">
        <v>3564</v>
      </c>
      <c r="DO26">
        <v>8851</v>
      </c>
      <c r="DP26">
        <v>7433</v>
      </c>
      <c r="DQ26">
        <v>3319</v>
      </c>
      <c r="DR26">
        <v>15775</v>
      </c>
      <c r="DS26">
        <v>2984</v>
      </c>
      <c r="DT26">
        <v>2930</v>
      </c>
      <c r="DU26">
        <v>1775</v>
      </c>
      <c r="DV26">
        <v>6084</v>
      </c>
    </row>
    <row r="27" spans="1:126" x14ac:dyDescent="0.4">
      <c r="A27" s="1" t="s">
        <v>42</v>
      </c>
      <c r="B27" s="1" t="s">
        <v>43</v>
      </c>
      <c r="C27">
        <v>116745</v>
      </c>
      <c r="D27">
        <v>112071</v>
      </c>
      <c r="E27">
        <v>15595</v>
      </c>
      <c r="F27">
        <v>150005</v>
      </c>
      <c r="G27">
        <v>67708</v>
      </c>
      <c r="H27">
        <v>68372</v>
      </c>
      <c r="I27">
        <v>9927</v>
      </c>
      <c r="J27">
        <v>91765</v>
      </c>
      <c r="K27">
        <v>15042</v>
      </c>
      <c r="L27">
        <v>12962</v>
      </c>
      <c r="M27">
        <v>1859</v>
      </c>
      <c r="N27">
        <v>20161</v>
      </c>
      <c r="O27">
        <v>15767</v>
      </c>
      <c r="P27">
        <v>16705</v>
      </c>
      <c r="Q27">
        <v>1897</v>
      </c>
      <c r="R27">
        <v>25088</v>
      </c>
      <c r="S27">
        <v>956</v>
      </c>
      <c r="T27">
        <v>577</v>
      </c>
      <c r="U27">
        <v>194</v>
      </c>
      <c r="V27">
        <v>2477</v>
      </c>
      <c r="W27">
        <v>62051</v>
      </c>
      <c r="X27">
        <v>57238</v>
      </c>
      <c r="Y27">
        <v>7619</v>
      </c>
      <c r="Z27">
        <v>77375</v>
      </c>
      <c r="AA27">
        <v>1078</v>
      </c>
      <c r="AB27">
        <v>2030</v>
      </c>
      <c r="AC27">
        <v>375</v>
      </c>
      <c r="AD27">
        <v>2568</v>
      </c>
      <c r="AE27">
        <v>101279</v>
      </c>
      <c r="AF27">
        <v>102582</v>
      </c>
      <c r="AG27">
        <v>13885</v>
      </c>
      <c r="AH27">
        <v>123151</v>
      </c>
      <c r="AI27">
        <v>61900</v>
      </c>
      <c r="AJ27">
        <v>62587</v>
      </c>
      <c r="AK27">
        <v>7958</v>
      </c>
      <c r="AL27">
        <v>85365</v>
      </c>
      <c r="AM27">
        <v>11933</v>
      </c>
      <c r="AN27">
        <v>13413</v>
      </c>
      <c r="AO27">
        <v>2394</v>
      </c>
      <c r="AP27">
        <v>23530</v>
      </c>
      <c r="AQ27">
        <v>3866</v>
      </c>
      <c r="AR27">
        <v>4348</v>
      </c>
      <c r="AS27">
        <v>865</v>
      </c>
      <c r="AT27">
        <v>19405</v>
      </c>
      <c r="AU27">
        <v>9253</v>
      </c>
      <c r="AV27">
        <v>9289</v>
      </c>
      <c r="AW27">
        <v>2881</v>
      </c>
      <c r="AX27">
        <v>28160</v>
      </c>
      <c r="AY27">
        <v>7194</v>
      </c>
      <c r="AZ27">
        <v>1675</v>
      </c>
      <c r="BA27">
        <v>293</v>
      </c>
      <c r="BB27">
        <v>10879</v>
      </c>
      <c r="BC27">
        <v>16169</v>
      </c>
      <c r="BD27">
        <v>15873</v>
      </c>
      <c r="BE27">
        <v>2417</v>
      </c>
      <c r="BF27">
        <v>23245</v>
      </c>
      <c r="BG27">
        <v>45988</v>
      </c>
      <c r="BH27">
        <v>47835</v>
      </c>
      <c r="BI27">
        <v>7280</v>
      </c>
      <c r="BJ27">
        <v>56967</v>
      </c>
      <c r="BK27">
        <v>12047</v>
      </c>
      <c r="BL27">
        <v>4381</v>
      </c>
      <c r="BM27">
        <v>797</v>
      </c>
      <c r="BN27">
        <v>16888</v>
      </c>
      <c r="BO27">
        <v>2501</v>
      </c>
      <c r="BP27">
        <v>2064</v>
      </c>
      <c r="BQ27">
        <v>514</v>
      </c>
      <c r="BR27">
        <v>4148</v>
      </c>
      <c r="BS27">
        <v>29291</v>
      </c>
      <c r="BT27">
        <v>26220</v>
      </c>
      <c r="BU27">
        <v>3363</v>
      </c>
      <c r="BV27">
        <v>39369</v>
      </c>
      <c r="BW27">
        <v>16169</v>
      </c>
      <c r="BX27">
        <v>15940</v>
      </c>
      <c r="BY27">
        <v>2273</v>
      </c>
      <c r="BZ27">
        <v>23592</v>
      </c>
      <c r="CA27">
        <v>1580</v>
      </c>
      <c r="CB27">
        <v>1504</v>
      </c>
      <c r="CC27">
        <v>226</v>
      </c>
      <c r="CD27">
        <v>2184</v>
      </c>
      <c r="CE27">
        <v>5654</v>
      </c>
      <c r="CF27">
        <v>5353</v>
      </c>
      <c r="CG27">
        <v>905</v>
      </c>
      <c r="CH27">
        <v>6499</v>
      </c>
      <c r="CI27">
        <v>14391</v>
      </c>
      <c r="CJ27">
        <v>14368</v>
      </c>
      <c r="CK27">
        <v>2272</v>
      </c>
      <c r="CL27">
        <v>20521</v>
      </c>
      <c r="CM27">
        <v>1157</v>
      </c>
      <c r="CN27">
        <v>1164</v>
      </c>
      <c r="CO27">
        <v>353</v>
      </c>
      <c r="CP27">
        <v>4180</v>
      </c>
      <c r="CQ27">
        <v>35353</v>
      </c>
      <c r="CR27">
        <v>35045</v>
      </c>
      <c r="CS27">
        <v>9847</v>
      </c>
      <c r="CT27">
        <v>14845</v>
      </c>
      <c r="CU27">
        <v>97032</v>
      </c>
      <c r="CV27">
        <v>101420</v>
      </c>
      <c r="CW27">
        <v>21327</v>
      </c>
      <c r="CX27">
        <v>47553</v>
      </c>
      <c r="CY27">
        <v>24337</v>
      </c>
      <c r="CZ27">
        <v>25116</v>
      </c>
      <c r="DA27">
        <v>6441</v>
      </c>
      <c r="DB27">
        <v>18883</v>
      </c>
      <c r="DC27">
        <v>6247</v>
      </c>
      <c r="DD27">
        <v>6556</v>
      </c>
      <c r="DE27">
        <v>1869</v>
      </c>
      <c r="DF27">
        <v>4346</v>
      </c>
      <c r="DG27">
        <v>47208</v>
      </c>
      <c r="DH27">
        <v>35879</v>
      </c>
      <c r="DI27">
        <v>8084</v>
      </c>
      <c r="DJ27">
        <v>82162</v>
      </c>
      <c r="DK27">
        <v>1367</v>
      </c>
      <c r="DL27">
        <v>1036</v>
      </c>
      <c r="DM27">
        <v>1819</v>
      </c>
      <c r="DN27">
        <v>3699</v>
      </c>
      <c r="DO27">
        <v>7226</v>
      </c>
      <c r="DP27">
        <v>7407</v>
      </c>
      <c r="DQ27">
        <v>3445</v>
      </c>
      <c r="DR27">
        <v>15512</v>
      </c>
      <c r="DS27">
        <v>3303</v>
      </c>
      <c r="DT27">
        <v>3300</v>
      </c>
      <c r="DU27">
        <v>1912</v>
      </c>
      <c r="DV27">
        <v>6068</v>
      </c>
    </row>
    <row r="28" spans="1:126" x14ac:dyDescent="0.4">
      <c r="A28" s="1" t="s">
        <v>44</v>
      </c>
      <c r="B28" s="1" t="s">
        <v>45</v>
      </c>
      <c r="C28">
        <v>126627</v>
      </c>
      <c r="D28">
        <v>113726</v>
      </c>
      <c r="E28">
        <v>15846</v>
      </c>
      <c r="F28">
        <v>162629</v>
      </c>
      <c r="G28">
        <v>65158</v>
      </c>
      <c r="H28">
        <v>66644</v>
      </c>
      <c r="I28">
        <v>9753</v>
      </c>
      <c r="J28">
        <v>90099</v>
      </c>
      <c r="K28">
        <v>15681</v>
      </c>
      <c r="L28">
        <v>13619</v>
      </c>
      <c r="M28">
        <v>1962</v>
      </c>
      <c r="N28">
        <v>22223</v>
      </c>
      <c r="O28">
        <v>15532</v>
      </c>
      <c r="P28">
        <v>13482</v>
      </c>
      <c r="Q28">
        <v>1665</v>
      </c>
      <c r="R28">
        <v>26428</v>
      </c>
      <c r="S28">
        <v>457</v>
      </c>
      <c r="T28">
        <v>826</v>
      </c>
      <c r="U28">
        <v>273</v>
      </c>
      <c r="V28">
        <v>2108</v>
      </c>
      <c r="W28">
        <v>65720</v>
      </c>
      <c r="X28">
        <v>53981</v>
      </c>
      <c r="Y28">
        <v>7151</v>
      </c>
      <c r="Z28">
        <v>89111</v>
      </c>
      <c r="AA28">
        <v>2255</v>
      </c>
      <c r="AB28">
        <v>1979</v>
      </c>
      <c r="AC28">
        <v>360</v>
      </c>
      <c r="AD28">
        <v>2843</v>
      </c>
      <c r="AE28">
        <v>107814</v>
      </c>
      <c r="AF28">
        <v>97903</v>
      </c>
      <c r="AG28">
        <v>13317</v>
      </c>
      <c r="AH28">
        <v>133042</v>
      </c>
      <c r="AI28">
        <v>62679</v>
      </c>
      <c r="AJ28">
        <v>56730</v>
      </c>
      <c r="AK28">
        <v>7252</v>
      </c>
      <c r="AL28">
        <v>91313</v>
      </c>
      <c r="AM28">
        <v>15154</v>
      </c>
      <c r="AN28">
        <v>11271</v>
      </c>
      <c r="AO28">
        <v>1961</v>
      </c>
      <c r="AP28">
        <v>27413</v>
      </c>
      <c r="AQ28">
        <v>6408</v>
      </c>
      <c r="AR28">
        <v>3908</v>
      </c>
      <c r="AS28">
        <v>780</v>
      </c>
      <c r="AT28">
        <v>21905</v>
      </c>
      <c r="AU28">
        <v>8681</v>
      </c>
      <c r="AV28">
        <v>8521</v>
      </c>
      <c r="AW28">
        <v>2727</v>
      </c>
      <c r="AX28">
        <v>28210</v>
      </c>
      <c r="AY28">
        <v>8307</v>
      </c>
      <c r="AZ28">
        <v>3166</v>
      </c>
      <c r="BA28">
        <v>502</v>
      </c>
      <c r="BB28">
        <v>10811</v>
      </c>
      <c r="BC28">
        <v>18773</v>
      </c>
      <c r="BD28">
        <v>15923</v>
      </c>
      <c r="BE28">
        <v>2414</v>
      </c>
      <c r="BF28">
        <v>26043</v>
      </c>
      <c r="BG28">
        <v>49678</v>
      </c>
      <c r="BH28">
        <v>42640</v>
      </c>
      <c r="BI28">
        <v>6472</v>
      </c>
      <c r="BJ28">
        <v>63990</v>
      </c>
      <c r="BK28">
        <v>8875</v>
      </c>
      <c r="BL28">
        <v>3708</v>
      </c>
      <c r="BM28">
        <v>670</v>
      </c>
      <c r="BN28">
        <v>15760</v>
      </c>
      <c r="BO28">
        <v>1483</v>
      </c>
      <c r="BP28">
        <v>1784</v>
      </c>
      <c r="BQ28">
        <v>501</v>
      </c>
      <c r="BR28">
        <v>3840</v>
      </c>
      <c r="BS28">
        <v>24676</v>
      </c>
      <c r="BT28">
        <v>25114</v>
      </c>
      <c r="BU28">
        <v>3196</v>
      </c>
      <c r="BV28">
        <v>38880</v>
      </c>
      <c r="BW28">
        <v>15866</v>
      </c>
      <c r="BX28">
        <v>15464</v>
      </c>
      <c r="BY28">
        <v>2182</v>
      </c>
      <c r="BZ28">
        <v>23937</v>
      </c>
      <c r="CA28">
        <v>892</v>
      </c>
      <c r="CB28">
        <v>1260</v>
      </c>
      <c r="CC28">
        <v>187</v>
      </c>
      <c r="CD28">
        <v>1816</v>
      </c>
      <c r="CE28">
        <v>6024</v>
      </c>
      <c r="CF28">
        <v>5193</v>
      </c>
      <c r="CG28">
        <v>873</v>
      </c>
      <c r="CH28">
        <v>7326</v>
      </c>
      <c r="CI28">
        <v>12416</v>
      </c>
      <c r="CJ28">
        <v>12814</v>
      </c>
      <c r="CK28">
        <v>1997</v>
      </c>
      <c r="CL28">
        <v>20066</v>
      </c>
      <c r="CM28">
        <v>994</v>
      </c>
      <c r="CN28">
        <v>1048</v>
      </c>
      <c r="CO28">
        <v>322</v>
      </c>
      <c r="CP28">
        <v>4064</v>
      </c>
      <c r="CQ28">
        <v>33019</v>
      </c>
      <c r="CR28">
        <v>31499</v>
      </c>
      <c r="CS28">
        <v>8578</v>
      </c>
      <c r="CT28">
        <v>15404</v>
      </c>
      <c r="CU28">
        <v>93075</v>
      </c>
      <c r="CV28">
        <v>85502</v>
      </c>
      <c r="CW28">
        <v>18177</v>
      </c>
      <c r="CX28">
        <v>54778</v>
      </c>
      <c r="CY28">
        <v>22393</v>
      </c>
      <c r="CZ28">
        <v>22133</v>
      </c>
      <c r="DA28">
        <v>5816</v>
      </c>
      <c r="DB28">
        <v>18621</v>
      </c>
      <c r="DC28">
        <v>6144</v>
      </c>
      <c r="DD28">
        <v>5711</v>
      </c>
      <c r="DE28">
        <v>1797</v>
      </c>
      <c r="DF28">
        <v>4592</v>
      </c>
      <c r="DG28">
        <v>38874</v>
      </c>
      <c r="DH28">
        <v>32083</v>
      </c>
      <c r="DI28">
        <v>7032</v>
      </c>
      <c r="DJ28">
        <v>82056</v>
      </c>
      <c r="DK28">
        <v>1285</v>
      </c>
      <c r="DL28">
        <v>1147</v>
      </c>
      <c r="DM28">
        <v>1672</v>
      </c>
      <c r="DN28">
        <v>3658</v>
      </c>
      <c r="DO28">
        <v>7830</v>
      </c>
      <c r="DP28">
        <v>6996</v>
      </c>
      <c r="DQ28">
        <v>3204</v>
      </c>
      <c r="DR28">
        <v>16306</v>
      </c>
      <c r="DS28">
        <v>3088</v>
      </c>
      <c r="DT28">
        <v>2919</v>
      </c>
      <c r="DU28">
        <v>1734</v>
      </c>
      <c r="DV28">
        <v>6213</v>
      </c>
    </row>
    <row r="29" spans="1:126" x14ac:dyDescent="0.4">
      <c r="A29" s="1" t="s">
        <v>46</v>
      </c>
      <c r="B29" s="1" t="s">
        <v>47</v>
      </c>
      <c r="C29">
        <v>120963</v>
      </c>
      <c r="D29">
        <v>110846</v>
      </c>
      <c r="E29">
        <v>15473</v>
      </c>
      <c r="F29">
        <v>172477</v>
      </c>
      <c r="G29">
        <v>50414</v>
      </c>
      <c r="H29">
        <v>57441</v>
      </c>
      <c r="I29">
        <v>8445</v>
      </c>
      <c r="J29">
        <v>82562</v>
      </c>
      <c r="K29">
        <v>11684</v>
      </c>
      <c r="L29">
        <v>14254</v>
      </c>
      <c r="M29">
        <v>2064</v>
      </c>
      <c r="N29">
        <v>19652</v>
      </c>
      <c r="O29">
        <v>18765</v>
      </c>
      <c r="P29">
        <v>14844</v>
      </c>
      <c r="Q29">
        <v>1849</v>
      </c>
      <c r="R29">
        <v>29499</v>
      </c>
      <c r="S29">
        <v>964</v>
      </c>
      <c r="T29">
        <v>561</v>
      </c>
      <c r="U29">
        <v>181</v>
      </c>
      <c r="V29">
        <v>2511</v>
      </c>
      <c r="W29">
        <v>27682</v>
      </c>
      <c r="X29">
        <v>48879</v>
      </c>
      <c r="Y29">
        <v>6554</v>
      </c>
      <c r="Z29">
        <v>67901</v>
      </c>
      <c r="AA29">
        <v>1932</v>
      </c>
      <c r="AB29">
        <v>2137</v>
      </c>
      <c r="AC29">
        <v>383</v>
      </c>
      <c r="AD29">
        <v>2638</v>
      </c>
      <c r="AE29">
        <v>63381</v>
      </c>
      <c r="AF29">
        <v>91761</v>
      </c>
      <c r="AG29">
        <v>12529</v>
      </c>
      <c r="AH29">
        <v>104650</v>
      </c>
      <c r="AI29">
        <v>36347</v>
      </c>
      <c r="AJ29">
        <v>54663</v>
      </c>
      <c r="AK29">
        <v>6884</v>
      </c>
      <c r="AL29">
        <v>72991</v>
      </c>
      <c r="AM29">
        <v>9697</v>
      </c>
      <c r="AN29">
        <v>13090</v>
      </c>
      <c r="AO29">
        <v>2312</v>
      </c>
      <c r="AP29">
        <v>24015</v>
      </c>
      <c r="AQ29">
        <v>3738</v>
      </c>
      <c r="AR29">
        <v>3913</v>
      </c>
      <c r="AS29">
        <v>768</v>
      </c>
      <c r="AT29">
        <v>21730</v>
      </c>
      <c r="AU29">
        <v>9101</v>
      </c>
      <c r="AV29">
        <v>8963</v>
      </c>
      <c r="AW29">
        <v>2797</v>
      </c>
      <c r="AX29">
        <v>28190</v>
      </c>
      <c r="AY29">
        <v>2365</v>
      </c>
      <c r="AZ29">
        <v>954</v>
      </c>
      <c r="BA29">
        <v>179</v>
      </c>
      <c r="BB29">
        <v>7469</v>
      </c>
      <c r="BC29">
        <v>9672</v>
      </c>
      <c r="BD29">
        <v>14134</v>
      </c>
      <c r="BE29">
        <v>2165</v>
      </c>
      <c r="BF29">
        <v>21456</v>
      </c>
      <c r="BG29">
        <v>38054</v>
      </c>
      <c r="BH29">
        <v>45288</v>
      </c>
      <c r="BI29">
        <v>6939</v>
      </c>
      <c r="BJ29">
        <v>56735</v>
      </c>
      <c r="BK29">
        <v>4385</v>
      </c>
      <c r="BL29">
        <v>2852</v>
      </c>
      <c r="BM29">
        <v>542</v>
      </c>
      <c r="BN29">
        <v>11686</v>
      </c>
      <c r="BO29">
        <v>1339</v>
      </c>
      <c r="BP29">
        <v>1216</v>
      </c>
      <c r="BQ29">
        <v>397</v>
      </c>
      <c r="BR29">
        <v>3910</v>
      </c>
      <c r="BS29">
        <v>16865</v>
      </c>
      <c r="BT29">
        <v>21931</v>
      </c>
      <c r="BU29">
        <v>2784</v>
      </c>
      <c r="BV29">
        <v>33775</v>
      </c>
      <c r="BW29">
        <v>15012</v>
      </c>
      <c r="BX29">
        <v>14899</v>
      </c>
      <c r="BY29">
        <v>2097</v>
      </c>
      <c r="BZ29">
        <v>24027</v>
      </c>
      <c r="CA29">
        <v>1367</v>
      </c>
      <c r="CB29">
        <v>1263</v>
      </c>
      <c r="CC29">
        <v>178</v>
      </c>
      <c r="CD29">
        <v>1920</v>
      </c>
      <c r="CE29">
        <v>2651</v>
      </c>
      <c r="CF29">
        <v>4606</v>
      </c>
      <c r="CG29">
        <v>777</v>
      </c>
      <c r="CH29">
        <v>5369</v>
      </c>
      <c r="CI29">
        <v>8590</v>
      </c>
      <c r="CJ29">
        <v>11060</v>
      </c>
      <c r="CK29">
        <v>1728</v>
      </c>
      <c r="CL29">
        <v>17523</v>
      </c>
      <c r="CM29">
        <v>1248</v>
      </c>
      <c r="CN29">
        <v>1188</v>
      </c>
      <c r="CO29">
        <v>381</v>
      </c>
      <c r="CP29">
        <v>4058</v>
      </c>
      <c r="CQ29">
        <v>30192</v>
      </c>
      <c r="CR29">
        <v>28550</v>
      </c>
      <c r="CS29">
        <v>7677</v>
      </c>
      <c r="CT29">
        <v>16308</v>
      </c>
      <c r="CU29">
        <v>92317</v>
      </c>
      <c r="CV29">
        <v>88781</v>
      </c>
      <c r="CW29">
        <v>18707</v>
      </c>
      <c r="CX29">
        <v>58255</v>
      </c>
      <c r="CY29">
        <v>21729</v>
      </c>
      <c r="CZ29">
        <v>21889</v>
      </c>
      <c r="DA29">
        <v>5615</v>
      </c>
      <c r="DB29">
        <v>18456</v>
      </c>
      <c r="DC29">
        <v>6718</v>
      </c>
      <c r="DD29">
        <v>6129</v>
      </c>
      <c r="DE29">
        <v>1850</v>
      </c>
      <c r="DF29">
        <v>5057</v>
      </c>
      <c r="DG29">
        <v>36125</v>
      </c>
      <c r="DH29">
        <v>34939</v>
      </c>
      <c r="DI29">
        <v>7902</v>
      </c>
      <c r="DJ29">
        <v>74837</v>
      </c>
      <c r="DK29">
        <v>1788</v>
      </c>
      <c r="DL29">
        <v>1035</v>
      </c>
      <c r="DM29">
        <v>1815</v>
      </c>
      <c r="DN29">
        <v>4225</v>
      </c>
      <c r="DO29">
        <v>7380</v>
      </c>
      <c r="DP29">
        <v>7389</v>
      </c>
      <c r="DQ29">
        <v>3376</v>
      </c>
      <c r="DR29">
        <v>16218</v>
      </c>
      <c r="DS29">
        <v>3289</v>
      </c>
      <c r="DT29">
        <v>3116</v>
      </c>
      <c r="DU29">
        <v>1829</v>
      </c>
      <c r="DV29">
        <v>6387</v>
      </c>
    </row>
    <row r="30" spans="1:126" x14ac:dyDescent="0.4">
      <c r="A30" s="1" t="s">
        <v>48</v>
      </c>
      <c r="B30" s="1" t="s">
        <v>49</v>
      </c>
      <c r="C30">
        <v>109631</v>
      </c>
      <c r="D30">
        <v>121719</v>
      </c>
      <c r="E30">
        <v>17088</v>
      </c>
      <c r="F30">
        <v>160218</v>
      </c>
      <c r="G30">
        <v>60426</v>
      </c>
      <c r="H30">
        <v>60693</v>
      </c>
      <c r="I30">
        <v>8915</v>
      </c>
      <c r="J30">
        <v>81888</v>
      </c>
      <c r="K30">
        <v>11079</v>
      </c>
      <c r="L30">
        <v>12955</v>
      </c>
      <c r="M30">
        <v>1891</v>
      </c>
      <c r="N30">
        <v>17776</v>
      </c>
      <c r="O30">
        <v>15299</v>
      </c>
      <c r="P30">
        <v>17219</v>
      </c>
      <c r="Q30">
        <v>2102</v>
      </c>
      <c r="R30">
        <v>27010</v>
      </c>
      <c r="S30">
        <v>800</v>
      </c>
      <c r="T30">
        <v>810</v>
      </c>
      <c r="U30">
        <v>274</v>
      </c>
      <c r="V30">
        <v>2501</v>
      </c>
      <c r="W30">
        <v>44837</v>
      </c>
      <c r="X30">
        <v>50242</v>
      </c>
      <c r="Y30">
        <v>6749</v>
      </c>
      <c r="Z30">
        <v>62494</v>
      </c>
      <c r="AA30">
        <v>2408</v>
      </c>
      <c r="AB30">
        <v>2283</v>
      </c>
      <c r="AC30">
        <v>416</v>
      </c>
      <c r="AD30">
        <v>2763</v>
      </c>
      <c r="AE30">
        <v>106327</v>
      </c>
      <c r="AF30">
        <v>91484</v>
      </c>
      <c r="AG30">
        <v>12584</v>
      </c>
      <c r="AH30">
        <v>119489</v>
      </c>
      <c r="AI30">
        <v>52900</v>
      </c>
      <c r="AJ30">
        <v>46015</v>
      </c>
      <c r="AK30">
        <v>5893</v>
      </c>
      <c r="AL30">
        <v>79871</v>
      </c>
      <c r="AM30">
        <v>11445</v>
      </c>
      <c r="AN30">
        <v>12336</v>
      </c>
      <c r="AO30">
        <v>2196</v>
      </c>
      <c r="AP30">
        <v>23116</v>
      </c>
      <c r="AQ30">
        <v>2378</v>
      </c>
      <c r="AR30">
        <v>3567</v>
      </c>
      <c r="AS30">
        <v>714</v>
      </c>
      <c r="AT30">
        <v>20541</v>
      </c>
      <c r="AU30">
        <v>10073</v>
      </c>
      <c r="AV30">
        <v>8847</v>
      </c>
      <c r="AW30">
        <v>2789</v>
      </c>
      <c r="AX30">
        <v>29290</v>
      </c>
      <c r="AY30">
        <v>8272</v>
      </c>
      <c r="AZ30">
        <v>1929</v>
      </c>
      <c r="BA30">
        <v>325</v>
      </c>
      <c r="BB30">
        <v>8503</v>
      </c>
      <c r="BC30">
        <v>15926</v>
      </c>
      <c r="BD30">
        <v>13947</v>
      </c>
      <c r="BE30">
        <v>2119</v>
      </c>
      <c r="BF30">
        <v>23361</v>
      </c>
      <c r="BG30">
        <v>45196</v>
      </c>
      <c r="BH30">
        <v>46894</v>
      </c>
      <c r="BI30">
        <v>7125</v>
      </c>
      <c r="BJ30">
        <v>55023</v>
      </c>
      <c r="BK30">
        <v>11556</v>
      </c>
      <c r="BL30">
        <v>4548</v>
      </c>
      <c r="BM30">
        <v>808</v>
      </c>
      <c r="BN30">
        <v>13309</v>
      </c>
      <c r="BO30">
        <v>753</v>
      </c>
      <c r="BP30">
        <v>1453</v>
      </c>
      <c r="BQ30">
        <v>406</v>
      </c>
      <c r="BR30">
        <v>3196</v>
      </c>
      <c r="BS30">
        <v>22350</v>
      </c>
      <c r="BT30">
        <v>25057</v>
      </c>
      <c r="BU30">
        <v>3205</v>
      </c>
      <c r="BV30">
        <v>30990</v>
      </c>
      <c r="BW30">
        <v>14216</v>
      </c>
      <c r="BX30">
        <v>16567</v>
      </c>
      <c r="BY30">
        <v>2297</v>
      </c>
      <c r="BZ30">
        <v>21671</v>
      </c>
      <c r="CA30">
        <v>1327</v>
      </c>
      <c r="CB30">
        <v>1427</v>
      </c>
      <c r="CC30">
        <v>208</v>
      </c>
      <c r="CD30">
        <v>1818</v>
      </c>
      <c r="CE30">
        <v>3961</v>
      </c>
      <c r="CF30">
        <v>4394</v>
      </c>
      <c r="CG30">
        <v>740</v>
      </c>
      <c r="CH30">
        <v>4927</v>
      </c>
      <c r="CI30">
        <v>11374</v>
      </c>
      <c r="CJ30">
        <v>12193</v>
      </c>
      <c r="CK30">
        <v>1924</v>
      </c>
      <c r="CL30">
        <v>16656</v>
      </c>
      <c r="CM30">
        <v>1171</v>
      </c>
      <c r="CN30">
        <v>1220</v>
      </c>
      <c r="CO30">
        <v>393</v>
      </c>
      <c r="CP30">
        <v>3978</v>
      </c>
      <c r="CQ30">
        <v>29444</v>
      </c>
      <c r="CR30">
        <v>28422</v>
      </c>
      <c r="CS30">
        <v>7756</v>
      </c>
      <c r="CT30">
        <v>16773</v>
      </c>
      <c r="CU30">
        <v>87357</v>
      </c>
      <c r="CV30">
        <v>89896</v>
      </c>
      <c r="CW30">
        <v>19011</v>
      </c>
      <c r="CX30">
        <v>55639</v>
      </c>
      <c r="CY30">
        <v>23471</v>
      </c>
      <c r="CZ30">
        <v>25505</v>
      </c>
      <c r="DA30">
        <v>6689</v>
      </c>
      <c r="DB30">
        <v>16422</v>
      </c>
      <c r="DC30">
        <v>6306</v>
      </c>
      <c r="DD30">
        <v>6395</v>
      </c>
      <c r="DE30">
        <v>1937</v>
      </c>
      <c r="DF30">
        <v>4882</v>
      </c>
      <c r="DG30">
        <v>41250</v>
      </c>
      <c r="DH30">
        <v>34628</v>
      </c>
      <c r="DI30">
        <v>7731</v>
      </c>
      <c r="DJ30">
        <v>74118</v>
      </c>
      <c r="DK30">
        <v>1704</v>
      </c>
      <c r="DL30">
        <v>1420</v>
      </c>
      <c r="DM30">
        <v>2122</v>
      </c>
      <c r="DN30">
        <v>4288</v>
      </c>
      <c r="DO30">
        <v>7838</v>
      </c>
      <c r="DP30">
        <v>7209</v>
      </c>
      <c r="DQ30">
        <v>3453</v>
      </c>
      <c r="DR30">
        <v>16798</v>
      </c>
      <c r="DS30">
        <v>3194</v>
      </c>
      <c r="DT30">
        <v>3157</v>
      </c>
      <c r="DU30">
        <v>1905</v>
      </c>
      <c r="DV30">
        <v>6398</v>
      </c>
    </row>
    <row r="31" spans="1:126" x14ac:dyDescent="0.4">
      <c r="A31" s="1" t="s">
        <v>50</v>
      </c>
      <c r="B31" s="1" t="s">
        <v>51</v>
      </c>
      <c r="C31">
        <v>118365</v>
      </c>
      <c r="D31">
        <v>109482</v>
      </c>
      <c r="E31">
        <v>15456</v>
      </c>
      <c r="F31">
        <v>168823</v>
      </c>
      <c r="G31">
        <v>62794</v>
      </c>
      <c r="H31">
        <v>54987</v>
      </c>
      <c r="I31">
        <v>8079</v>
      </c>
      <c r="J31">
        <v>89351</v>
      </c>
      <c r="K31">
        <v>15604</v>
      </c>
      <c r="L31">
        <v>13356</v>
      </c>
      <c r="M31">
        <v>1920</v>
      </c>
      <c r="N31">
        <v>20024</v>
      </c>
      <c r="O31">
        <v>13742</v>
      </c>
      <c r="P31">
        <v>13256</v>
      </c>
      <c r="Q31">
        <v>1607</v>
      </c>
      <c r="R31">
        <v>27053</v>
      </c>
      <c r="S31">
        <v>1086</v>
      </c>
      <c r="T31">
        <v>835</v>
      </c>
      <c r="U31">
        <v>295</v>
      </c>
      <c r="V31">
        <v>2747</v>
      </c>
      <c r="W31">
        <v>55347</v>
      </c>
      <c r="X31">
        <v>47548</v>
      </c>
      <c r="Y31">
        <v>6414</v>
      </c>
      <c r="Z31">
        <v>70265</v>
      </c>
      <c r="AA31">
        <v>1940</v>
      </c>
      <c r="AB31">
        <v>1869</v>
      </c>
      <c r="AC31">
        <v>340</v>
      </c>
      <c r="AD31">
        <v>2832</v>
      </c>
      <c r="AE31">
        <v>117970</v>
      </c>
      <c r="AF31">
        <v>94688</v>
      </c>
      <c r="AG31">
        <v>12882</v>
      </c>
      <c r="AH31">
        <v>142744</v>
      </c>
      <c r="AI31">
        <v>70429</v>
      </c>
      <c r="AJ31">
        <v>56910</v>
      </c>
      <c r="AK31">
        <v>7196</v>
      </c>
      <c r="AL31">
        <v>93384</v>
      </c>
      <c r="AM31">
        <v>12230</v>
      </c>
      <c r="AN31">
        <v>10788</v>
      </c>
      <c r="AO31">
        <v>1913</v>
      </c>
      <c r="AP31">
        <v>24558</v>
      </c>
      <c r="AQ31">
        <v>4023</v>
      </c>
      <c r="AR31">
        <v>3441</v>
      </c>
      <c r="AS31">
        <v>683</v>
      </c>
      <c r="AT31">
        <v>21123</v>
      </c>
      <c r="AU31">
        <v>7548</v>
      </c>
      <c r="AV31">
        <v>7396</v>
      </c>
      <c r="AW31">
        <v>2372</v>
      </c>
      <c r="AX31">
        <v>29341</v>
      </c>
      <c r="AY31">
        <v>7132</v>
      </c>
      <c r="AZ31">
        <v>2186</v>
      </c>
      <c r="BA31">
        <v>359</v>
      </c>
      <c r="BB31">
        <v>8987</v>
      </c>
      <c r="BC31">
        <v>14566</v>
      </c>
      <c r="BD31">
        <v>13470</v>
      </c>
      <c r="BE31">
        <v>2060</v>
      </c>
      <c r="BF31">
        <v>24365</v>
      </c>
      <c r="BG31">
        <v>51179</v>
      </c>
      <c r="BH31">
        <v>39177</v>
      </c>
      <c r="BI31">
        <v>5943</v>
      </c>
      <c r="BJ31">
        <v>67005</v>
      </c>
      <c r="BK31">
        <v>11232</v>
      </c>
      <c r="BL31">
        <v>3880</v>
      </c>
      <c r="BM31">
        <v>700</v>
      </c>
      <c r="BN31">
        <v>14206</v>
      </c>
      <c r="BO31">
        <v>1603</v>
      </c>
      <c r="BP31">
        <v>971</v>
      </c>
      <c r="BQ31">
        <v>298</v>
      </c>
      <c r="BR31">
        <v>3809</v>
      </c>
      <c r="BS31">
        <v>26758</v>
      </c>
      <c r="BT31">
        <v>24736</v>
      </c>
      <c r="BU31">
        <v>3132</v>
      </c>
      <c r="BV31">
        <v>32969</v>
      </c>
      <c r="BW31">
        <v>17796</v>
      </c>
      <c r="BX31">
        <v>15954</v>
      </c>
      <c r="BY31">
        <v>2222</v>
      </c>
      <c r="BZ31">
        <v>23453</v>
      </c>
      <c r="CA31">
        <v>1507</v>
      </c>
      <c r="CB31">
        <v>1342</v>
      </c>
      <c r="CC31">
        <v>187</v>
      </c>
      <c r="CD31">
        <v>1983</v>
      </c>
      <c r="CE31">
        <v>5395</v>
      </c>
      <c r="CF31">
        <v>4914</v>
      </c>
      <c r="CG31">
        <v>843</v>
      </c>
      <c r="CH31">
        <v>5402</v>
      </c>
      <c r="CI31">
        <v>14020</v>
      </c>
      <c r="CJ31">
        <v>12170</v>
      </c>
      <c r="CK31">
        <v>1850</v>
      </c>
      <c r="CL31">
        <v>18427</v>
      </c>
      <c r="CM31">
        <v>1255</v>
      </c>
      <c r="CN31">
        <v>1034</v>
      </c>
      <c r="CO31">
        <v>347</v>
      </c>
      <c r="CP31">
        <v>4117</v>
      </c>
      <c r="CQ31">
        <v>29478</v>
      </c>
      <c r="CR31">
        <v>27752</v>
      </c>
      <c r="CS31">
        <v>7537</v>
      </c>
      <c r="CT31">
        <v>17800</v>
      </c>
      <c r="CU31">
        <v>86535</v>
      </c>
      <c r="CV31">
        <v>85718</v>
      </c>
      <c r="CW31">
        <v>18173</v>
      </c>
      <c r="CX31">
        <v>56384</v>
      </c>
      <c r="CY31">
        <v>22752</v>
      </c>
      <c r="CZ31">
        <v>22170</v>
      </c>
      <c r="DA31">
        <v>5751</v>
      </c>
      <c r="DB31">
        <v>16998</v>
      </c>
      <c r="DC31">
        <v>5381</v>
      </c>
      <c r="DD31">
        <v>5764</v>
      </c>
      <c r="DE31">
        <v>1780</v>
      </c>
      <c r="DF31">
        <v>4350</v>
      </c>
      <c r="DG31">
        <v>46451</v>
      </c>
      <c r="DH31">
        <v>34955</v>
      </c>
      <c r="DI31">
        <v>7382</v>
      </c>
      <c r="DJ31">
        <v>79147</v>
      </c>
      <c r="DK31">
        <v>950</v>
      </c>
      <c r="DL31">
        <v>959</v>
      </c>
      <c r="DM31">
        <v>1508</v>
      </c>
      <c r="DN31">
        <v>4128</v>
      </c>
      <c r="DO31">
        <v>5707</v>
      </c>
      <c r="DP31">
        <v>5593</v>
      </c>
      <c r="DQ31">
        <v>2529</v>
      </c>
      <c r="DR31">
        <v>16837</v>
      </c>
      <c r="DS31">
        <v>2590</v>
      </c>
      <c r="DT31">
        <v>2681</v>
      </c>
      <c r="DU31">
        <v>1584</v>
      </c>
      <c r="DV31">
        <v>6290</v>
      </c>
    </row>
    <row r="32" spans="1:126" x14ac:dyDescent="0.4">
      <c r="A32" s="1" t="s">
        <v>52</v>
      </c>
      <c r="B32" s="1" t="s">
        <v>53</v>
      </c>
      <c r="C32">
        <v>116455</v>
      </c>
      <c r="D32">
        <v>111493</v>
      </c>
      <c r="E32">
        <v>15667</v>
      </c>
      <c r="F32">
        <v>173542</v>
      </c>
      <c r="G32">
        <v>76259</v>
      </c>
      <c r="H32">
        <v>66355</v>
      </c>
      <c r="I32">
        <v>9749</v>
      </c>
      <c r="J32">
        <v>98914</v>
      </c>
      <c r="K32">
        <v>12824</v>
      </c>
      <c r="L32">
        <v>12867</v>
      </c>
      <c r="M32">
        <v>1846</v>
      </c>
      <c r="N32">
        <v>19981</v>
      </c>
      <c r="O32">
        <v>16871</v>
      </c>
      <c r="P32">
        <v>15144</v>
      </c>
      <c r="Q32">
        <v>1859</v>
      </c>
      <c r="R32">
        <v>28134</v>
      </c>
      <c r="S32">
        <v>1038</v>
      </c>
      <c r="T32">
        <v>1001</v>
      </c>
      <c r="U32">
        <v>325</v>
      </c>
      <c r="V32">
        <v>2784</v>
      </c>
      <c r="W32">
        <v>60457</v>
      </c>
      <c r="X32">
        <v>54867</v>
      </c>
      <c r="Y32">
        <v>7429</v>
      </c>
      <c r="Z32">
        <v>75849</v>
      </c>
      <c r="AA32">
        <v>2846</v>
      </c>
      <c r="AB32">
        <v>2598</v>
      </c>
      <c r="AC32">
        <v>475</v>
      </c>
      <c r="AD32">
        <v>3080</v>
      </c>
      <c r="AE32">
        <v>115471</v>
      </c>
      <c r="AF32">
        <v>106755</v>
      </c>
      <c r="AG32">
        <v>14483</v>
      </c>
      <c r="AH32">
        <v>151432</v>
      </c>
      <c r="AI32">
        <v>69953</v>
      </c>
      <c r="AJ32">
        <v>67615</v>
      </c>
      <c r="AK32">
        <v>8503</v>
      </c>
      <c r="AL32">
        <v>95721</v>
      </c>
      <c r="AM32">
        <v>15963</v>
      </c>
      <c r="AN32">
        <v>12820</v>
      </c>
      <c r="AO32">
        <v>2284</v>
      </c>
      <c r="AP32">
        <v>27699</v>
      </c>
      <c r="AQ32">
        <v>4594</v>
      </c>
      <c r="AR32">
        <v>3980</v>
      </c>
      <c r="AS32">
        <v>802</v>
      </c>
      <c r="AT32">
        <v>21736</v>
      </c>
      <c r="AU32">
        <v>9085</v>
      </c>
      <c r="AV32">
        <v>8653</v>
      </c>
      <c r="AW32">
        <v>2794</v>
      </c>
      <c r="AX32">
        <v>29651</v>
      </c>
      <c r="AY32">
        <v>9253</v>
      </c>
      <c r="AZ32">
        <v>2019</v>
      </c>
      <c r="BA32">
        <v>350</v>
      </c>
      <c r="BB32">
        <v>11208</v>
      </c>
      <c r="BC32">
        <v>14434</v>
      </c>
      <c r="BD32">
        <v>14375</v>
      </c>
      <c r="BE32">
        <v>2251</v>
      </c>
      <c r="BF32">
        <v>24349</v>
      </c>
      <c r="BG32">
        <v>54002</v>
      </c>
      <c r="BH32">
        <v>43737</v>
      </c>
      <c r="BI32">
        <v>6649</v>
      </c>
      <c r="BJ32">
        <v>77240</v>
      </c>
      <c r="BK32">
        <v>10881</v>
      </c>
      <c r="BL32">
        <v>4673</v>
      </c>
      <c r="BM32">
        <v>857</v>
      </c>
      <c r="BN32">
        <v>15412</v>
      </c>
      <c r="BO32">
        <v>1148</v>
      </c>
      <c r="BP32">
        <v>1197</v>
      </c>
      <c r="BQ32">
        <v>351</v>
      </c>
      <c r="BR32">
        <v>3748</v>
      </c>
      <c r="BS32">
        <v>26108</v>
      </c>
      <c r="BT32">
        <v>24899</v>
      </c>
      <c r="BU32">
        <v>3169</v>
      </c>
      <c r="BV32">
        <v>34127</v>
      </c>
      <c r="BW32">
        <v>17449</v>
      </c>
      <c r="BX32">
        <v>17833</v>
      </c>
      <c r="BY32">
        <v>2498</v>
      </c>
      <c r="BZ32">
        <v>22952</v>
      </c>
      <c r="CA32">
        <v>1263</v>
      </c>
      <c r="CB32">
        <v>1391</v>
      </c>
      <c r="CC32">
        <v>189</v>
      </c>
      <c r="CD32">
        <v>1855</v>
      </c>
      <c r="CE32">
        <v>5997</v>
      </c>
      <c r="CF32">
        <v>5724</v>
      </c>
      <c r="CG32">
        <v>968</v>
      </c>
      <c r="CH32">
        <v>5667</v>
      </c>
      <c r="CI32">
        <v>12729</v>
      </c>
      <c r="CJ32">
        <v>13214</v>
      </c>
      <c r="CK32">
        <v>2043</v>
      </c>
      <c r="CL32">
        <v>17840</v>
      </c>
      <c r="CM32">
        <v>1454</v>
      </c>
      <c r="CN32">
        <v>1214</v>
      </c>
      <c r="CO32">
        <v>393</v>
      </c>
      <c r="CP32">
        <v>4331</v>
      </c>
      <c r="CQ32">
        <v>32375</v>
      </c>
      <c r="CR32">
        <v>31895</v>
      </c>
      <c r="CS32">
        <v>8794</v>
      </c>
      <c r="CT32">
        <v>17020</v>
      </c>
      <c r="CU32">
        <v>93869</v>
      </c>
      <c r="CV32">
        <v>92910</v>
      </c>
      <c r="CW32">
        <v>19753</v>
      </c>
      <c r="CX32">
        <v>57277</v>
      </c>
      <c r="CY32">
        <v>24870</v>
      </c>
      <c r="CZ32">
        <v>24661</v>
      </c>
      <c r="DA32">
        <v>6412</v>
      </c>
      <c r="DB32">
        <v>17201</v>
      </c>
      <c r="DC32">
        <v>6515</v>
      </c>
      <c r="DD32">
        <v>5902</v>
      </c>
      <c r="DE32">
        <v>1928</v>
      </c>
      <c r="DF32">
        <v>4905</v>
      </c>
      <c r="DG32">
        <v>49758</v>
      </c>
      <c r="DH32">
        <v>38325</v>
      </c>
      <c r="DI32">
        <v>8545</v>
      </c>
      <c r="DJ32">
        <v>82991</v>
      </c>
      <c r="DK32">
        <v>1386</v>
      </c>
      <c r="DL32">
        <v>1055</v>
      </c>
      <c r="DM32">
        <v>1848</v>
      </c>
      <c r="DN32">
        <v>4243</v>
      </c>
      <c r="DO32">
        <v>8228</v>
      </c>
      <c r="DP32">
        <v>7596</v>
      </c>
      <c r="DQ32">
        <v>3422</v>
      </c>
      <c r="DR32">
        <v>17368</v>
      </c>
      <c r="DS32">
        <v>2757</v>
      </c>
      <c r="DT32">
        <v>2768</v>
      </c>
      <c r="DU32">
        <v>1668</v>
      </c>
      <c r="DV32">
        <v>6261</v>
      </c>
    </row>
    <row r="33" spans="1:126" x14ac:dyDescent="0.4">
      <c r="A33" s="1" t="s">
        <v>54</v>
      </c>
      <c r="B33" s="1" t="s">
        <v>55</v>
      </c>
      <c r="C33">
        <v>98488</v>
      </c>
      <c r="D33">
        <v>116379</v>
      </c>
      <c r="E33">
        <v>16321</v>
      </c>
      <c r="F33">
        <v>155433</v>
      </c>
      <c r="G33">
        <v>73355</v>
      </c>
      <c r="H33">
        <v>66591</v>
      </c>
      <c r="I33">
        <v>9793</v>
      </c>
      <c r="J33">
        <v>105175</v>
      </c>
      <c r="K33">
        <v>14506</v>
      </c>
      <c r="L33">
        <v>13498</v>
      </c>
      <c r="M33">
        <v>1946</v>
      </c>
      <c r="N33">
        <v>20983</v>
      </c>
      <c r="O33">
        <v>15219</v>
      </c>
      <c r="P33">
        <v>16813</v>
      </c>
      <c r="Q33">
        <v>2054</v>
      </c>
      <c r="R33">
        <v>25982</v>
      </c>
      <c r="S33">
        <v>775</v>
      </c>
      <c r="T33">
        <v>1260</v>
      </c>
      <c r="U33">
        <v>397</v>
      </c>
      <c r="V33">
        <v>2299</v>
      </c>
      <c r="W33">
        <v>57457</v>
      </c>
      <c r="X33">
        <v>54885</v>
      </c>
      <c r="Y33">
        <v>7403</v>
      </c>
      <c r="Z33">
        <v>78415</v>
      </c>
      <c r="AA33">
        <v>1712</v>
      </c>
      <c r="AB33">
        <v>2215</v>
      </c>
      <c r="AC33">
        <v>404</v>
      </c>
      <c r="AD33">
        <v>2577</v>
      </c>
      <c r="AE33">
        <v>95970</v>
      </c>
      <c r="AF33">
        <v>100670</v>
      </c>
      <c r="AG33">
        <v>13633</v>
      </c>
      <c r="AH33">
        <v>146687</v>
      </c>
      <c r="AI33">
        <v>60486</v>
      </c>
      <c r="AJ33">
        <v>59855</v>
      </c>
      <c r="AK33">
        <v>7485</v>
      </c>
      <c r="AL33">
        <v>96344</v>
      </c>
      <c r="AM33">
        <v>14682</v>
      </c>
      <c r="AN33">
        <v>14099</v>
      </c>
      <c r="AO33">
        <v>2508</v>
      </c>
      <c r="AP33">
        <v>28279</v>
      </c>
      <c r="AQ33">
        <v>3576</v>
      </c>
      <c r="AR33">
        <v>3652</v>
      </c>
      <c r="AS33">
        <v>733</v>
      </c>
      <c r="AT33">
        <v>21657</v>
      </c>
      <c r="AU33">
        <v>8480</v>
      </c>
      <c r="AV33">
        <v>9114</v>
      </c>
      <c r="AW33">
        <v>3035</v>
      </c>
      <c r="AX33">
        <v>28909</v>
      </c>
      <c r="AY33">
        <v>5877</v>
      </c>
      <c r="AZ33">
        <v>1302</v>
      </c>
      <c r="BA33">
        <v>227</v>
      </c>
      <c r="BB33">
        <v>11460</v>
      </c>
      <c r="BC33">
        <v>17029</v>
      </c>
      <c r="BD33">
        <v>14332</v>
      </c>
      <c r="BE33">
        <v>2186</v>
      </c>
      <c r="BF33">
        <v>27017</v>
      </c>
      <c r="BG33">
        <v>49404</v>
      </c>
      <c r="BH33">
        <v>47325</v>
      </c>
      <c r="BI33">
        <v>7205</v>
      </c>
      <c r="BJ33">
        <v>79295</v>
      </c>
      <c r="BK33">
        <v>12039</v>
      </c>
      <c r="BL33">
        <v>5637</v>
      </c>
      <c r="BM33">
        <v>958</v>
      </c>
      <c r="BN33">
        <v>17211</v>
      </c>
      <c r="BO33">
        <v>1921</v>
      </c>
      <c r="BP33">
        <v>1293</v>
      </c>
      <c r="BQ33">
        <v>417</v>
      </c>
      <c r="BR33">
        <v>4322</v>
      </c>
      <c r="BS33">
        <v>25657</v>
      </c>
      <c r="BT33">
        <v>26856</v>
      </c>
      <c r="BU33">
        <v>3409</v>
      </c>
      <c r="BV33">
        <v>32880</v>
      </c>
      <c r="BW33">
        <v>17270</v>
      </c>
      <c r="BX33">
        <v>16377</v>
      </c>
      <c r="BY33">
        <v>2289</v>
      </c>
      <c r="BZ33">
        <v>23823</v>
      </c>
      <c r="CA33">
        <v>1644</v>
      </c>
      <c r="CB33">
        <v>1662</v>
      </c>
      <c r="CC33">
        <v>240</v>
      </c>
      <c r="CD33">
        <v>1837</v>
      </c>
      <c r="CE33">
        <v>5736</v>
      </c>
      <c r="CF33">
        <v>5664</v>
      </c>
      <c r="CG33">
        <v>967</v>
      </c>
      <c r="CH33">
        <v>5736</v>
      </c>
      <c r="CI33">
        <v>15846</v>
      </c>
      <c r="CJ33">
        <v>13783</v>
      </c>
      <c r="CK33">
        <v>2143</v>
      </c>
      <c r="CL33">
        <v>19834</v>
      </c>
      <c r="CM33">
        <v>1422</v>
      </c>
      <c r="CN33">
        <v>1364</v>
      </c>
      <c r="CO33">
        <v>411</v>
      </c>
      <c r="CP33">
        <v>4346</v>
      </c>
      <c r="CQ33">
        <v>35565</v>
      </c>
      <c r="CR33">
        <v>32199</v>
      </c>
      <c r="CS33">
        <v>9163</v>
      </c>
      <c r="CT33">
        <v>19492</v>
      </c>
      <c r="CU33">
        <v>94833</v>
      </c>
      <c r="CV33">
        <v>95484</v>
      </c>
      <c r="CW33">
        <v>20304</v>
      </c>
      <c r="CX33">
        <v>56571</v>
      </c>
      <c r="CY33">
        <v>25919</v>
      </c>
      <c r="CZ33">
        <v>25389</v>
      </c>
      <c r="DA33">
        <v>6501</v>
      </c>
      <c r="DB33">
        <v>17725</v>
      </c>
      <c r="DC33">
        <v>7160</v>
      </c>
      <c r="DD33">
        <v>6983</v>
      </c>
      <c r="DE33">
        <v>2028</v>
      </c>
      <c r="DF33">
        <v>4934</v>
      </c>
      <c r="DG33">
        <v>43514</v>
      </c>
      <c r="DH33">
        <v>39651</v>
      </c>
      <c r="DI33">
        <v>8851</v>
      </c>
      <c r="DJ33">
        <v>79538</v>
      </c>
      <c r="DK33">
        <v>1253</v>
      </c>
      <c r="DL33">
        <v>1055</v>
      </c>
      <c r="DM33">
        <v>1901</v>
      </c>
      <c r="DN33">
        <v>4254</v>
      </c>
      <c r="DO33">
        <v>8170</v>
      </c>
      <c r="DP33">
        <v>7028</v>
      </c>
      <c r="DQ33">
        <v>3167</v>
      </c>
      <c r="DR33">
        <v>18428</v>
      </c>
      <c r="DS33">
        <v>3032</v>
      </c>
      <c r="DT33">
        <v>3142</v>
      </c>
      <c r="DU33">
        <v>1918</v>
      </c>
      <c r="DV33">
        <v>6133</v>
      </c>
    </row>
    <row r="34" spans="1:126" x14ac:dyDescent="0.4">
      <c r="A34" s="1" t="s">
        <v>56</v>
      </c>
      <c r="B34" s="1" t="s">
        <v>57</v>
      </c>
      <c r="C34">
        <v>109793</v>
      </c>
      <c r="D34">
        <v>108742</v>
      </c>
      <c r="E34">
        <v>15530</v>
      </c>
      <c r="F34">
        <v>156262</v>
      </c>
      <c r="G34">
        <v>60075</v>
      </c>
      <c r="H34">
        <v>64948</v>
      </c>
      <c r="I34">
        <v>9530</v>
      </c>
      <c r="J34">
        <v>99826</v>
      </c>
      <c r="K34">
        <v>13648</v>
      </c>
      <c r="L34">
        <v>13210</v>
      </c>
      <c r="M34">
        <v>1898</v>
      </c>
      <c r="N34">
        <v>21419</v>
      </c>
      <c r="O34">
        <v>16694</v>
      </c>
      <c r="P34">
        <v>15607</v>
      </c>
      <c r="Q34">
        <v>1861</v>
      </c>
      <c r="R34">
        <v>26466</v>
      </c>
      <c r="S34">
        <v>890</v>
      </c>
      <c r="T34">
        <v>802</v>
      </c>
      <c r="U34">
        <v>273</v>
      </c>
      <c r="V34">
        <v>2387</v>
      </c>
      <c r="W34">
        <v>50489</v>
      </c>
      <c r="X34">
        <v>55795</v>
      </c>
      <c r="Y34">
        <v>7542</v>
      </c>
      <c r="Z34">
        <v>73100</v>
      </c>
      <c r="AA34">
        <v>2155</v>
      </c>
      <c r="AB34">
        <v>1985</v>
      </c>
      <c r="AC34">
        <v>363</v>
      </c>
      <c r="AD34">
        <v>2747</v>
      </c>
      <c r="AE34">
        <v>97335</v>
      </c>
      <c r="AF34">
        <v>96154</v>
      </c>
      <c r="AG34">
        <v>12989</v>
      </c>
      <c r="AH34">
        <v>147858</v>
      </c>
      <c r="AI34">
        <v>61654</v>
      </c>
      <c r="AJ34">
        <v>65106</v>
      </c>
      <c r="AK34">
        <v>8168</v>
      </c>
      <c r="AL34">
        <v>92889</v>
      </c>
      <c r="AM34">
        <v>13001</v>
      </c>
      <c r="AN34">
        <v>12743</v>
      </c>
      <c r="AO34">
        <v>2268</v>
      </c>
      <c r="AP34">
        <v>28536</v>
      </c>
      <c r="AQ34">
        <v>4238</v>
      </c>
      <c r="AR34">
        <v>3109</v>
      </c>
      <c r="AS34">
        <v>615</v>
      </c>
      <c r="AT34">
        <v>22786</v>
      </c>
      <c r="AU34">
        <v>9303</v>
      </c>
      <c r="AV34">
        <v>8264</v>
      </c>
      <c r="AW34">
        <v>2656</v>
      </c>
      <c r="AX34">
        <v>29851</v>
      </c>
      <c r="AY34">
        <v>5581</v>
      </c>
      <c r="AZ34">
        <v>1128</v>
      </c>
      <c r="BA34">
        <v>216</v>
      </c>
      <c r="BB34">
        <v>10747</v>
      </c>
      <c r="BC34">
        <v>12218</v>
      </c>
      <c r="BD34">
        <v>12850</v>
      </c>
      <c r="BE34">
        <v>1972</v>
      </c>
      <c r="BF34">
        <v>26360</v>
      </c>
      <c r="BG34">
        <v>47302</v>
      </c>
      <c r="BH34">
        <v>45737</v>
      </c>
      <c r="BI34">
        <v>6982</v>
      </c>
      <c r="BJ34">
        <v>80834</v>
      </c>
      <c r="BK34">
        <v>5849</v>
      </c>
      <c r="BL34">
        <v>3843</v>
      </c>
      <c r="BM34">
        <v>714</v>
      </c>
      <c r="BN34">
        <v>13765</v>
      </c>
      <c r="BO34">
        <v>1394</v>
      </c>
      <c r="BP34">
        <v>1261</v>
      </c>
      <c r="BQ34">
        <v>347</v>
      </c>
      <c r="BR34">
        <v>4452</v>
      </c>
      <c r="BS34">
        <v>23691</v>
      </c>
      <c r="BT34">
        <v>23662</v>
      </c>
      <c r="BU34">
        <v>3037</v>
      </c>
      <c r="BV34">
        <v>32874</v>
      </c>
      <c r="BW34">
        <v>15931</v>
      </c>
      <c r="BX34">
        <v>16339</v>
      </c>
      <c r="BY34">
        <v>2311</v>
      </c>
      <c r="BZ34">
        <v>23368</v>
      </c>
      <c r="CA34">
        <v>1317</v>
      </c>
      <c r="CB34">
        <v>1445</v>
      </c>
      <c r="CC34">
        <v>192</v>
      </c>
      <c r="CD34">
        <v>1709</v>
      </c>
      <c r="CE34">
        <v>5388</v>
      </c>
      <c r="CF34">
        <v>5040</v>
      </c>
      <c r="CG34">
        <v>848</v>
      </c>
      <c r="CH34">
        <v>6075</v>
      </c>
      <c r="CI34">
        <v>12216</v>
      </c>
      <c r="CJ34">
        <v>12991</v>
      </c>
      <c r="CK34">
        <v>2003</v>
      </c>
      <c r="CL34">
        <v>19009</v>
      </c>
      <c r="CM34">
        <v>1381</v>
      </c>
      <c r="CN34">
        <v>1249</v>
      </c>
      <c r="CO34">
        <v>441</v>
      </c>
      <c r="CP34">
        <v>4426</v>
      </c>
      <c r="CQ34">
        <v>33864</v>
      </c>
      <c r="CR34">
        <v>32676</v>
      </c>
      <c r="CS34">
        <v>9283</v>
      </c>
      <c r="CT34">
        <v>19747</v>
      </c>
      <c r="CU34">
        <v>93023</v>
      </c>
      <c r="CV34">
        <v>90456</v>
      </c>
      <c r="CW34">
        <v>19499</v>
      </c>
      <c r="CX34">
        <v>59078</v>
      </c>
      <c r="CY34">
        <v>21837</v>
      </c>
      <c r="CZ34">
        <v>22364</v>
      </c>
      <c r="DA34">
        <v>5829</v>
      </c>
      <c r="DB34">
        <v>17189</v>
      </c>
      <c r="DC34">
        <v>6477</v>
      </c>
      <c r="DD34">
        <v>6380</v>
      </c>
      <c r="DE34">
        <v>1919</v>
      </c>
      <c r="DF34">
        <v>4935</v>
      </c>
      <c r="DG34">
        <v>35863</v>
      </c>
      <c r="DH34">
        <v>31101</v>
      </c>
      <c r="DI34">
        <v>7062</v>
      </c>
      <c r="DJ34">
        <v>77620</v>
      </c>
      <c r="DK34">
        <v>1520</v>
      </c>
      <c r="DL34">
        <v>994</v>
      </c>
      <c r="DM34">
        <v>1631</v>
      </c>
      <c r="DN34">
        <v>4607</v>
      </c>
      <c r="DO34">
        <v>6825</v>
      </c>
      <c r="DP34">
        <v>6535</v>
      </c>
      <c r="DQ34">
        <v>2986</v>
      </c>
      <c r="DR34">
        <v>18664</v>
      </c>
      <c r="DS34">
        <v>2849</v>
      </c>
      <c r="DT34">
        <v>2878</v>
      </c>
      <c r="DU34">
        <v>1770</v>
      </c>
      <c r="DV34">
        <v>6137</v>
      </c>
    </row>
    <row r="35" spans="1:126" x14ac:dyDescent="0.4">
      <c r="A35" s="1" t="s">
        <v>58</v>
      </c>
      <c r="B35" s="1" t="s">
        <v>59</v>
      </c>
      <c r="C35">
        <v>112515</v>
      </c>
      <c r="D35">
        <v>123282</v>
      </c>
      <c r="E35">
        <v>17430</v>
      </c>
      <c r="F35">
        <v>145360</v>
      </c>
      <c r="G35">
        <v>53120</v>
      </c>
      <c r="H35">
        <v>62221</v>
      </c>
      <c r="I35">
        <v>9242</v>
      </c>
      <c r="J35">
        <v>90443</v>
      </c>
      <c r="K35">
        <v>10946</v>
      </c>
      <c r="L35">
        <v>12491</v>
      </c>
      <c r="M35">
        <v>1831</v>
      </c>
      <c r="N35">
        <v>19835</v>
      </c>
      <c r="O35">
        <v>13324</v>
      </c>
      <c r="P35">
        <v>14580</v>
      </c>
      <c r="Q35">
        <v>1803</v>
      </c>
      <c r="R35">
        <v>24487</v>
      </c>
      <c r="S35">
        <v>477</v>
      </c>
      <c r="T35">
        <v>695</v>
      </c>
      <c r="U35">
        <v>224</v>
      </c>
      <c r="V35">
        <v>2169</v>
      </c>
      <c r="W35">
        <v>50138</v>
      </c>
      <c r="X35">
        <v>54228</v>
      </c>
      <c r="Y35">
        <v>7344</v>
      </c>
      <c r="Z35">
        <v>69005</v>
      </c>
      <c r="AA35">
        <v>1803</v>
      </c>
      <c r="AB35">
        <v>1961</v>
      </c>
      <c r="AC35">
        <v>361</v>
      </c>
      <c r="AD35">
        <v>2589</v>
      </c>
      <c r="AE35">
        <v>91137</v>
      </c>
      <c r="AF35">
        <v>95915</v>
      </c>
      <c r="AG35">
        <v>13103</v>
      </c>
      <c r="AH35">
        <v>143072</v>
      </c>
      <c r="AI35">
        <v>61259</v>
      </c>
      <c r="AJ35">
        <v>69903</v>
      </c>
      <c r="AK35">
        <v>8716</v>
      </c>
      <c r="AL35">
        <v>84240</v>
      </c>
      <c r="AM35">
        <v>15983</v>
      </c>
      <c r="AN35">
        <v>13925</v>
      </c>
      <c r="AO35">
        <v>2444</v>
      </c>
      <c r="AP35">
        <v>30594</v>
      </c>
      <c r="AQ35">
        <v>1316</v>
      </c>
      <c r="AR35">
        <v>3455</v>
      </c>
      <c r="AS35">
        <v>691</v>
      </c>
      <c r="AT35">
        <v>20647</v>
      </c>
      <c r="AU35">
        <v>8667</v>
      </c>
      <c r="AV35">
        <v>8110</v>
      </c>
      <c r="AW35">
        <v>2635</v>
      </c>
      <c r="AX35">
        <v>30304</v>
      </c>
      <c r="AY35">
        <v>5175</v>
      </c>
      <c r="AZ35">
        <v>913</v>
      </c>
      <c r="BA35">
        <v>172</v>
      </c>
      <c r="BB35">
        <v>9334</v>
      </c>
      <c r="BC35">
        <v>12576</v>
      </c>
      <c r="BD35">
        <v>14507</v>
      </c>
      <c r="BE35">
        <v>2215</v>
      </c>
      <c r="BF35">
        <v>24381</v>
      </c>
      <c r="BG35">
        <v>43217</v>
      </c>
      <c r="BH35">
        <v>51131</v>
      </c>
      <c r="BI35">
        <v>7777</v>
      </c>
      <c r="BJ35">
        <v>72906</v>
      </c>
      <c r="BK35">
        <v>8452</v>
      </c>
      <c r="BL35">
        <v>2363</v>
      </c>
      <c r="BM35">
        <v>485</v>
      </c>
      <c r="BN35">
        <v>14828</v>
      </c>
      <c r="BO35">
        <v>1144</v>
      </c>
      <c r="BP35">
        <v>1406</v>
      </c>
      <c r="BQ35">
        <v>402</v>
      </c>
      <c r="BR35">
        <v>4162</v>
      </c>
      <c r="BS35">
        <v>25168</v>
      </c>
      <c r="BT35">
        <v>23661</v>
      </c>
      <c r="BU35">
        <v>3062</v>
      </c>
      <c r="BV35">
        <v>34328</v>
      </c>
      <c r="BW35">
        <v>15759</v>
      </c>
      <c r="BX35">
        <v>16540</v>
      </c>
      <c r="BY35">
        <v>2341</v>
      </c>
      <c r="BZ35">
        <v>22555</v>
      </c>
      <c r="CA35">
        <v>1725</v>
      </c>
      <c r="CB35">
        <v>1561</v>
      </c>
      <c r="CC35">
        <v>226</v>
      </c>
      <c r="CD35">
        <v>1873</v>
      </c>
      <c r="CE35">
        <v>4615</v>
      </c>
      <c r="CF35">
        <v>5248</v>
      </c>
      <c r="CG35">
        <v>912</v>
      </c>
      <c r="CH35">
        <v>5442</v>
      </c>
      <c r="CI35">
        <v>11899</v>
      </c>
      <c r="CJ35">
        <v>13040</v>
      </c>
      <c r="CK35">
        <v>2064</v>
      </c>
      <c r="CL35">
        <v>17806</v>
      </c>
      <c r="CM35">
        <v>1518</v>
      </c>
      <c r="CN35">
        <v>1303</v>
      </c>
      <c r="CO35">
        <v>430</v>
      </c>
      <c r="CP35">
        <v>4616</v>
      </c>
      <c r="CQ35">
        <v>31544</v>
      </c>
      <c r="CR35">
        <v>33603</v>
      </c>
      <c r="CS35">
        <v>9686</v>
      </c>
      <c r="CT35">
        <v>16791</v>
      </c>
      <c r="CU35">
        <v>91284</v>
      </c>
      <c r="CV35">
        <v>98884</v>
      </c>
      <c r="CW35">
        <v>21272</v>
      </c>
      <c r="CX35">
        <v>51070</v>
      </c>
      <c r="CY35">
        <v>22525</v>
      </c>
      <c r="CZ35">
        <v>24273</v>
      </c>
      <c r="DA35">
        <v>6287</v>
      </c>
      <c r="DB35">
        <v>15426</v>
      </c>
      <c r="DC35">
        <v>5444</v>
      </c>
      <c r="DD35">
        <v>5539</v>
      </c>
      <c r="DE35">
        <v>1735</v>
      </c>
      <c r="DF35">
        <v>4772</v>
      </c>
      <c r="DG35">
        <v>40284</v>
      </c>
      <c r="DH35">
        <v>36497</v>
      </c>
      <c r="DI35">
        <v>8293</v>
      </c>
      <c r="DJ35">
        <v>74371</v>
      </c>
      <c r="DK35">
        <v>1047</v>
      </c>
      <c r="DL35">
        <v>1037</v>
      </c>
      <c r="DM35">
        <v>1775</v>
      </c>
      <c r="DN35">
        <v>4450</v>
      </c>
      <c r="DO35">
        <v>6266</v>
      </c>
      <c r="DP35">
        <v>6981</v>
      </c>
      <c r="DQ35">
        <v>3310</v>
      </c>
      <c r="DR35">
        <v>17883</v>
      </c>
      <c r="DS35">
        <v>2819</v>
      </c>
      <c r="DT35">
        <v>3016</v>
      </c>
      <c r="DU35">
        <v>1829</v>
      </c>
      <c r="DV35">
        <v>5918</v>
      </c>
    </row>
    <row r="36" spans="1:126" x14ac:dyDescent="0.4">
      <c r="A36" s="1" t="s">
        <v>60</v>
      </c>
      <c r="B36" s="1" t="s">
        <v>61</v>
      </c>
      <c r="C36">
        <v>108232</v>
      </c>
      <c r="D36">
        <v>112066</v>
      </c>
      <c r="E36">
        <v>15974</v>
      </c>
      <c r="F36">
        <v>141389</v>
      </c>
      <c r="G36">
        <v>72999</v>
      </c>
      <c r="H36">
        <v>71102</v>
      </c>
      <c r="I36">
        <v>10379</v>
      </c>
      <c r="J36">
        <v>92050</v>
      </c>
      <c r="K36">
        <v>14030</v>
      </c>
      <c r="L36">
        <v>12465</v>
      </c>
      <c r="M36">
        <v>1853</v>
      </c>
      <c r="N36">
        <v>21399</v>
      </c>
      <c r="O36">
        <v>13951</v>
      </c>
      <c r="P36">
        <v>13614</v>
      </c>
      <c r="Q36">
        <v>1609</v>
      </c>
      <c r="R36">
        <v>24321</v>
      </c>
      <c r="S36">
        <v>789</v>
      </c>
      <c r="T36">
        <v>695</v>
      </c>
      <c r="U36">
        <v>225</v>
      </c>
      <c r="V36">
        <v>2263</v>
      </c>
      <c r="W36">
        <v>36541</v>
      </c>
      <c r="X36">
        <v>47652</v>
      </c>
      <c r="Y36">
        <v>6480</v>
      </c>
      <c r="Z36">
        <v>57881</v>
      </c>
      <c r="AA36">
        <v>2434</v>
      </c>
      <c r="AB36">
        <v>1951</v>
      </c>
      <c r="AC36">
        <v>372</v>
      </c>
      <c r="AD36">
        <v>3072</v>
      </c>
      <c r="AE36">
        <v>80914</v>
      </c>
      <c r="AF36">
        <v>94899</v>
      </c>
      <c r="AG36">
        <v>13060</v>
      </c>
      <c r="AH36">
        <v>129068</v>
      </c>
      <c r="AI36">
        <v>46999</v>
      </c>
      <c r="AJ36">
        <v>56835</v>
      </c>
      <c r="AK36">
        <v>7216</v>
      </c>
      <c r="AL36">
        <v>74401</v>
      </c>
      <c r="AM36">
        <v>12951</v>
      </c>
      <c r="AN36">
        <v>16479</v>
      </c>
      <c r="AO36">
        <v>2920</v>
      </c>
      <c r="AP36">
        <v>27065</v>
      </c>
      <c r="AQ36">
        <v>2878</v>
      </c>
      <c r="AR36">
        <v>3667</v>
      </c>
      <c r="AS36">
        <v>740</v>
      </c>
      <c r="AT36">
        <v>19858</v>
      </c>
      <c r="AU36">
        <v>7646</v>
      </c>
      <c r="AV36">
        <v>8569</v>
      </c>
      <c r="AW36">
        <v>2748</v>
      </c>
      <c r="AX36">
        <v>29245</v>
      </c>
      <c r="AY36">
        <v>7221</v>
      </c>
      <c r="AZ36">
        <v>1443</v>
      </c>
      <c r="BA36">
        <v>270</v>
      </c>
      <c r="BB36">
        <v>10161</v>
      </c>
      <c r="BC36">
        <v>12608</v>
      </c>
      <c r="BD36">
        <v>13719</v>
      </c>
      <c r="BE36">
        <v>2123</v>
      </c>
      <c r="BF36">
        <v>23252</v>
      </c>
      <c r="BG36">
        <v>37854</v>
      </c>
      <c r="BH36">
        <v>41483</v>
      </c>
      <c r="BI36">
        <v>6363</v>
      </c>
      <c r="BJ36">
        <v>69264</v>
      </c>
      <c r="BK36">
        <v>12347</v>
      </c>
      <c r="BL36">
        <v>4148</v>
      </c>
      <c r="BM36">
        <v>731</v>
      </c>
      <c r="BN36">
        <v>16856</v>
      </c>
      <c r="BO36">
        <v>1306</v>
      </c>
      <c r="BP36">
        <v>1503</v>
      </c>
      <c r="BQ36">
        <v>432</v>
      </c>
      <c r="BR36">
        <v>3953</v>
      </c>
      <c r="BS36">
        <v>24244</v>
      </c>
      <c r="BT36">
        <v>26289</v>
      </c>
      <c r="BU36">
        <v>3431</v>
      </c>
      <c r="BV36">
        <v>32269</v>
      </c>
      <c r="BW36">
        <v>14908</v>
      </c>
      <c r="BX36">
        <v>16732</v>
      </c>
      <c r="BY36">
        <v>2368</v>
      </c>
      <c r="BZ36">
        <v>20730</v>
      </c>
      <c r="CA36">
        <v>1632</v>
      </c>
      <c r="CB36">
        <v>1576</v>
      </c>
      <c r="CC36">
        <v>212</v>
      </c>
      <c r="CD36">
        <v>2178</v>
      </c>
      <c r="CE36">
        <v>4154</v>
      </c>
      <c r="CF36">
        <v>4393</v>
      </c>
      <c r="CG36">
        <v>758</v>
      </c>
      <c r="CH36">
        <v>5201</v>
      </c>
      <c r="CI36">
        <v>12448</v>
      </c>
      <c r="CJ36">
        <v>12417</v>
      </c>
      <c r="CK36">
        <v>1936</v>
      </c>
      <c r="CL36">
        <v>17728</v>
      </c>
      <c r="CM36">
        <v>1467</v>
      </c>
      <c r="CN36">
        <v>1294</v>
      </c>
      <c r="CO36">
        <v>432</v>
      </c>
      <c r="CP36">
        <v>4731</v>
      </c>
      <c r="CQ36">
        <v>30065</v>
      </c>
      <c r="CR36">
        <v>28815</v>
      </c>
      <c r="CS36">
        <v>8108</v>
      </c>
      <c r="CT36">
        <v>17070</v>
      </c>
      <c r="CU36">
        <v>82465</v>
      </c>
      <c r="CV36">
        <v>80295</v>
      </c>
      <c r="CW36">
        <v>17003</v>
      </c>
      <c r="CX36">
        <v>52837</v>
      </c>
      <c r="CY36">
        <v>22110</v>
      </c>
      <c r="CZ36">
        <v>20876</v>
      </c>
      <c r="DA36">
        <v>5352</v>
      </c>
      <c r="DB36">
        <v>16458</v>
      </c>
      <c r="DC36">
        <v>5608</v>
      </c>
      <c r="DD36">
        <v>5492</v>
      </c>
      <c r="DE36">
        <v>1617</v>
      </c>
      <c r="DF36">
        <v>4793</v>
      </c>
      <c r="DG36">
        <v>42586</v>
      </c>
      <c r="DH36">
        <v>34322</v>
      </c>
      <c r="DI36">
        <v>7640</v>
      </c>
      <c r="DJ36">
        <v>75094</v>
      </c>
      <c r="DK36">
        <v>1321</v>
      </c>
      <c r="DL36">
        <v>1154</v>
      </c>
      <c r="DM36">
        <v>1748</v>
      </c>
      <c r="DN36">
        <v>4433</v>
      </c>
      <c r="DO36">
        <v>6826</v>
      </c>
      <c r="DP36">
        <v>6654</v>
      </c>
      <c r="DQ36">
        <v>3111</v>
      </c>
      <c r="DR36">
        <v>17961</v>
      </c>
      <c r="DS36">
        <v>2816</v>
      </c>
      <c r="DT36">
        <v>2763</v>
      </c>
      <c r="DU36">
        <v>1705</v>
      </c>
      <c r="DV36">
        <v>5902</v>
      </c>
    </row>
    <row r="37" spans="1:126" x14ac:dyDescent="0.4">
      <c r="A37" s="1" t="s">
        <v>62</v>
      </c>
      <c r="B37" s="1" t="s">
        <v>63</v>
      </c>
      <c r="C37">
        <v>101156</v>
      </c>
      <c r="D37">
        <v>107381</v>
      </c>
      <c r="E37">
        <v>15303</v>
      </c>
      <c r="F37">
        <v>134975</v>
      </c>
      <c r="G37">
        <v>61190</v>
      </c>
      <c r="H37">
        <v>66301</v>
      </c>
      <c r="I37">
        <v>9834</v>
      </c>
      <c r="J37">
        <v>86616</v>
      </c>
      <c r="K37">
        <v>9721</v>
      </c>
      <c r="L37">
        <v>12741</v>
      </c>
      <c r="M37">
        <v>1894</v>
      </c>
      <c r="N37">
        <v>18377</v>
      </c>
      <c r="O37">
        <v>11731</v>
      </c>
      <c r="P37">
        <v>12490</v>
      </c>
      <c r="Q37">
        <v>1488</v>
      </c>
      <c r="R37">
        <v>23501</v>
      </c>
      <c r="S37">
        <v>672</v>
      </c>
      <c r="T37">
        <v>595</v>
      </c>
      <c r="U37">
        <v>199</v>
      </c>
      <c r="V37">
        <v>2340</v>
      </c>
      <c r="W37">
        <v>48797</v>
      </c>
      <c r="X37">
        <v>48254</v>
      </c>
      <c r="Y37">
        <v>6485</v>
      </c>
      <c r="Z37">
        <v>58412</v>
      </c>
      <c r="AA37">
        <v>1499</v>
      </c>
      <c r="AB37">
        <v>1804</v>
      </c>
      <c r="AC37">
        <v>342</v>
      </c>
      <c r="AD37">
        <v>2763</v>
      </c>
      <c r="AE37">
        <v>90504</v>
      </c>
      <c r="AF37">
        <v>94490</v>
      </c>
      <c r="AG37">
        <v>12946</v>
      </c>
      <c r="AH37">
        <v>125059</v>
      </c>
      <c r="AI37">
        <v>59422</v>
      </c>
      <c r="AJ37">
        <v>57901</v>
      </c>
      <c r="AK37">
        <v>7247</v>
      </c>
      <c r="AL37">
        <v>75919</v>
      </c>
      <c r="AM37">
        <v>11553</v>
      </c>
      <c r="AN37">
        <v>12445</v>
      </c>
      <c r="AO37">
        <v>2257</v>
      </c>
      <c r="AP37">
        <v>26172</v>
      </c>
      <c r="AQ37">
        <v>4100</v>
      </c>
      <c r="AR37">
        <v>3913</v>
      </c>
      <c r="AS37">
        <v>774</v>
      </c>
      <c r="AT37">
        <v>20045</v>
      </c>
      <c r="AU37">
        <v>8505</v>
      </c>
      <c r="AV37">
        <v>8800</v>
      </c>
      <c r="AW37">
        <v>2778</v>
      </c>
      <c r="AX37">
        <v>28781</v>
      </c>
      <c r="AY37">
        <v>5749</v>
      </c>
      <c r="AZ37">
        <v>1626</v>
      </c>
      <c r="BA37">
        <v>287</v>
      </c>
      <c r="BB37">
        <v>9893</v>
      </c>
      <c r="BC37">
        <v>13435</v>
      </c>
      <c r="BD37">
        <v>14066</v>
      </c>
      <c r="BE37">
        <v>2178</v>
      </c>
      <c r="BF37">
        <v>22501</v>
      </c>
      <c r="BG37">
        <v>38339</v>
      </c>
      <c r="BH37">
        <v>43437</v>
      </c>
      <c r="BI37">
        <v>6702</v>
      </c>
      <c r="BJ37">
        <v>64144</v>
      </c>
      <c r="BK37">
        <v>11097</v>
      </c>
      <c r="BL37">
        <v>3769</v>
      </c>
      <c r="BM37">
        <v>721</v>
      </c>
      <c r="BN37">
        <v>18527</v>
      </c>
      <c r="BO37">
        <v>1710</v>
      </c>
      <c r="BP37">
        <v>1692</v>
      </c>
      <c r="BQ37">
        <v>449</v>
      </c>
      <c r="BR37">
        <v>3967</v>
      </c>
      <c r="BS37">
        <v>27147</v>
      </c>
      <c r="BT37">
        <v>24939</v>
      </c>
      <c r="BU37">
        <v>3237</v>
      </c>
      <c r="BV37">
        <v>34441</v>
      </c>
      <c r="BW37">
        <v>17160</v>
      </c>
      <c r="BX37">
        <v>15813</v>
      </c>
      <c r="BY37">
        <v>2238</v>
      </c>
      <c r="BZ37">
        <v>22012</v>
      </c>
      <c r="CA37">
        <v>1723</v>
      </c>
      <c r="CB37">
        <v>1652</v>
      </c>
      <c r="CC37">
        <v>252</v>
      </c>
      <c r="CD37">
        <v>2249</v>
      </c>
      <c r="CE37">
        <v>5611</v>
      </c>
      <c r="CF37">
        <v>5061</v>
      </c>
      <c r="CG37">
        <v>867</v>
      </c>
      <c r="CH37">
        <v>5751</v>
      </c>
      <c r="CI37">
        <v>13369</v>
      </c>
      <c r="CJ37">
        <v>12943</v>
      </c>
      <c r="CK37">
        <v>2068</v>
      </c>
      <c r="CL37">
        <v>18110</v>
      </c>
      <c r="CM37">
        <v>1358</v>
      </c>
      <c r="CN37">
        <v>1479</v>
      </c>
      <c r="CO37">
        <v>421</v>
      </c>
      <c r="CP37">
        <v>4579</v>
      </c>
      <c r="CQ37">
        <v>32026</v>
      </c>
      <c r="CR37">
        <v>30224</v>
      </c>
      <c r="CS37">
        <v>8624</v>
      </c>
      <c r="CT37">
        <v>17699</v>
      </c>
      <c r="CU37">
        <v>87955</v>
      </c>
      <c r="CV37">
        <v>85568</v>
      </c>
      <c r="CW37">
        <v>18383</v>
      </c>
      <c r="CX37">
        <v>54831</v>
      </c>
      <c r="CY37">
        <v>24026</v>
      </c>
      <c r="CZ37">
        <v>21943</v>
      </c>
      <c r="DA37">
        <v>5576</v>
      </c>
      <c r="DB37">
        <v>17645</v>
      </c>
      <c r="DC37">
        <v>5694</v>
      </c>
      <c r="DD37">
        <v>6052</v>
      </c>
      <c r="DE37">
        <v>1689</v>
      </c>
      <c r="DF37">
        <v>4378</v>
      </c>
      <c r="DG37">
        <v>40659</v>
      </c>
      <c r="DH37">
        <v>35939</v>
      </c>
      <c r="DI37">
        <v>8145</v>
      </c>
      <c r="DJ37">
        <v>72173</v>
      </c>
      <c r="DK37">
        <v>1010</v>
      </c>
      <c r="DL37">
        <v>1044</v>
      </c>
      <c r="DM37">
        <v>1824</v>
      </c>
      <c r="DN37">
        <v>4214</v>
      </c>
      <c r="DO37">
        <v>6917</v>
      </c>
      <c r="DP37">
        <v>6729</v>
      </c>
      <c r="DQ37">
        <v>3177</v>
      </c>
      <c r="DR37">
        <v>18078</v>
      </c>
      <c r="DS37">
        <v>3116</v>
      </c>
      <c r="DT37">
        <v>2837</v>
      </c>
      <c r="DU37">
        <v>1700</v>
      </c>
      <c r="DV37">
        <v>6156</v>
      </c>
    </row>
    <row r="38" spans="1:126" x14ac:dyDescent="0.4">
      <c r="A38" s="1" t="s">
        <v>64</v>
      </c>
      <c r="B38" s="1" t="s">
        <v>65</v>
      </c>
      <c r="C38">
        <v>116295</v>
      </c>
      <c r="D38">
        <v>115146</v>
      </c>
      <c r="E38">
        <v>16694</v>
      </c>
      <c r="F38">
        <v>135942</v>
      </c>
      <c r="G38">
        <v>74881</v>
      </c>
      <c r="H38">
        <v>69797</v>
      </c>
      <c r="I38">
        <v>10350</v>
      </c>
      <c r="J38">
        <v>91413</v>
      </c>
      <c r="K38">
        <v>11457</v>
      </c>
      <c r="L38">
        <v>13155</v>
      </c>
      <c r="M38">
        <v>1940</v>
      </c>
      <c r="N38">
        <v>16678</v>
      </c>
      <c r="O38">
        <v>13820</v>
      </c>
      <c r="P38">
        <v>14055</v>
      </c>
      <c r="Q38">
        <v>1692</v>
      </c>
      <c r="R38">
        <v>23185</v>
      </c>
      <c r="S38">
        <v>614</v>
      </c>
      <c r="T38">
        <v>771</v>
      </c>
      <c r="U38">
        <v>230</v>
      </c>
      <c r="V38">
        <v>2183</v>
      </c>
      <c r="W38">
        <v>56299</v>
      </c>
      <c r="X38">
        <v>56060</v>
      </c>
      <c r="Y38">
        <v>7568</v>
      </c>
      <c r="Z38">
        <v>58636</v>
      </c>
      <c r="AA38">
        <v>3848</v>
      </c>
      <c r="AB38">
        <v>2658</v>
      </c>
      <c r="AC38">
        <v>517</v>
      </c>
      <c r="AD38">
        <v>3952</v>
      </c>
      <c r="AE38">
        <v>103419</v>
      </c>
      <c r="AF38">
        <v>108154</v>
      </c>
      <c r="AG38">
        <v>14797</v>
      </c>
      <c r="AH38">
        <v>120296</v>
      </c>
      <c r="AI38">
        <v>69281</v>
      </c>
      <c r="AJ38">
        <v>63702</v>
      </c>
      <c r="AK38">
        <v>7938</v>
      </c>
      <c r="AL38">
        <v>81491</v>
      </c>
      <c r="AM38">
        <v>14550</v>
      </c>
      <c r="AN38">
        <v>13263</v>
      </c>
      <c r="AO38">
        <v>2488</v>
      </c>
      <c r="AP38">
        <v>27458</v>
      </c>
      <c r="AQ38">
        <v>3736</v>
      </c>
      <c r="AR38">
        <v>5033</v>
      </c>
      <c r="AS38">
        <v>1000</v>
      </c>
      <c r="AT38">
        <v>18748</v>
      </c>
      <c r="AU38">
        <v>9387</v>
      </c>
      <c r="AV38">
        <v>9930</v>
      </c>
      <c r="AW38">
        <v>3191</v>
      </c>
      <c r="AX38">
        <v>28008</v>
      </c>
      <c r="AY38">
        <v>6634</v>
      </c>
      <c r="AZ38">
        <v>1500</v>
      </c>
      <c r="BA38">
        <v>274</v>
      </c>
      <c r="BB38">
        <v>10510</v>
      </c>
      <c r="BC38">
        <v>15259</v>
      </c>
      <c r="BD38">
        <v>15160</v>
      </c>
      <c r="BE38">
        <v>2400</v>
      </c>
      <c r="BF38">
        <v>22577</v>
      </c>
      <c r="BG38">
        <v>49582</v>
      </c>
      <c r="BH38">
        <v>54163</v>
      </c>
      <c r="BI38">
        <v>8346</v>
      </c>
      <c r="BJ38">
        <v>59554</v>
      </c>
      <c r="BK38">
        <v>11913</v>
      </c>
      <c r="BL38">
        <v>4849</v>
      </c>
      <c r="BM38">
        <v>912</v>
      </c>
      <c r="BN38">
        <v>18211</v>
      </c>
      <c r="BO38">
        <v>2095</v>
      </c>
      <c r="BP38">
        <v>2185</v>
      </c>
      <c r="BQ38">
        <v>595</v>
      </c>
      <c r="BR38">
        <v>3816</v>
      </c>
      <c r="BS38">
        <v>30276</v>
      </c>
      <c r="BT38">
        <v>29968</v>
      </c>
      <c r="BU38">
        <v>3947</v>
      </c>
      <c r="BV38">
        <v>34701</v>
      </c>
      <c r="BW38">
        <v>17572</v>
      </c>
      <c r="BX38">
        <v>17685</v>
      </c>
      <c r="BY38">
        <v>2517</v>
      </c>
      <c r="BZ38">
        <v>21847</v>
      </c>
      <c r="CA38">
        <v>1520</v>
      </c>
      <c r="CB38">
        <v>1927</v>
      </c>
      <c r="CC38">
        <v>263</v>
      </c>
      <c r="CD38">
        <v>1830</v>
      </c>
      <c r="CE38">
        <v>5493</v>
      </c>
      <c r="CF38">
        <v>5792</v>
      </c>
      <c r="CG38">
        <v>1022</v>
      </c>
      <c r="CH38">
        <v>5445</v>
      </c>
      <c r="CI38">
        <v>13111</v>
      </c>
      <c r="CJ38">
        <v>12809</v>
      </c>
      <c r="CK38">
        <v>2007</v>
      </c>
      <c r="CL38">
        <v>18326</v>
      </c>
      <c r="CM38">
        <v>1723</v>
      </c>
      <c r="CN38">
        <v>1646</v>
      </c>
      <c r="CO38">
        <v>516</v>
      </c>
      <c r="CP38">
        <v>4625</v>
      </c>
      <c r="CQ38">
        <v>34414</v>
      </c>
      <c r="CR38">
        <v>35579</v>
      </c>
      <c r="CS38">
        <v>10209</v>
      </c>
      <c r="CT38">
        <v>15416</v>
      </c>
      <c r="CU38">
        <v>98641</v>
      </c>
      <c r="CV38">
        <v>110795</v>
      </c>
      <c r="CW38">
        <v>24301</v>
      </c>
      <c r="CX38">
        <v>42285</v>
      </c>
      <c r="CY38">
        <v>25398</v>
      </c>
      <c r="CZ38">
        <v>25057</v>
      </c>
      <c r="DA38">
        <v>6403</v>
      </c>
      <c r="DB38">
        <v>17199</v>
      </c>
      <c r="DC38">
        <v>6334</v>
      </c>
      <c r="DD38">
        <v>6038</v>
      </c>
      <c r="DE38">
        <v>1873</v>
      </c>
      <c r="DF38">
        <v>4503</v>
      </c>
      <c r="DG38">
        <v>48820</v>
      </c>
      <c r="DH38">
        <v>39495</v>
      </c>
      <c r="DI38">
        <v>8825</v>
      </c>
      <c r="DJ38">
        <v>72912</v>
      </c>
      <c r="DK38">
        <v>1347</v>
      </c>
      <c r="DL38">
        <v>1122</v>
      </c>
      <c r="DM38">
        <v>1927</v>
      </c>
      <c r="DN38">
        <v>4222</v>
      </c>
      <c r="DO38">
        <v>7735</v>
      </c>
      <c r="DP38">
        <v>7360</v>
      </c>
      <c r="DQ38">
        <v>3590</v>
      </c>
      <c r="DR38">
        <v>18381</v>
      </c>
      <c r="DS38">
        <v>3059</v>
      </c>
      <c r="DT38">
        <v>2983</v>
      </c>
      <c r="DU38">
        <v>1765</v>
      </c>
      <c r="DV38">
        <v>6207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5C17C-6095-471A-AF1F-93E3A5C76FBD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2056</v>
      </c>
      <c r="D3" t="s">
        <v>2056</v>
      </c>
      <c r="E3" t="s">
        <v>2056</v>
      </c>
      <c r="F3" t="s">
        <v>2056</v>
      </c>
      <c r="G3" t="s">
        <v>2058</v>
      </c>
      <c r="H3" t="s">
        <v>2058</v>
      </c>
      <c r="I3" t="s">
        <v>2058</v>
      </c>
      <c r="J3" t="s">
        <v>2058</v>
      </c>
      <c r="K3" t="s">
        <v>2060</v>
      </c>
      <c r="L3" t="s">
        <v>2060</v>
      </c>
      <c r="M3" t="s">
        <v>2060</v>
      </c>
      <c r="N3" t="s">
        <v>2060</v>
      </c>
      <c r="O3" t="s">
        <v>2062</v>
      </c>
      <c r="P3" t="s">
        <v>2062</v>
      </c>
      <c r="Q3" t="s">
        <v>2062</v>
      </c>
      <c r="R3" t="s">
        <v>2062</v>
      </c>
      <c r="S3" t="s">
        <v>2064</v>
      </c>
      <c r="T3" t="s">
        <v>2064</v>
      </c>
      <c r="U3" t="s">
        <v>2064</v>
      </c>
      <c r="V3" t="s">
        <v>2064</v>
      </c>
      <c r="W3" t="s">
        <v>2066</v>
      </c>
      <c r="X3" t="s">
        <v>2066</v>
      </c>
      <c r="Y3" t="s">
        <v>2066</v>
      </c>
      <c r="Z3" t="s">
        <v>2066</v>
      </c>
      <c r="AA3" t="s">
        <v>2068</v>
      </c>
      <c r="AB3" t="s">
        <v>2068</v>
      </c>
      <c r="AC3" t="s">
        <v>2068</v>
      </c>
      <c r="AD3" t="s">
        <v>2068</v>
      </c>
      <c r="AE3" t="s">
        <v>2070</v>
      </c>
      <c r="AF3" t="s">
        <v>2070</v>
      </c>
      <c r="AG3" t="s">
        <v>2070</v>
      </c>
      <c r="AH3" t="s">
        <v>2070</v>
      </c>
      <c r="AI3" t="s">
        <v>2072</v>
      </c>
      <c r="AJ3" t="s">
        <v>2072</v>
      </c>
      <c r="AK3" t="s">
        <v>2072</v>
      </c>
      <c r="AL3" t="s">
        <v>2072</v>
      </c>
      <c r="AM3" t="s">
        <v>2074</v>
      </c>
      <c r="AN3" t="s">
        <v>2074</v>
      </c>
      <c r="AO3" t="s">
        <v>2074</v>
      </c>
      <c r="AP3" t="s">
        <v>2074</v>
      </c>
    </row>
    <row r="4" spans="1:42" x14ac:dyDescent="0.4">
      <c r="A4" s="1"/>
      <c r="B4" s="2" t="s">
        <v>1</v>
      </c>
      <c r="C4" t="s">
        <v>2057</v>
      </c>
      <c r="D4" t="s">
        <v>2057</v>
      </c>
      <c r="E4" t="s">
        <v>2057</v>
      </c>
      <c r="F4" t="s">
        <v>2057</v>
      </c>
      <c r="G4" t="s">
        <v>2059</v>
      </c>
      <c r="H4" t="s">
        <v>2059</v>
      </c>
      <c r="I4" t="s">
        <v>2059</v>
      </c>
      <c r="J4" t="s">
        <v>2059</v>
      </c>
      <c r="K4" t="s">
        <v>2061</v>
      </c>
      <c r="L4" t="s">
        <v>2061</v>
      </c>
      <c r="M4" t="s">
        <v>2061</v>
      </c>
      <c r="N4" t="s">
        <v>2061</v>
      </c>
      <c r="O4" t="s">
        <v>2063</v>
      </c>
      <c r="P4" t="s">
        <v>2063</v>
      </c>
      <c r="Q4" t="s">
        <v>2063</v>
      </c>
      <c r="R4" t="s">
        <v>2063</v>
      </c>
      <c r="S4" t="s">
        <v>2065</v>
      </c>
      <c r="T4" t="s">
        <v>2065</v>
      </c>
      <c r="U4" t="s">
        <v>2065</v>
      </c>
      <c r="V4" t="s">
        <v>2065</v>
      </c>
      <c r="W4" t="s">
        <v>2067</v>
      </c>
      <c r="X4" t="s">
        <v>2067</v>
      </c>
      <c r="Y4" t="s">
        <v>2067</v>
      </c>
      <c r="Z4" t="s">
        <v>2067</v>
      </c>
      <c r="AA4" t="s">
        <v>2069</v>
      </c>
      <c r="AB4" t="s">
        <v>2069</v>
      </c>
      <c r="AC4" t="s">
        <v>2069</v>
      </c>
      <c r="AD4" t="s">
        <v>2069</v>
      </c>
      <c r="AE4" t="s">
        <v>2071</v>
      </c>
      <c r="AF4" t="s">
        <v>2071</v>
      </c>
      <c r="AG4" t="s">
        <v>2071</v>
      </c>
      <c r="AH4" t="s">
        <v>2071</v>
      </c>
      <c r="AI4" t="s">
        <v>2073</v>
      </c>
      <c r="AJ4" t="s">
        <v>2073</v>
      </c>
      <c r="AK4" t="s">
        <v>2073</v>
      </c>
      <c r="AL4" t="s">
        <v>2073</v>
      </c>
      <c r="AM4" t="s">
        <v>2075</v>
      </c>
      <c r="AN4" t="s">
        <v>2075</v>
      </c>
      <c r="AO4" t="s">
        <v>2075</v>
      </c>
      <c r="AP4" t="s">
        <v>2075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</row>
    <row r="9" spans="1:42" x14ac:dyDescent="0.4">
      <c r="A9" s="1" t="s">
        <v>6</v>
      </c>
      <c r="B9" s="3" t="s">
        <v>7</v>
      </c>
      <c r="C9">
        <v>4432340</v>
      </c>
      <c r="D9">
        <v>4174624</v>
      </c>
      <c r="E9">
        <v>288520</v>
      </c>
      <c r="F9">
        <v>254932</v>
      </c>
      <c r="G9">
        <v>1638552</v>
      </c>
      <c r="H9">
        <v>1554736</v>
      </c>
      <c r="I9">
        <v>99164</v>
      </c>
      <c r="J9">
        <v>88926</v>
      </c>
      <c r="K9">
        <v>99449</v>
      </c>
      <c r="L9">
        <v>99303</v>
      </c>
      <c r="M9">
        <v>7186</v>
      </c>
      <c r="N9">
        <v>7117</v>
      </c>
      <c r="O9">
        <v>3961121</v>
      </c>
      <c r="P9">
        <v>3705767</v>
      </c>
      <c r="Q9">
        <v>222427</v>
      </c>
      <c r="R9">
        <v>184921</v>
      </c>
      <c r="S9">
        <v>530308</v>
      </c>
      <c r="T9">
        <v>532331</v>
      </c>
      <c r="U9">
        <v>69928</v>
      </c>
      <c r="V9">
        <v>61775</v>
      </c>
      <c r="W9">
        <v>845399</v>
      </c>
      <c r="X9">
        <v>820515</v>
      </c>
      <c r="Y9">
        <v>80666</v>
      </c>
      <c r="Z9">
        <v>73155</v>
      </c>
      <c r="AA9">
        <v>125707</v>
      </c>
      <c r="AB9">
        <v>116229</v>
      </c>
      <c r="AC9">
        <v>10977</v>
      </c>
      <c r="AD9">
        <v>19816</v>
      </c>
      <c r="AE9">
        <v>183816</v>
      </c>
      <c r="AF9">
        <v>178316</v>
      </c>
      <c r="AG9">
        <v>13009</v>
      </c>
      <c r="AH9">
        <v>21883</v>
      </c>
      <c r="AI9">
        <v>297015</v>
      </c>
      <c r="AJ9">
        <v>284821</v>
      </c>
      <c r="AK9">
        <v>20849</v>
      </c>
      <c r="AL9">
        <v>29820</v>
      </c>
      <c r="AM9">
        <v>144293</v>
      </c>
      <c r="AN9">
        <v>129623</v>
      </c>
      <c r="AO9">
        <v>21781</v>
      </c>
      <c r="AP9">
        <v>10922</v>
      </c>
    </row>
    <row r="10" spans="1:42" x14ac:dyDescent="0.4">
      <c r="A10" s="1" t="s">
        <v>8</v>
      </c>
      <c r="B10" s="3" t="s">
        <v>9</v>
      </c>
      <c r="C10">
        <v>4511664</v>
      </c>
      <c r="D10">
        <v>4201347</v>
      </c>
      <c r="E10">
        <v>328098</v>
      </c>
      <c r="F10">
        <v>299178</v>
      </c>
      <c r="G10">
        <v>1651820</v>
      </c>
      <c r="H10">
        <v>1566714</v>
      </c>
      <c r="I10">
        <v>113136</v>
      </c>
      <c r="J10">
        <v>95064</v>
      </c>
      <c r="K10">
        <v>101137</v>
      </c>
      <c r="L10">
        <v>102606</v>
      </c>
      <c r="M10">
        <v>8510</v>
      </c>
      <c r="N10">
        <v>5630</v>
      </c>
      <c r="O10">
        <v>3936188</v>
      </c>
      <c r="P10">
        <v>3683674</v>
      </c>
      <c r="Q10">
        <v>251815</v>
      </c>
      <c r="R10">
        <v>210921</v>
      </c>
      <c r="S10">
        <v>547716</v>
      </c>
      <c r="T10">
        <v>544857</v>
      </c>
      <c r="U10">
        <v>74950</v>
      </c>
      <c r="V10">
        <v>62406</v>
      </c>
      <c r="W10">
        <v>888014</v>
      </c>
      <c r="X10">
        <v>847259</v>
      </c>
      <c r="Y10">
        <v>87732</v>
      </c>
      <c r="Z10">
        <v>77302</v>
      </c>
      <c r="AA10">
        <v>126731</v>
      </c>
      <c r="AB10">
        <v>118776</v>
      </c>
      <c r="AC10">
        <v>12254</v>
      </c>
      <c r="AD10">
        <v>20505</v>
      </c>
      <c r="AE10">
        <v>180118</v>
      </c>
      <c r="AF10">
        <v>177392</v>
      </c>
      <c r="AG10">
        <v>13149</v>
      </c>
      <c r="AH10">
        <v>21106</v>
      </c>
      <c r="AI10">
        <v>301341</v>
      </c>
      <c r="AJ10">
        <v>288750</v>
      </c>
      <c r="AK10">
        <v>23461</v>
      </c>
      <c r="AL10">
        <v>32705</v>
      </c>
      <c r="AM10">
        <v>142893</v>
      </c>
      <c r="AN10">
        <v>124490</v>
      </c>
      <c r="AO10">
        <v>22571</v>
      </c>
      <c r="AP10">
        <v>13346</v>
      </c>
    </row>
    <row r="11" spans="1:42" x14ac:dyDescent="0.4">
      <c r="A11" s="1" t="s">
        <v>10</v>
      </c>
      <c r="B11" s="3" t="s">
        <v>11</v>
      </c>
      <c r="C11">
        <v>4137922</v>
      </c>
      <c r="D11">
        <v>3808365</v>
      </c>
      <c r="E11">
        <v>333622</v>
      </c>
      <c r="F11">
        <v>289200</v>
      </c>
      <c r="G11">
        <v>1591075</v>
      </c>
      <c r="H11">
        <v>1442780</v>
      </c>
      <c r="I11">
        <v>119730</v>
      </c>
      <c r="J11">
        <v>88931</v>
      </c>
      <c r="K11">
        <v>103611</v>
      </c>
      <c r="L11">
        <v>102926</v>
      </c>
      <c r="M11">
        <v>9486</v>
      </c>
      <c r="N11">
        <v>6305</v>
      </c>
      <c r="O11">
        <v>3678439</v>
      </c>
      <c r="P11">
        <v>3462142</v>
      </c>
      <c r="Q11">
        <v>271597</v>
      </c>
      <c r="R11">
        <v>202230</v>
      </c>
      <c r="S11">
        <v>550290</v>
      </c>
      <c r="T11">
        <v>548440</v>
      </c>
      <c r="U11">
        <v>83711</v>
      </c>
      <c r="V11">
        <v>62828</v>
      </c>
      <c r="W11">
        <v>825097</v>
      </c>
      <c r="X11">
        <v>783420</v>
      </c>
      <c r="Y11">
        <v>88942</v>
      </c>
      <c r="Z11">
        <v>87512</v>
      </c>
      <c r="AA11">
        <v>115247</v>
      </c>
      <c r="AB11">
        <v>108620</v>
      </c>
      <c r="AC11">
        <v>12946</v>
      </c>
      <c r="AD11">
        <v>20084</v>
      </c>
      <c r="AE11">
        <v>177567</v>
      </c>
      <c r="AF11">
        <v>174777</v>
      </c>
      <c r="AG11">
        <v>13580</v>
      </c>
      <c r="AH11">
        <v>21187</v>
      </c>
      <c r="AI11">
        <v>269194</v>
      </c>
      <c r="AJ11">
        <v>258365</v>
      </c>
      <c r="AK11">
        <v>24768</v>
      </c>
      <c r="AL11">
        <v>30326</v>
      </c>
      <c r="AM11">
        <v>120578</v>
      </c>
      <c r="AN11">
        <v>103687</v>
      </c>
      <c r="AO11">
        <v>20297</v>
      </c>
      <c r="AP11">
        <v>13001</v>
      </c>
    </row>
    <row r="12" spans="1:42" x14ac:dyDescent="0.4">
      <c r="A12" s="1" t="s">
        <v>12</v>
      </c>
      <c r="B12" s="3" t="s">
        <v>13</v>
      </c>
      <c r="C12">
        <v>4110499</v>
      </c>
      <c r="D12">
        <v>3741178</v>
      </c>
      <c r="E12">
        <v>324479</v>
      </c>
      <c r="F12">
        <v>301236</v>
      </c>
      <c r="G12">
        <v>1591129</v>
      </c>
      <c r="H12">
        <v>1413618</v>
      </c>
      <c r="I12">
        <v>114894</v>
      </c>
      <c r="J12">
        <v>89840</v>
      </c>
      <c r="K12">
        <v>103138</v>
      </c>
      <c r="L12">
        <v>101908</v>
      </c>
      <c r="M12">
        <v>9338</v>
      </c>
      <c r="N12">
        <v>7508</v>
      </c>
      <c r="O12">
        <v>3663225</v>
      </c>
      <c r="P12">
        <v>3417814</v>
      </c>
      <c r="Q12">
        <v>263117</v>
      </c>
      <c r="R12">
        <v>218301</v>
      </c>
      <c r="S12">
        <v>567132</v>
      </c>
      <c r="T12">
        <v>562491</v>
      </c>
      <c r="U12">
        <v>87566</v>
      </c>
      <c r="V12">
        <v>66079</v>
      </c>
      <c r="W12">
        <v>805058</v>
      </c>
      <c r="X12">
        <v>781799</v>
      </c>
      <c r="Y12">
        <v>89859</v>
      </c>
      <c r="Z12">
        <v>79899</v>
      </c>
      <c r="AA12">
        <v>112344</v>
      </c>
      <c r="AB12">
        <v>107956</v>
      </c>
      <c r="AC12">
        <v>12955</v>
      </c>
      <c r="AD12">
        <v>20438</v>
      </c>
      <c r="AE12">
        <v>168156</v>
      </c>
      <c r="AF12">
        <v>165799</v>
      </c>
      <c r="AG12">
        <v>12936</v>
      </c>
      <c r="AH12">
        <v>21371</v>
      </c>
      <c r="AI12">
        <v>275850</v>
      </c>
      <c r="AJ12">
        <v>259042</v>
      </c>
      <c r="AK12">
        <v>25001</v>
      </c>
      <c r="AL12">
        <v>31715</v>
      </c>
      <c r="AM12">
        <v>123889</v>
      </c>
      <c r="AN12">
        <v>102891</v>
      </c>
      <c r="AO12">
        <v>21714</v>
      </c>
      <c r="AP12">
        <v>14458</v>
      </c>
    </row>
    <row r="13" spans="1:42" x14ac:dyDescent="0.4">
      <c r="A13" s="1" t="s">
        <v>14</v>
      </c>
      <c r="B13" s="3" t="s">
        <v>15</v>
      </c>
      <c r="C13">
        <v>4064008</v>
      </c>
      <c r="D13">
        <v>3712421</v>
      </c>
      <c r="E13">
        <v>325352</v>
      </c>
      <c r="F13">
        <v>295427</v>
      </c>
      <c r="G13">
        <v>1591063</v>
      </c>
      <c r="H13">
        <v>1402072</v>
      </c>
      <c r="I13">
        <v>112221</v>
      </c>
      <c r="J13">
        <v>99429</v>
      </c>
      <c r="K13">
        <v>100886</v>
      </c>
      <c r="L13">
        <v>102141</v>
      </c>
      <c r="M13">
        <v>9456</v>
      </c>
      <c r="N13">
        <v>6242</v>
      </c>
      <c r="O13">
        <v>3617077</v>
      </c>
      <c r="P13">
        <v>3397587</v>
      </c>
      <c r="Q13">
        <v>259717</v>
      </c>
      <c r="R13">
        <v>212685</v>
      </c>
      <c r="S13">
        <v>550541</v>
      </c>
      <c r="T13">
        <v>550690</v>
      </c>
      <c r="U13">
        <v>86334</v>
      </c>
      <c r="V13">
        <v>64436</v>
      </c>
      <c r="W13">
        <v>800167</v>
      </c>
      <c r="X13">
        <v>765252</v>
      </c>
      <c r="Y13">
        <v>88342</v>
      </c>
      <c r="Z13">
        <v>84413</v>
      </c>
      <c r="AA13">
        <v>111482</v>
      </c>
      <c r="AB13">
        <v>106780</v>
      </c>
      <c r="AC13">
        <v>12847</v>
      </c>
      <c r="AD13">
        <v>20721</v>
      </c>
      <c r="AE13">
        <v>163484</v>
      </c>
      <c r="AF13">
        <v>161816</v>
      </c>
      <c r="AG13">
        <v>12686</v>
      </c>
      <c r="AH13">
        <v>21025</v>
      </c>
      <c r="AI13">
        <v>277686</v>
      </c>
      <c r="AJ13">
        <v>259368</v>
      </c>
      <c r="AK13">
        <v>24953</v>
      </c>
      <c r="AL13">
        <v>29548</v>
      </c>
      <c r="AM13">
        <v>126337</v>
      </c>
      <c r="AN13">
        <v>104098</v>
      </c>
      <c r="AO13">
        <v>21650</v>
      </c>
      <c r="AP13">
        <v>19292</v>
      </c>
    </row>
    <row r="14" spans="1:42" x14ac:dyDescent="0.4">
      <c r="A14" s="1" t="s">
        <v>16</v>
      </c>
      <c r="B14" s="1" t="s">
        <v>17</v>
      </c>
      <c r="C14">
        <v>363645</v>
      </c>
      <c r="D14">
        <v>326812</v>
      </c>
      <c r="E14">
        <v>28808</v>
      </c>
      <c r="F14">
        <v>320870</v>
      </c>
      <c r="G14">
        <v>144220</v>
      </c>
      <c r="H14">
        <v>120565</v>
      </c>
      <c r="I14">
        <v>9984</v>
      </c>
      <c r="J14">
        <v>105050</v>
      </c>
      <c r="K14">
        <v>9053</v>
      </c>
      <c r="L14">
        <v>8768</v>
      </c>
      <c r="M14">
        <v>817</v>
      </c>
      <c r="N14">
        <v>6348</v>
      </c>
      <c r="O14">
        <v>314431</v>
      </c>
      <c r="P14">
        <v>291109</v>
      </c>
      <c r="Q14">
        <v>22638</v>
      </c>
      <c r="R14">
        <v>210614</v>
      </c>
      <c r="S14">
        <v>52758</v>
      </c>
      <c r="T14">
        <v>50485</v>
      </c>
      <c r="U14">
        <v>7920</v>
      </c>
      <c r="V14">
        <v>65813</v>
      </c>
      <c r="W14">
        <v>69755</v>
      </c>
      <c r="X14">
        <v>67792</v>
      </c>
      <c r="Y14">
        <v>7730</v>
      </c>
      <c r="Z14">
        <v>83417</v>
      </c>
      <c r="AA14">
        <v>9999</v>
      </c>
      <c r="AB14">
        <v>9006</v>
      </c>
      <c r="AC14">
        <v>1082</v>
      </c>
      <c r="AD14">
        <v>20478</v>
      </c>
      <c r="AE14">
        <v>15620</v>
      </c>
      <c r="AF14">
        <v>14301</v>
      </c>
      <c r="AG14">
        <v>1120</v>
      </c>
      <c r="AH14">
        <v>23650</v>
      </c>
      <c r="AI14">
        <v>24044</v>
      </c>
      <c r="AJ14">
        <v>21823</v>
      </c>
      <c r="AK14">
        <v>2087</v>
      </c>
      <c r="AL14">
        <v>30818</v>
      </c>
      <c r="AM14">
        <v>11549</v>
      </c>
      <c r="AN14">
        <v>8960</v>
      </c>
      <c r="AO14">
        <v>1821</v>
      </c>
      <c r="AP14">
        <v>13128</v>
      </c>
    </row>
    <row r="15" spans="1:42" x14ac:dyDescent="0.4">
      <c r="A15" s="1" t="s">
        <v>18</v>
      </c>
      <c r="B15" s="1" t="s">
        <v>19</v>
      </c>
      <c r="C15">
        <v>325778</v>
      </c>
      <c r="D15">
        <v>325729</v>
      </c>
      <c r="E15">
        <v>28217</v>
      </c>
      <c r="F15">
        <v>288092</v>
      </c>
      <c r="G15">
        <v>135902</v>
      </c>
      <c r="H15">
        <v>127963</v>
      </c>
      <c r="I15">
        <v>10445</v>
      </c>
      <c r="J15">
        <v>96176</v>
      </c>
      <c r="K15">
        <v>8661</v>
      </c>
      <c r="L15">
        <v>8767</v>
      </c>
      <c r="M15">
        <v>771</v>
      </c>
      <c r="N15">
        <v>6228</v>
      </c>
      <c r="O15">
        <v>322935</v>
      </c>
      <c r="P15">
        <v>308572</v>
      </c>
      <c r="Q15">
        <v>24345</v>
      </c>
      <c r="R15">
        <v>204205</v>
      </c>
      <c r="S15">
        <v>41057</v>
      </c>
      <c r="T15">
        <v>45840</v>
      </c>
      <c r="U15">
        <v>7122</v>
      </c>
      <c r="V15">
        <v>60861</v>
      </c>
      <c r="W15">
        <v>70495</v>
      </c>
      <c r="X15">
        <v>68120</v>
      </c>
      <c r="Y15">
        <v>7892</v>
      </c>
      <c r="Z15">
        <v>83007</v>
      </c>
      <c r="AA15">
        <v>9660</v>
      </c>
      <c r="AB15">
        <v>9561</v>
      </c>
      <c r="AC15">
        <v>1158</v>
      </c>
      <c r="AD15">
        <v>20294</v>
      </c>
      <c r="AE15">
        <v>12232</v>
      </c>
      <c r="AF15">
        <v>13359</v>
      </c>
      <c r="AG15">
        <v>1025</v>
      </c>
      <c r="AH15">
        <v>22253</v>
      </c>
      <c r="AI15">
        <v>22755</v>
      </c>
      <c r="AJ15">
        <v>22525</v>
      </c>
      <c r="AK15">
        <v>2171</v>
      </c>
      <c r="AL15">
        <v>29965</v>
      </c>
      <c r="AM15">
        <v>11827</v>
      </c>
      <c r="AN15">
        <v>9722</v>
      </c>
      <c r="AO15">
        <v>2063</v>
      </c>
      <c r="AP15">
        <v>14101</v>
      </c>
    </row>
    <row r="16" spans="1:42" x14ac:dyDescent="0.4">
      <c r="A16" s="1" t="s">
        <v>20</v>
      </c>
      <c r="B16" s="1" t="s">
        <v>21</v>
      </c>
      <c r="C16">
        <v>352548</v>
      </c>
      <c r="D16">
        <v>311799</v>
      </c>
      <c r="E16">
        <v>26915</v>
      </c>
      <c r="F16">
        <v>298615</v>
      </c>
      <c r="G16">
        <v>131276</v>
      </c>
      <c r="H16">
        <v>115752</v>
      </c>
      <c r="I16">
        <v>9455</v>
      </c>
      <c r="J16">
        <v>98222</v>
      </c>
      <c r="K16">
        <v>8476</v>
      </c>
      <c r="L16">
        <v>8324</v>
      </c>
      <c r="M16">
        <v>755</v>
      </c>
      <c r="N16">
        <v>6378</v>
      </c>
      <c r="O16">
        <v>295494</v>
      </c>
      <c r="P16">
        <v>280679</v>
      </c>
      <c r="Q16">
        <v>21293</v>
      </c>
      <c r="R16">
        <v>199963</v>
      </c>
      <c r="S16">
        <v>46845</v>
      </c>
      <c r="T16">
        <v>45150</v>
      </c>
      <c r="U16">
        <v>6988</v>
      </c>
      <c r="V16">
        <v>62517</v>
      </c>
      <c r="W16">
        <v>61986</v>
      </c>
      <c r="X16">
        <v>64354</v>
      </c>
      <c r="Y16">
        <v>7442</v>
      </c>
      <c r="Z16">
        <v>77862</v>
      </c>
      <c r="AA16">
        <v>9135</v>
      </c>
      <c r="AB16">
        <v>8327</v>
      </c>
      <c r="AC16">
        <v>990</v>
      </c>
      <c r="AD16">
        <v>20825</v>
      </c>
      <c r="AE16">
        <v>11826</v>
      </c>
      <c r="AF16">
        <v>13815</v>
      </c>
      <c r="AG16">
        <v>1123</v>
      </c>
      <c r="AH16">
        <v>20027</v>
      </c>
      <c r="AI16">
        <v>21595</v>
      </c>
      <c r="AJ16">
        <v>20677</v>
      </c>
      <c r="AK16">
        <v>2018</v>
      </c>
      <c r="AL16">
        <v>29520</v>
      </c>
      <c r="AM16">
        <v>10143</v>
      </c>
      <c r="AN16">
        <v>8686</v>
      </c>
      <c r="AO16">
        <v>1845</v>
      </c>
      <c r="AP16">
        <v>13826</v>
      </c>
    </row>
    <row r="17" spans="1:42" x14ac:dyDescent="0.4">
      <c r="A17" s="1" t="s">
        <v>22</v>
      </c>
      <c r="B17" s="1" t="s">
        <v>23</v>
      </c>
      <c r="C17">
        <v>341890</v>
      </c>
      <c r="D17">
        <v>308049</v>
      </c>
      <c r="E17">
        <v>25961</v>
      </c>
      <c r="F17">
        <v>302771</v>
      </c>
      <c r="G17">
        <v>128237</v>
      </c>
      <c r="H17">
        <v>111268</v>
      </c>
      <c r="I17">
        <v>8760</v>
      </c>
      <c r="J17">
        <v>100535</v>
      </c>
      <c r="K17">
        <v>9234</v>
      </c>
      <c r="L17">
        <v>8688</v>
      </c>
      <c r="M17">
        <v>812</v>
      </c>
      <c r="N17">
        <v>6923</v>
      </c>
      <c r="O17">
        <v>319249</v>
      </c>
      <c r="P17">
        <v>277797</v>
      </c>
      <c r="Q17">
        <v>21021</v>
      </c>
      <c r="R17">
        <v>222761</v>
      </c>
      <c r="S17">
        <v>42696</v>
      </c>
      <c r="T17">
        <v>43619</v>
      </c>
      <c r="U17">
        <v>6993</v>
      </c>
      <c r="V17">
        <v>61498</v>
      </c>
      <c r="W17">
        <v>68994</v>
      </c>
      <c r="X17">
        <v>63734</v>
      </c>
      <c r="Y17">
        <v>7252</v>
      </c>
      <c r="Z17">
        <v>80579</v>
      </c>
      <c r="AA17">
        <v>9433</v>
      </c>
      <c r="AB17">
        <v>8774</v>
      </c>
      <c r="AC17">
        <v>1054</v>
      </c>
      <c r="AD17">
        <v>21224</v>
      </c>
      <c r="AE17">
        <v>15611</v>
      </c>
      <c r="AF17">
        <v>13309</v>
      </c>
      <c r="AG17">
        <v>995</v>
      </c>
      <c r="AH17">
        <v>22102</v>
      </c>
      <c r="AI17">
        <v>22766</v>
      </c>
      <c r="AJ17">
        <v>20800</v>
      </c>
      <c r="AK17">
        <v>2019</v>
      </c>
      <c r="AL17">
        <v>30411</v>
      </c>
      <c r="AM17">
        <v>8247</v>
      </c>
      <c r="AN17">
        <v>7179</v>
      </c>
      <c r="AO17">
        <v>1570</v>
      </c>
      <c r="AP17">
        <v>13282</v>
      </c>
    </row>
    <row r="18" spans="1:42" x14ac:dyDescent="0.4">
      <c r="A18" s="1" t="s">
        <v>24</v>
      </c>
      <c r="B18" s="1" t="s">
        <v>25</v>
      </c>
      <c r="C18">
        <v>366045</v>
      </c>
      <c r="D18">
        <v>342796</v>
      </c>
      <c r="E18">
        <v>29198</v>
      </c>
      <c r="F18">
        <v>292785</v>
      </c>
      <c r="G18">
        <v>131187</v>
      </c>
      <c r="H18">
        <v>126865</v>
      </c>
      <c r="I18">
        <v>10246</v>
      </c>
      <c r="J18">
        <v>88957</v>
      </c>
      <c r="K18">
        <v>8491</v>
      </c>
      <c r="L18">
        <v>8690</v>
      </c>
      <c r="M18">
        <v>754</v>
      </c>
      <c r="N18">
        <v>6723</v>
      </c>
      <c r="O18">
        <v>312010</v>
      </c>
      <c r="P18">
        <v>305809</v>
      </c>
      <c r="Q18">
        <v>23460</v>
      </c>
      <c r="R18">
        <v>208175</v>
      </c>
      <c r="S18">
        <v>44511</v>
      </c>
      <c r="T18">
        <v>50032</v>
      </c>
      <c r="U18">
        <v>7869</v>
      </c>
      <c r="V18">
        <v>55750</v>
      </c>
      <c r="W18">
        <v>67678</v>
      </c>
      <c r="X18">
        <v>68880</v>
      </c>
      <c r="Y18">
        <v>7984</v>
      </c>
      <c r="Z18">
        <v>76981</v>
      </c>
      <c r="AA18">
        <v>9639</v>
      </c>
      <c r="AB18">
        <v>9206</v>
      </c>
      <c r="AC18">
        <v>1110</v>
      </c>
      <c r="AD18">
        <v>21414</v>
      </c>
      <c r="AE18">
        <v>13883</v>
      </c>
      <c r="AF18">
        <v>13930</v>
      </c>
      <c r="AG18">
        <v>1078</v>
      </c>
      <c r="AH18">
        <v>21833</v>
      </c>
      <c r="AI18">
        <v>24333</v>
      </c>
      <c r="AJ18">
        <v>22704</v>
      </c>
      <c r="AK18">
        <v>2187</v>
      </c>
      <c r="AL18">
        <v>30850</v>
      </c>
      <c r="AM18">
        <v>9895</v>
      </c>
      <c r="AN18">
        <v>8307</v>
      </c>
      <c r="AO18">
        <v>1754</v>
      </c>
      <c r="AP18">
        <v>12781</v>
      </c>
    </row>
    <row r="19" spans="1:42" x14ac:dyDescent="0.4">
      <c r="A19" s="1" t="s">
        <v>26</v>
      </c>
      <c r="B19" s="1" t="s">
        <v>27</v>
      </c>
      <c r="C19">
        <v>314889</v>
      </c>
      <c r="D19">
        <v>289382</v>
      </c>
      <c r="E19">
        <v>24695</v>
      </c>
      <c r="F19">
        <v>293864</v>
      </c>
      <c r="G19">
        <v>123885</v>
      </c>
      <c r="H19">
        <v>108629</v>
      </c>
      <c r="I19">
        <v>8696</v>
      </c>
      <c r="J19">
        <v>92302</v>
      </c>
      <c r="K19">
        <v>7494</v>
      </c>
      <c r="L19">
        <v>7652</v>
      </c>
      <c r="M19">
        <v>702</v>
      </c>
      <c r="N19">
        <v>6565</v>
      </c>
      <c r="O19">
        <v>283424</v>
      </c>
      <c r="P19">
        <v>257886</v>
      </c>
      <c r="Q19">
        <v>19862</v>
      </c>
      <c r="R19">
        <v>216026</v>
      </c>
      <c r="S19">
        <v>51688</v>
      </c>
      <c r="T19">
        <v>46255</v>
      </c>
      <c r="U19">
        <v>7172</v>
      </c>
      <c r="V19">
        <v>60965</v>
      </c>
      <c r="W19">
        <v>66514</v>
      </c>
      <c r="X19">
        <v>59698</v>
      </c>
      <c r="Y19">
        <v>6895</v>
      </c>
      <c r="Z19">
        <v>81589</v>
      </c>
      <c r="AA19">
        <v>8135</v>
      </c>
      <c r="AB19">
        <v>8224</v>
      </c>
      <c r="AC19">
        <v>990</v>
      </c>
      <c r="AD19">
        <v>21051</v>
      </c>
      <c r="AE19">
        <v>11827</v>
      </c>
      <c r="AF19">
        <v>11716</v>
      </c>
      <c r="AG19">
        <v>962</v>
      </c>
      <c r="AH19">
        <v>21761</v>
      </c>
      <c r="AI19">
        <v>20361</v>
      </c>
      <c r="AJ19">
        <v>19808</v>
      </c>
      <c r="AK19">
        <v>1918</v>
      </c>
      <c r="AL19">
        <v>30324</v>
      </c>
      <c r="AM19">
        <v>11456</v>
      </c>
      <c r="AN19">
        <v>9268</v>
      </c>
      <c r="AO19">
        <v>1918</v>
      </c>
      <c r="AP19">
        <v>13598</v>
      </c>
    </row>
    <row r="20" spans="1:42" x14ac:dyDescent="0.4">
      <c r="A20" s="1" t="s">
        <v>28</v>
      </c>
      <c r="B20" s="1" t="s">
        <v>29</v>
      </c>
      <c r="C20">
        <v>336132</v>
      </c>
      <c r="D20">
        <v>300180</v>
      </c>
      <c r="E20">
        <v>25636</v>
      </c>
      <c r="F20">
        <v>299121</v>
      </c>
      <c r="G20">
        <v>132063</v>
      </c>
      <c r="H20">
        <v>110886</v>
      </c>
      <c r="I20">
        <v>8957</v>
      </c>
      <c r="J20">
        <v>99418</v>
      </c>
      <c r="K20">
        <v>8301</v>
      </c>
      <c r="L20">
        <v>8740</v>
      </c>
      <c r="M20">
        <v>827</v>
      </c>
      <c r="N20">
        <v>6126</v>
      </c>
      <c r="O20">
        <v>289350</v>
      </c>
      <c r="P20">
        <v>271625</v>
      </c>
      <c r="Q20">
        <v>21058</v>
      </c>
      <c r="R20">
        <v>215474</v>
      </c>
      <c r="S20">
        <v>52056</v>
      </c>
      <c r="T20">
        <v>51151</v>
      </c>
      <c r="U20">
        <v>7689</v>
      </c>
      <c r="V20">
        <v>61814</v>
      </c>
      <c r="W20">
        <v>70772</v>
      </c>
      <c r="X20">
        <v>67118</v>
      </c>
      <c r="Y20">
        <v>7640</v>
      </c>
      <c r="Z20">
        <v>82701</v>
      </c>
      <c r="AA20">
        <v>9286</v>
      </c>
      <c r="AB20">
        <v>9042</v>
      </c>
      <c r="AC20">
        <v>1055</v>
      </c>
      <c r="AD20">
        <v>21020</v>
      </c>
      <c r="AE20">
        <v>13590</v>
      </c>
      <c r="AF20">
        <v>13670</v>
      </c>
      <c r="AG20">
        <v>1054</v>
      </c>
      <c r="AH20">
        <v>21551</v>
      </c>
      <c r="AI20">
        <v>22193</v>
      </c>
      <c r="AJ20">
        <v>21533</v>
      </c>
      <c r="AK20">
        <v>2085</v>
      </c>
      <c r="AL20">
        <v>29639</v>
      </c>
      <c r="AM20">
        <v>11357</v>
      </c>
      <c r="AN20">
        <v>8621</v>
      </c>
      <c r="AO20">
        <v>1767</v>
      </c>
      <c r="AP20">
        <v>14169</v>
      </c>
    </row>
    <row r="21" spans="1:42" x14ac:dyDescent="0.4">
      <c r="A21" s="1" t="s">
        <v>30</v>
      </c>
      <c r="B21" s="1" t="s">
        <v>31</v>
      </c>
      <c r="C21">
        <v>369621</v>
      </c>
      <c r="D21">
        <v>332038</v>
      </c>
      <c r="E21">
        <v>28733</v>
      </c>
      <c r="F21">
        <v>304091</v>
      </c>
      <c r="G21">
        <v>140058</v>
      </c>
      <c r="H21">
        <v>130361</v>
      </c>
      <c r="I21">
        <v>10418</v>
      </c>
      <c r="J21">
        <v>92654</v>
      </c>
      <c r="K21">
        <v>11845</v>
      </c>
      <c r="L21">
        <v>9214</v>
      </c>
      <c r="M21">
        <v>851</v>
      </c>
      <c r="N21">
        <v>8756</v>
      </c>
      <c r="O21">
        <v>321895</v>
      </c>
      <c r="P21">
        <v>308193</v>
      </c>
      <c r="Q21">
        <v>23491</v>
      </c>
      <c r="R21">
        <v>208093</v>
      </c>
      <c r="S21">
        <v>48758</v>
      </c>
      <c r="T21">
        <v>50273</v>
      </c>
      <c r="U21">
        <v>7634</v>
      </c>
      <c r="V21">
        <v>60264</v>
      </c>
      <c r="W21">
        <v>74672</v>
      </c>
      <c r="X21">
        <v>72837</v>
      </c>
      <c r="Y21">
        <v>8367</v>
      </c>
      <c r="Z21">
        <v>81404</v>
      </c>
      <c r="AA21">
        <v>9819</v>
      </c>
      <c r="AB21">
        <v>9927</v>
      </c>
      <c r="AC21">
        <v>1188</v>
      </c>
      <c r="AD21">
        <v>20547</v>
      </c>
      <c r="AE21">
        <v>14661</v>
      </c>
      <c r="AF21">
        <v>15826</v>
      </c>
      <c r="AG21">
        <v>1225</v>
      </c>
      <c r="AH21">
        <v>20263</v>
      </c>
      <c r="AI21">
        <v>25104</v>
      </c>
      <c r="AJ21">
        <v>23731</v>
      </c>
      <c r="AK21">
        <v>2278</v>
      </c>
      <c r="AL21">
        <v>29656</v>
      </c>
      <c r="AM21">
        <v>13048</v>
      </c>
      <c r="AN21">
        <v>10337</v>
      </c>
      <c r="AO21">
        <v>2075</v>
      </c>
      <c r="AP21">
        <v>15253</v>
      </c>
    </row>
    <row r="22" spans="1:42" x14ac:dyDescent="0.4">
      <c r="A22" s="1" t="s">
        <v>32</v>
      </c>
      <c r="B22" s="1" t="s">
        <v>33</v>
      </c>
      <c r="C22">
        <v>355637</v>
      </c>
      <c r="D22">
        <v>317778</v>
      </c>
      <c r="E22">
        <v>27794</v>
      </c>
      <c r="F22">
        <v>310237</v>
      </c>
      <c r="G22">
        <v>142902</v>
      </c>
      <c r="H22">
        <v>122290</v>
      </c>
      <c r="I22">
        <v>9937</v>
      </c>
      <c r="J22">
        <v>98317</v>
      </c>
      <c r="K22">
        <v>8770</v>
      </c>
      <c r="L22">
        <v>9003</v>
      </c>
      <c r="M22">
        <v>840</v>
      </c>
      <c r="N22">
        <v>8517</v>
      </c>
      <c r="O22">
        <v>327423</v>
      </c>
      <c r="P22">
        <v>291757</v>
      </c>
      <c r="Q22">
        <v>22371</v>
      </c>
      <c r="R22">
        <v>223964</v>
      </c>
      <c r="S22">
        <v>54415</v>
      </c>
      <c r="T22">
        <v>50621</v>
      </c>
      <c r="U22">
        <v>7712</v>
      </c>
      <c r="V22">
        <v>63929</v>
      </c>
      <c r="W22">
        <v>69276</v>
      </c>
      <c r="X22">
        <v>68676</v>
      </c>
      <c r="Y22">
        <v>7909</v>
      </c>
      <c r="Z22">
        <v>79548</v>
      </c>
      <c r="AA22">
        <v>9489</v>
      </c>
      <c r="AB22">
        <v>9737</v>
      </c>
      <c r="AC22">
        <v>1166</v>
      </c>
      <c r="AD22">
        <v>19929</v>
      </c>
      <c r="AE22">
        <v>16091</v>
      </c>
      <c r="AF22">
        <v>14897</v>
      </c>
      <c r="AG22">
        <v>1167</v>
      </c>
      <c r="AH22">
        <v>21364</v>
      </c>
      <c r="AI22">
        <v>27417</v>
      </c>
      <c r="AJ22">
        <v>22829</v>
      </c>
      <c r="AK22">
        <v>2189</v>
      </c>
      <c r="AL22">
        <v>32318</v>
      </c>
      <c r="AM22">
        <v>11410</v>
      </c>
      <c r="AN22">
        <v>9621</v>
      </c>
      <c r="AO22">
        <v>1953</v>
      </c>
      <c r="AP22">
        <v>14713</v>
      </c>
    </row>
    <row r="23" spans="1:42" x14ac:dyDescent="0.4">
      <c r="A23" s="1" t="s">
        <v>34</v>
      </c>
      <c r="B23" s="1" t="s">
        <v>35</v>
      </c>
      <c r="C23">
        <v>334061</v>
      </c>
      <c r="D23">
        <v>313696</v>
      </c>
      <c r="E23">
        <v>27406</v>
      </c>
      <c r="F23">
        <v>301236</v>
      </c>
      <c r="G23">
        <v>138742</v>
      </c>
      <c r="H23">
        <v>129355</v>
      </c>
      <c r="I23">
        <v>10415</v>
      </c>
      <c r="J23">
        <v>89840</v>
      </c>
      <c r="K23">
        <v>8272</v>
      </c>
      <c r="L23">
        <v>9280</v>
      </c>
      <c r="M23">
        <v>850</v>
      </c>
      <c r="N23">
        <v>7508</v>
      </c>
      <c r="O23">
        <v>307773</v>
      </c>
      <c r="P23">
        <v>293269</v>
      </c>
      <c r="Q23">
        <v>22443</v>
      </c>
      <c r="R23">
        <v>218301</v>
      </c>
      <c r="S23">
        <v>47274</v>
      </c>
      <c r="T23">
        <v>45001</v>
      </c>
      <c r="U23">
        <v>6980</v>
      </c>
      <c r="V23">
        <v>66079</v>
      </c>
      <c r="W23">
        <v>64226</v>
      </c>
      <c r="X23">
        <v>61264</v>
      </c>
      <c r="Y23">
        <v>7050</v>
      </c>
      <c r="Z23">
        <v>79899</v>
      </c>
      <c r="AA23">
        <v>9643</v>
      </c>
      <c r="AB23">
        <v>8730</v>
      </c>
      <c r="AC23">
        <v>1059</v>
      </c>
      <c r="AD23">
        <v>20438</v>
      </c>
      <c r="AE23">
        <v>14281</v>
      </c>
      <c r="AF23">
        <v>14206</v>
      </c>
      <c r="AG23">
        <v>1101</v>
      </c>
      <c r="AH23">
        <v>21371</v>
      </c>
      <c r="AI23">
        <v>23017</v>
      </c>
      <c r="AJ23">
        <v>22483</v>
      </c>
      <c r="AK23">
        <v>2166</v>
      </c>
      <c r="AL23">
        <v>31715</v>
      </c>
      <c r="AM23">
        <v>8660</v>
      </c>
      <c r="AN23">
        <v>7569</v>
      </c>
      <c r="AO23">
        <v>1734</v>
      </c>
      <c r="AP23">
        <v>14458</v>
      </c>
    </row>
    <row r="24" spans="1:42" x14ac:dyDescent="0.4">
      <c r="A24" s="1" t="s">
        <v>36</v>
      </c>
      <c r="B24" s="1" t="s">
        <v>37</v>
      </c>
      <c r="C24">
        <v>305292</v>
      </c>
      <c r="D24">
        <v>282258</v>
      </c>
      <c r="E24">
        <v>24903</v>
      </c>
      <c r="F24">
        <v>297559</v>
      </c>
      <c r="G24">
        <v>125260</v>
      </c>
      <c r="H24">
        <v>104576</v>
      </c>
      <c r="I24">
        <v>8355</v>
      </c>
      <c r="J24">
        <v>97880</v>
      </c>
      <c r="K24">
        <v>6916</v>
      </c>
      <c r="L24">
        <v>6811</v>
      </c>
      <c r="M24">
        <v>656</v>
      </c>
      <c r="N24">
        <v>7613</v>
      </c>
      <c r="O24">
        <v>282544</v>
      </c>
      <c r="P24">
        <v>256428</v>
      </c>
      <c r="Q24">
        <v>19486</v>
      </c>
      <c r="R24">
        <v>228002</v>
      </c>
      <c r="S24">
        <v>42746</v>
      </c>
      <c r="T24">
        <v>42095</v>
      </c>
      <c r="U24">
        <v>6683</v>
      </c>
      <c r="V24">
        <v>66665</v>
      </c>
      <c r="W24">
        <v>57638</v>
      </c>
      <c r="X24">
        <v>57247</v>
      </c>
      <c r="Y24">
        <v>6615</v>
      </c>
      <c r="Z24">
        <v>78195</v>
      </c>
      <c r="AA24">
        <v>9076</v>
      </c>
      <c r="AB24">
        <v>8468</v>
      </c>
      <c r="AC24">
        <v>1009</v>
      </c>
      <c r="AD24">
        <v>20741</v>
      </c>
      <c r="AE24">
        <v>13413</v>
      </c>
      <c r="AF24">
        <v>13935</v>
      </c>
      <c r="AG24">
        <v>1087</v>
      </c>
      <c r="AH24">
        <v>20704</v>
      </c>
      <c r="AI24">
        <v>21843</v>
      </c>
      <c r="AJ24">
        <v>20618</v>
      </c>
      <c r="AK24">
        <v>1970</v>
      </c>
      <c r="AL24">
        <v>31491</v>
      </c>
      <c r="AM24">
        <v>10423</v>
      </c>
      <c r="AN24">
        <v>7680</v>
      </c>
      <c r="AO24">
        <v>1790</v>
      </c>
      <c r="AP24">
        <v>15362</v>
      </c>
    </row>
    <row r="25" spans="1:42" x14ac:dyDescent="0.4">
      <c r="A25" s="1" t="s">
        <v>38</v>
      </c>
      <c r="B25" s="1" t="s">
        <v>39</v>
      </c>
      <c r="C25">
        <v>337109</v>
      </c>
      <c r="D25">
        <v>290220</v>
      </c>
      <c r="E25">
        <v>26194</v>
      </c>
      <c r="F25">
        <v>317705</v>
      </c>
      <c r="G25">
        <v>113947</v>
      </c>
      <c r="H25">
        <v>105475</v>
      </c>
      <c r="I25">
        <v>8523</v>
      </c>
      <c r="J25">
        <v>93484</v>
      </c>
      <c r="K25">
        <v>7557</v>
      </c>
      <c r="L25">
        <v>7830</v>
      </c>
      <c r="M25">
        <v>729</v>
      </c>
      <c r="N25">
        <v>7338</v>
      </c>
      <c r="O25">
        <v>271178</v>
      </c>
      <c r="P25">
        <v>258142</v>
      </c>
      <c r="Q25">
        <v>19739</v>
      </c>
      <c r="R25">
        <v>224590</v>
      </c>
      <c r="S25">
        <v>45115</v>
      </c>
      <c r="T25">
        <v>43522</v>
      </c>
      <c r="U25">
        <v>6822</v>
      </c>
      <c r="V25">
        <v>68130</v>
      </c>
      <c r="W25">
        <v>63659</v>
      </c>
      <c r="X25">
        <v>58951</v>
      </c>
      <c r="Y25">
        <v>6835</v>
      </c>
      <c r="Z25">
        <v>80600</v>
      </c>
      <c r="AA25">
        <v>7842</v>
      </c>
      <c r="AB25">
        <v>8254</v>
      </c>
      <c r="AC25">
        <v>965</v>
      </c>
      <c r="AD25">
        <v>20002</v>
      </c>
      <c r="AE25">
        <v>14126</v>
      </c>
      <c r="AF25">
        <v>12909</v>
      </c>
      <c r="AG25">
        <v>1009</v>
      </c>
      <c r="AH25">
        <v>21767</v>
      </c>
      <c r="AI25">
        <v>21898</v>
      </c>
      <c r="AJ25">
        <v>20705</v>
      </c>
      <c r="AK25">
        <v>2011</v>
      </c>
      <c r="AL25">
        <v>31045</v>
      </c>
      <c r="AM25">
        <v>10588</v>
      </c>
      <c r="AN25">
        <v>8969</v>
      </c>
      <c r="AO25">
        <v>1849</v>
      </c>
      <c r="AP25">
        <v>15915</v>
      </c>
    </row>
    <row r="26" spans="1:42" x14ac:dyDescent="0.4">
      <c r="A26" s="1" t="s">
        <v>40</v>
      </c>
      <c r="B26" s="1" t="s">
        <v>41</v>
      </c>
      <c r="C26">
        <v>364850</v>
      </c>
      <c r="D26">
        <v>321676</v>
      </c>
      <c r="E26">
        <v>27794</v>
      </c>
      <c r="F26">
        <v>331204</v>
      </c>
      <c r="G26">
        <v>144176</v>
      </c>
      <c r="H26">
        <v>121634</v>
      </c>
      <c r="I26">
        <v>9548</v>
      </c>
      <c r="J26">
        <v>99807</v>
      </c>
      <c r="K26">
        <v>8374</v>
      </c>
      <c r="L26">
        <v>8693</v>
      </c>
      <c r="M26">
        <v>816</v>
      </c>
      <c r="N26">
        <v>7019</v>
      </c>
      <c r="O26">
        <v>315978</v>
      </c>
      <c r="P26">
        <v>291912</v>
      </c>
      <c r="Q26">
        <v>22020</v>
      </c>
      <c r="R26">
        <v>230025</v>
      </c>
      <c r="S26">
        <v>50057</v>
      </c>
      <c r="T26">
        <v>48511</v>
      </c>
      <c r="U26">
        <v>7595</v>
      </c>
      <c r="V26">
        <v>69527</v>
      </c>
      <c r="W26">
        <v>71707</v>
      </c>
      <c r="X26">
        <v>66051</v>
      </c>
      <c r="Y26">
        <v>7543</v>
      </c>
      <c r="Z26">
        <v>83536</v>
      </c>
      <c r="AA26">
        <v>9620</v>
      </c>
      <c r="AB26">
        <v>8928</v>
      </c>
      <c r="AC26">
        <v>1058</v>
      </c>
      <c r="AD26">
        <v>20317</v>
      </c>
      <c r="AE26">
        <v>15198</v>
      </c>
      <c r="AF26">
        <v>13341</v>
      </c>
      <c r="AG26">
        <v>1066</v>
      </c>
      <c r="AH26">
        <v>23441</v>
      </c>
      <c r="AI26">
        <v>24462</v>
      </c>
      <c r="AJ26">
        <v>22380</v>
      </c>
      <c r="AK26">
        <v>2133</v>
      </c>
      <c r="AL26">
        <v>31432</v>
      </c>
      <c r="AM26">
        <v>12115</v>
      </c>
      <c r="AN26">
        <v>9775</v>
      </c>
      <c r="AO26">
        <v>1969</v>
      </c>
      <c r="AP26">
        <v>16281</v>
      </c>
    </row>
    <row r="27" spans="1:42" x14ac:dyDescent="0.4">
      <c r="A27" s="1" t="s">
        <v>42</v>
      </c>
      <c r="B27" s="1" t="s">
        <v>43</v>
      </c>
      <c r="C27">
        <v>347091</v>
      </c>
      <c r="D27">
        <v>323228</v>
      </c>
      <c r="E27">
        <v>28305</v>
      </c>
      <c r="F27">
        <v>321554</v>
      </c>
      <c r="G27">
        <v>140844</v>
      </c>
      <c r="H27">
        <v>126992</v>
      </c>
      <c r="I27">
        <v>10122</v>
      </c>
      <c r="J27">
        <v>98205</v>
      </c>
      <c r="K27">
        <v>9715</v>
      </c>
      <c r="L27">
        <v>9214</v>
      </c>
      <c r="M27">
        <v>786</v>
      </c>
      <c r="N27">
        <v>7519</v>
      </c>
      <c r="O27">
        <v>316098</v>
      </c>
      <c r="P27">
        <v>301598</v>
      </c>
      <c r="Q27">
        <v>23753</v>
      </c>
      <c r="R27">
        <v>223831</v>
      </c>
      <c r="S27">
        <v>40650</v>
      </c>
      <c r="T27">
        <v>43147</v>
      </c>
      <c r="U27">
        <v>6752</v>
      </c>
      <c r="V27">
        <v>66965</v>
      </c>
      <c r="W27">
        <v>70897</v>
      </c>
      <c r="X27">
        <v>66554</v>
      </c>
      <c r="Y27">
        <v>7694</v>
      </c>
      <c r="Z27">
        <v>85036</v>
      </c>
      <c r="AA27">
        <v>9259</v>
      </c>
      <c r="AB27">
        <v>9333</v>
      </c>
      <c r="AC27">
        <v>1123</v>
      </c>
      <c r="AD27">
        <v>19918</v>
      </c>
      <c r="AE27">
        <v>10468</v>
      </c>
      <c r="AF27">
        <v>13548</v>
      </c>
      <c r="AG27">
        <v>1040</v>
      </c>
      <c r="AH27">
        <v>20196</v>
      </c>
      <c r="AI27">
        <v>24284</v>
      </c>
      <c r="AJ27">
        <v>23155</v>
      </c>
      <c r="AK27">
        <v>2238</v>
      </c>
      <c r="AL27">
        <v>30758</v>
      </c>
      <c r="AM27">
        <v>12406</v>
      </c>
      <c r="AN27">
        <v>9414</v>
      </c>
      <c r="AO27">
        <v>1933</v>
      </c>
      <c r="AP27">
        <v>17669</v>
      </c>
    </row>
    <row r="28" spans="1:42" x14ac:dyDescent="0.4">
      <c r="A28" s="1" t="s">
        <v>44</v>
      </c>
      <c r="B28" s="1" t="s">
        <v>45</v>
      </c>
      <c r="C28">
        <v>359728</v>
      </c>
      <c r="D28">
        <v>305390</v>
      </c>
      <c r="E28">
        <v>26799</v>
      </c>
      <c r="F28">
        <v>346367</v>
      </c>
      <c r="G28">
        <v>128393</v>
      </c>
      <c r="H28">
        <v>109072</v>
      </c>
      <c r="I28">
        <v>8822</v>
      </c>
      <c r="J28">
        <v>103350</v>
      </c>
      <c r="K28">
        <v>8113</v>
      </c>
      <c r="L28">
        <v>8437</v>
      </c>
      <c r="M28">
        <v>774</v>
      </c>
      <c r="N28">
        <v>7192</v>
      </c>
      <c r="O28">
        <v>291573</v>
      </c>
      <c r="P28">
        <v>268234</v>
      </c>
      <c r="Q28">
        <v>20208</v>
      </c>
      <c r="R28">
        <v>229793</v>
      </c>
      <c r="S28">
        <v>46322</v>
      </c>
      <c r="T28">
        <v>43564</v>
      </c>
      <c r="U28">
        <v>6790</v>
      </c>
      <c r="V28">
        <v>69704</v>
      </c>
      <c r="W28">
        <v>63154</v>
      </c>
      <c r="X28">
        <v>61140</v>
      </c>
      <c r="Y28">
        <v>7079</v>
      </c>
      <c r="Z28">
        <v>84606</v>
      </c>
      <c r="AA28">
        <v>8995</v>
      </c>
      <c r="AB28">
        <v>8128</v>
      </c>
      <c r="AC28">
        <v>962</v>
      </c>
      <c r="AD28">
        <v>20462</v>
      </c>
      <c r="AE28">
        <v>13101</v>
      </c>
      <c r="AF28">
        <v>13391</v>
      </c>
      <c r="AG28">
        <v>1115</v>
      </c>
      <c r="AH28">
        <v>19716</v>
      </c>
      <c r="AI28">
        <v>21631</v>
      </c>
      <c r="AJ28">
        <v>21032</v>
      </c>
      <c r="AK28">
        <v>2020</v>
      </c>
      <c r="AL28">
        <v>29708</v>
      </c>
      <c r="AM28">
        <v>10332</v>
      </c>
      <c r="AN28">
        <v>8802</v>
      </c>
      <c r="AO28">
        <v>1782</v>
      </c>
      <c r="AP28">
        <v>17657</v>
      </c>
    </row>
    <row r="29" spans="1:42" x14ac:dyDescent="0.4">
      <c r="A29" s="1" t="s">
        <v>46</v>
      </c>
      <c r="B29" s="1" t="s">
        <v>47</v>
      </c>
      <c r="C29">
        <v>337278</v>
      </c>
      <c r="D29">
        <v>312632</v>
      </c>
      <c r="E29">
        <v>27022</v>
      </c>
      <c r="F29">
        <v>340278</v>
      </c>
      <c r="G29">
        <v>130372</v>
      </c>
      <c r="H29">
        <v>111803</v>
      </c>
      <c r="I29">
        <v>8893</v>
      </c>
      <c r="J29">
        <v>106382</v>
      </c>
      <c r="K29">
        <v>9554</v>
      </c>
      <c r="L29">
        <v>8660</v>
      </c>
      <c r="M29">
        <v>791</v>
      </c>
      <c r="N29">
        <v>8086</v>
      </c>
      <c r="O29">
        <v>311549</v>
      </c>
      <c r="P29">
        <v>279905</v>
      </c>
      <c r="Q29">
        <v>21216</v>
      </c>
      <c r="R29">
        <v>243186</v>
      </c>
      <c r="S29">
        <v>41202</v>
      </c>
      <c r="T29">
        <v>44270</v>
      </c>
      <c r="U29">
        <v>7027</v>
      </c>
      <c r="V29">
        <v>66482</v>
      </c>
      <c r="W29">
        <v>68908</v>
      </c>
      <c r="X29">
        <v>63158</v>
      </c>
      <c r="Y29">
        <v>7200</v>
      </c>
      <c r="Z29">
        <v>87686</v>
      </c>
      <c r="AA29">
        <v>9383</v>
      </c>
      <c r="AB29">
        <v>8666</v>
      </c>
      <c r="AC29">
        <v>1077</v>
      </c>
      <c r="AD29">
        <v>20747</v>
      </c>
      <c r="AE29">
        <v>15339</v>
      </c>
      <c r="AF29">
        <v>13339</v>
      </c>
      <c r="AG29">
        <v>1013</v>
      </c>
      <c r="AH29">
        <v>21457</v>
      </c>
      <c r="AI29">
        <v>25082</v>
      </c>
      <c r="AJ29">
        <v>21159</v>
      </c>
      <c r="AK29">
        <v>2055</v>
      </c>
      <c r="AL29">
        <v>31634</v>
      </c>
      <c r="AM29">
        <v>7729</v>
      </c>
      <c r="AN29">
        <v>7176</v>
      </c>
      <c r="AO29">
        <v>1630</v>
      </c>
      <c r="AP29">
        <v>16578</v>
      </c>
    </row>
    <row r="30" spans="1:42" x14ac:dyDescent="0.4">
      <c r="A30" s="1" t="s">
        <v>48</v>
      </c>
      <c r="B30" s="1" t="s">
        <v>49</v>
      </c>
      <c r="C30">
        <v>335774</v>
      </c>
      <c r="D30">
        <v>339061</v>
      </c>
      <c r="E30">
        <v>29550</v>
      </c>
      <c r="F30">
        <v>304793</v>
      </c>
      <c r="G30">
        <v>136311</v>
      </c>
      <c r="H30">
        <v>129052</v>
      </c>
      <c r="I30">
        <v>10296</v>
      </c>
      <c r="J30">
        <v>96899</v>
      </c>
      <c r="K30">
        <v>8121</v>
      </c>
      <c r="L30">
        <v>9043</v>
      </c>
      <c r="M30">
        <v>782</v>
      </c>
      <c r="N30">
        <v>7164</v>
      </c>
      <c r="O30">
        <v>309279</v>
      </c>
      <c r="P30">
        <v>305951</v>
      </c>
      <c r="Q30">
        <v>23318</v>
      </c>
      <c r="R30">
        <v>225399</v>
      </c>
      <c r="S30">
        <v>43266</v>
      </c>
      <c r="T30">
        <v>46924</v>
      </c>
      <c r="U30">
        <v>7405</v>
      </c>
      <c r="V30">
        <v>62625</v>
      </c>
      <c r="W30">
        <v>60804</v>
      </c>
      <c r="X30">
        <v>68393</v>
      </c>
      <c r="Y30">
        <v>7926</v>
      </c>
      <c r="Z30">
        <v>77635</v>
      </c>
      <c r="AA30">
        <v>10140</v>
      </c>
      <c r="AB30">
        <v>9255</v>
      </c>
      <c r="AC30">
        <v>1097</v>
      </c>
      <c r="AD30">
        <v>21234</v>
      </c>
      <c r="AE30">
        <v>15118</v>
      </c>
      <c r="AF30">
        <v>14338</v>
      </c>
      <c r="AG30">
        <v>1114</v>
      </c>
      <c r="AH30">
        <v>22061</v>
      </c>
      <c r="AI30">
        <v>24976</v>
      </c>
      <c r="AJ30">
        <v>22526</v>
      </c>
      <c r="AK30">
        <v>2120</v>
      </c>
      <c r="AL30">
        <v>32339</v>
      </c>
      <c r="AM30">
        <v>11297</v>
      </c>
      <c r="AN30">
        <v>9366</v>
      </c>
      <c r="AO30">
        <v>1999</v>
      </c>
      <c r="AP30">
        <v>17106</v>
      </c>
    </row>
    <row r="31" spans="1:42" x14ac:dyDescent="0.4">
      <c r="A31" s="1" t="s">
        <v>50</v>
      </c>
      <c r="B31" s="1" t="s">
        <v>51</v>
      </c>
      <c r="C31">
        <v>306719</v>
      </c>
      <c r="D31">
        <v>274252</v>
      </c>
      <c r="E31">
        <v>24337</v>
      </c>
      <c r="F31">
        <v>314198</v>
      </c>
      <c r="G31">
        <v>116006</v>
      </c>
      <c r="H31">
        <v>103538</v>
      </c>
      <c r="I31">
        <v>8212</v>
      </c>
      <c r="J31">
        <v>96833</v>
      </c>
      <c r="K31">
        <v>7137</v>
      </c>
      <c r="L31">
        <v>7150</v>
      </c>
      <c r="M31">
        <v>650</v>
      </c>
      <c r="N31">
        <v>7151</v>
      </c>
      <c r="O31">
        <v>277163</v>
      </c>
      <c r="P31">
        <v>246214</v>
      </c>
      <c r="Q31">
        <v>18801</v>
      </c>
      <c r="R31">
        <v>239717</v>
      </c>
      <c r="S31">
        <v>44478</v>
      </c>
      <c r="T31">
        <v>42572</v>
      </c>
      <c r="U31">
        <v>6607</v>
      </c>
      <c r="V31">
        <v>64442</v>
      </c>
      <c r="W31">
        <v>60464</v>
      </c>
      <c r="X31">
        <v>55483</v>
      </c>
      <c r="Y31">
        <v>6352</v>
      </c>
      <c r="Z31">
        <v>80432</v>
      </c>
      <c r="AA31">
        <v>8518</v>
      </c>
      <c r="AB31">
        <v>7674</v>
      </c>
      <c r="AC31">
        <v>911</v>
      </c>
      <c r="AD31">
        <v>21736</v>
      </c>
      <c r="AE31">
        <v>11439</v>
      </c>
      <c r="AF31">
        <v>10976</v>
      </c>
      <c r="AG31">
        <v>861</v>
      </c>
      <c r="AH31">
        <v>22380</v>
      </c>
      <c r="AI31">
        <v>19426</v>
      </c>
      <c r="AJ31">
        <v>18630</v>
      </c>
      <c r="AK31">
        <v>1793</v>
      </c>
      <c r="AL31">
        <v>31955</v>
      </c>
      <c r="AM31">
        <v>9690</v>
      </c>
      <c r="AN31">
        <v>7285</v>
      </c>
      <c r="AO31">
        <v>1466</v>
      </c>
      <c r="AP31">
        <v>18356</v>
      </c>
    </row>
    <row r="32" spans="1:42" x14ac:dyDescent="0.4">
      <c r="A32" s="1" t="s">
        <v>52</v>
      </c>
      <c r="B32" s="1" t="s">
        <v>53</v>
      </c>
      <c r="C32">
        <v>344423</v>
      </c>
      <c r="D32">
        <v>310729</v>
      </c>
      <c r="E32">
        <v>26929</v>
      </c>
      <c r="F32">
        <v>316981</v>
      </c>
      <c r="G32">
        <v>134798</v>
      </c>
      <c r="H32">
        <v>116226</v>
      </c>
      <c r="I32">
        <v>9231</v>
      </c>
      <c r="J32">
        <v>100667</v>
      </c>
      <c r="K32">
        <v>8978</v>
      </c>
      <c r="L32">
        <v>8891</v>
      </c>
      <c r="M32">
        <v>826</v>
      </c>
      <c r="N32">
        <v>7236</v>
      </c>
      <c r="O32">
        <v>289770</v>
      </c>
      <c r="P32">
        <v>286804</v>
      </c>
      <c r="Q32">
        <v>21888</v>
      </c>
      <c r="R32">
        <v>223865</v>
      </c>
      <c r="S32">
        <v>53177</v>
      </c>
      <c r="T32">
        <v>51840</v>
      </c>
      <c r="U32">
        <v>8065</v>
      </c>
      <c r="V32">
        <v>65582</v>
      </c>
      <c r="W32">
        <v>74168</v>
      </c>
      <c r="X32">
        <v>69244</v>
      </c>
      <c r="Y32">
        <v>7911</v>
      </c>
      <c r="Z32">
        <v>82140</v>
      </c>
      <c r="AA32">
        <v>8678</v>
      </c>
      <c r="AB32">
        <v>9775</v>
      </c>
      <c r="AC32">
        <v>1195</v>
      </c>
      <c r="AD32">
        <v>20267</v>
      </c>
      <c r="AE32">
        <v>13022</v>
      </c>
      <c r="AF32">
        <v>13041</v>
      </c>
      <c r="AG32">
        <v>994</v>
      </c>
      <c r="AH32">
        <v>22186</v>
      </c>
      <c r="AI32">
        <v>21696</v>
      </c>
      <c r="AJ32">
        <v>22321</v>
      </c>
      <c r="AK32">
        <v>2135</v>
      </c>
      <c r="AL32">
        <v>29466</v>
      </c>
      <c r="AM32">
        <v>9920</v>
      </c>
      <c r="AN32">
        <v>9204</v>
      </c>
      <c r="AO32">
        <v>1810</v>
      </c>
      <c r="AP32">
        <v>17752</v>
      </c>
    </row>
    <row r="33" spans="1:42" x14ac:dyDescent="0.4">
      <c r="A33" s="1" t="s">
        <v>54</v>
      </c>
      <c r="B33" s="1" t="s">
        <v>55</v>
      </c>
      <c r="C33">
        <v>353637</v>
      </c>
      <c r="D33">
        <v>330264</v>
      </c>
      <c r="E33">
        <v>29631</v>
      </c>
      <c r="F33">
        <v>306608</v>
      </c>
      <c r="G33">
        <v>148588</v>
      </c>
      <c r="H33">
        <v>128233</v>
      </c>
      <c r="I33">
        <v>10627</v>
      </c>
      <c r="J33">
        <v>104314</v>
      </c>
      <c r="K33">
        <v>7494</v>
      </c>
      <c r="L33">
        <v>9362</v>
      </c>
      <c r="M33">
        <v>904</v>
      </c>
      <c r="N33">
        <v>5367</v>
      </c>
      <c r="O33">
        <v>330712</v>
      </c>
      <c r="P33">
        <v>312613</v>
      </c>
      <c r="Q33">
        <v>24228</v>
      </c>
      <c r="R33">
        <v>220271</v>
      </c>
      <c r="S33">
        <v>49173</v>
      </c>
      <c r="T33">
        <v>49849</v>
      </c>
      <c r="U33">
        <v>7881</v>
      </c>
      <c r="V33">
        <v>64804</v>
      </c>
      <c r="W33">
        <v>74945</v>
      </c>
      <c r="X33">
        <v>71948</v>
      </c>
      <c r="Y33">
        <v>8575</v>
      </c>
      <c r="Z33">
        <v>82286</v>
      </c>
      <c r="AA33">
        <v>10204</v>
      </c>
      <c r="AB33">
        <v>10314</v>
      </c>
      <c r="AC33">
        <v>1243</v>
      </c>
      <c r="AD33">
        <v>19692</v>
      </c>
      <c r="AE33">
        <v>14955</v>
      </c>
      <c r="AF33">
        <v>15370</v>
      </c>
      <c r="AG33">
        <v>1239</v>
      </c>
      <c r="AH33">
        <v>21588</v>
      </c>
      <c r="AI33">
        <v>24388</v>
      </c>
      <c r="AJ33">
        <v>23393</v>
      </c>
      <c r="AK33">
        <v>2281</v>
      </c>
      <c r="AL33">
        <v>28519</v>
      </c>
      <c r="AM33">
        <v>12360</v>
      </c>
      <c r="AN33">
        <v>9609</v>
      </c>
      <c r="AO33">
        <v>1903</v>
      </c>
      <c r="AP33">
        <v>19125</v>
      </c>
    </row>
    <row r="34" spans="1:42" x14ac:dyDescent="0.4">
      <c r="A34" s="1" t="s">
        <v>56</v>
      </c>
      <c r="B34" s="1" t="s">
        <v>57</v>
      </c>
      <c r="C34">
        <v>346532</v>
      </c>
      <c r="D34">
        <v>297766</v>
      </c>
      <c r="E34">
        <v>26733</v>
      </c>
      <c r="F34">
        <v>325826</v>
      </c>
      <c r="G34">
        <v>142125</v>
      </c>
      <c r="H34">
        <v>116902</v>
      </c>
      <c r="I34">
        <v>9646</v>
      </c>
      <c r="J34">
        <v>114085</v>
      </c>
      <c r="K34">
        <v>9804</v>
      </c>
      <c r="L34">
        <v>9046</v>
      </c>
      <c r="M34">
        <v>876</v>
      </c>
      <c r="N34">
        <v>6124</v>
      </c>
      <c r="O34">
        <v>319785</v>
      </c>
      <c r="P34">
        <v>288948</v>
      </c>
      <c r="Q34">
        <v>22372</v>
      </c>
      <c r="R34">
        <v>232468</v>
      </c>
      <c r="S34">
        <v>51127</v>
      </c>
      <c r="T34">
        <v>48354</v>
      </c>
      <c r="U34">
        <v>7578</v>
      </c>
      <c r="V34">
        <v>67390</v>
      </c>
      <c r="W34">
        <v>69502</v>
      </c>
      <c r="X34">
        <v>63715</v>
      </c>
      <c r="Y34">
        <v>7650</v>
      </c>
      <c r="Z34">
        <v>85861</v>
      </c>
      <c r="AA34">
        <v>10296</v>
      </c>
      <c r="AB34">
        <v>8743</v>
      </c>
      <c r="AC34">
        <v>1083</v>
      </c>
      <c r="AD34">
        <v>20851</v>
      </c>
      <c r="AE34">
        <v>14162</v>
      </c>
      <c r="AF34">
        <v>13843</v>
      </c>
      <c r="AG34">
        <v>1111</v>
      </c>
      <c r="AH34">
        <v>21767</v>
      </c>
      <c r="AI34">
        <v>25960</v>
      </c>
      <c r="AJ34">
        <v>21386</v>
      </c>
      <c r="AK34">
        <v>2069</v>
      </c>
      <c r="AL34">
        <v>31361</v>
      </c>
      <c r="AM34">
        <v>10626</v>
      </c>
      <c r="AN34">
        <v>8910</v>
      </c>
      <c r="AO34">
        <v>1821</v>
      </c>
      <c r="AP34">
        <v>19438</v>
      </c>
    </row>
    <row r="35" spans="1:42" x14ac:dyDescent="0.4">
      <c r="A35" s="1" t="s">
        <v>58</v>
      </c>
      <c r="B35" s="1" t="s">
        <v>59</v>
      </c>
      <c r="C35">
        <v>325575</v>
      </c>
      <c r="D35">
        <v>324945</v>
      </c>
      <c r="E35">
        <v>27155</v>
      </c>
      <c r="F35">
        <v>295427</v>
      </c>
      <c r="G35">
        <v>130243</v>
      </c>
      <c r="H35">
        <v>128569</v>
      </c>
      <c r="I35">
        <v>9946</v>
      </c>
      <c r="J35">
        <v>99429</v>
      </c>
      <c r="K35">
        <v>9123</v>
      </c>
      <c r="L35">
        <v>9004</v>
      </c>
      <c r="M35">
        <v>866</v>
      </c>
      <c r="N35">
        <v>6242</v>
      </c>
      <c r="O35">
        <v>301448</v>
      </c>
      <c r="P35">
        <v>300838</v>
      </c>
      <c r="Q35">
        <v>22688</v>
      </c>
      <c r="R35">
        <v>212685</v>
      </c>
      <c r="S35">
        <v>43228</v>
      </c>
      <c r="T35">
        <v>46042</v>
      </c>
      <c r="U35">
        <v>7129</v>
      </c>
      <c r="V35">
        <v>64436</v>
      </c>
      <c r="W35">
        <v>64321</v>
      </c>
      <c r="X35">
        <v>63368</v>
      </c>
      <c r="Y35">
        <v>6962</v>
      </c>
      <c r="Z35">
        <v>84413</v>
      </c>
      <c r="AA35">
        <v>9471</v>
      </c>
      <c r="AB35">
        <v>9242</v>
      </c>
      <c r="AC35">
        <v>1124</v>
      </c>
      <c r="AD35">
        <v>20721</v>
      </c>
      <c r="AE35">
        <v>13143</v>
      </c>
      <c r="AF35">
        <v>13785</v>
      </c>
      <c r="AG35">
        <v>1037</v>
      </c>
      <c r="AH35">
        <v>21025</v>
      </c>
      <c r="AI35">
        <v>22040</v>
      </c>
      <c r="AJ35">
        <v>22063</v>
      </c>
      <c r="AK35">
        <v>2128</v>
      </c>
      <c r="AL35">
        <v>29548</v>
      </c>
      <c r="AM35">
        <v>8851</v>
      </c>
      <c r="AN35">
        <v>7908</v>
      </c>
      <c r="AO35">
        <v>1698</v>
      </c>
      <c r="AP35">
        <v>19292</v>
      </c>
    </row>
    <row r="36" spans="1:42" x14ac:dyDescent="0.4">
      <c r="A36" s="1" t="s">
        <v>60</v>
      </c>
      <c r="B36" s="1" t="s">
        <v>61</v>
      </c>
      <c r="C36">
        <v>303333</v>
      </c>
      <c r="D36">
        <v>280443</v>
      </c>
      <c r="E36">
        <v>25825</v>
      </c>
      <c r="F36">
        <v>291664</v>
      </c>
      <c r="G36">
        <v>121015</v>
      </c>
      <c r="H36">
        <v>103761</v>
      </c>
      <c r="I36">
        <v>8741</v>
      </c>
      <c r="J36">
        <v>103801</v>
      </c>
      <c r="K36">
        <v>7205</v>
      </c>
      <c r="L36">
        <v>7051</v>
      </c>
      <c r="M36">
        <v>643</v>
      </c>
      <c r="N36">
        <v>6395</v>
      </c>
      <c r="O36">
        <v>274925</v>
      </c>
      <c r="P36">
        <v>252772</v>
      </c>
      <c r="Q36">
        <v>20017</v>
      </c>
      <c r="R36">
        <v>218187</v>
      </c>
      <c r="S36">
        <v>43095</v>
      </c>
      <c r="T36">
        <v>43447</v>
      </c>
      <c r="U36">
        <v>7375</v>
      </c>
      <c r="V36">
        <v>63913</v>
      </c>
      <c r="W36">
        <v>51104</v>
      </c>
      <c r="X36">
        <v>57019</v>
      </c>
      <c r="Y36">
        <v>6768</v>
      </c>
      <c r="Z36">
        <v>76395</v>
      </c>
      <c r="AA36">
        <v>9278</v>
      </c>
      <c r="AB36">
        <v>8882</v>
      </c>
      <c r="AC36">
        <v>1069</v>
      </c>
      <c r="AD36">
        <v>20727</v>
      </c>
      <c r="AE36">
        <v>13923</v>
      </c>
      <c r="AF36">
        <v>13341</v>
      </c>
      <c r="AG36">
        <v>1037</v>
      </c>
      <c r="AH36">
        <v>21492</v>
      </c>
      <c r="AI36">
        <v>21487</v>
      </c>
      <c r="AJ36">
        <v>20408</v>
      </c>
      <c r="AK36">
        <v>1979</v>
      </c>
      <c r="AL36">
        <v>29061</v>
      </c>
      <c r="AM36">
        <v>9097</v>
      </c>
      <c r="AN36">
        <v>7642</v>
      </c>
      <c r="AO36">
        <v>1749</v>
      </c>
      <c r="AP36">
        <v>19632</v>
      </c>
    </row>
    <row r="37" spans="1:42" x14ac:dyDescent="0.4">
      <c r="A37" s="1" t="s">
        <v>62</v>
      </c>
      <c r="B37" s="1" t="s">
        <v>63</v>
      </c>
      <c r="C37">
        <v>326036</v>
      </c>
      <c r="D37">
        <v>287828</v>
      </c>
      <c r="E37">
        <v>26108</v>
      </c>
      <c r="F37">
        <v>301961</v>
      </c>
      <c r="G37">
        <v>113016</v>
      </c>
      <c r="H37">
        <v>104845</v>
      </c>
      <c r="I37">
        <v>8873</v>
      </c>
      <c r="J37">
        <v>98902</v>
      </c>
      <c r="K37">
        <v>8014</v>
      </c>
      <c r="L37">
        <v>7938</v>
      </c>
      <c r="M37">
        <v>706</v>
      </c>
      <c r="N37">
        <v>6470</v>
      </c>
      <c r="O37">
        <v>274859</v>
      </c>
      <c r="P37">
        <v>258013</v>
      </c>
      <c r="Q37">
        <v>20574</v>
      </c>
      <c r="R37">
        <v>218107</v>
      </c>
      <c r="S37">
        <v>45110</v>
      </c>
      <c r="T37">
        <v>47362</v>
      </c>
      <c r="U37">
        <v>7717</v>
      </c>
      <c r="V37">
        <v>61581</v>
      </c>
      <c r="W37">
        <v>62905</v>
      </c>
      <c r="X37">
        <v>57572</v>
      </c>
      <c r="Y37">
        <v>6986</v>
      </c>
      <c r="Z37">
        <v>79704</v>
      </c>
      <c r="AA37">
        <v>8205</v>
      </c>
      <c r="AB37">
        <v>7732</v>
      </c>
      <c r="AC37">
        <v>936</v>
      </c>
      <c r="AD37">
        <v>20899</v>
      </c>
      <c r="AE37">
        <v>13037</v>
      </c>
      <c r="AF37">
        <v>12216</v>
      </c>
      <c r="AG37">
        <v>950</v>
      </c>
      <c r="AH37">
        <v>22163</v>
      </c>
      <c r="AI37">
        <v>21680</v>
      </c>
      <c r="AJ37">
        <v>20262</v>
      </c>
      <c r="AK37">
        <v>2005</v>
      </c>
      <c r="AL37">
        <v>28564</v>
      </c>
      <c r="AM37">
        <v>9834</v>
      </c>
      <c r="AN37">
        <v>8534</v>
      </c>
      <c r="AO37">
        <v>1782</v>
      </c>
      <c r="AP37">
        <v>19670</v>
      </c>
    </row>
    <row r="38" spans="1:42" x14ac:dyDescent="0.4">
      <c r="A38" s="1" t="s">
        <v>64</v>
      </c>
      <c r="B38" s="1" t="s">
        <v>65</v>
      </c>
      <c r="C38">
        <v>371150</v>
      </c>
      <c r="D38">
        <v>337829</v>
      </c>
      <c r="E38">
        <v>29090</v>
      </c>
      <c r="F38">
        <v>303948</v>
      </c>
      <c r="G38">
        <v>141169</v>
      </c>
      <c r="H38">
        <v>127696</v>
      </c>
      <c r="I38">
        <v>10034</v>
      </c>
      <c r="J38">
        <v>97422</v>
      </c>
      <c r="K38">
        <v>9468</v>
      </c>
      <c r="L38">
        <v>8658</v>
      </c>
      <c r="M38">
        <v>831</v>
      </c>
      <c r="N38">
        <v>7277</v>
      </c>
      <c r="O38">
        <v>312206</v>
      </c>
      <c r="P38">
        <v>306837</v>
      </c>
      <c r="Q38">
        <v>23542</v>
      </c>
      <c r="R38">
        <v>203699</v>
      </c>
      <c r="S38">
        <v>52544</v>
      </c>
      <c r="T38">
        <v>52998</v>
      </c>
      <c r="U38">
        <v>8594</v>
      </c>
      <c r="V38">
        <v>60935</v>
      </c>
      <c r="W38">
        <v>70104</v>
      </c>
      <c r="X38">
        <v>64481</v>
      </c>
      <c r="Y38">
        <v>7594</v>
      </c>
      <c r="Z38">
        <v>83033</v>
      </c>
      <c r="AA38">
        <v>9608</v>
      </c>
      <c r="AB38">
        <v>8968</v>
      </c>
      <c r="AC38">
        <v>1095</v>
      </c>
      <c r="AD38">
        <v>21212</v>
      </c>
      <c r="AE38">
        <v>14067</v>
      </c>
      <c r="AF38">
        <v>13028</v>
      </c>
      <c r="AG38">
        <v>997</v>
      </c>
      <c r="AH38">
        <v>23028</v>
      </c>
      <c r="AI38">
        <v>25901</v>
      </c>
      <c r="AJ38">
        <v>23131</v>
      </c>
      <c r="AK38">
        <v>2310</v>
      </c>
      <c r="AL38">
        <v>29061</v>
      </c>
      <c r="AM38">
        <v>11024</v>
      </c>
      <c r="AN38">
        <v>8871</v>
      </c>
      <c r="AO38">
        <v>1825</v>
      </c>
      <c r="AP38">
        <v>20581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98DD-BCD1-4344-AA59-29B61EBEF6E4}">
  <dimension ref="A1:S40"/>
  <sheetViews>
    <sheetView workbookViewId="0">
      <selection activeCell="C9" sqref="C9"/>
    </sheetView>
  </sheetViews>
  <sheetFormatPr defaultColWidth="15.62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2076</v>
      </c>
      <c r="D3" t="s">
        <v>2076</v>
      </c>
      <c r="E3" t="s">
        <v>2076</v>
      </c>
      <c r="F3" t="s">
        <v>2076</v>
      </c>
      <c r="G3" t="s">
        <v>2078</v>
      </c>
      <c r="H3" t="s">
        <v>2078</v>
      </c>
      <c r="I3" t="s">
        <v>2078</v>
      </c>
      <c r="J3" t="s">
        <v>2078</v>
      </c>
      <c r="K3" t="s">
        <v>2080</v>
      </c>
      <c r="L3" t="s">
        <v>2080</v>
      </c>
      <c r="M3" t="s">
        <v>2080</v>
      </c>
      <c r="N3" t="s">
        <v>2080</v>
      </c>
      <c r="O3" t="s">
        <v>2082</v>
      </c>
      <c r="P3" t="s">
        <v>2082</v>
      </c>
      <c r="Q3" t="s">
        <v>2082</v>
      </c>
      <c r="R3" t="s">
        <v>2082</v>
      </c>
      <c r="S3" t="s">
        <v>2084</v>
      </c>
    </row>
    <row r="4" spans="1:19" x14ac:dyDescent="0.4">
      <c r="A4" s="1"/>
      <c r="B4" s="2" t="s">
        <v>1</v>
      </c>
      <c r="C4" t="s">
        <v>2077</v>
      </c>
      <c r="D4" t="s">
        <v>2077</v>
      </c>
      <c r="E4" t="s">
        <v>2077</v>
      </c>
      <c r="F4" t="s">
        <v>2077</v>
      </c>
      <c r="G4" t="s">
        <v>2079</v>
      </c>
      <c r="H4" t="s">
        <v>2079</v>
      </c>
      <c r="I4" t="s">
        <v>2079</v>
      </c>
      <c r="J4" t="s">
        <v>2079</v>
      </c>
      <c r="K4" t="s">
        <v>2081</v>
      </c>
      <c r="L4" t="s">
        <v>2081</v>
      </c>
      <c r="M4" t="s">
        <v>2081</v>
      </c>
      <c r="N4" t="s">
        <v>2081</v>
      </c>
      <c r="O4" t="s">
        <v>2083</v>
      </c>
      <c r="P4" t="s">
        <v>2083</v>
      </c>
      <c r="Q4" t="s">
        <v>2083</v>
      </c>
      <c r="R4" t="s">
        <v>2083</v>
      </c>
      <c r="S4" t="s">
        <v>2085</v>
      </c>
    </row>
    <row r="5" spans="1:1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2086</v>
      </c>
    </row>
    <row r="7" spans="1:19" x14ac:dyDescent="0.4">
      <c r="A7" s="1"/>
      <c r="B7" s="2" t="s">
        <v>4</v>
      </c>
      <c r="C7" t="s">
        <v>1892</v>
      </c>
      <c r="D7" t="s">
        <v>1892</v>
      </c>
      <c r="E7" t="s">
        <v>341</v>
      </c>
      <c r="F7" t="s">
        <v>1892</v>
      </c>
      <c r="G7" t="s">
        <v>1892</v>
      </c>
      <c r="H7" t="s">
        <v>1892</v>
      </c>
      <c r="I7" t="s">
        <v>341</v>
      </c>
      <c r="J7" t="s">
        <v>1892</v>
      </c>
      <c r="K7" t="s">
        <v>1892</v>
      </c>
      <c r="L7" t="s">
        <v>1892</v>
      </c>
      <c r="M7" t="s">
        <v>341</v>
      </c>
      <c r="N7" t="s">
        <v>1892</v>
      </c>
      <c r="O7" t="s">
        <v>1892</v>
      </c>
      <c r="P7" t="s">
        <v>1892</v>
      </c>
      <c r="Q7" t="s">
        <v>341</v>
      </c>
      <c r="R7" t="s">
        <v>1892</v>
      </c>
      <c r="S7" t="s">
        <v>341</v>
      </c>
    </row>
    <row r="8" spans="1:19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342</v>
      </c>
      <c r="F8" t="s">
        <v>1895</v>
      </c>
      <c r="G8" t="s">
        <v>1895</v>
      </c>
      <c r="H8" t="s">
        <v>1895</v>
      </c>
      <c r="I8" t="s">
        <v>342</v>
      </c>
      <c r="J8" t="s">
        <v>1895</v>
      </c>
      <c r="K8" t="s">
        <v>1895</v>
      </c>
      <c r="L8" t="s">
        <v>1895</v>
      </c>
      <c r="M8" t="s">
        <v>342</v>
      </c>
      <c r="N8" t="s">
        <v>1895</v>
      </c>
      <c r="O8" t="s">
        <v>1895</v>
      </c>
      <c r="P8" t="s">
        <v>1895</v>
      </c>
      <c r="Q8" t="s">
        <v>342</v>
      </c>
      <c r="R8" t="s">
        <v>1895</v>
      </c>
      <c r="S8" t="s">
        <v>342</v>
      </c>
    </row>
    <row r="9" spans="1:19" x14ac:dyDescent="0.4">
      <c r="A9" s="1" t="s">
        <v>6</v>
      </c>
      <c r="B9" s="3" t="s">
        <v>7</v>
      </c>
      <c r="C9">
        <v>11649817</v>
      </c>
      <c r="D9">
        <v>2501974</v>
      </c>
      <c r="E9">
        <v>141041322</v>
      </c>
      <c r="F9">
        <v>104514</v>
      </c>
      <c r="G9">
        <v>1001454</v>
      </c>
      <c r="H9">
        <v>389845</v>
      </c>
      <c r="I9">
        <v>30475559</v>
      </c>
      <c r="J9">
        <v>6953</v>
      </c>
      <c r="K9">
        <v>94157</v>
      </c>
      <c r="L9">
        <v>39459</v>
      </c>
      <c r="M9">
        <v>2146206</v>
      </c>
      <c r="N9">
        <v>2283</v>
      </c>
      <c r="O9">
        <v>12745428</v>
      </c>
      <c r="P9">
        <v>2931278</v>
      </c>
      <c r="Q9">
        <v>173663087</v>
      </c>
      <c r="R9">
        <v>113750</v>
      </c>
      <c r="S9">
        <v>686791398</v>
      </c>
    </row>
    <row r="10" spans="1:19" x14ac:dyDescent="0.4">
      <c r="A10" s="1" t="s">
        <v>8</v>
      </c>
      <c r="B10" s="3" t="s">
        <v>9</v>
      </c>
      <c r="C10">
        <v>11677469</v>
      </c>
      <c r="D10">
        <v>2502208</v>
      </c>
      <c r="E10">
        <v>150500518</v>
      </c>
      <c r="F10">
        <v>121162</v>
      </c>
      <c r="G10">
        <v>987812</v>
      </c>
      <c r="H10">
        <v>382974</v>
      </c>
      <c r="I10">
        <v>31874579</v>
      </c>
      <c r="J10">
        <v>6901</v>
      </c>
      <c r="K10">
        <v>93447</v>
      </c>
      <c r="L10">
        <v>38251</v>
      </c>
      <c r="M10">
        <v>2195107</v>
      </c>
      <c r="N10">
        <v>2003</v>
      </c>
      <c r="O10">
        <v>12758728</v>
      </c>
      <c r="P10">
        <v>2923433</v>
      </c>
      <c r="Q10">
        <v>184570204</v>
      </c>
      <c r="R10">
        <v>130066</v>
      </c>
      <c r="S10">
        <v>712319094</v>
      </c>
    </row>
    <row r="11" spans="1:19" x14ac:dyDescent="0.4">
      <c r="A11" s="1" t="s">
        <v>10</v>
      </c>
      <c r="B11" s="3" t="s">
        <v>11</v>
      </c>
      <c r="C11">
        <v>11385247</v>
      </c>
      <c r="D11">
        <v>2355399</v>
      </c>
      <c r="E11">
        <v>163131898</v>
      </c>
      <c r="F11">
        <v>43382</v>
      </c>
      <c r="G11">
        <v>907113</v>
      </c>
      <c r="H11">
        <v>347664</v>
      </c>
      <c r="I11">
        <v>33067877</v>
      </c>
      <c r="J11">
        <v>5880</v>
      </c>
      <c r="K11">
        <v>90767</v>
      </c>
      <c r="L11">
        <v>36238</v>
      </c>
      <c r="M11">
        <v>2333069</v>
      </c>
      <c r="N11">
        <v>1537</v>
      </c>
      <c r="O11">
        <v>12383127</v>
      </c>
      <c r="P11">
        <v>2739301</v>
      </c>
      <c r="Q11">
        <v>198532844</v>
      </c>
      <c r="R11">
        <v>50799</v>
      </c>
      <c r="S11">
        <v>755769556</v>
      </c>
    </row>
    <row r="12" spans="1:19" x14ac:dyDescent="0.4">
      <c r="A12" s="1" t="s">
        <v>12</v>
      </c>
      <c r="B12" s="3" t="s">
        <v>13</v>
      </c>
      <c r="C12">
        <v>11294447</v>
      </c>
      <c r="D12">
        <v>2276484</v>
      </c>
      <c r="E12">
        <v>160700471</v>
      </c>
      <c r="F12">
        <v>49261</v>
      </c>
      <c r="G12">
        <v>877380</v>
      </c>
      <c r="H12">
        <v>330324</v>
      </c>
      <c r="I12">
        <v>31966800</v>
      </c>
      <c r="J12">
        <v>6385</v>
      </c>
      <c r="K12">
        <v>87560</v>
      </c>
      <c r="L12">
        <v>34961</v>
      </c>
      <c r="M12">
        <v>2353957</v>
      </c>
      <c r="N12">
        <v>1556</v>
      </c>
      <c r="O12">
        <v>12259387</v>
      </c>
      <c r="P12">
        <v>2641769</v>
      </c>
      <c r="Q12">
        <v>195021228</v>
      </c>
      <c r="R12">
        <v>57202</v>
      </c>
      <c r="S12">
        <v>762666488</v>
      </c>
    </row>
    <row r="13" spans="1:19" x14ac:dyDescent="0.4">
      <c r="A13" s="1" t="s">
        <v>14</v>
      </c>
      <c r="B13" s="3" t="s">
        <v>15</v>
      </c>
      <c r="C13">
        <v>11206052</v>
      </c>
      <c r="D13">
        <v>2230264</v>
      </c>
      <c r="E13">
        <v>158982747</v>
      </c>
      <c r="F13">
        <v>51215</v>
      </c>
      <c r="G13">
        <v>873650</v>
      </c>
      <c r="H13">
        <v>324506</v>
      </c>
      <c r="I13">
        <v>31694448</v>
      </c>
      <c r="J13">
        <v>7201</v>
      </c>
      <c r="K13">
        <v>90493</v>
      </c>
      <c r="L13">
        <v>37435</v>
      </c>
      <c r="M13">
        <v>2530181</v>
      </c>
      <c r="N13">
        <v>1708</v>
      </c>
      <c r="O13">
        <v>12170195</v>
      </c>
      <c r="P13">
        <v>2592205</v>
      </c>
      <c r="Q13">
        <v>193207376</v>
      </c>
      <c r="R13">
        <v>60124</v>
      </c>
      <c r="S13">
        <v>772684105</v>
      </c>
    </row>
    <row r="14" spans="1:19" x14ac:dyDescent="0.4">
      <c r="A14" s="1" t="s">
        <v>16</v>
      </c>
      <c r="B14" s="1" t="s">
        <v>17</v>
      </c>
      <c r="C14">
        <v>943276</v>
      </c>
      <c r="D14">
        <v>191149</v>
      </c>
      <c r="E14">
        <v>13283616</v>
      </c>
      <c r="F14">
        <v>45521</v>
      </c>
      <c r="G14">
        <v>72429</v>
      </c>
      <c r="H14">
        <v>27788</v>
      </c>
      <c r="I14">
        <v>2681109</v>
      </c>
      <c r="J14">
        <v>6210</v>
      </c>
      <c r="K14">
        <v>7247</v>
      </c>
      <c r="L14">
        <v>2910</v>
      </c>
      <c r="M14">
        <v>177500</v>
      </c>
      <c r="N14">
        <v>1631</v>
      </c>
      <c r="O14">
        <v>1022952</v>
      </c>
      <c r="P14">
        <v>221847</v>
      </c>
      <c r="Q14">
        <v>16142225</v>
      </c>
      <c r="R14">
        <v>53362</v>
      </c>
      <c r="S14">
        <v>63219651</v>
      </c>
    </row>
    <row r="15" spans="1:19" x14ac:dyDescent="0.4">
      <c r="A15" s="1" t="s">
        <v>18</v>
      </c>
      <c r="B15" s="1" t="s">
        <v>19</v>
      </c>
      <c r="C15">
        <v>1031077</v>
      </c>
      <c r="D15">
        <v>201534</v>
      </c>
      <c r="E15">
        <v>14193577</v>
      </c>
      <c r="F15">
        <v>51549</v>
      </c>
      <c r="G15">
        <v>75144</v>
      </c>
      <c r="H15">
        <v>27928</v>
      </c>
      <c r="I15">
        <v>2720249</v>
      </c>
      <c r="J15">
        <v>6208</v>
      </c>
      <c r="K15">
        <v>7284</v>
      </c>
      <c r="L15">
        <v>2655</v>
      </c>
      <c r="M15">
        <v>182967</v>
      </c>
      <c r="N15">
        <v>1498</v>
      </c>
      <c r="O15">
        <v>1113505</v>
      </c>
      <c r="P15">
        <v>232117</v>
      </c>
      <c r="Q15">
        <v>17096793</v>
      </c>
      <c r="R15">
        <v>59255</v>
      </c>
      <c r="S15">
        <v>69014696</v>
      </c>
    </row>
    <row r="16" spans="1:19" x14ac:dyDescent="0.4">
      <c r="A16" s="1" t="s">
        <v>20</v>
      </c>
      <c r="B16" s="1" t="s">
        <v>21</v>
      </c>
      <c r="C16">
        <v>934666</v>
      </c>
      <c r="D16">
        <v>183449</v>
      </c>
      <c r="E16">
        <v>12967962</v>
      </c>
      <c r="F16">
        <v>51502</v>
      </c>
      <c r="G16">
        <v>70018</v>
      </c>
      <c r="H16">
        <v>26873</v>
      </c>
      <c r="I16">
        <v>2619370</v>
      </c>
      <c r="J16">
        <v>6374</v>
      </c>
      <c r="K16">
        <v>7530</v>
      </c>
      <c r="L16">
        <v>3018</v>
      </c>
      <c r="M16">
        <v>188117</v>
      </c>
      <c r="N16">
        <v>1552</v>
      </c>
      <c r="O16">
        <v>1012214</v>
      </c>
      <c r="P16">
        <v>213340</v>
      </c>
      <c r="Q16">
        <v>15775449</v>
      </c>
      <c r="R16">
        <v>59428</v>
      </c>
      <c r="S16">
        <v>63060788</v>
      </c>
    </row>
    <row r="17" spans="1:19" x14ac:dyDescent="0.4">
      <c r="A17" s="1" t="s">
        <v>22</v>
      </c>
      <c r="B17" s="1" t="s">
        <v>23</v>
      </c>
      <c r="C17">
        <v>912042</v>
      </c>
      <c r="D17">
        <v>182434</v>
      </c>
      <c r="E17">
        <v>12965819</v>
      </c>
      <c r="F17">
        <v>49675</v>
      </c>
      <c r="G17">
        <v>68982</v>
      </c>
      <c r="H17">
        <v>26355</v>
      </c>
      <c r="I17">
        <v>2567648</v>
      </c>
      <c r="J17">
        <v>6319</v>
      </c>
      <c r="K17">
        <v>7141</v>
      </c>
      <c r="L17">
        <v>2821</v>
      </c>
      <c r="M17">
        <v>186285</v>
      </c>
      <c r="N17">
        <v>1458</v>
      </c>
      <c r="O17">
        <v>988165</v>
      </c>
      <c r="P17">
        <v>211610</v>
      </c>
      <c r="Q17">
        <v>15719752</v>
      </c>
      <c r="R17">
        <v>57452</v>
      </c>
      <c r="S17">
        <v>61761780</v>
      </c>
    </row>
    <row r="18" spans="1:19" x14ac:dyDescent="0.4">
      <c r="A18" s="1" t="s">
        <v>24</v>
      </c>
      <c r="B18" s="1" t="s">
        <v>25</v>
      </c>
      <c r="C18">
        <v>1040693</v>
      </c>
      <c r="D18">
        <v>205324</v>
      </c>
      <c r="E18">
        <v>14466944</v>
      </c>
      <c r="F18">
        <v>55131</v>
      </c>
      <c r="G18">
        <v>78426</v>
      </c>
      <c r="H18">
        <v>29614</v>
      </c>
      <c r="I18">
        <v>2880583</v>
      </c>
      <c r="J18">
        <v>6777</v>
      </c>
      <c r="K18">
        <v>7731</v>
      </c>
      <c r="L18">
        <v>3200</v>
      </c>
      <c r="M18">
        <v>200148</v>
      </c>
      <c r="N18">
        <v>1582</v>
      </c>
      <c r="O18">
        <v>1126850</v>
      </c>
      <c r="P18">
        <v>238138</v>
      </c>
      <c r="Q18">
        <v>17547675</v>
      </c>
      <c r="R18">
        <v>63490</v>
      </c>
      <c r="S18">
        <v>69363954</v>
      </c>
    </row>
    <row r="19" spans="1:19" x14ac:dyDescent="0.4">
      <c r="A19" s="1" t="s">
        <v>26</v>
      </c>
      <c r="B19" s="1" t="s">
        <v>27</v>
      </c>
      <c r="C19">
        <v>867268</v>
      </c>
      <c r="D19">
        <v>170853</v>
      </c>
      <c r="E19">
        <v>12082815</v>
      </c>
      <c r="F19">
        <v>50007</v>
      </c>
      <c r="G19">
        <v>64024</v>
      </c>
      <c r="H19">
        <v>24627</v>
      </c>
      <c r="I19">
        <v>2373549</v>
      </c>
      <c r="J19">
        <v>6563</v>
      </c>
      <c r="K19">
        <v>6331</v>
      </c>
      <c r="L19">
        <v>2712</v>
      </c>
      <c r="M19">
        <v>172951</v>
      </c>
      <c r="N19">
        <v>1487</v>
      </c>
      <c r="O19">
        <v>937623</v>
      </c>
      <c r="P19">
        <v>198192</v>
      </c>
      <c r="Q19">
        <v>14629315</v>
      </c>
      <c r="R19">
        <v>58057</v>
      </c>
      <c r="S19">
        <v>58798110</v>
      </c>
    </row>
    <row r="20" spans="1:19" x14ac:dyDescent="0.4">
      <c r="A20" s="1" t="s">
        <v>28</v>
      </c>
      <c r="B20" s="1" t="s">
        <v>29</v>
      </c>
      <c r="C20">
        <v>902716</v>
      </c>
      <c r="D20">
        <v>182611</v>
      </c>
      <c r="E20">
        <v>12811661</v>
      </c>
      <c r="F20">
        <v>49971</v>
      </c>
      <c r="G20">
        <v>71034</v>
      </c>
      <c r="H20">
        <v>27013</v>
      </c>
      <c r="I20">
        <v>2605361</v>
      </c>
      <c r="J20">
        <v>6546</v>
      </c>
      <c r="K20">
        <v>7411</v>
      </c>
      <c r="L20">
        <v>2994</v>
      </c>
      <c r="M20">
        <v>208488</v>
      </c>
      <c r="N20">
        <v>1714</v>
      </c>
      <c r="O20">
        <v>981161</v>
      </c>
      <c r="P20">
        <v>212618</v>
      </c>
      <c r="Q20">
        <v>15625510</v>
      </c>
      <c r="R20">
        <v>58231</v>
      </c>
      <c r="S20">
        <v>61007428</v>
      </c>
    </row>
    <row r="21" spans="1:19" x14ac:dyDescent="0.4">
      <c r="A21" s="1" t="s">
        <v>30</v>
      </c>
      <c r="B21" s="1" t="s">
        <v>31</v>
      </c>
      <c r="C21">
        <v>1024729</v>
      </c>
      <c r="D21">
        <v>208752</v>
      </c>
      <c r="E21">
        <v>14854434</v>
      </c>
      <c r="F21">
        <v>57114</v>
      </c>
      <c r="G21">
        <v>80255</v>
      </c>
      <c r="H21">
        <v>30475</v>
      </c>
      <c r="I21">
        <v>2922474</v>
      </c>
      <c r="J21">
        <v>6899</v>
      </c>
      <c r="K21">
        <v>9484</v>
      </c>
      <c r="L21">
        <v>3601</v>
      </c>
      <c r="M21">
        <v>254298</v>
      </c>
      <c r="N21">
        <v>1965</v>
      </c>
      <c r="O21">
        <v>1114468</v>
      </c>
      <c r="P21">
        <v>242828</v>
      </c>
      <c r="Q21">
        <v>18031206</v>
      </c>
      <c r="R21">
        <v>65978</v>
      </c>
      <c r="S21">
        <v>69171923</v>
      </c>
    </row>
    <row r="22" spans="1:19" x14ac:dyDescent="0.4">
      <c r="A22" s="1" t="s">
        <v>32</v>
      </c>
      <c r="B22" s="1" t="s">
        <v>33</v>
      </c>
      <c r="C22">
        <v>967965</v>
      </c>
      <c r="D22">
        <v>201904</v>
      </c>
      <c r="E22">
        <v>14447290</v>
      </c>
      <c r="F22">
        <v>55194</v>
      </c>
      <c r="G22">
        <v>79144</v>
      </c>
      <c r="H22">
        <v>29166</v>
      </c>
      <c r="I22">
        <v>2821155</v>
      </c>
      <c r="J22">
        <v>6851</v>
      </c>
      <c r="K22">
        <v>8964</v>
      </c>
      <c r="L22">
        <v>3298</v>
      </c>
      <c r="M22">
        <v>239992</v>
      </c>
      <c r="N22">
        <v>1797</v>
      </c>
      <c r="O22">
        <v>1056073</v>
      </c>
      <c r="P22">
        <v>234368</v>
      </c>
      <c r="Q22">
        <v>17508437</v>
      </c>
      <c r="R22">
        <v>63842</v>
      </c>
      <c r="S22">
        <v>66563229</v>
      </c>
    </row>
    <row r="23" spans="1:19" x14ac:dyDescent="0.4">
      <c r="A23" s="1" t="s">
        <v>34</v>
      </c>
      <c r="B23" s="1" t="s">
        <v>35</v>
      </c>
      <c r="C23">
        <v>991836</v>
      </c>
      <c r="D23">
        <v>204767</v>
      </c>
      <c r="E23">
        <v>14505728</v>
      </c>
      <c r="F23">
        <v>49261</v>
      </c>
      <c r="G23">
        <v>78960</v>
      </c>
      <c r="H23">
        <v>28296</v>
      </c>
      <c r="I23">
        <v>2739309</v>
      </c>
      <c r="J23">
        <v>6385</v>
      </c>
      <c r="K23">
        <v>6570</v>
      </c>
      <c r="L23">
        <v>2738</v>
      </c>
      <c r="M23">
        <v>214624</v>
      </c>
      <c r="N23">
        <v>1556</v>
      </c>
      <c r="O23">
        <v>1077366</v>
      </c>
      <c r="P23">
        <v>235801</v>
      </c>
      <c r="Q23">
        <v>17459661</v>
      </c>
      <c r="R23">
        <v>57202</v>
      </c>
      <c r="S23">
        <v>67919862</v>
      </c>
    </row>
    <row r="24" spans="1:19" x14ac:dyDescent="0.4">
      <c r="A24" s="1" t="s">
        <v>36</v>
      </c>
      <c r="B24" s="1" t="s">
        <v>37</v>
      </c>
      <c r="C24">
        <v>826447</v>
      </c>
      <c r="D24">
        <v>167248</v>
      </c>
      <c r="E24">
        <v>11757590</v>
      </c>
      <c r="F24">
        <v>55261</v>
      </c>
      <c r="G24">
        <v>69104</v>
      </c>
      <c r="H24">
        <v>25612</v>
      </c>
      <c r="I24">
        <v>2486183</v>
      </c>
      <c r="J24">
        <v>6934</v>
      </c>
      <c r="K24">
        <v>6341</v>
      </c>
      <c r="L24">
        <v>2516</v>
      </c>
      <c r="M24">
        <v>167170</v>
      </c>
      <c r="N24">
        <v>1811</v>
      </c>
      <c r="O24">
        <v>901892</v>
      </c>
      <c r="P24">
        <v>195376</v>
      </c>
      <c r="Q24">
        <v>14410943</v>
      </c>
      <c r="R24">
        <v>64006</v>
      </c>
      <c r="S24">
        <v>56233878</v>
      </c>
    </row>
    <row r="25" spans="1:19" x14ac:dyDescent="0.4">
      <c r="A25" s="1" t="s">
        <v>38</v>
      </c>
      <c r="B25" s="1" t="s">
        <v>39</v>
      </c>
      <c r="C25">
        <v>846136</v>
      </c>
      <c r="D25">
        <v>172337</v>
      </c>
      <c r="E25">
        <v>12211280</v>
      </c>
      <c r="F25">
        <v>55467</v>
      </c>
      <c r="G25">
        <v>68620</v>
      </c>
      <c r="H25">
        <v>25922</v>
      </c>
      <c r="I25">
        <v>2520710</v>
      </c>
      <c r="J25">
        <v>6971</v>
      </c>
      <c r="K25">
        <v>5981</v>
      </c>
      <c r="L25">
        <v>2528</v>
      </c>
      <c r="M25">
        <v>158521</v>
      </c>
      <c r="N25">
        <v>1750</v>
      </c>
      <c r="O25">
        <v>920737</v>
      </c>
      <c r="P25">
        <v>200787</v>
      </c>
      <c r="Q25">
        <v>14890511</v>
      </c>
      <c r="R25">
        <v>64188</v>
      </c>
      <c r="S25">
        <v>58002319</v>
      </c>
    </row>
    <row r="26" spans="1:19" x14ac:dyDescent="0.4">
      <c r="A26" s="1" t="s">
        <v>40</v>
      </c>
      <c r="B26" s="1" t="s">
        <v>41</v>
      </c>
      <c r="C26">
        <v>944304</v>
      </c>
      <c r="D26">
        <v>188482</v>
      </c>
      <c r="E26">
        <v>13098118</v>
      </c>
      <c r="F26">
        <v>52420</v>
      </c>
      <c r="G26">
        <v>72665</v>
      </c>
      <c r="H26">
        <v>27099</v>
      </c>
      <c r="I26">
        <v>2632129</v>
      </c>
      <c r="J26">
        <v>7012</v>
      </c>
      <c r="K26">
        <v>7090</v>
      </c>
      <c r="L26">
        <v>2898</v>
      </c>
      <c r="M26">
        <v>174969</v>
      </c>
      <c r="N26">
        <v>1625</v>
      </c>
      <c r="O26">
        <v>1024059</v>
      </c>
      <c r="P26">
        <v>218479</v>
      </c>
      <c r="Q26">
        <v>15905216</v>
      </c>
      <c r="R26">
        <v>61057</v>
      </c>
      <c r="S26">
        <v>64560852</v>
      </c>
    </row>
    <row r="27" spans="1:19" x14ac:dyDescent="0.4">
      <c r="A27" s="1" t="s">
        <v>42</v>
      </c>
      <c r="B27" s="1" t="s">
        <v>43</v>
      </c>
      <c r="C27">
        <v>1029149</v>
      </c>
      <c r="D27">
        <v>198521</v>
      </c>
      <c r="E27">
        <v>14150518</v>
      </c>
      <c r="F27">
        <v>57005</v>
      </c>
      <c r="G27">
        <v>74657</v>
      </c>
      <c r="H27">
        <v>27871</v>
      </c>
      <c r="I27">
        <v>2730076</v>
      </c>
      <c r="J27">
        <v>7052</v>
      </c>
      <c r="K27">
        <v>7545</v>
      </c>
      <c r="L27">
        <v>2935</v>
      </c>
      <c r="M27">
        <v>183446</v>
      </c>
      <c r="N27">
        <v>1595</v>
      </c>
      <c r="O27">
        <v>1111351</v>
      </c>
      <c r="P27">
        <v>229327</v>
      </c>
      <c r="Q27">
        <v>17064040</v>
      </c>
      <c r="R27">
        <v>65652</v>
      </c>
      <c r="S27">
        <v>70176470</v>
      </c>
    </row>
    <row r="28" spans="1:19" x14ac:dyDescent="0.4">
      <c r="A28" s="1" t="s">
        <v>44</v>
      </c>
      <c r="B28" s="1" t="s">
        <v>45</v>
      </c>
      <c r="C28">
        <v>903291</v>
      </c>
      <c r="D28">
        <v>177434</v>
      </c>
      <c r="E28">
        <v>12657993</v>
      </c>
      <c r="F28">
        <v>54213</v>
      </c>
      <c r="G28">
        <v>66964</v>
      </c>
      <c r="H28">
        <v>25579</v>
      </c>
      <c r="I28">
        <v>2499640</v>
      </c>
      <c r="J28">
        <v>7135</v>
      </c>
      <c r="K28">
        <v>7318</v>
      </c>
      <c r="L28">
        <v>2965</v>
      </c>
      <c r="M28">
        <v>206827</v>
      </c>
      <c r="N28">
        <v>1707</v>
      </c>
      <c r="O28">
        <v>977573</v>
      </c>
      <c r="P28">
        <v>205978</v>
      </c>
      <c r="Q28">
        <v>15364460</v>
      </c>
      <c r="R28">
        <v>63055</v>
      </c>
      <c r="S28">
        <v>62413628</v>
      </c>
    </row>
    <row r="29" spans="1:19" x14ac:dyDescent="0.4">
      <c r="A29" s="1" t="s">
        <v>46</v>
      </c>
      <c r="B29" s="1" t="s">
        <v>47</v>
      </c>
      <c r="C29">
        <v>938742</v>
      </c>
      <c r="D29">
        <v>184602</v>
      </c>
      <c r="E29">
        <v>13240371</v>
      </c>
      <c r="F29">
        <v>55038</v>
      </c>
      <c r="G29">
        <v>71578</v>
      </c>
      <c r="H29">
        <v>26895</v>
      </c>
      <c r="I29">
        <v>2640417</v>
      </c>
      <c r="J29">
        <v>7169</v>
      </c>
      <c r="K29">
        <v>7644</v>
      </c>
      <c r="L29">
        <v>3137</v>
      </c>
      <c r="M29">
        <v>209374</v>
      </c>
      <c r="N29">
        <v>1712</v>
      </c>
      <c r="O29">
        <v>1017964</v>
      </c>
      <c r="P29">
        <v>214634</v>
      </c>
      <c r="Q29">
        <v>16090162</v>
      </c>
      <c r="R29">
        <v>63919</v>
      </c>
      <c r="S29">
        <v>64682390</v>
      </c>
    </row>
    <row r="30" spans="1:19" x14ac:dyDescent="0.4">
      <c r="A30" s="1" t="s">
        <v>48</v>
      </c>
      <c r="B30" s="1" t="s">
        <v>49</v>
      </c>
      <c r="C30">
        <v>1046898</v>
      </c>
      <c r="D30">
        <v>200865</v>
      </c>
      <c r="E30">
        <v>14335648</v>
      </c>
      <c r="F30">
        <v>59884</v>
      </c>
      <c r="G30">
        <v>77799</v>
      </c>
      <c r="H30">
        <v>29143</v>
      </c>
      <c r="I30">
        <v>2853953</v>
      </c>
      <c r="J30">
        <v>7392</v>
      </c>
      <c r="K30">
        <v>8368</v>
      </c>
      <c r="L30">
        <v>3765</v>
      </c>
      <c r="M30">
        <v>255776</v>
      </c>
      <c r="N30">
        <v>1773</v>
      </c>
      <c r="O30">
        <v>1133065</v>
      </c>
      <c r="P30">
        <v>233773</v>
      </c>
      <c r="Q30">
        <v>17445377</v>
      </c>
      <c r="R30">
        <v>69049</v>
      </c>
      <c r="S30">
        <v>71677750</v>
      </c>
    </row>
    <row r="31" spans="1:19" x14ac:dyDescent="0.4">
      <c r="A31" s="1" t="s">
        <v>50</v>
      </c>
      <c r="B31" s="1" t="s">
        <v>51</v>
      </c>
      <c r="C31">
        <v>824524</v>
      </c>
      <c r="D31">
        <v>158987</v>
      </c>
      <c r="E31">
        <v>11392335</v>
      </c>
      <c r="F31">
        <v>53699</v>
      </c>
      <c r="G31">
        <v>60587</v>
      </c>
      <c r="H31">
        <v>22979</v>
      </c>
      <c r="I31">
        <v>2241820</v>
      </c>
      <c r="J31">
        <v>7104</v>
      </c>
      <c r="K31">
        <v>5892</v>
      </c>
      <c r="L31">
        <v>2823</v>
      </c>
      <c r="M31">
        <v>191597</v>
      </c>
      <c r="N31">
        <v>1726</v>
      </c>
      <c r="O31">
        <v>891003</v>
      </c>
      <c r="P31">
        <v>184789</v>
      </c>
      <c r="Q31">
        <v>13825752</v>
      </c>
      <c r="R31">
        <v>62529</v>
      </c>
      <c r="S31">
        <v>57075345</v>
      </c>
    </row>
    <row r="32" spans="1:19" x14ac:dyDescent="0.4">
      <c r="A32" s="1" t="s">
        <v>52</v>
      </c>
      <c r="B32" s="1" t="s">
        <v>53</v>
      </c>
      <c r="C32">
        <v>924111</v>
      </c>
      <c r="D32">
        <v>184819</v>
      </c>
      <c r="E32">
        <v>13247561</v>
      </c>
      <c r="F32">
        <v>55141</v>
      </c>
      <c r="G32">
        <v>73713</v>
      </c>
      <c r="H32">
        <v>27855</v>
      </c>
      <c r="I32">
        <v>2732540</v>
      </c>
      <c r="J32">
        <v>7408</v>
      </c>
      <c r="K32">
        <v>8148</v>
      </c>
      <c r="L32">
        <v>3305</v>
      </c>
      <c r="M32">
        <v>227855</v>
      </c>
      <c r="N32">
        <v>1800</v>
      </c>
      <c r="O32">
        <v>1005972</v>
      </c>
      <c r="P32">
        <v>215979</v>
      </c>
      <c r="Q32">
        <v>16207956</v>
      </c>
      <c r="R32">
        <v>64349</v>
      </c>
      <c r="S32">
        <v>63823464</v>
      </c>
    </row>
    <row r="33" spans="1:19" x14ac:dyDescent="0.4">
      <c r="A33" s="1" t="s">
        <v>54</v>
      </c>
      <c r="B33" s="1" t="s">
        <v>55</v>
      </c>
      <c r="C33">
        <v>1020406</v>
      </c>
      <c r="D33">
        <v>207236</v>
      </c>
      <c r="E33">
        <v>14872763</v>
      </c>
      <c r="F33">
        <v>60001</v>
      </c>
      <c r="G33">
        <v>80250</v>
      </c>
      <c r="H33">
        <v>30146</v>
      </c>
      <c r="I33">
        <v>2941084</v>
      </c>
      <c r="J33">
        <v>7732</v>
      </c>
      <c r="K33">
        <v>9909</v>
      </c>
      <c r="L33">
        <v>4123</v>
      </c>
      <c r="M33">
        <v>308445</v>
      </c>
      <c r="N33">
        <v>2081</v>
      </c>
      <c r="O33">
        <v>1110565</v>
      </c>
      <c r="P33">
        <v>241505</v>
      </c>
      <c r="Q33">
        <v>18122292</v>
      </c>
      <c r="R33">
        <v>69814</v>
      </c>
      <c r="S33">
        <v>70247666</v>
      </c>
    </row>
    <row r="34" spans="1:19" x14ac:dyDescent="0.4">
      <c r="A34" s="1" t="s">
        <v>56</v>
      </c>
      <c r="B34" s="1" t="s">
        <v>57</v>
      </c>
      <c r="C34">
        <v>909272</v>
      </c>
      <c r="D34">
        <v>187299</v>
      </c>
      <c r="E34">
        <v>13569048</v>
      </c>
      <c r="F34">
        <v>58702</v>
      </c>
      <c r="G34">
        <v>75486</v>
      </c>
      <c r="H34">
        <v>27041</v>
      </c>
      <c r="I34">
        <v>2643881</v>
      </c>
      <c r="J34">
        <v>7719</v>
      </c>
      <c r="K34">
        <v>8890</v>
      </c>
      <c r="L34">
        <v>3284</v>
      </c>
      <c r="M34">
        <v>234835</v>
      </c>
      <c r="N34">
        <v>2026</v>
      </c>
      <c r="O34">
        <v>993648</v>
      </c>
      <c r="P34">
        <v>217624</v>
      </c>
      <c r="Q34">
        <v>16447764</v>
      </c>
      <c r="R34">
        <v>68447</v>
      </c>
      <c r="S34">
        <v>63827254</v>
      </c>
    </row>
    <row r="35" spans="1:19" x14ac:dyDescent="0.4">
      <c r="A35" s="1" t="s">
        <v>58</v>
      </c>
      <c r="B35" s="1" t="s">
        <v>59</v>
      </c>
      <c r="C35">
        <v>992772</v>
      </c>
      <c r="D35">
        <v>202434</v>
      </c>
      <c r="E35">
        <v>14449522</v>
      </c>
      <c r="F35">
        <v>51215</v>
      </c>
      <c r="G35">
        <v>82227</v>
      </c>
      <c r="H35">
        <v>28364</v>
      </c>
      <c r="I35">
        <v>2772015</v>
      </c>
      <c r="J35">
        <v>7201</v>
      </c>
      <c r="K35">
        <v>7367</v>
      </c>
      <c r="L35">
        <v>3156</v>
      </c>
      <c r="M35">
        <v>211366</v>
      </c>
      <c r="N35">
        <v>1708</v>
      </c>
      <c r="O35">
        <v>1082366</v>
      </c>
      <c r="P35">
        <v>233954</v>
      </c>
      <c r="Q35">
        <v>17432903</v>
      </c>
      <c r="R35">
        <v>60124</v>
      </c>
      <c r="S35">
        <v>69963089</v>
      </c>
    </row>
    <row r="36" spans="1:19" x14ac:dyDescent="0.4">
      <c r="A36" s="1" t="s">
        <v>60</v>
      </c>
      <c r="B36" s="1" t="s">
        <v>61</v>
      </c>
      <c r="C36">
        <v>825430</v>
      </c>
      <c r="D36">
        <v>165633</v>
      </c>
      <c r="E36">
        <v>11777423</v>
      </c>
      <c r="F36">
        <v>56147</v>
      </c>
      <c r="G36">
        <v>69781</v>
      </c>
      <c r="H36">
        <v>25101</v>
      </c>
      <c r="I36">
        <v>2457201</v>
      </c>
      <c r="J36">
        <v>7499</v>
      </c>
      <c r="K36">
        <v>6335</v>
      </c>
      <c r="L36">
        <v>2737</v>
      </c>
      <c r="M36">
        <v>180910</v>
      </c>
      <c r="N36">
        <v>1936</v>
      </c>
      <c r="O36">
        <v>901546</v>
      </c>
      <c r="P36">
        <v>193471</v>
      </c>
      <c r="Q36">
        <v>14415534</v>
      </c>
      <c r="R36">
        <v>65582</v>
      </c>
      <c r="S36">
        <v>57229675</v>
      </c>
    </row>
    <row r="37" spans="1:19" x14ac:dyDescent="0.4">
      <c r="A37" s="1" t="s">
        <v>62</v>
      </c>
      <c r="B37" s="1" t="s">
        <v>63</v>
      </c>
      <c r="C37">
        <v>846043</v>
      </c>
      <c r="D37">
        <v>170632</v>
      </c>
      <c r="E37">
        <v>12139251</v>
      </c>
      <c r="F37">
        <v>57025</v>
      </c>
      <c r="G37">
        <v>68989</v>
      </c>
      <c r="H37">
        <v>25593</v>
      </c>
      <c r="I37">
        <v>2517440</v>
      </c>
      <c r="J37">
        <v>7631</v>
      </c>
      <c r="K37">
        <v>5738</v>
      </c>
      <c r="L37">
        <v>2511</v>
      </c>
      <c r="M37">
        <v>166246</v>
      </c>
      <c r="N37">
        <v>1875</v>
      </c>
      <c r="O37">
        <v>920770</v>
      </c>
      <c r="P37">
        <v>198736</v>
      </c>
      <c r="Q37">
        <v>14822937</v>
      </c>
      <c r="R37">
        <v>66531</v>
      </c>
      <c r="S37">
        <v>58550890</v>
      </c>
    </row>
    <row r="38" spans="1:19" x14ac:dyDescent="0.4">
      <c r="A38" s="1" t="s">
        <v>64</v>
      </c>
      <c r="B38" s="1" t="s">
        <v>65</v>
      </c>
      <c r="C38">
        <v>984214</v>
      </c>
      <c r="D38">
        <v>196263</v>
      </c>
      <c r="E38">
        <v>13790180</v>
      </c>
      <c r="F38">
        <v>56995</v>
      </c>
      <c r="G38">
        <v>75315</v>
      </c>
      <c r="H38">
        <v>28307</v>
      </c>
      <c r="I38">
        <v>2758955</v>
      </c>
      <c r="J38">
        <v>7607</v>
      </c>
      <c r="K38">
        <v>7339</v>
      </c>
      <c r="L38">
        <v>3060</v>
      </c>
      <c r="M38">
        <v>208978</v>
      </c>
      <c r="N38">
        <v>1865</v>
      </c>
      <c r="O38">
        <v>1066868</v>
      </c>
      <c r="P38">
        <v>227630</v>
      </c>
      <c r="Q38">
        <v>16758113</v>
      </c>
      <c r="R38">
        <v>66467</v>
      </c>
      <c r="S38">
        <v>67194147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CBC7D-75EF-4B52-9214-7E67679AEBDD}">
  <dimension ref="A1:AK40"/>
  <sheetViews>
    <sheetView workbookViewId="0">
      <selection activeCell="C9" sqref="C9"/>
    </sheetView>
  </sheetViews>
  <sheetFormatPr defaultColWidth="15.62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2087</v>
      </c>
      <c r="D3" t="s">
        <v>2087</v>
      </c>
      <c r="E3" t="s">
        <v>2087</v>
      </c>
      <c r="F3" t="s">
        <v>2087</v>
      </c>
      <c r="G3" t="s">
        <v>2087</v>
      </c>
      <c r="H3" t="s">
        <v>2090</v>
      </c>
      <c r="I3" t="s">
        <v>2090</v>
      </c>
      <c r="J3" t="s">
        <v>2090</v>
      </c>
      <c r="K3" t="s">
        <v>2090</v>
      </c>
      <c r="L3" t="s">
        <v>2090</v>
      </c>
      <c r="M3" t="s">
        <v>2092</v>
      </c>
      <c r="N3" t="s">
        <v>2092</v>
      </c>
      <c r="O3" t="s">
        <v>2092</v>
      </c>
      <c r="P3" t="s">
        <v>2092</v>
      </c>
      <c r="Q3" t="s">
        <v>2092</v>
      </c>
      <c r="R3" t="s">
        <v>2094</v>
      </c>
      <c r="S3" t="s">
        <v>2094</v>
      </c>
      <c r="T3" t="s">
        <v>2094</v>
      </c>
      <c r="U3" t="s">
        <v>2094</v>
      </c>
      <c r="V3" t="s">
        <v>2094</v>
      </c>
      <c r="W3" t="s">
        <v>2096</v>
      </c>
      <c r="X3" t="s">
        <v>2096</v>
      </c>
      <c r="Y3" t="s">
        <v>2096</v>
      </c>
      <c r="Z3" t="s">
        <v>2096</v>
      </c>
      <c r="AA3" t="s">
        <v>2096</v>
      </c>
      <c r="AB3" t="s">
        <v>2098</v>
      </c>
      <c r="AC3" t="s">
        <v>2098</v>
      </c>
      <c r="AD3" t="s">
        <v>2098</v>
      </c>
      <c r="AE3" t="s">
        <v>2098</v>
      </c>
      <c r="AF3" t="s">
        <v>2098</v>
      </c>
      <c r="AG3" t="s">
        <v>2100</v>
      </c>
      <c r="AH3" t="s">
        <v>2100</v>
      </c>
      <c r="AI3" t="s">
        <v>2100</v>
      </c>
      <c r="AJ3" t="s">
        <v>2100</v>
      </c>
      <c r="AK3" t="s">
        <v>2100</v>
      </c>
    </row>
    <row r="4" spans="1:37" x14ac:dyDescent="0.4">
      <c r="A4" s="1"/>
      <c r="B4" s="2" t="s">
        <v>1</v>
      </c>
      <c r="C4" t="s">
        <v>2089</v>
      </c>
      <c r="D4" t="s">
        <v>2089</v>
      </c>
      <c r="E4" t="s">
        <v>2089</v>
      </c>
      <c r="F4" t="s">
        <v>2089</v>
      </c>
      <c r="G4" t="s">
        <v>2089</v>
      </c>
      <c r="H4" t="s">
        <v>2091</v>
      </c>
      <c r="I4" t="s">
        <v>2091</v>
      </c>
      <c r="J4" t="s">
        <v>2091</v>
      </c>
      <c r="K4" t="s">
        <v>2091</v>
      </c>
      <c r="L4" t="s">
        <v>2091</v>
      </c>
      <c r="M4" t="s">
        <v>2093</v>
      </c>
      <c r="N4" t="s">
        <v>2093</v>
      </c>
      <c r="O4" t="s">
        <v>2093</v>
      </c>
      <c r="P4" t="s">
        <v>2093</v>
      </c>
      <c r="Q4" t="s">
        <v>2093</v>
      </c>
      <c r="R4" t="s">
        <v>2095</v>
      </c>
      <c r="S4" t="s">
        <v>2095</v>
      </c>
      <c r="T4" t="s">
        <v>2095</v>
      </c>
      <c r="U4" t="s">
        <v>2095</v>
      </c>
      <c r="V4" t="s">
        <v>2095</v>
      </c>
      <c r="W4" t="s">
        <v>2097</v>
      </c>
      <c r="X4" t="s">
        <v>2097</v>
      </c>
      <c r="Y4" t="s">
        <v>2097</v>
      </c>
      <c r="Z4" t="s">
        <v>2097</v>
      </c>
      <c r="AA4" t="s">
        <v>2097</v>
      </c>
      <c r="AB4" t="s">
        <v>2099</v>
      </c>
      <c r="AC4" t="s">
        <v>2099</v>
      </c>
      <c r="AD4" t="s">
        <v>2099</v>
      </c>
      <c r="AE4" t="s">
        <v>2099</v>
      </c>
      <c r="AF4" t="s">
        <v>2099</v>
      </c>
      <c r="AG4" t="s">
        <v>2101</v>
      </c>
      <c r="AH4" t="s">
        <v>2101</v>
      </c>
      <c r="AI4" t="s">
        <v>2101</v>
      </c>
      <c r="AJ4" t="s">
        <v>2101</v>
      </c>
      <c r="AK4" t="s">
        <v>2101</v>
      </c>
    </row>
    <row r="5" spans="1:37" x14ac:dyDescent="0.4">
      <c r="A5" s="1"/>
      <c r="B5" s="2" t="s">
        <v>2</v>
      </c>
      <c r="C5" t="s">
        <v>69</v>
      </c>
      <c r="D5" t="s">
        <v>338</v>
      </c>
      <c r="E5" t="s">
        <v>74</v>
      </c>
      <c r="F5" t="s">
        <v>263</v>
      </c>
      <c r="G5" t="s">
        <v>76</v>
      </c>
      <c r="H5" t="s">
        <v>69</v>
      </c>
      <c r="I5" t="s">
        <v>338</v>
      </c>
      <c r="J5" t="s">
        <v>74</v>
      </c>
      <c r="K5" t="s">
        <v>263</v>
      </c>
      <c r="L5" t="s">
        <v>76</v>
      </c>
      <c r="M5" t="s">
        <v>69</v>
      </c>
      <c r="N5" t="s">
        <v>338</v>
      </c>
      <c r="O5" t="s">
        <v>74</v>
      </c>
      <c r="P5" t="s">
        <v>263</v>
      </c>
      <c r="Q5" t="s">
        <v>76</v>
      </c>
      <c r="R5" t="s">
        <v>69</v>
      </c>
      <c r="S5" t="s">
        <v>338</v>
      </c>
      <c r="T5" t="s">
        <v>74</v>
      </c>
      <c r="U5" t="s">
        <v>263</v>
      </c>
      <c r="V5" t="s">
        <v>76</v>
      </c>
      <c r="W5" t="s">
        <v>69</v>
      </c>
      <c r="X5" t="s">
        <v>338</v>
      </c>
      <c r="Y5" t="s">
        <v>74</v>
      </c>
      <c r="Z5" t="s">
        <v>263</v>
      </c>
      <c r="AA5" t="s">
        <v>76</v>
      </c>
      <c r="AB5" t="s">
        <v>69</v>
      </c>
      <c r="AC5" t="s">
        <v>338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74</v>
      </c>
      <c r="AJ5" t="s">
        <v>263</v>
      </c>
      <c r="AK5" t="s">
        <v>76</v>
      </c>
    </row>
    <row r="6" spans="1:37" x14ac:dyDescent="0.4">
      <c r="A6" s="1"/>
      <c r="B6" s="2" t="s">
        <v>3</v>
      </c>
      <c r="C6" t="s">
        <v>72</v>
      </c>
      <c r="D6" t="s">
        <v>340</v>
      </c>
      <c r="E6" t="s">
        <v>75</v>
      </c>
      <c r="F6" t="s">
        <v>264</v>
      </c>
      <c r="G6" t="s">
        <v>77</v>
      </c>
      <c r="H6" t="s">
        <v>72</v>
      </c>
      <c r="I6" t="s">
        <v>340</v>
      </c>
      <c r="J6" t="s">
        <v>75</v>
      </c>
      <c r="K6" t="s">
        <v>264</v>
      </c>
      <c r="L6" t="s">
        <v>77</v>
      </c>
      <c r="M6" t="s">
        <v>72</v>
      </c>
      <c r="N6" t="s">
        <v>340</v>
      </c>
      <c r="O6" t="s">
        <v>75</v>
      </c>
      <c r="P6" t="s">
        <v>264</v>
      </c>
      <c r="Q6" t="s">
        <v>77</v>
      </c>
      <c r="R6" t="s">
        <v>72</v>
      </c>
      <c r="S6" t="s">
        <v>340</v>
      </c>
      <c r="T6" t="s">
        <v>75</v>
      </c>
      <c r="U6" t="s">
        <v>264</v>
      </c>
      <c r="V6" t="s">
        <v>77</v>
      </c>
      <c r="W6" t="s">
        <v>72</v>
      </c>
      <c r="X6" t="s">
        <v>340</v>
      </c>
      <c r="Y6" t="s">
        <v>75</v>
      </c>
      <c r="Z6" t="s">
        <v>264</v>
      </c>
      <c r="AA6" t="s">
        <v>77</v>
      </c>
      <c r="AB6" t="s">
        <v>72</v>
      </c>
      <c r="AC6" t="s">
        <v>340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75</v>
      </c>
      <c r="AJ6" t="s">
        <v>264</v>
      </c>
      <c r="AK6" t="s">
        <v>77</v>
      </c>
    </row>
    <row r="7" spans="1:37" x14ac:dyDescent="0.4">
      <c r="A7" s="1"/>
      <c r="B7" s="2" t="s">
        <v>4</v>
      </c>
      <c r="C7" t="s">
        <v>2088</v>
      </c>
      <c r="D7" t="s">
        <v>70</v>
      </c>
      <c r="E7" t="s">
        <v>2088</v>
      </c>
      <c r="F7" t="s">
        <v>258</v>
      </c>
      <c r="G7" t="s">
        <v>2088</v>
      </c>
      <c r="H7" t="s">
        <v>2088</v>
      </c>
      <c r="I7" t="s">
        <v>70</v>
      </c>
      <c r="J7" t="s">
        <v>2088</v>
      </c>
      <c r="K7" t="s">
        <v>258</v>
      </c>
      <c r="L7" t="s">
        <v>2088</v>
      </c>
      <c r="M7" t="s">
        <v>2088</v>
      </c>
      <c r="N7" t="s">
        <v>70</v>
      </c>
      <c r="O7" t="s">
        <v>2088</v>
      </c>
      <c r="P7" t="s">
        <v>258</v>
      </c>
      <c r="Q7" t="s">
        <v>2088</v>
      </c>
      <c r="R7" t="s">
        <v>2088</v>
      </c>
      <c r="S7" t="s">
        <v>70</v>
      </c>
      <c r="T7" t="s">
        <v>2088</v>
      </c>
      <c r="U7" t="s">
        <v>258</v>
      </c>
      <c r="V7" t="s">
        <v>2088</v>
      </c>
      <c r="W7" t="s">
        <v>2088</v>
      </c>
      <c r="X7" t="s">
        <v>70</v>
      </c>
      <c r="Y7" t="s">
        <v>2088</v>
      </c>
      <c r="Z7" t="s">
        <v>258</v>
      </c>
      <c r="AA7" t="s">
        <v>2088</v>
      </c>
      <c r="AB7" t="s">
        <v>2088</v>
      </c>
      <c r="AC7" t="s">
        <v>70</v>
      </c>
      <c r="AD7" t="s">
        <v>2088</v>
      </c>
      <c r="AE7" t="s">
        <v>258</v>
      </c>
      <c r="AF7" t="s">
        <v>2088</v>
      </c>
      <c r="AG7" t="s">
        <v>2088</v>
      </c>
      <c r="AH7" t="s">
        <v>70</v>
      </c>
      <c r="AI7" t="s">
        <v>2088</v>
      </c>
      <c r="AJ7" t="s">
        <v>258</v>
      </c>
      <c r="AK7" t="s">
        <v>2088</v>
      </c>
    </row>
    <row r="8" spans="1:37" x14ac:dyDescent="0.4">
      <c r="A8" s="1" t="s">
        <v>67</v>
      </c>
      <c r="B8" s="2" t="s">
        <v>5</v>
      </c>
      <c r="C8" t="s">
        <v>745</v>
      </c>
      <c r="D8" t="s">
        <v>70</v>
      </c>
      <c r="E8" t="s">
        <v>745</v>
      </c>
      <c r="F8" t="s">
        <v>260</v>
      </c>
      <c r="G8" t="s">
        <v>745</v>
      </c>
      <c r="H8" t="s">
        <v>745</v>
      </c>
      <c r="I8" t="s">
        <v>70</v>
      </c>
      <c r="J8" t="s">
        <v>745</v>
      </c>
      <c r="K8" t="s">
        <v>260</v>
      </c>
      <c r="L8" t="s">
        <v>745</v>
      </c>
      <c r="M8" t="s">
        <v>745</v>
      </c>
      <c r="N8" t="s">
        <v>70</v>
      </c>
      <c r="O8" t="s">
        <v>745</v>
      </c>
      <c r="P8" t="s">
        <v>260</v>
      </c>
      <c r="Q8" t="s">
        <v>745</v>
      </c>
      <c r="R8" t="s">
        <v>745</v>
      </c>
      <c r="S8" t="s">
        <v>70</v>
      </c>
      <c r="T8" t="s">
        <v>745</v>
      </c>
      <c r="U8" t="s">
        <v>260</v>
      </c>
      <c r="V8" t="s">
        <v>745</v>
      </c>
      <c r="W8" t="s">
        <v>745</v>
      </c>
      <c r="X8" t="s">
        <v>70</v>
      </c>
      <c r="Y8" t="s">
        <v>745</v>
      </c>
      <c r="Z8" t="s">
        <v>260</v>
      </c>
      <c r="AA8" t="s">
        <v>745</v>
      </c>
      <c r="AB8" t="s">
        <v>745</v>
      </c>
      <c r="AC8" t="s">
        <v>70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745</v>
      </c>
      <c r="AJ8" t="s">
        <v>260</v>
      </c>
      <c r="AK8" t="s">
        <v>745</v>
      </c>
    </row>
    <row r="9" spans="1:37" x14ac:dyDescent="0.4">
      <c r="A9" s="1" t="s">
        <v>6</v>
      </c>
      <c r="B9" s="3" t="s">
        <v>7</v>
      </c>
      <c r="C9">
        <v>692946</v>
      </c>
      <c r="D9">
        <v>79099</v>
      </c>
      <c r="E9">
        <v>703772</v>
      </c>
      <c r="F9">
        <v>30421</v>
      </c>
      <c r="G9">
        <v>41827</v>
      </c>
      <c r="H9">
        <v>1205200</v>
      </c>
      <c r="I9">
        <v>81964</v>
      </c>
      <c r="J9">
        <v>1205408</v>
      </c>
      <c r="K9">
        <v>40026</v>
      </c>
      <c r="L9">
        <v>68724</v>
      </c>
      <c r="M9">
        <v>105592</v>
      </c>
      <c r="N9">
        <v>6785</v>
      </c>
      <c r="O9">
        <v>125543</v>
      </c>
      <c r="P9">
        <v>2387</v>
      </c>
      <c r="Q9">
        <v>10641</v>
      </c>
      <c r="R9">
        <v>4055204</v>
      </c>
      <c r="S9">
        <v>218691</v>
      </c>
      <c r="T9">
        <v>4274992</v>
      </c>
      <c r="U9">
        <v>76978</v>
      </c>
      <c r="V9">
        <v>226859</v>
      </c>
      <c r="W9">
        <v>2805075</v>
      </c>
      <c r="X9">
        <v>30626</v>
      </c>
      <c r="Y9">
        <v>3082260</v>
      </c>
      <c r="Z9">
        <v>21446</v>
      </c>
      <c r="AA9">
        <v>204777</v>
      </c>
      <c r="AB9">
        <v>4041956</v>
      </c>
      <c r="AC9">
        <v>108419</v>
      </c>
      <c r="AD9">
        <v>4059323</v>
      </c>
      <c r="AE9">
        <v>51159</v>
      </c>
      <c r="AF9">
        <v>190522</v>
      </c>
      <c r="AG9">
        <v>7042330</v>
      </c>
      <c r="AH9">
        <v>254865</v>
      </c>
      <c r="AI9">
        <v>7012286</v>
      </c>
      <c r="AJ9">
        <v>114036</v>
      </c>
      <c r="AK9">
        <v>262016</v>
      </c>
    </row>
    <row r="10" spans="1:37" x14ac:dyDescent="0.4">
      <c r="A10" s="1" t="s">
        <v>8</v>
      </c>
      <c r="B10" s="3" t="s">
        <v>9</v>
      </c>
      <c r="C10">
        <v>713177</v>
      </c>
      <c r="D10">
        <v>81422</v>
      </c>
      <c r="E10">
        <v>732247</v>
      </c>
      <c r="F10">
        <v>35321</v>
      </c>
      <c r="G10">
        <v>39315</v>
      </c>
      <c r="H10">
        <v>1292384</v>
      </c>
      <c r="I10">
        <v>87246</v>
      </c>
      <c r="J10">
        <v>1263209</v>
      </c>
      <c r="K10">
        <v>47073</v>
      </c>
      <c r="L10">
        <v>75108</v>
      </c>
      <c r="M10">
        <v>90613</v>
      </c>
      <c r="N10">
        <v>5907</v>
      </c>
      <c r="O10">
        <v>116286</v>
      </c>
      <c r="P10">
        <v>2321</v>
      </c>
      <c r="Q10">
        <v>8557</v>
      </c>
      <c r="R10">
        <v>4106107</v>
      </c>
      <c r="S10">
        <v>222996</v>
      </c>
      <c r="T10">
        <v>4312314</v>
      </c>
      <c r="U10">
        <v>89578</v>
      </c>
      <c r="V10">
        <v>249650</v>
      </c>
      <c r="W10">
        <v>3117237</v>
      </c>
      <c r="X10">
        <v>34247</v>
      </c>
      <c r="Y10">
        <v>3335788</v>
      </c>
      <c r="Z10">
        <v>24952</v>
      </c>
      <c r="AA10">
        <v>313469</v>
      </c>
      <c r="AB10">
        <v>3481030</v>
      </c>
      <c r="AC10">
        <v>92327</v>
      </c>
      <c r="AD10">
        <v>3544190</v>
      </c>
      <c r="AE10">
        <v>45136</v>
      </c>
      <c r="AF10">
        <v>128438</v>
      </c>
      <c r="AG10">
        <v>6495119</v>
      </c>
      <c r="AH10">
        <v>230739</v>
      </c>
      <c r="AI10">
        <v>6550309</v>
      </c>
      <c r="AJ10">
        <v>109019</v>
      </c>
      <c r="AK10">
        <v>219879</v>
      </c>
    </row>
    <row r="11" spans="1:37" x14ac:dyDescent="0.4">
      <c r="A11" s="1" t="s">
        <v>10</v>
      </c>
      <c r="B11" s="3" t="s">
        <v>11</v>
      </c>
      <c r="C11">
        <v>722188</v>
      </c>
      <c r="D11">
        <v>81390</v>
      </c>
      <c r="E11">
        <v>754279</v>
      </c>
      <c r="F11">
        <v>38612</v>
      </c>
      <c r="G11">
        <v>41173</v>
      </c>
      <c r="H11">
        <v>1260884</v>
      </c>
      <c r="I11">
        <v>85077</v>
      </c>
      <c r="J11">
        <v>1220933</v>
      </c>
      <c r="K11">
        <v>48892</v>
      </c>
      <c r="L11">
        <v>88794</v>
      </c>
      <c r="M11">
        <v>81294</v>
      </c>
      <c r="N11">
        <v>5328</v>
      </c>
      <c r="O11">
        <v>109618</v>
      </c>
      <c r="P11">
        <v>2389</v>
      </c>
      <c r="Q11">
        <v>8070</v>
      </c>
      <c r="R11">
        <v>4050580</v>
      </c>
      <c r="S11">
        <v>220089</v>
      </c>
      <c r="T11">
        <v>4304153</v>
      </c>
      <c r="U11">
        <v>98942</v>
      </c>
      <c r="V11">
        <v>211301</v>
      </c>
      <c r="W11">
        <v>2962040</v>
      </c>
      <c r="X11">
        <v>31612</v>
      </c>
      <c r="Y11">
        <v>3309364</v>
      </c>
      <c r="Z11">
        <v>27541</v>
      </c>
      <c r="AA11">
        <v>244885</v>
      </c>
      <c r="AB11">
        <v>2638315</v>
      </c>
      <c r="AC11">
        <v>66766</v>
      </c>
      <c r="AD11">
        <v>2603300</v>
      </c>
      <c r="AE11">
        <v>35630</v>
      </c>
      <c r="AF11">
        <v>162709</v>
      </c>
      <c r="AG11">
        <v>6234034</v>
      </c>
      <c r="AH11">
        <v>217705</v>
      </c>
      <c r="AI11">
        <v>6172973</v>
      </c>
      <c r="AJ11">
        <v>106044</v>
      </c>
      <c r="AK11">
        <v>297579</v>
      </c>
    </row>
    <row r="12" spans="1:37" x14ac:dyDescent="0.4">
      <c r="A12" s="1" t="s">
        <v>12</v>
      </c>
      <c r="B12" s="3" t="s">
        <v>13</v>
      </c>
      <c r="C12">
        <v>743185</v>
      </c>
      <c r="D12">
        <v>82938</v>
      </c>
      <c r="E12">
        <v>780072</v>
      </c>
      <c r="F12">
        <v>40551</v>
      </c>
      <c r="G12">
        <v>44063</v>
      </c>
      <c r="H12">
        <v>1325916</v>
      </c>
      <c r="I12">
        <v>89148</v>
      </c>
      <c r="J12">
        <v>1292097</v>
      </c>
      <c r="K12">
        <v>52365</v>
      </c>
      <c r="L12">
        <v>104384</v>
      </c>
      <c r="M12">
        <v>71260</v>
      </c>
      <c r="N12">
        <v>4338</v>
      </c>
      <c r="O12">
        <v>104600</v>
      </c>
      <c r="P12">
        <v>2513</v>
      </c>
      <c r="Q12">
        <v>8123</v>
      </c>
      <c r="R12">
        <v>4241028</v>
      </c>
      <c r="S12">
        <v>232517</v>
      </c>
      <c r="T12">
        <v>4394976</v>
      </c>
      <c r="U12">
        <v>103225</v>
      </c>
      <c r="V12">
        <v>249347</v>
      </c>
      <c r="W12">
        <v>3203760</v>
      </c>
      <c r="X12">
        <v>34407</v>
      </c>
      <c r="Y12">
        <v>3518632</v>
      </c>
      <c r="Z12">
        <v>29783</v>
      </c>
      <c r="AA12">
        <v>271407</v>
      </c>
      <c r="AB12">
        <v>2075032</v>
      </c>
      <c r="AC12">
        <v>52905</v>
      </c>
      <c r="AD12">
        <v>2103632</v>
      </c>
      <c r="AE12">
        <v>28631</v>
      </c>
      <c r="AF12">
        <v>144275</v>
      </c>
      <c r="AG12">
        <v>5820460</v>
      </c>
      <c r="AH12">
        <v>205465</v>
      </c>
      <c r="AI12">
        <v>5721661</v>
      </c>
      <c r="AJ12">
        <v>100790</v>
      </c>
      <c r="AK12">
        <v>422225</v>
      </c>
    </row>
    <row r="13" spans="1:37" x14ac:dyDescent="0.4">
      <c r="A13" s="1" t="s">
        <v>14</v>
      </c>
      <c r="B13" s="3" t="s">
        <v>15</v>
      </c>
      <c r="C13">
        <v>751314</v>
      </c>
      <c r="D13">
        <v>83098</v>
      </c>
      <c r="E13">
        <v>796140</v>
      </c>
      <c r="F13">
        <v>41718</v>
      </c>
      <c r="G13">
        <v>40290</v>
      </c>
      <c r="H13">
        <v>1332076</v>
      </c>
      <c r="I13">
        <v>89467</v>
      </c>
      <c r="J13">
        <v>1316838</v>
      </c>
      <c r="K13">
        <v>53744</v>
      </c>
      <c r="L13">
        <v>94936</v>
      </c>
      <c r="M13">
        <v>64417</v>
      </c>
      <c r="N13">
        <v>4184</v>
      </c>
      <c r="O13">
        <v>99262</v>
      </c>
      <c r="P13">
        <v>2387</v>
      </c>
      <c r="Q13">
        <v>6915</v>
      </c>
      <c r="R13">
        <v>4262074</v>
      </c>
      <c r="S13">
        <v>233567</v>
      </c>
      <c r="T13">
        <v>4462384</v>
      </c>
      <c r="U13">
        <v>108410</v>
      </c>
      <c r="V13">
        <v>233087</v>
      </c>
      <c r="W13">
        <v>3677152</v>
      </c>
      <c r="X13">
        <v>39776</v>
      </c>
      <c r="Y13">
        <v>3846191</v>
      </c>
      <c r="Z13">
        <v>33104</v>
      </c>
      <c r="AA13">
        <v>421201</v>
      </c>
      <c r="AB13">
        <v>1720470</v>
      </c>
      <c r="AC13">
        <v>43221</v>
      </c>
      <c r="AD13">
        <v>1777550</v>
      </c>
      <c r="AE13">
        <v>24460</v>
      </c>
      <c r="AF13">
        <v>86537</v>
      </c>
      <c r="AG13">
        <v>5384172</v>
      </c>
      <c r="AH13">
        <v>188726</v>
      </c>
      <c r="AI13">
        <v>5377879</v>
      </c>
      <c r="AJ13">
        <v>95193</v>
      </c>
      <c r="AK13">
        <v>443174</v>
      </c>
    </row>
    <row r="14" spans="1:37" x14ac:dyDescent="0.4">
      <c r="A14" s="1" t="s">
        <v>16</v>
      </c>
      <c r="B14" s="1" t="s">
        <v>17</v>
      </c>
      <c r="C14">
        <v>60071</v>
      </c>
      <c r="D14">
        <v>6716</v>
      </c>
      <c r="E14">
        <v>62311</v>
      </c>
      <c r="F14">
        <v>3212</v>
      </c>
      <c r="G14">
        <v>49075</v>
      </c>
      <c r="H14">
        <v>117371</v>
      </c>
      <c r="I14">
        <v>7822</v>
      </c>
      <c r="J14">
        <v>113114</v>
      </c>
      <c r="K14">
        <v>4761</v>
      </c>
      <c r="L14">
        <v>97349</v>
      </c>
      <c r="M14">
        <v>6990</v>
      </c>
      <c r="N14">
        <v>459</v>
      </c>
      <c r="O14">
        <v>8908</v>
      </c>
      <c r="P14">
        <v>208</v>
      </c>
      <c r="Q14">
        <v>10896</v>
      </c>
      <c r="R14">
        <v>369107</v>
      </c>
      <c r="S14">
        <v>20261</v>
      </c>
      <c r="T14">
        <v>366889</v>
      </c>
      <c r="U14">
        <v>8475</v>
      </c>
      <c r="V14">
        <v>256773</v>
      </c>
      <c r="W14">
        <v>265510</v>
      </c>
      <c r="X14">
        <v>2857</v>
      </c>
      <c r="Y14">
        <v>294935</v>
      </c>
      <c r="Z14">
        <v>2502</v>
      </c>
      <c r="AA14">
        <v>234076</v>
      </c>
      <c r="AB14">
        <v>171219</v>
      </c>
      <c r="AC14">
        <v>4437</v>
      </c>
      <c r="AD14">
        <v>195766</v>
      </c>
      <c r="AE14">
        <v>2744</v>
      </c>
      <c r="AF14">
        <v>138986</v>
      </c>
      <c r="AG14">
        <v>475617</v>
      </c>
      <c r="AH14">
        <v>16753</v>
      </c>
      <c r="AI14">
        <v>501646</v>
      </c>
      <c r="AJ14">
        <v>8924</v>
      </c>
      <c r="AK14">
        <v>323901</v>
      </c>
    </row>
    <row r="15" spans="1:37" x14ac:dyDescent="0.4">
      <c r="A15" s="1" t="s">
        <v>18</v>
      </c>
      <c r="B15" s="1" t="s">
        <v>19</v>
      </c>
      <c r="C15">
        <v>65389</v>
      </c>
      <c r="D15">
        <v>7337</v>
      </c>
      <c r="E15">
        <v>71739</v>
      </c>
      <c r="F15">
        <v>3803</v>
      </c>
      <c r="G15">
        <v>46300</v>
      </c>
      <c r="H15">
        <v>120215</v>
      </c>
      <c r="I15">
        <v>8153</v>
      </c>
      <c r="J15">
        <v>112155</v>
      </c>
      <c r="K15">
        <v>4610</v>
      </c>
      <c r="L15">
        <v>104068</v>
      </c>
      <c r="M15">
        <v>4707</v>
      </c>
      <c r="N15">
        <v>307</v>
      </c>
      <c r="O15">
        <v>9956</v>
      </c>
      <c r="P15">
        <v>235</v>
      </c>
      <c r="Q15">
        <v>8720</v>
      </c>
      <c r="R15">
        <v>381305</v>
      </c>
      <c r="S15">
        <v>20950</v>
      </c>
      <c r="T15">
        <v>397948</v>
      </c>
      <c r="U15">
        <v>9361</v>
      </c>
      <c r="V15">
        <v>257009</v>
      </c>
      <c r="W15">
        <v>278092</v>
      </c>
      <c r="X15">
        <v>2932</v>
      </c>
      <c r="Y15">
        <v>313459</v>
      </c>
      <c r="Z15">
        <v>2696</v>
      </c>
      <c r="AA15">
        <v>227848</v>
      </c>
      <c r="AB15">
        <v>214461</v>
      </c>
      <c r="AC15">
        <v>5461</v>
      </c>
      <c r="AD15">
        <v>195972</v>
      </c>
      <c r="AE15">
        <v>2571</v>
      </c>
      <c r="AF15">
        <v>157415</v>
      </c>
      <c r="AG15">
        <v>529101</v>
      </c>
      <c r="AH15">
        <v>18422</v>
      </c>
      <c r="AI15">
        <v>536123</v>
      </c>
      <c r="AJ15">
        <v>9357</v>
      </c>
      <c r="AK15">
        <v>318158</v>
      </c>
    </row>
    <row r="16" spans="1:37" x14ac:dyDescent="0.4">
      <c r="A16" s="1" t="s">
        <v>20</v>
      </c>
      <c r="B16" s="1" t="s">
        <v>21</v>
      </c>
      <c r="C16">
        <v>60549</v>
      </c>
      <c r="D16">
        <v>6772</v>
      </c>
      <c r="E16">
        <v>59740</v>
      </c>
      <c r="F16">
        <v>3044</v>
      </c>
      <c r="G16">
        <v>50829</v>
      </c>
      <c r="H16">
        <v>112584</v>
      </c>
      <c r="I16">
        <v>7629</v>
      </c>
      <c r="J16">
        <v>97352</v>
      </c>
      <c r="K16">
        <v>3904</v>
      </c>
      <c r="L16">
        <v>120029</v>
      </c>
      <c r="M16">
        <v>5748</v>
      </c>
      <c r="N16">
        <v>368</v>
      </c>
      <c r="O16">
        <v>7555</v>
      </c>
      <c r="P16">
        <v>184</v>
      </c>
      <c r="Q16">
        <v>9676</v>
      </c>
      <c r="R16">
        <v>356807</v>
      </c>
      <c r="S16">
        <v>19447</v>
      </c>
      <c r="T16">
        <v>344476</v>
      </c>
      <c r="U16">
        <v>7948</v>
      </c>
      <c r="V16">
        <v>283776</v>
      </c>
      <c r="W16">
        <v>267518</v>
      </c>
      <c r="X16">
        <v>2871</v>
      </c>
      <c r="Y16">
        <v>259967</v>
      </c>
      <c r="Z16">
        <v>2196</v>
      </c>
      <c r="AA16">
        <v>264856</v>
      </c>
      <c r="AB16">
        <v>196607</v>
      </c>
      <c r="AC16">
        <v>5021</v>
      </c>
      <c r="AD16">
        <v>163231</v>
      </c>
      <c r="AE16">
        <v>2083</v>
      </c>
      <c r="AF16">
        <v>202628</v>
      </c>
      <c r="AG16">
        <v>498465</v>
      </c>
      <c r="AH16">
        <v>17741</v>
      </c>
      <c r="AI16">
        <v>462513</v>
      </c>
      <c r="AJ16">
        <v>7858</v>
      </c>
      <c r="AK16">
        <v>365694</v>
      </c>
    </row>
    <row r="17" spans="1:37" x14ac:dyDescent="0.4">
      <c r="A17" s="1" t="s">
        <v>22</v>
      </c>
      <c r="B17" s="1" t="s">
        <v>23</v>
      </c>
      <c r="C17">
        <v>60840</v>
      </c>
      <c r="D17">
        <v>6790</v>
      </c>
      <c r="E17">
        <v>58761</v>
      </c>
      <c r="F17">
        <v>3037</v>
      </c>
      <c r="G17">
        <v>56117</v>
      </c>
      <c r="H17">
        <v>114939</v>
      </c>
      <c r="I17">
        <v>7819</v>
      </c>
      <c r="J17">
        <v>100247</v>
      </c>
      <c r="K17">
        <v>3979</v>
      </c>
      <c r="L17">
        <v>133288</v>
      </c>
      <c r="M17">
        <v>5743</v>
      </c>
      <c r="N17">
        <v>377</v>
      </c>
      <c r="O17">
        <v>8153</v>
      </c>
      <c r="P17">
        <v>198</v>
      </c>
      <c r="Q17">
        <v>9835</v>
      </c>
      <c r="R17">
        <v>342986</v>
      </c>
      <c r="S17">
        <v>18633</v>
      </c>
      <c r="T17">
        <v>342936</v>
      </c>
      <c r="U17">
        <v>7897</v>
      </c>
      <c r="V17">
        <v>296453</v>
      </c>
      <c r="W17">
        <v>275137</v>
      </c>
      <c r="X17">
        <v>2962</v>
      </c>
      <c r="Y17">
        <v>292281</v>
      </c>
      <c r="Z17">
        <v>2358</v>
      </c>
      <c r="AA17">
        <v>276440</v>
      </c>
      <c r="AB17">
        <v>170304</v>
      </c>
      <c r="AC17">
        <v>4422</v>
      </c>
      <c r="AD17">
        <v>185192</v>
      </c>
      <c r="AE17">
        <v>2514</v>
      </c>
      <c r="AF17">
        <v>187486</v>
      </c>
      <c r="AG17">
        <v>515603</v>
      </c>
      <c r="AH17">
        <v>18116</v>
      </c>
      <c r="AI17">
        <v>500763</v>
      </c>
      <c r="AJ17">
        <v>8892</v>
      </c>
      <c r="AK17">
        <v>381057</v>
      </c>
    </row>
    <row r="18" spans="1:37" x14ac:dyDescent="0.4">
      <c r="A18" s="1" t="s">
        <v>24</v>
      </c>
      <c r="B18" s="1" t="s">
        <v>25</v>
      </c>
      <c r="C18">
        <v>66322</v>
      </c>
      <c r="D18">
        <v>7507</v>
      </c>
      <c r="E18">
        <v>65884</v>
      </c>
      <c r="F18">
        <v>3700</v>
      </c>
      <c r="G18">
        <v>60247</v>
      </c>
      <c r="H18">
        <v>114532</v>
      </c>
      <c r="I18">
        <v>7733</v>
      </c>
      <c r="J18">
        <v>109724</v>
      </c>
      <c r="K18">
        <v>4535</v>
      </c>
      <c r="L18">
        <v>136512</v>
      </c>
      <c r="M18">
        <v>4882</v>
      </c>
      <c r="N18">
        <v>314</v>
      </c>
      <c r="O18">
        <v>9514</v>
      </c>
      <c r="P18">
        <v>235</v>
      </c>
      <c r="Q18">
        <v>8234</v>
      </c>
      <c r="R18">
        <v>385201</v>
      </c>
      <c r="S18">
        <v>21106</v>
      </c>
      <c r="T18">
        <v>386569</v>
      </c>
      <c r="U18">
        <v>9238</v>
      </c>
      <c r="V18">
        <v>311723</v>
      </c>
      <c r="W18">
        <v>286865</v>
      </c>
      <c r="X18">
        <v>3023</v>
      </c>
      <c r="Y18">
        <v>270734</v>
      </c>
      <c r="Z18">
        <v>2329</v>
      </c>
      <c r="AA18">
        <v>320427</v>
      </c>
      <c r="AB18">
        <v>193246</v>
      </c>
      <c r="AC18">
        <v>4863</v>
      </c>
      <c r="AD18">
        <v>188411</v>
      </c>
      <c r="AE18">
        <v>2550</v>
      </c>
      <c r="AF18">
        <v>192361</v>
      </c>
      <c r="AG18">
        <v>562844</v>
      </c>
      <c r="AH18">
        <v>20007</v>
      </c>
      <c r="AI18">
        <v>486394</v>
      </c>
      <c r="AJ18">
        <v>8545</v>
      </c>
      <c r="AK18">
        <v>457671</v>
      </c>
    </row>
    <row r="19" spans="1:37" x14ac:dyDescent="0.4">
      <c r="A19" s="1" t="s">
        <v>26</v>
      </c>
      <c r="B19" s="1" t="s">
        <v>27</v>
      </c>
      <c r="C19">
        <v>54390</v>
      </c>
      <c r="D19">
        <v>6023</v>
      </c>
      <c r="E19">
        <v>65760</v>
      </c>
      <c r="F19">
        <v>3403</v>
      </c>
      <c r="G19">
        <v>52143</v>
      </c>
      <c r="H19">
        <v>99333</v>
      </c>
      <c r="I19">
        <v>6807</v>
      </c>
      <c r="J19">
        <v>110201</v>
      </c>
      <c r="K19">
        <v>4443</v>
      </c>
      <c r="L19">
        <v>125159</v>
      </c>
      <c r="M19">
        <v>9526</v>
      </c>
      <c r="N19">
        <v>354</v>
      </c>
      <c r="O19">
        <v>8770</v>
      </c>
      <c r="P19">
        <v>223</v>
      </c>
      <c r="Q19">
        <v>11703</v>
      </c>
      <c r="R19">
        <v>315735</v>
      </c>
      <c r="S19">
        <v>17333</v>
      </c>
      <c r="T19">
        <v>365801</v>
      </c>
      <c r="U19">
        <v>8615</v>
      </c>
      <c r="V19">
        <v>275311</v>
      </c>
      <c r="W19">
        <v>218567</v>
      </c>
      <c r="X19">
        <v>2396</v>
      </c>
      <c r="Y19">
        <v>270414</v>
      </c>
      <c r="Z19">
        <v>2295</v>
      </c>
      <c r="AA19">
        <v>297810</v>
      </c>
      <c r="AB19">
        <v>159861</v>
      </c>
      <c r="AC19">
        <v>4028</v>
      </c>
      <c r="AD19">
        <v>166344</v>
      </c>
      <c r="AE19">
        <v>2331</v>
      </c>
      <c r="AF19">
        <v>184932</v>
      </c>
      <c r="AG19">
        <v>448427</v>
      </c>
      <c r="AH19">
        <v>15894</v>
      </c>
      <c r="AI19">
        <v>456202</v>
      </c>
      <c r="AJ19">
        <v>8127</v>
      </c>
      <c r="AK19">
        <v>450327</v>
      </c>
    </row>
    <row r="20" spans="1:37" x14ac:dyDescent="0.4">
      <c r="A20" s="1" t="s">
        <v>28</v>
      </c>
      <c r="B20" s="1" t="s">
        <v>29</v>
      </c>
      <c r="C20">
        <v>59530</v>
      </c>
      <c r="D20">
        <v>6615</v>
      </c>
      <c r="E20">
        <v>61771</v>
      </c>
      <c r="F20">
        <v>3183</v>
      </c>
      <c r="G20">
        <v>52891</v>
      </c>
      <c r="H20">
        <v>111185</v>
      </c>
      <c r="I20">
        <v>7489</v>
      </c>
      <c r="J20">
        <v>101574</v>
      </c>
      <c r="K20">
        <v>4035</v>
      </c>
      <c r="L20">
        <v>131895</v>
      </c>
      <c r="M20">
        <v>4305</v>
      </c>
      <c r="N20">
        <v>264</v>
      </c>
      <c r="O20">
        <v>7558</v>
      </c>
      <c r="P20">
        <v>189</v>
      </c>
      <c r="Q20">
        <v>11270</v>
      </c>
      <c r="R20">
        <v>337494</v>
      </c>
      <c r="S20">
        <v>18451</v>
      </c>
      <c r="T20">
        <v>344176</v>
      </c>
      <c r="U20">
        <v>8209</v>
      </c>
      <c r="V20">
        <v>285035</v>
      </c>
      <c r="W20">
        <v>242177</v>
      </c>
      <c r="X20">
        <v>2542</v>
      </c>
      <c r="Y20">
        <v>265389</v>
      </c>
      <c r="Z20">
        <v>2233</v>
      </c>
      <c r="AA20">
        <v>303580</v>
      </c>
      <c r="AB20">
        <v>171468</v>
      </c>
      <c r="AC20">
        <v>4293</v>
      </c>
      <c r="AD20">
        <v>171037</v>
      </c>
      <c r="AE20">
        <v>2263</v>
      </c>
      <c r="AF20">
        <v>185426</v>
      </c>
      <c r="AG20">
        <v>493431</v>
      </c>
      <c r="AH20">
        <v>17269</v>
      </c>
      <c r="AI20">
        <v>489137</v>
      </c>
      <c r="AJ20">
        <v>8580</v>
      </c>
      <c r="AK20">
        <v>455365</v>
      </c>
    </row>
    <row r="21" spans="1:37" x14ac:dyDescent="0.4">
      <c r="A21" s="1" t="s">
        <v>30</v>
      </c>
      <c r="B21" s="1" t="s">
        <v>31</v>
      </c>
      <c r="C21">
        <v>69287</v>
      </c>
      <c r="D21">
        <v>7722</v>
      </c>
      <c r="E21">
        <v>71246</v>
      </c>
      <c r="F21">
        <v>3663</v>
      </c>
      <c r="G21">
        <v>54453</v>
      </c>
      <c r="H21">
        <v>115839</v>
      </c>
      <c r="I21">
        <v>7705</v>
      </c>
      <c r="J21">
        <v>118272</v>
      </c>
      <c r="K21">
        <v>4823</v>
      </c>
      <c r="L21">
        <v>127630</v>
      </c>
      <c r="M21">
        <v>3644</v>
      </c>
      <c r="N21">
        <v>240</v>
      </c>
      <c r="O21">
        <v>8887</v>
      </c>
      <c r="P21">
        <v>217</v>
      </c>
      <c r="Q21">
        <v>8649</v>
      </c>
      <c r="R21">
        <v>375527</v>
      </c>
      <c r="S21">
        <v>20623</v>
      </c>
      <c r="T21">
        <v>388843</v>
      </c>
      <c r="U21">
        <v>9152</v>
      </c>
      <c r="V21">
        <v>289863</v>
      </c>
      <c r="W21">
        <v>298884</v>
      </c>
      <c r="X21">
        <v>3335</v>
      </c>
      <c r="Y21">
        <v>331415</v>
      </c>
      <c r="Z21">
        <v>2789</v>
      </c>
      <c r="AA21">
        <v>300867</v>
      </c>
      <c r="AB21">
        <v>158878</v>
      </c>
      <c r="AC21">
        <v>4011</v>
      </c>
      <c r="AD21">
        <v>165611</v>
      </c>
      <c r="AE21">
        <v>2264</v>
      </c>
      <c r="AF21">
        <v>178651</v>
      </c>
      <c r="AG21">
        <v>503908</v>
      </c>
      <c r="AH21">
        <v>17641</v>
      </c>
      <c r="AI21">
        <v>496931</v>
      </c>
      <c r="AJ21">
        <v>8808</v>
      </c>
      <c r="AK21">
        <v>463995</v>
      </c>
    </row>
    <row r="22" spans="1:37" x14ac:dyDescent="0.4">
      <c r="A22" s="1" t="s">
        <v>32</v>
      </c>
      <c r="B22" s="1" t="s">
        <v>33</v>
      </c>
      <c r="C22">
        <v>66756</v>
      </c>
      <c r="D22">
        <v>7394</v>
      </c>
      <c r="E22">
        <v>65484</v>
      </c>
      <c r="F22">
        <v>3348</v>
      </c>
      <c r="G22">
        <v>59967</v>
      </c>
      <c r="H22">
        <v>116023</v>
      </c>
      <c r="I22">
        <v>7646</v>
      </c>
      <c r="J22">
        <v>110175</v>
      </c>
      <c r="K22">
        <v>4409</v>
      </c>
      <c r="L22">
        <v>130818</v>
      </c>
      <c r="M22">
        <v>8653</v>
      </c>
      <c r="N22">
        <v>566</v>
      </c>
      <c r="O22">
        <v>8622</v>
      </c>
      <c r="P22">
        <v>203</v>
      </c>
      <c r="Q22">
        <v>11494</v>
      </c>
      <c r="R22">
        <v>369877</v>
      </c>
      <c r="S22">
        <v>20384</v>
      </c>
      <c r="T22">
        <v>361161</v>
      </c>
      <c r="U22">
        <v>8560</v>
      </c>
      <c r="V22">
        <v>316116</v>
      </c>
      <c r="W22">
        <v>310635</v>
      </c>
      <c r="X22">
        <v>3350</v>
      </c>
      <c r="Y22">
        <v>321385</v>
      </c>
      <c r="Z22">
        <v>2770</v>
      </c>
      <c r="AA22">
        <v>321954</v>
      </c>
      <c r="AB22">
        <v>170565</v>
      </c>
      <c r="AC22">
        <v>4354</v>
      </c>
      <c r="AD22">
        <v>187505</v>
      </c>
      <c r="AE22">
        <v>2543</v>
      </c>
      <c r="AF22">
        <v>161645</v>
      </c>
      <c r="AG22">
        <v>488523</v>
      </c>
      <c r="AH22">
        <v>17307</v>
      </c>
      <c r="AI22">
        <v>491970</v>
      </c>
      <c r="AJ22">
        <v>8491</v>
      </c>
      <c r="AK22">
        <v>461439</v>
      </c>
    </row>
    <row r="23" spans="1:37" x14ac:dyDescent="0.4">
      <c r="A23" s="1" t="s">
        <v>34</v>
      </c>
      <c r="B23" s="1" t="s">
        <v>35</v>
      </c>
      <c r="C23">
        <v>63344</v>
      </c>
      <c r="D23">
        <v>7054</v>
      </c>
      <c r="E23">
        <v>83740</v>
      </c>
      <c r="F23">
        <v>4380</v>
      </c>
      <c r="G23">
        <v>44063</v>
      </c>
      <c r="H23">
        <v>110533</v>
      </c>
      <c r="I23">
        <v>7388</v>
      </c>
      <c r="J23">
        <v>134651</v>
      </c>
      <c r="K23">
        <v>5537</v>
      </c>
      <c r="L23">
        <v>104384</v>
      </c>
      <c r="M23">
        <v>4188</v>
      </c>
      <c r="N23">
        <v>269</v>
      </c>
      <c r="O23">
        <v>11104</v>
      </c>
      <c r="P23">
        <v>263</v>
      </c>
      <c r="Q23">
        <v>8123</v>
      </c>
      <c r="R23">
        <v>366335</v>
      </c>
      <c r="S23">
        <v>20110</v>
      </c>
      <c r="T23">
        <v>449037</v>
      </c>
      <c r="U23">
        <v>10790</v>
      </c>
      <c r="V23">
        <v>249347</v>
      </c>
      <c r="W23">
        <v>286867</v>
      </c>
      <c r="X23">
        <v>3025</v>
      </c>
      <c r="Y23">
        <v>369073</v>
      </c>
      <c r="Z23">
        <v>3177</v>
      </c>
      <c r="AA23">
        <v>271407</v>
      </c>
      <c r="AB23">
        <v>162400</v>
      </c>
      <c r="AC23">
        <v>4006</v>
      </c>
      <c r="AD23">
        <v>179672</v>
      </c>
      <c r="AE23">
        <v>2598</v>
      </c>
      <c r="AF23">
        <v>144275</v>
      </c>
      <c r="AG23">
        <v>461062</v>
      </c>
      <c r="AH23">
        <v>16152</v>
      </c>
      <c r="AI23">
        <v>501418</v>
      </c>
      <c r="AJ23">
        <v>8930</v>
      </c>
      <c r="AK23">
        <v>422225</v>
      </c>
    </row>
    <row r="24" spans="1:37" x14ac:dyDescent="0.4">
      <c r="A24" s="1" t="s">
        <v>36</v>
      </c>
      <c r="B24" s="1" t="s">
        <v>37</v>
      </c>
      <c r="C24">
        <v>59600</v>
      </c>
      <c r="D24">
        <v>6582</v>
      </c>
      <c r="E24">
        <v>54780</v>
      </c>
      <c r="F24">
        <v>2904</v>
      </c>
      <c r="G24">
        <v>51829</v>
      </c>
      <c r="H24">
        <v>99749</v>
      </c>
      <c r="I24">
        <v>6682</v>
      </c>
      <c r="J24">
        <v>87122</v>
      </c>
      <c r="K24">
        <v>3613</v>
      </c>
      <c r="L24">
        <v>114700</v>
      </c>
      <c r="M24">
        <v>5332</v>
      </c>
      <c r="N24">
        <v>348</v>
      </c>
      <c r="O24">
        <v>7051</v>
      </c>
      <c r="P24">
        <v>171</v>
      </c>
      <c r="Q24">
        <v>8940</v>
      </c>
      <c r="R24">
        <v>327435</v>
      </c>
      <c r="S24">
        <v>17967</v>
      </c>
      <c r="T24">
        <v>312481</v>
      </c>
      <c r="U24">
        <v>7552</v>
      </c>
      <c r="V24">
        <v>275516</v>
      </c>
      <c r="W24">
        <v>265273</v>
      </c>
      <c r="X24">
        <v>2901</v>
      </c>
      <c r="Y24">
        <v>287890</v>
      </c>
      <c r="Z24">
        <v>2509</v>
      </c>
      <c r="AA24">
        <v>275056</v>
      </c>
      <c r="AB24">
        <v>150531</v>
      </c>
      <c r="AC24">
        <v>3807</v>
      </c>
      <c r="AD24">
        <v>133298</v>
      </c>
      <c r="AE24">
        <v>1818</v>
      </c>
      <c r="AF24">
        <v>161429</v>
      </c>
      <c r="AG24">
        <v>411887</v>
      </c>
      <c r="AH24">
        <v>14726</v>
      </c>
      <c r="AI24">
        <v>382120</v>
      </c>
      <c r="AJ24">
        <v>6642</v>
      </c>
      <c r="AK24">
        <v>452590</v>
      </c>
    </row>
    <row r="25" spans="1:37" x14ac:dyDescent="0.4">
      <c r="A25" s="1" t="s">
        <v>38</v>
      </c>
      <c r="B25" s="1" t="s">
        <v>39</v>
      </c>
      <c r="C25">
        <v>58599</v>
      </c>
      <c r="D25">
        <v>6528</v>
      </c>
      <c r="E25">
        <v>60389</v>
      </c>
      <c r="F25">
        <v>3155</v>
      </c>
      <c r="G25">
        <v>53571</v>
      </c>
      <c r="H25">
        <v>102957</v>
      </c>
      <c r="I25">
        <v>6885</v>
      </c>
      <c r="J25">
        <v>100062</v>
      </c>
      <c r="K25">
        <v>4052</v>
      </c>
      <c r="L25">
        <v>116421</v>
      </c>
      <c r="M25">
        <v>5186</v>
      </c>
      <c r="N25">
        <v>334</v>
      </c>
      <c r="O25">
        <v>7424</v>
      </c>
      <c r="P25">
        <v>180</v>
      </c>
      <c r="Q25">
        <v>9070</v>
      </c>
      <c r="R25">
        <v>333613</v>
      </c>
      <c r="S25">
        <v>18432</v>
      </c>
      <c r="T25">
        <v>335752</v>
      </c>
      <c r="U25">
        <v>8195</v>
      </c>
      <c r="V25">
        <v>285813</v>
      </c>
      <c r="W25">
        <v>310103</v>
      </c>
      <c r="X25">
        <v>3226</v>
      </c>
      <c r="Y25">
        <v>295930</v>
      </c>
      <c r="Z25">
        <v>2553</v>
      </c>
      <c r="AA25">
        <v>320864</v>
      </c>
      <c r="AB25">
        <v>135065</v>
      </c>
      <c r="AC25">
        <v>3357</v>
      </c>
      <c r="AD25">
        <v>151420</v>
      </c>
      <c r="AE25">
        <v>2087</v>
      </c>
      <c r="AF25">
        <v>145046</v>
      </c>
      <c r="AG25">
        <v>398768</v>
      </c>
      <c r="AH25">
        <v>14080</v>
      </c>
      <c r="AI25">
        <v>395324</v>
      </c>
      <c r="AJ25">
        <v>7018</v>
      </c>
      <c r="AK25">
        <v>458150</v>
      </c>
    </row>
    <row r="26" spans="1:37" x14ac:dyDescent="0.4">
      <c r="A26" s="1" t="s">
        <v>40</v>
      </c>
      <c r="B26" s="1" t="s">
        <v>41</v>
      </c>
      <c r="C26">
        <v>63639</v>
      </c>
      <c r="D26">
        <v>7061</v>
      </c>
      <c r="E26">
        <v>67809</v>
      </c>
      <c r="F26">
        <v>3549</v>
      </c>
      <c r="G26">
        <v>52461</v>
      </c>
      <c r="H26">
        <v>110926</v>
      </c>
      <c r="I26">
        <v>7433</v>
      </c>
      <c r="J26">
        <v>112047</v>
      </c>
      <c r="K26">
        <v>4636</v>
      </c>
      <c r="L26">
        <v>112364</v>
      </c>
      <c r="M26">
        <v>4554</v>
      </c>
      <c r="N26">
        <v>294</v>
      </c>
      <c r="O26">
        <v>8111</v>
      </c>
      <c r="P26">
        <v>197</v>
      </c>
      <c r="Q26">
        <v>7965</v>
      </c>
      <c r="R26">
        <v>367465</v>
      </c>
      <c r="S26">
        <v>20103</v>
      </c>
      <c r="T26">
        <v>380711</v>
      </c>
      <c r="U26">
        <v>9166</v>
      </c>
      <c r="V26">
        <v>289691</v>
      </c>
      <c r="W26">
        <v>299844</v>
      </c>
      <c r="X26">
        <v>3393</v>
      </c>
      <c r="Y26">
        <v>336808</v>
      </c>
      <c r="Z26">
        <v>2916</v>
      </c>
      <c r="AA26">
        <v>314075</v>
      </c>
      <c r="AB26">
        <v>138680</v>
      </c>
      <c r="AC26">
        <v>3498</v>
      </c>
      <c r="AD26">
        <v>166826</v>
      </c>
      <c r="AE26">
        <v>2333</v>
      </c>
      <c r="AF26">
        <v>116779</v>
      </c>
      <c r="AG26">
        <v>421195</v>
      </c>
      <c r="AH26">
        <v>14555</v>
      </c>
      <c r="AI26">
        <v>467765</v>
      </c>
      <c r="AJ26">
        <v>8455</v>
      </c>
      <c r="AK26">
        <v>413490</v>
      </c>
    </row>
    <row r="27" spans="1:37" x14ac:dyDescent="0.4">
      <c r="A27" s="1" t="s">
        <v>42</v>
      </c>
      <c r="B27" s="1" t="s">
        <v>43</v>
      </c>
      <c r="C27">
        <v>65069</v>
      </c>
      <c r="D27">
        <v>7232</v>
      </c>
      <c r="E27">
        <v>74043</v>
      </c>
      <c r="F27">
        <v>3906</v>
      </c>
      <c r="G27">
        <v>47384</v>
      </c>
      <c r="H27">
        <v>120884</v>
      </c>
      <c r="I27">
        <v>8141</v>
      </c>
      <c r="J27">
        <v>116819</v>
      </c>
      <c r="K27">
        <v>4911</v>
      </c>
      <c r="L27">
        <v>114378</v>
      </c>
      <c r="M27">
        <v>6646</v>
      </c>
      <c r="N27">
        <v>430</v>
      </c>
      <c r="O27">
        <v>10031</v>
      </c>
      <c r="P27">
        <v>241</v>
      </c>
      <c r="Q27">
        <v>8190</v>
      </c>
      <c r="R27">
        <v>378988</v>
      </c>
      <c r="S27">
        <v>20737</v>
      </c>
      <c r="T27">
        <v>404995</v>
      </c>
      <c r="U27">
        <v>9826</v>
      </c>
      <c r="V27">
        <v>280665</v>
      </c>
      <c r="W27">
        <v>343032</v>
      </c>
      <c r="X27">
        <v>3590</v>
      </c>
      <c r="Y27">
        <v>347913</v>
      </c>
      <c r="Z27">
        <v>3024</v>
      </c>
      <c r="AA27">
        <v>341539</v>
      </c>
      <c r="AB27">
        <v>150483</v>
      </c>
      <c r="AC27">
        <v>3818</v>
      </c>
      <c r="AD27">
        <v>156209</v>
      </c>
      <c r="AE27">
        <v>2128</v>
      </c>
      <c r="AF27">
        <v>111004</v>
      </c>
      <c r="AG27">
        <v>457854</v>
      </c>
      <c r="AH27">
        <v>15925</v>
      </c>
      <c r="AI27">
        <v>455622</v>
      </c>
      <c r="AJ27">
        <v>8106</v>
      </c>
      <c r="AK27">
        <v>418629</v>
      </c>
    </row>
    <row r="28" spans="1:37" x14ac:dyDescent="0.4">
      <c r="A28" s="1" t="s">
        <v>44</v>
      </c>
      <c r="B28" s="1" t="s">
        <v>45</v>
      </c>
      <c r="C28">
        <v>58633</v>
      </c>
      <c r="D28">
        <v>6496</v>
      </c>
      <c r="E28">
        <v>62598</v>
      </c>
      <c r="F28">
        <v>3238</v>
      </c>
      <c r="G28">
        <v>47003</v>
      </c>
      <c r="H28">
        <v>109180</v>
      </c>
      <c r="I28">
        <v>7383</v>
      </c>
      <c r="J28">
        <v>101248</v>
      </c>
      <c r="K28">
        <v>4163</v>
      </c>
      <c r="L28">
        <v>120131</v>
      </c>
      <c r="M28">
        <v>3110</v>
      </c>
      <c r="N28">
        <v>204</v>
      </c>
      <c r="O28">
        <v>7066</v>
      </c>
      <c r="P28">
        <v>169</v>
      </c>
      <c r="Q28">
        <v>6729</v>
      </c>
      <c r="R28">
        <v>326221</v>
      </c>
      <c r="S28">
        <v>17649</v>
      </c>
      <c r="T28">
        <v>350011</v>
      </c>
      <c r="U28">
        <v>8354</v>
      </c>
      <c r="V28">
        <v>270649</v>
      </c>
      <c r="W28">
        <v>286727</v>
      </c>
      <c r="X28">
        <v>3249</v>
      </c>
      <c r="Y28">
        <v>311446</v>
      </c>
      <c r="Z28">
        <v>2662</v>
      </c>
      <c r="AA28">
        <v>349412</v>
      </c>
      <c r="AB28">
        <v>158041</v>
      </c>
      <c r="AC28">
        <v>4032</v>
      </c>
      <c r="AD28">
        <v>151026</v>
      </c>
      <c r="AE28">
        <v>2143</v>
      </c>
      <c r="AF28">
        <v>117988</v>
      </c>
      <c r="AG28">
        <v>413218</v>
      </c>
      <c r="AH28">
        <v>14360</v>
      </c>
      <c r="AI28">
        <v>484934</v>
      </c>
      <c r="AJ28">
        <v>8558</v>
      </c>
      <c r="AK28">
        <v>348329</v>
      </c>
    </row>
    <row r="29" spans="1:37" x14ac:dyDescent="0.4">
      <c r="A29" s="1" t="s">
        <v>46</v>
      </c>
      <c r="B29" s="1" t="s">
        <v>47</v>
      </c>
      <c r="C29">
        <v>61345</v>
      </c>
      <c r="D29">
        <v>6776</v>
      </c>
      <c r="E29">
        <v>63426</v>
      </c>
      <c r="F29">
        <v>3213</v>
      </c>
      <c r="G29">
        <v>47770</v>
      </c>
      <c r="H29">
        <v>112403</v>
      </c>
      <c r="I29">
        <v>7515</v>
      </c>
      <c r="J29">
        <v>115086</v>
      </c>
      <c r="K29">
        <v>4650</v>
      </c>
      <c r="L29">
        <v>115535</v>
      </c>
      <c r="M29">
        <v>7241</v>
      </c>
      <c r="N29">
        <v>462</v>
      </c>
      <c r="O29">
        <v>7925</v>
      </c>
      <c r="P29">
        <v>189</v>
      </c>
      <c r="Q29">
        <v>8404</v>
      </c>
      <c r="R29">
        <v>368427</v>
      </c>
      <c r="S29">
        <v>20446</v>
      </c>
      <c r="T29">
        <v>370975</v>
      </c>
      <c r="U29">
        <v>8919</v>
      </c>
      <c r="V29">
        <v>282527</v>
      </c>
      <c r="W29">
        <v>331521</v>
      </c>
      <c r="X29">
        <v>3612</v>
      </c>
      <c r="Y29">
        <v>328145</v>
      </c>
      <c r="Z29">
        <v>2815</v>
      </c>
      <c r="AA29">
        <v>381729</v>
      </c>
      <c r="AB29">
        <v>166897</v>
      </c>
      <c r="AC29">
        <v>4346</v>
      </c>
      <c r="AD29">
        <v>150051</v>
      </c>
      <c r="AE29">
        <v>2045</v>
      </c>
      <c r="AF29">
        <v>134719</v>
      </c>
      <c r="AG29">
        <v>506660</v>
      </c>
      <c r="AH29">
        <v>17715</v>
      </c>
      <c r="AI29">
        <v>517534</v>
      </c>
      <c r="AJ29">
        <v>9068</v>
      </c>
      <c r="AK29">
        <v>338328</v>
      </c>
    </row>
    <row r="30" spans="1:37" x14ac:dyDescent="0.4">
      <c r="A30" s="1" t="s">
        <v>48</v>
      </c>
      <c r="B30" s="1" t="s">
        <v>49</v>
      </c>
      <c r="C30">
        <v>69401</v>
      </c>
      <c r="D30">
        <v>7698</v>
      </c>
      <c r="E30">
        <v>72740</v>
      </c>
      <c r="F30">
        <v>3830</v>
      </c>
      <c r="G30">
        <v>47872</v>
      </c>
      <c r="H30">
        <v>118579</v>
      </c>
      <c r="I30">
        <v>7976</v>
      </c>
      <c r="J30">
        <v>108748</v>
      </c>
      <c r="K30">
        <v>4490</v>
      </c>
      <c r="L30">
        <v>122923</v>
      </c>
      <c r="M30">
        <v>3935</v>
      </c>
      <c r="N30">
        <v>248</v>
      </c>
      <c r="O30">
        <v>9161</v>
      </c>
      <c r="P30">
        <v>223</v>
      </c>
      <c r="Q30">
        <v>6286</v>
      </c>
      <c r="R30">
        <v>377355</v>
      </c>
      <c r="S30">
        <v>20873</v>
      </c>
      <c r="T30">
        <v>383431</v>
      </c>
      <c r="U30">
        <v>9488</v>
      </c>
      <c r="V30">
        <v>293175</v>
      </c>
      <c r="W30">
        <v>341020</v>
      </c>
      <c r="X30">
        <v>3899</v>
      </c>
      <c r="Y30">
        <v>284219</v>
      </c>
      <c r="Z30">
        <v>2450</v>
      </c>
      <c r="AA30">
        <v>462296</v>
      </c>
      <c r="AB30">
        <v>164700</v>
      </c>
      <c r="AC30">
        <v>4182</v>
      </c>
      <c r="AD30">
        <v>141054</v>
      </c>
      <c r="AE30">
        <v>1947</v>
      </c>
      <c r="AF30">
        <v>158324</v>
      </c>
      <c r="AG30">
        <v>509978</v>
      </c>
      <c r="AH30">
        <v>17847</v>
      </c>
      <c r="AI30">
        <v>434937</v>
      </c>
      <c r="AJ30">
        <v>7734</v>
      </c>
      <c r="AK30">
        <v>414329</v>
      </c>
    </row>
    <row r="31" spans="1:37" x14ac:dyDescent="0.4">
      <c r="A31" s="1" t="s">
        <v>50</v>
      </c>
      <c r="B31" s="1" t="s">
        <v>51</v>
      </c>
      <c r="C31">
        <v>54702</v>
      </c>
      <c r="D31">
        <v>6012</v>
      </c>
      <c r="E31">
        <v>64591</v>
      </c>
      <c r="F31">
        <v>3362</v>
      </c>
      <c r="G31">
        <v>41060</v>
      </c>
      <c r="H31">
        <v>93390</v>
      </c>
      <c r="I31">
        <v>6244</v>
      </c>
      <c r="J31">
        <v>105510</v>
      </c>
      <c r="K31">
        <v>4221</v>
      </c>
      <c r="L31">
        <v>109575</v>
      </c>
      <c r="M31">
        <v>9651</v>
      </c>
      <c r="N31">
        <v>625</v>
      </c>
      <c r="O31">
        <v>7916</v>
      </c>
      <c r="P31">
        <v>188</v>
      </c>
      <c r="Q31">
        <v>10685</v>
      </c>
      <c r="R31">
        <v>306101</v>
      </c>
      <c r="S31">
        <v>16763</v>
      </c>
      <c r="T31">
        <v>347972</v>
      </c>
      <c r="U31">
        <v>8598</v>
      </c>
      <c r="V31">
        <v>265405</v>
      </c>
      <c r="W31">
        <v>301017</v>
      </c>
      <c r="X31">
        <v>3080</v>
      </c>
      <c r="Y31">
        <v>281570</v>
      </c>
      <c r="Z31">
        <v>2310</v>
      </c>
      <c r="AA31">
        <v>506939</v>
      </c>
      <c r="AB31">
        <v>122581</v>
      </c>
      <c r="AC31">
        <v>3084</v>
      </c>
      <c r="AD31">
        <v>143524</v>
      </c>
      <c r="AE31">
        <v>2040</v>
      </c>
      <c r="AF31">
        <v>137451</v>
      </c>
      <c r="AG31">
        <v>424327</v>
      </c>
      <c r="AH31">
        <v>14796</v>
      </c>
      <c r="AI31">
        <v>411793</v>
      </c>
      <c r="AJ31">
        <v>7522</v>
      </c>
      <c r="AK31">
        <v>427820</v>
      </c>
    </row>
    <row r="32" spans="1:37" x14ac:dyDescent="0.4">
      <c r="A32" s="1" t="s">
        <v>52</v>
      </c>
      <c r="B32" s="1" t="s">
        <v>53</v>
      </c>
      <c r="C32">
        <v>63690</v>
      </c>
      <c r="D32">
        <v>7076</v>
      </c>
      <c r="E32">
        <v>62979</v>
      </c>
      <c r="F32">
        <v>3285</v>
      </c>
      <c r="G32">
        <v>44845</v>
      </c>
      <c r="H32">
        <v>113836</v>
      </c>
      <c r="I32">
        <v>7550</v>
      </c>
      <c r="J32">
        <v>104022</v>
      </c>
      <c r="K32">
        <v>4229</v>
      </c>
      <c r="L32">
        <v>117197</v>
      </c>
      <c r="M32">
        <v>3616</v>
      </c>
      <c r="N32">
        <v>227</v>
      </c>
      <c r="O32">
        <v>7590</v>
      </c>
      <c r="P32">
        <v>183</v>
      </c>
      <c r="Q32">
        <v>9186</v>
      </c>
      <c r="R32">
        <v>356449</v>
      </c>
      <c r="S32">
        <v>19217</v>
      </c>
      <c r="T32">
        <v>369566</v>
      </c>
      <c r="U32">
        <v>8871</v>
      </c>
      <c r="V32">
        <v>267328</v>
      </c>
      <c r="W32">
        <v>273327</v>
      </c>
      <c r="X32">
        <v>3005</v>
      </c>
      <c r="Y32">
        <v>280371</v>
      </c>
      <c r="Z32">
        <v>2399</v>
      </c>
      <c r="AA32">
        <v>516788</v>
      </c>
      <c r="AB32">
        <v>120415</v>
      </c>
      <c r="AC32">
        <v>2938</v>
      </c>
      <c r="AD32">
        <v>151340</v>
      </c>
      <c r="AE32">
        <v>2029</v>
      </c>
      <c r="AF32">
        <v>106458</v>
      </c>
      <c r="AG32">
        <v>465826</v>
      </c>
      <c r="AH32">
        <v>16122</v>
      </c>
      <c r="AI32">
        <v>480070</v>
      </c>
      <c r="AJ32">
        <v>8388</v>
      </c>
      <c r="AK32">
        <v>413869</v>
      </c>
    </row>
    <row r="33" spans="1:37" x14ac:dyDescent="0.4">
      <c r="A33" s="1" t="s">
        <v>54</v>
      </c>
      <c r="B33" s="1" t="s">
        <v>55</v>
      </c>
      <c r="C33">
        <v>70969</v>
      </c>
      <c r="D33">
        <v>7791</v>
      </c>
      <c r="E33">
        <v>70512</v>
      </c>
      <c r="F33">
        <v>3653</v>
      </c>
      <c r="G33">
        <v>48959</v>
      </c>
      <c r="H33">
        <v>124418</v>
      </c>
      <c r="I33">
        <v>8383</v>
      </c>
      <c r="J33">
        <v>117199</v>
      </c>
      <c r="K33">
        <v>4699</v>
      </c>
      <c r="L33">
        <v>122599</v>
      </c>
      <c r="M33">
        <v>3928</v>
      </c>
      <c r="N33">
        <v>259</v>
      </c>
      <c r="O33">
        <v>8792</v>
      </c>
      <c r="P33">
        <v>211</v>
      </c>
      <c r="Q33">
        <v>7380</v>
      </c>
      <c r="R33">
        <v>389897</v>
      </c>
      <c r="S33">
        <v>21334</v>
      </c>
      <c r="T33">
        <v>394633</v>
      </c>
      <c r="U33">
        <v>9581</v>
      </c>
      <c r="V33">
        <v>279429</v>
      </c>
      <c r="W33">
        <v>330305</v>
      </c>
      <c r="X33">
        <v>3393</v>
      </c>
      <c r="Y33">
        <v>343828</v>
      </c>
      <c r="Z33">
        <v>2977</v>
      </c>
      <c r="AA33">
        <v>533678</v>
      </c>
      <c r="AB33">
        <v>149208</v>
      </c>
      <c r="AC33">
        <v>3715</v>
      </c>
      <c r="AD33">
        <v>151888</v>
      </c>
      <c r="AE33">
        <v>2109</v>
      </c>
      <c r="AF33">
        <v>103671</v>
      </c>
      <c r="AG33">
        <v>488774</v>
      </c>
      <c r="AH33">
        <v>17117</v>
      </c>
      <c r="AI33">
        <v>454223</v>
      </c>
      <c r="AJ33">
        <v>7897</v>
      </c>
      <c r="AK33">
        <v>449228</v>
      </c>
    </row>
    <row r="34" spans="1:37" x14ac:dyDescent="0.4">
      <c r="A34" s="1" t="s">
        <v>56</v>
      </c>
      <c r="B34" s="1" t="s">
        <v>57</v>
      </c>
      <c r="C34">
        <v>62492</v>
      </c>
      <c r="D34">
        <v>6917</v>
      </c>
      <c r="E34">
        <v>61607</v>
      </c>
      <c r="F34">
        <v>3254</v>
      </c>
      <c r="G34">
        <v>53824</v>
      </c>
      <c r="H34">
        <v>109312</v>
      </c>
      <c r="I34">
        <v>7420</v>
      </c>
      <c r="J34">
        <v>108803</v>
      </c>
      <c r="K34">
        <v>4375</v>
      </c>
      <c r="L34">
        <v>120926</v>
      </c>
      <c r="M34">
        <v>6985</v>
      </c>
      <c r="N34">
        <v>475</v>
      </c>
      <c r="O34">
        <v>7428</v>
      </c>
      <c r="P34">
        <v>179</v>
      </c>
      <c r="Q34">
        <v>9679</v>
      </c>
      <c r="R34">
        <v>363063</v>
      </c>
      <c r="S34">
        <v>19906</v>
      </c>
      <c r="T34">
        <v>359009</v>
      </c>
      <c r="U34">
        <v>8615</v>
      </c>
      <c r="V34">
        <v>299619</v>
      </c>
      <c r="W34">
        <v>277735</v>
      </c>
      <c r="X34">
        <v>3034</v>
      </c>
      <c r="Y34">
        <v>336569</v>
      </c>
      <c r="Z34">
        <v>2899</v>
      </c>
      <c r="AA34">
        <v>501471</v>
      </c>
      <c r="AB34">
        <v>138716</v>
      </c>
      <c r="AC34">
        <v>3399</v>
      </c>
      <c r="AD34">
        <v>138383</v>
      </c>
      <c r="AE34">
        <v>1857</v>
      </c>
      <c r="AF34">
        <v>103977</v>
      </c>
      <c r="AG34">
        <v>439134</v>
      </c>
      <c r="AH34">
        <v>15630</v>
      </c>
      <c r="AI34">
        <v>438326</v>
      </c>
      <c r="AJ34">
        <v>7781</v>
      </c>
      <c r="AK34">
        <v>450939</v>
      </c>
    </row>
    <row r="35" spans="1:37" x14ac:dyDescent="0.4">
      <c r="A35" s="1" t="s">
        <v>58</v>
      </c>
      <c r="B35" s="1" t="s">
        <v>59</v>
      </c>
      <c r="C35">
        <v>63175</v>
      </c>
      <c r="D35">
        <v>6929</v>
      </c>
      <c r="E35">
        <v>80666</v>
      </c>
      <c r="F35">
        <v>4369</v>
      </c>
      <c r="G35">
        <v>40290</v>
      </c>
      <c r="H35">
        <v>116442</v>
      </c>
      <c r="I35">
        <v>7855</v>
      </c>
      <c r="J35">
        <v>140172</v>
      </c>
      <c r="K35">
        <v>5705</v>
      </c>
      <c r="L35">
        <v>94936</v>
      </c>
      <c r="M35">
        <v>4233</v>
      </c>
      <c r="N35">
        <v>278</v>
      </c>
      <c r="O35">
        <v>10767</v>
      </c>
      <c r="P35">
        <v>256</v>
      </c>
      <c r="Q35">
        <v>6915</v>
      </c>
      <c r="R35">
        <v>367060</v>
      </c>
      <c r="S35">
        <v>20140</v>
      </c>
      <c r="T35">
        <v>452848</v>
      </c>
      <c r="U35">
        <v>11245</v>
      </c>
      <c r="V35">
        <v>233087</v>
      </c>
      <c r="W35">
        <v>317248</v>
      </c>
      <c r="X35">
        <v>3394</v>
      </c>
      <c r="Y35">
        <v>411502</v>
      </c>
      <c r="Z35">
        <v>3590</v>
      </c>
      <c r="AA35">
        <v>421201</v>
      </c>
      <c r="AB35">
        <v>125153</v>
      </c>
      <c r="AC35">
        <v>3045</v>
      </c>
      <c r="AD35">
        <v>142531</v>
      </c>
      <c r="AE35">
        <v>1924</v>
      </c>
      <c r="AF35">
        <v>86537</v>
      </c>
      <c r="AG35">
        <v>446551</v>
      </c>
      <c r="AH35">
        <v>15853</v>
      </c>
      <c r="AI35">
        <v>455231</v>
      </c>
      <c r="AJ35">
        <v>8024</v>
      </c>
      <c r="AK35">
        <v>443174</v>
      </c>
    </row>
    <row r="36" spans="1:37" x14ac:dyDescent="0.4">
      <c r="A36" s="1" t="s">
        <v>60</v>
      </c>
      <c r="B36" s="1" t="s">
        <v>61</v>
      </c>
      <c r="C36">
        <v>57230</v>
      </c>
      <c r="D36">
        <v>6131</v>
      </c>
      <c r="E36">
        <v>52460</v>
      </c>
      <c r="F36">
        <v>2727</v>
      </c>
      <c r="G36">
        <v>48071</v>
      </c>
      <c r="H36">
        <v>104516</v>
      </c>
      <c r="I36">
        <v>6976</v>
      </c>
      <c r="J36">
        <v>90448</v>
      </c>
      <c r="K36">
        <v>3623</v>
      </c>
      <c r="L36">
        <v>106284</v>
      </c>
      <c r="M36">
        <v>7018</v>
      </c>
      <c r="N36">
        <v>460</v>
      </c>
      <c r="O36">
        <v>6586</v>
      </c>
      <c r="P36">
        <v>160</v>
      </c>
      <c r="Q36">
        <v>9571</v>
      </c>
      <c r="R36">
        <v>311931</v>
      </c>
      <c r="S36">
        <v>17011</v>
      </c>
      <c r="T36">
        <v>303091</v>
      </c>
      <c r="U36">
        <v>7425</v>
      </c>
      <c r="V36">
        <v>255697</v>
      </c>
      <c r="W36">
        <v>273192</v>
      </c>
      <c r="X36">
        <v>3163</v>
      </c>
      <c r="Y36">
        <v>289204</v>
      </c>
      <c r="Z36">
        <v>2431</v>
      </c>
      <c r="AA36">
        <v>438137</v>
      </c>
      <c r="AB36">
        <v>117675</v>
      </c>
      <c r="AC36">
        <v>2862</v>
      </c>
      <c r="AD36">
        <v>113115</v>
      </c>
      <c r="AE36">
        <v>1433</v>
      </c>
      <c r="AF36">
        <v>91068</v>
      </c>
      <c r="AG36">
        <v>382984</v>
      </c>
      <c r="AH36">
        <v>13421</v>
      </c>
      <c r="AI36">
        <v>362416</v>
      </c>
      <c r="AJ36">
        <v>6444</v>
      </c>
      <c r="AK36">
        <v>464774</v>
      </c>
    </row>
    <row r="37" spans="1:37" x14ac:dyDescent="0.4">
      <c r="A37" s="1" t="s">
        <v>62</v>
      </c>
      <c r="B37" s="1" t="s">
        <v>63</v>
      </c>
      <c r="C37">
        <v>60092</v>
      </c>
      <c r="D37">
        <v>6514</v>
      </c>
      <c r="E37">
        <v>56674</v>
      </c>
      <c r="F37">
        <v>3030</v>
      </c>
      <c r="G37">
        <v>54333</v>
      </c>
      <c r="H37">
        <v>110156</v>
      </c>
      <c r="I37">
        <v>7405</v>
      </c>
      <c r="J37">
        <v>97437</v>
      </c>
      <c r="K37">
        <v>3917</v>
      </c>
      <c r="L37">
        <v>116300</v>
      </c>
      <c r="M37">
        <v>3887</v>
      </c>
      <c r="N37">
        <v>257</v>
      </c>
      <c r="O37">
        <v>6986</v>
      </c>
      <c r="P37">
        <v>171</v>
      </c>
      <c r="Q37">
        <v>8750</v>
      </c>
      <c r="R37">
        <v>319300</v>
      </c>
      <c r="S37">
        <v>17543</v>
      </c>
      <c r="T37">
        <v>327617</v>
      </c>
      <c r="U37">
        <v>8155</v>
      </c>
      <c r="V37">
        <v>263658</v>
      </c>
      <c r="W37">
        <v>308457</v>
      </c>
      <c r="X37">
        <v>3234</v>
      </c>
      <c r="Y37">
        <v>317057</v>
      </c>
      <c r="Z37">
        <v>2654</v>
      </c>
      <c r="AA37">
        <v>448483</v>
      </c>
      <c r="AB37">
        <v>129264</v>
      </c>
      <c r="AC37">
        <v>3163</v>
      </c>
      <c r="AD37">
        <v>117132</v>
      </c>
      <c r="AE37">
        <v>1468</v>
      </c>
      <c r="AF37">
        <v>103195</v>
      </c>
      <c r="AG37">
        <v>375142</v>
      </c>
      <c r="AH37">
        <v>13175</v>
      </c>
      <c r="AI37">
        <v>400052</v>
      </c>
      <c r="AJ37">
        <v>7004</v>
      </c>
      <c r="AK37">
        <v>441710</v>
      </c>
    </row>
    <row r="38" spans="1:37" x14ac:dyDescent="0.4">
      <c r="A38" s="1" t="s">
        <v>64</v>
      </c>
      <c r="B38" s="1" t="s">
        <v>65</v>
      </c>
      <c r="C38">
        <v>65527</v>
      </c>
      <c r="D38">
        <v>7163</v>
      </c>
      <c r="E38">
        <v>63941</v>
      </c>
      <c r="F38">
        <v>3313</v>
      </c>
      <c r="G38">
        <v>59379</v>
      </c>
      <c r="H38">
        <v>121639</v>
      </c>
      <c r="I38">
        <v>8201</v>
      </c>
      <c r="J38">
        <v>116722</v>
      </c>
      <c r="K38">
        <v>4530</v>
      </c>
      <c r="L38">
        <v>118246</v>
      </c>
      <c r="M38">
        <v>4732</v>
      </c>
      <c r="N38">
        <v>302</v>
      </c>
      <c r="O38">
        <v>8081</v>
      </c>
      <c r="P38">
        <v>192</v>
      </c>
      <c r="Q38">
        <v>8109</v>
      </c>
      <c r="R38">
        <v>360067</v>
      </c>
      <c r="S38">
        <v>19744</v>
      </c>
      <c r="T38">
        <v>372303</v>
      </c>
      <c r="U38">
        <v>8983</v>
      </c>
      <c r="V38">
        <v>269675</v>
      </c>
      <c r="W38">
        <v>317344</v>
      </c>
      <c r="X38">
        <v>3488</v>
      </c>
      <c r="Y38">
        <v>369710</v>
      </c>
      <c r="Z38">
        <v>2988</v>
      </c>
      <c r="AA38">
        <v>420776</v>
      </c>
      <c r="AB38">
        <v>123026</v>
      </c>
      <c r="AC38">
        <v>3084</v>
      </c>
      <c r="AD38">
        <v>144967</v>
      </c>
      <c r="AE38">
        <v>1879</v>
      </c>
      <c r="AF38">
        <v>81035</v>
      </c>
      <c r="AG38">
        <v>370255</v>
      </c>
      <c r="AH38">
        <v>13088</v>
      </c>
      <c r="AI38">
        <v>477040</v>
      </c>
      <c r="AJ38">
        <v>8380</v>
      </c>
      <c r="AK38">
        <v>338454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69D25-F9E1-425E-AFF2-909FD74BCD3A}">
  <dimension ref="A1:J40"/>
  <sheetViews>
    <sheetView workbookViewId="0">
      <selection activeCell="C9" sqref="C9"/>
    </sheetView>
  </sheetViews>
  <sheetFormatPr defaultColWidth="15.62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2102</v>
      </c>
      <c r="D3" t="s">
        <v>2104</v>
      </c>
      <c r="E3" t="s">
        <v>2106</v>
      </c>
      <c r="F3" t="s">
        <v>2108</v>
      </c>
      <c r="G3" t="s">
        <v>2110</v>
      </c>
      <c r="H3" t="s">
        <v>2112</v>
      </c>
      <c r="I3" t="s">
        <v>2114</v>
      </c>
      <c r="J3" t="s">
        <v>2116</v>
      </c>
    </row>
    <row r="4" spans="1:10" x14ac:dyDescent="0.4">
      <c r="A4" s="1"/>
      <c r="B4" s="2" t="s">
        <v>1</v>
      </c>
      <c r="C4" t="s">
        <v>2103</v>
      </c>
      <c r="D4" t="s">
        <v>2105</v>
      </c>
      <c r="E4" t="s">
        <v>2107</v>
      </c>
      <c r="F4" t="s">
        <v>2109</v>
      </c>
      <c r="G4" t="s">
        <v>2111</v>
      </c>
      <c r="H4" t="s">
        <v>2113</v>
      </c>
      <c r="I4" t="s">
        <v>2115</v>
      </c>
      <c r="J4" t="s">
        <v>2117</v>
      </c>
    </row>
    <row r="5" spans="1:10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</row>
    <row r="6" spans="1:10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</row>
    <row r="7" spans="1:10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</row>
    <row r="8" spans="1:10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</row>
    <row r="9" spans="1:10" x14ac:dyDescent="0.4">
      <c r="A9" s="1" t="s">
        <v>6</v>
      </c>
      <c r="B9" s="3" t="s">
        <v>7</v>
      </c>
      <c r="C9">
        <v>350027</v>
      </c>
      <c r="D9">
        <v>54446</v>
      </c>
      <c r="E9">
        <v>123313</v>
      </c>
      <c r="F9">
        <v>5261</v>
      </c>
      <c r="G9">
        <v>47791</v>
      </c>
      <c r="H9">
        <v>84697</v>
      </c>
      <c r="I9">
        <v>16588</v>
      </c>
      <c r="J9">
        <v>17931</v>
      </c>
    </row>
    <row r="10" spans="1:10" x14ac:dyDescent="0.4">
      <c r="A10" s="1" t="s">
        <v>8</v>
      </c>
      <c r="B10" s="3" t="s">
        <v>9</v>
      </c>
      <c r="C10">
        <v>351537</v>
      </c>
      <c r="D10">
        <v>53784</v>
      </c>
      <c r="E10">
        <v>123234</v>
      </c>
      <c r="F10">
        <v>4983</v>
      </c>
      <c r="G10">
        <v>46976</v>
      </c>
      <c r="H10">
        <v>89304</v>
      </c>
      <c r="I10">
        <v>16124</v>
      </c>
      <c r="J10">
        <v>17132</v>
      </c>
    </row>
    <row r="11" spans="1:10" x14ac:dyDescent="0.4">
      <c r="A11" s="1" t="s">
        <v>10</v>
      </c>
      <c r="B11" s="3" t="s">
        <v>11</v>
      </c>
      <c r="C11">
        <v>356852</v>
      </c>
      <c r="D11">
        <v>51872</v>
      </c>
      <c r="E11">
        <v>124669</v>
      </c>
      <c r="F11">
        <v>5812</v>
      </c>
      <c r="G11">
        <v>47947</v>
      </c>
      <c r="H11">
        <v>92241</v>
      </c>
      <c r="I11">
        <v>15371</v>
      </c>
      <c r="J11">
        <v>18940</v>
      </c>
    </row>
    <row r="12" spans="1:10" x14ac:dyDescent="0.4">
      <c r="A12" s="1" t="s">
        <v>12</v>
      </c>
      <c r="B12" s="3" t="s">
        <v>13</v>
      </c>
      <c r="C12">
        <v>358215</v>
      </c>
      <c r="D12">
        <v>50529</v>
      </c>
      <c r="E12">
        <v>125127</v>
      </c>
      <c r="F12">
        <v>6233</v>
      </c>
      <c r="G12">
        <v>46645</v>
      </c>
      <c r="H12">
        <v>94689</v>
      </c>
      <c r="I12">
        <v>16424</v>
      </c>
      <c r="J12">
        <v>18568</v>
      </c>
    </row>
    <row r="13" spans="1:10" x14ac:dyDescent="0.4">
      <c r="A13" s="1" t="s">
        <v>14</v>
      </c>
      <c r="B13" s="3" t="s">
        <v>15</v>
      </c>
      <c r="C13">
        <v>361431</v>
      </c>
      <c r="D13">
        <v>47172</v>
      </c>
      <c r="E13">
        <v>122972</v>
      </c>
      <c r="F13">
        <v>6064</v>
      </c>
      <c r="G13">
        <v>49323</v>
      </c>
      <c r="H13">
        <v>100555</v>
      </c>
      <c r="I13">
        <v>16635</v>
      </c>
      <c r="J13">
        <v>18710</v>
      </c>
    </row>
    <row r="14" spans="1:10" x14ac:dyDescent="0.4">
      <c r="A14" s="1" t="s">
        <v>16</v>
      </c>
      <c r="B14" s="1" t="s">
        <v>17</v>
      </c>
      <c r="C14">
        <v>32600</v>
      </c>
      <c r="D14">
        <v>4543</v>
      </c>
      <c r="E14">
        <v>12727</v>
      </c>
      <c r="F14">
        <v>452</v>
      </c>
      <c r="G14">
        <v>4144</v>
      </c>
      <c r="H14">
        <v>7777</v>
      </c>
      <c r="I14">
        <v>1497</v>
      </c>
      <c r="J14">
        <v>1460</v>
      </c>
    </row>
    <row r="15" spans="1:10" x14ac:dyDescent="0.4">
      <c r="A15" s="1" t="s">
        <v>18</v>
      </c>
      <c r="B15" s="1" t="s">
        <v>19</v>
      </c>
      <c r="C15">
        <v>30212</v>
      </c>
      <c r="D15">
        <v>4187</v>
      </c>
      <c r="E15">
        <v>10409</v>
      </c>
      <c r="F15">
        <v>441</v>
      </c>
      <c r="G15">
        <v>3908</v>
      </c>
      <c r="H15">
        <v>8248</v>
      </c>
      <c r="I15">
        <v>1404</v>
      </c>
      <c r="J15">
        <v>1615</v>
      </c>
    </row>
    <row r="16" spans="1:10" x14ac:dyDescent="0.4">
      <c r="A16" s="1" t="s">
        <v>20</v>
      </c>
      <c r="B16" s="1" t="s">
        <v>21</v>
      </c>
      <c r="C16">
        <v>28559</v>
      </c>
      <c r="D16">
        <v>3843</v>
      </c>
      <c r="E16">
        <v>10137</v>
      </c>
      <c r="F16">
        <v>482</v>
      </c>
      <c r="G16">
        <v>3835</v>
      </c>
      <c r="H16">
        <v>7354</v>
      </c>
      <c r="I16">
        <v>1302</v>
      </c>
      <c r="J16">
        <v>1606</v>
      </c>
    </row>
    <row r="17" spans="1:10" x14ac:dyDescent="0.4">
      <c r="A17" s="1" t="s">
        <v>22</v>
      </c>
      <c r="B17" s="1" t="s">
        <v>23</v>
      </c>
      <c r="C17">
        <v>30751</v>
      </c>
      <c r="D17">
        <v>4233</v>
      </c>
      <c r="E17">
        <v>10449</v>
      </c>
      <c r="F17">
        <v>627</v>
      </c>
      <c r="G17">
        <v>4371</v>
      </c>
      <c r="H17">
        <v>8078</v>
      </c>
      <c r="I17">
        <v>1403</v>
      </c>
      <c r="J17">
        <v>1590</v>
      </c>
    </row>
    <row r="18" spans="1:10" x14ac:dyDescent="0.4">
      <c r="A18" s="1" t="s">
        <v>24</v>
      </c>
      <c r="B18" s="1" t="s">
        <v>25</v>
      </c>
      <c r="C18">
        <v>29913</v>
      </c>
      <c r="D18">
        <v>4249</v>
      </c>
      <c r="E18">
        <v>9678</v>
      </c>
      <c r="F18">
        <v>730</v>
      </c>
      <c r="G18">
        <v>3747</v>
      </c>
      <c r="H18">
        <v>8339</v>
      </c>
      <c r="I18">
        <v>1467</v>
      </c>
      <c r="J18">
        <v>1703</v>
      </c>
    </row>
    <row r="19" spans="1:10" x14ac:dyDescent="0.4">
      <c r="A19" s="1" t="s">
        <v>26</v>
      </c>
      <c r="B19" s="1" t="s">
        <v>27</v>
      </c>
      <c r="C19">
        <v>27049</v>
      </c>
      <c r="D19">
        <v>4043</v>
      </c>
      <c r="E19">
        <v>9192</v>
      </c>
      <c r="F19">
        <v>542</v>
      </c>
      <c r="G19">
        <v>3578</v>
      </c>
      <c r="H19">
        <v>6984</v>
      </c>
      <c r="I19">
        <v>1297</v>
      </c>
      <c r="J19">
        <v>1413</v>
      </c>
    </row>
    <row r="20" spans="1:10" x14ac:dyDescent="0.4">
      <c r="A20" s="1" t="s">
        <v>28</v>
      </c>
      <c r="B20" s="1" t="s">
        <v>29</v>
      </c>
      <c r="C20">
        <v>30134</v>
      </c>
      <c r="D20">
        <v>4187</v>
      </c>
      <c r="E20">
        <v>10345</v>
      </c>
      <c r="F20">
        <v>564</v>
      </c>
      <c r="G20">
        <v>3842</v>
      </c>
      <c r="H20">
        <v>8301</v>
      </c>
      <c r="I20">
        <v>1346</v>
      </c>
      <c r="J20">
        <v>1549</v>
      </c>
    </row>
    <row r="21" spans="1:10" x14ac:dyDescent="0.4">
      <c r="A21" s="1" t="s">
        <v>30</v>
      </c>
      <c r="B21" s="1" t="s">
        <v>31</v>
      </c>
      <c r="C21">
        <v>31029</v>
      </c>
      <c r="D21">
        <v>4362</v>
      </c>
      <c r="E21">
        <v>10633</v>
      </c>
      <c r="F21">
        <v>614</v>
      </c>
      <c r="G21">
        <v>4062</v>
      </c>
      <c r="H21">
        <v>8294</v>
      </c>
      <c r="I21">
        <v>1478</v>
      </c>
      <c r="J21">
        <v>1586</v>
      </c>
    </row>
    <row r="22" spans="1:10" x14ac:dyDescent="0.4">
      <c r="A22" s="1" t="s">
        <v>32</v>
      </c>
      <c r="B22" s="1" t="s">
        <v>33</v>
      </c>
      <c r="C22">
        <v>31136</v>
      </c>
      <c r="D22">
        <v>4369</v>
      </c>
      <c r="E22">
        <v>10859</v>
      </c>
      <c r="F22">
        <v>531</v>
      </c>
      <c r="G22">
        <v>3847</v>
      </c>
      <c r="H22">
        <v>8510</v>
      </c>
      <c r="I22">
        <v>1392</v>
      </c>
      <c r="J22">
        <v>1628</v>
      </c>
    </row>
    <row r="23" spans="1:10" x14ac:dyDescent="0.4">
      <c r="A23" s="1" t="s">
        <v>34</v>
      </c>
      <c r="B23" s="1" t="s">
        <v>35</v>
      </c>
      <c r="C23">
        <v>31554</v>
      </c>
      <c r="D23">
        <v>4325</v>
      </c>
      <c r="E23">
        <v>10892</v>
      </c>
      <c r="F23">
        <v>510</v>
      </c>
      <c r="G23">
        <v>4275</v>
      </c>
      <c r="H23">
        <v>8637</v>
      </c>
      <c r="I23">
        <v>1343</v>
      </c>
      <c r="J23">
        <v>1572</v>
      </c>
    </row>
    <row r="24" spans="1:10" x14ac:dyDescent="0.4">
      <c r="A24" s="1" t="s">
        <v>36</v>
      </c>
      <c r="B24" s="1" t="s">
        <v>37</v>
      </c>
      <c r="C24">
        <v>26788</v>
      </c>
      <c r="D24">
        <v>3865</v>
      </c>
      <c r="E24">
        <v>9061</v>
      </c>
      <c r="F24">
        <v>439</v>
      </c>
      <c r="G24">
        <v>3543</v>
      </c>
      <c r="H24">
        <v>7125</v>
      </c>
      <c r="I24">
        <v>1325</v>
      </c>
      <c r="J24">
        <v>1430</v>
      </c>
    </row>
    <row r="25" spans="1:10" x14ac:dyDescent="0.4">
      <c r="A25" s="1" t="s">
        <v>38</v>
      </c>
      <c r="B25" s="1" t="s">
        <v>39</v>
      </c>
      <c r="C25">
        <v>29450</v>
      </c>
      <c r="D25">
        <v>3976</v>
      </c>
      <c r="E25">
        <v>10466</v>
      </c>
      <c r="F25">
        <v>381</v>
      </c>
      <c r="G25">
        <v>3540</v>
      </c>
      <c r="H25">
        <v>8143</v>
      </c>
      <c r="I25">
        <v>1422</v>
      </c>
      <c r="J25">
        <v>1522</v>
      </c>
    </row>
    <row r="26" spans="1:10" x14ac:dyDescent="0.4">
      <c r="A26" s="1" t="s">
        <v>40</v>
      </c>
      <c r="B26" s="1" t="s">
        <v>41</v>
      </c>
      <c r="C26">
        <v>33279</v>
      </c>
      <c r="D26">
        <v>4190</v>
      </c>
      <c r="E26">
        <v>12804</v>
      </c>
      <c r="F26">
        <v>448</v>
      </c>
      <c r="G26">
        <v>4504</v>
      </c>
      <c r="H26">
        <v>8306</v>
      </c>
      <c r="I26">
        <v>1483</v>
      </c>
      <c r="J26">
        <v>1544</v>
      </c>
    </row>
    <row r="27" spans="1:10" x14ac:dyDescent="0.4">
      <c r="A27" s="1" t="s">
        <v>42</v>
      </c>
      <c r="B27" s="1" t="s">
        <v>43</v>
      </c>
      <c r="C27">
        <v>30355</v>
      </c>
      <c r="D27">
        <v>3720</v>
      </c>
      <c r="E27">
        <v>10202</v>
      </c>
      <c r="F27">
        <v>485</v>
      </c>
      <c r="G27">
        <v>4033</v>
      </c>
      <c r="H27">
        <v>8850</v>
      </c>
      <c r="I27">
        <v>1438</v>
      </c>
      <c r="J27">
        <v>1627</v>
      </c>
    </row>
    <row r="28" spans="1:10" x14ac:dyDescent="0.4">
      <c r="A28" s="1" t="s">
        <v>44</v>
      </c>
      <c r="B28" s="1" t="s">
        <v>45</v>
      </c>
      <c r="C28">
        <v>29251</v>
      </c>
      <c r="D28">
        <v>3703</v>
      </c>
      <c r="E28">
        <v>10013</v>
      </c>
      <c r="F28">
        <v>479</v>
      </c>
      <c r="G28">
        <v>4114</v>
      </c>
      <c r="H28">
        <v>8008</v>
      </c>
      <c r="I28">
        <v>1393</v>
      </c>
      <c r="J28">
        <v>1541</v>
      </c>
    </row>
    <row r="29" spans="1:10" x14ac:dyDescent="0.4">
      <c r="A29" s="1" t="s">
        <v>46</v>
      </c>
      <c r="B29" s="1" t="s">
        <v>47</v>
      </c>
      <c r="C29">
        <v>31553</v>
      </c>
      <c r="D29">
        <v>3920</v>
      </c>
      <c r="E29">
        <v>10535</v>
      </c>
      <c r="F29">
        <v>407</v>
      </c>
      <c r="G29">
        <v>4854</v>
      </c>
      <c r="H29">
        <v>8755</v>
      </c>
      <c r="I29">
        <v>1440</v>
      </c>
      <c r="J29">
        <v>1642</v>
      </c>
    </row>
    <row r="30" spans="1:10" x14ac:dyDescent="0.4">
      <c r="A30" s="1" t="s">
        <v>48</v>
      </c>
      <c r="B30" s="1" t="s">
        <v>49</v>
      </c>
      <c r="C30">
        <v>30104</v>
      </c>
      <c r="D30">
        <v>3906</v>
      </c>
      <c r="E30">
        <v>9352</v>
      </c>
      <c r="F30">
        <v>547</v>
      </c>
      <c r="G30">
        <v>4195</v>
      </c>
      <c r="H30">
        <v>8952</v>
      </c>
      <c r="I30">
        <v>1421</v>
      </c>
      <c r="J30">
        <v>1731</v>
      </c>
    </row>
    <row r="31" spans="1:10" x14ac:dyDescent="0.4">
      <c r="A31" s="1" t="s">
        <v>50</v>
      </c>
      <c r="B31" s="1" t="s">
        <v>51</v>
      </c>
      <c r="C31">
        <v>26703</v>
      </c>
      <c r="D31">
        <v>3692</v>
      </c>
      <c r="E31">
        <v>8843</v>
      </c>
      <c r="F31">
        <v>524</v>
      </c>
      <c r="G31">
        <v>3622</v>
      </c>
      <c r="H31">
        <v>7476</v>
      </c>
      <c r="I31">
        <v>1190</v>
      </c>
      <c r="J31">
        <v>1356</v>
      </c>
    </row>
    <row r="32" spans="1:10" x14ac:dyDescent="0.4">
      <c r="A32" s="1" t="s">
        <v>52</v>
      </c>
      <c r="B32" s="1" t="s">
        <v>53</v>
      </c>
      <c r="C32">
        <v>30437</v>
      </c>
      <c r="D32">
        <v>3893</v>
      </c>
      <c r="E32">
        <v>10224</v>
      </c>
      <c r="F32">
        <v>664</v>
      </c>
      <c r="G32">
        <v>4065</v>
      </c>
      <c r="H32">
        <v>8693</v>
      </c>
      <c r="I32">
        <v>1333</v>
      </c>
      <c r="J32">
        <v>1565</v>
      </c>
    </row>
    <row r="33" spans="1:10" x14ac:dyDescent="0.4">
      <c r="A33" s="1" t="s">
        <v>54</v>
      </c>
      <c r="B33" s="1" t="s">
        <v>55</v>
      </c>
      <c r="C33">
        <v>31934</v>
      </c>
      <c r="D33">
        <v>4093</v>
      </c>
      <c r="E33">
        <v>10639</v>
      </c>
      <c r="F33">
        <v>596</v>
      </c>
      <c r="G33">
        <v>4598</v>
      </c>
      <c r="H33">
        <v>8862</v>
      </c>
      <c r="I33">
        <v>1477</v>
      </c>
      <c r="J33">
        <v>1669</v>
      </c>
    </row>
    <row r="34" spans="1:10" x14ac:dyDescent="0.4">
      <c r="A34" s="1" t="s">
        <v>56</v>
      </c>
      <c r="B34" s="1" t="s">
        <v>57</v>
      </c>
      <c r="C34">
        <v>30803</v>
      </c>
      <c r="D34">
        <v>4060</v>
      </c>
      <c r="E34">
        <v>10551</v>
      </c>
      <c r="F34">
        <v>560</v>
      </c>
      <c r="G34">
        <v>3887</v>
      </c>
      <c r="H34">
        <v>8782</v>
      </c>
      <c r="I34">
        <v>1394</v>
      </c>
      <c r="J34">
        <v>1569</v>
      </c>
    </row>
    <row r="35" spans="1:10" x14ac:dyDescent="0.4">
      <c r="A35" s="1" t="s">
        <v>58</v>
      </c>
      <c r="B35" s="1" t="s">
        <v>59</v>
      </c>
      <c r="C35">
        <v>30774</v>
      </c>
      <c r="D35">
        <v>4154</v>
      </c>
      <c r="E35">
        <v>10282</v>
      </c>
      <c r="F35">
        <v>534</v>
      </c>
      <c r="G35">
        <v>4368</v>
      </c>
      <c r="H35">
        <v>8603</v>
      </c>
      <c r="I35">
        <v>1319</v>
      </c>
      <c r="J35">
        <v>1514</v>
      </c>
    </row>
    <row r="36" spans="1:10" x14ac:dyDescent="0.4">
      <c r="A36" s="1" t="s">
        <v>60</v>
      </c>
      <c r="B36" s="1" t="s">
        <v>61</v>
      </c>
      <c r="C36">
        <v>27317</v>
      </c>
      <c r="D36">
        <v>3535</v>
      </c>
      <c r="E36">
        <v>8924</v>
      </c>
      <c r="F36">
        <v>520</v>
      </c>
      <c r="G36">
        <v>4136</v>
      </c>
      <c r="H36">
        <v>7545</v>
      </c>
      <c r="I36">
        <v>1218</v>
      </c>
      <c r="J36">
        <v>1439</v>
      </c>
    </row>
    <row r="37" spans="1:10" x14ac:dyDescent="0.4">
      <c r="A37" s="1" t="s">
        <v>62</v>
      </c>
      <c r="B37" s="1" t="s">
        <v>63</v>
      </c>
      <c r="C37">
        <v>28888</v>
      </c>
      <c r="D37">
        <v>3689</v>
      </c>
      <c r="E37">
        <v>10214</v>
      </c>
      <c r="F37">
        <v>473</v>
      </c>
      <c r="G37">
        <v>3777</v>
      </c>
      <c r="H37">
        <v>8018</v>
      </c>
      <c r="I37">
        <v>1273</v>
      </c>
      <c r="J37">
        <v>1444</v>
      </c>
    </row>
    <row r="38" spans="1:10" x14ac:dyDescent="0.4">
      <c r="A38" s="1" t="s">
        <v>64</v>
      </c>
      <c r="B38" s="1" t="s">
        <v>65</v>
      </c>
      <c r="C38">
        <v>33082</v>
      </c>
      <c r="D38">
        <v>4041</v>
      </c>
      <c r="E38">
        <v>12630</v>
      </c>
      <c r="F38">
        <v>451</v>
      </c>
      <c r="G38">
        <v>4783</v>
      </c>
      <c r="H38">
        <v>8308</v>
      </c>
      <c r="I38">
        <v>1241</v>
      </c>
      <c r="J38">
        <v>1628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D4AC6-4E78-4DF9-8B94-CE37083192DA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2118</v>
      </c>
      <c r="D3" t="s">
        <v>2118</v>
      </c>
      <c r="E3" t="s">
        <v>2118</v>
      </c>
      <c r="F3" t="s">
        <v>2118</v>
      </c>
      <c r="G3" t="s">
        <v>2120</v>
      </c>
      <c r="H3" t="s">
        <v>2120</v>
      </c>
      <c r="I3" t="s">
        <v>2120</v>
      </c>
      <c r="J3" t="s">
        <v>2120</v>
      </c>
      <c r="K3" t="s">
        <v>2122</v>
      </c>
      <c r="L3" t="s">
        <v>2122</v>
      </c>
      <c r="M3" t="s">
        <v>2122</v>
      </c>
      <c r="N3" t="s">
        <v>2122</v>
      </c>
      <c r="O3" t="s">
        <v>2124</v>
      </c>
      <c r="P3" t="s">
        <v>2124</v>
      </c>
      <c r="Q3" t="s">
        <v>2124</v>
      </c>
      <c r="R3" t="s">
        <v>2124</v>
      </c>
      <c r="S3" t="s">
        <v>2126</v>
      </c>
      <c r="T3" t="s">
        <v>2126</v>
      </c>
      <c r="U3" t="s">
        <v>2126</v>
      </c>
      <c r="V3" t="s">
        <v>2126</v>
      </c>
    </row>
    <row r="4" spans="1:22" x14ac:dyDescent="0.4">
      <c r="A4" s="1"/>
      <c r="B4" s="2" t="s">
        <v>1</v>
      </c>
      <c r="C4" t="s">
        <v>2119</v>
      </c>
      <c r="D4" t="s">
        <v>2119</v>
      </c>
      <c r="E4" t="s">
        <v>2119</v>
      </c>
      <c r="F4" t="s">
        <v>2119</v>
      </c>
      <c r="G4" t="s">
        <v>2121</v>
      </c>
      <c r="H4" t="s">
        <v>2121</v>
      </c>
      <c r="I4" t="s">
        <v>2121</v>
      </c>
      <c r="J4" t="s">
        <v>2121</v>
      </c>
      <c r="K4" t="s">
        <v>2123</v>
      </c>
      <c r="L4" t="s">
        <v>2123</v>
      </c>
      <c r="M4" t="s">
        <v>2123</v>
      </c>
      <c r="N4" t="s">
        <v>2123</v>
      </c>
      <c r="O4" t="s">
        <v>2125</v>
      </c>
      <c r="P4" t="s">
        <v>2125</v>
      </c>
      <c r="Q4" t="s">
        <v>2125</v>
      </c>
      <c r="R4" t="s">
        <v>2125</v>
      </c>
      <c r="S4" t="s">
        <v>2127</v>
      </c>
      <c r="T4" t="s">
        <v>2127</v>
      </c>
      <c r="U4" t="s">
        <v>2127</v>
      </c>
      <c r="V4" t="s">
        <v>2127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251</v>
      </c>
      <c r="E7" t="s">
        <v>258</v>
      </c>
      <c r="F7" t="s">
        <v>251</v>
      </c>
      <c r="G7" t="s">
        <v>251</v>
      </c>
      <c r="H7" t="s">
        <v>251</v>
      </c>
      <c r="I7" t="s">
        <v>258</v>
      </c>
      <c r="J7" t="s">
        <v>251</v>
      </c>
      <c r="K7" t="s">
        <v>251</v>
      </c>
      <c r="L7" t="s">
        <v>251</v>
      </c>
      <c r="M7" t="s">
        <v>258</v>
      </c>
      <c r="N7" t="s">
        <v>251</v>
      </c>
      <c r="O7" t="s">
        <v>588</v>
      </c>
      <c r="P7" t="s">
        <v>588</v>
      </c>
      <c r="Q7" t="s">
        <v>258</v>
      </c>
      <c r="R7" t="s">
        <v>588</v>
      </c>
      <c r="S7" t="s">
        <v>588</v>
      </c>
      <c r="T7" t="s">
        <v>588</v>
      </c>
      <c r="U7" t="s">
        <v>258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260</v>
      </c>
      <c r="F8" t="s">
        <v>253</v>
      </c>
      <c r="G8" t="s">
        <v>253</v>
      </c>
      <c r="H8" t="s">
        <v>253</v>
      </c>
      <c r="I8" t="s">
        <v>260</v>
      </c>
      <c r="J8" t="s">
        <v>253</v>
      </c>
      <c r="K8" t="s">
        <v>253</v>
      </c>
      <c r="L8" t="s">
        <v>253</v>
      </c>
      <c r="M8" t="s">
        <v>260</v>
      </c>
      <c r="N8" t="s">
        <v>253</v>
      </c>
      <c r="O8" t="s">
        <v>253</v>
      </c>
      <c r="P8" t="s">
        <v>253</v>
      </c>
      <c r="Q8" t="s">
        <v>260</v>
      </c>
      <c r="R8" t="s">
        <v>253</v>
      </c>
      <c r="S8" t="s">
        <v>253</v>
      </c>
      <c r="T8" t="s">
        <v>253</v>
      </c>
      <c r="U8" t="s">
        <v>260</v>
      </c>
      <c r="V8" t="s">
        <v>253</v>
      </c>
    </row>
    <row r="9" spans="1:22" x14ac:dyDescent="0.4">
      <c r="A9" s="1" t="s">
        <v>6</v>
      </c>
      <c r="B9" s="3" t="s">
        <v>7</v>
      </c>
      <c r="C9">
        <v>39977</v>
      </c>
      <c r="D9">
        <v>43654</v>
      </c>
      <c r="E9">
        <v>27670</v>
      </c>
      <c r="F9">
        <v>1521</v>
      </c>
      <c r="G9">
        <v>6317</v>
      </c>
      <c r="H9">
        <v>154791</v>
      </c>
      <c r="I9">
        <v>14002</v>
      </c>
      <c r="J9">
        <v>4092</v>
      </c>
      <c r="K9">
        <v>17908</v>
      </c>
      <c r="L9">
        <v>69181</v>
      </c>
      <c r="M9">
        <v>2819</v>
      </c>
      <c r="N9">
        <v>3474</v>
      </c>
      <c r="O9">
        <v>79376</v>
      </c>
      <c r="P9">
        <v>151362</v>
      </c>
      <c r="Q9">
        <v>18131</v>
      </c>
      <c r="R9">
        <v>15645</v>
      </c>
      <c r="S9">
        <v>82351</v>
      </c>
      <c r="T9">
        <v>191970</v>
      </c>
      <c r="U9">
        <v>7087</v>
      </c>
      <c r="V9">
        <v>12728</v>
      </c>
    </row>
    <row r="10" spans="1:22" x14ac:dyDescent="0.4">
      <c r="A10" s="1" t="s">
        <v>8</v>
      </c>
      <c r="B10" s="3" t="s">
        <v>9</v>
      </c>
      <c r="C10">
        <v>38596</v>
      </c>
      <c r="D10">
        <v>42961</v>
      </c>
      <c r="E10">
        <v>30942</v>
      </c>
      <c r="F10">
        <v>1687</v>
      </c>
      <c r="G10">
        <v>5667</v>
      </c>
      <c r="H10">
        <v>147538</v>
      </c>
      <c r="I10">
        <v>13516</v>
      </c>
      <c r="J10">
        <v>14303</v>
      </c>
      <c r="K10">
        <v>10483</v>
      </c>
      <c r="L10">
        <v>61352</v>
      </c>
      <c r="M10">
        <v>2765</v>
      </c>
      <c r="N10">
        <v>3735</v>
      </c>
      <c r="O10">
        <v>85521</v>
      </c>
      <c r="P10">
        <v>128870</v>
      </c>
      <c r="Q10">
        <v>20782</v>
      </c>
      <c r="R10">
        <v>5134</v>
      </c>
      <c r="S10">
        <v>84136</v>
      </c>
      <c r="T10">
        <v>172955</v>
      </c>
      <c r="U10">
        <v>7479</v>
      </c>
      <c r="V10">
        <v>15035</v>
      </c>
    </row>
    <row r="11" spans="1:22" x14ac:dyDescent="0.4">
      <c r="A11" s="1" t="s">
        <v>10</v>
      </c>
      <c r="B11" s="3" t="s">
        <v>11</v>
      </c>
      <c r="C11">
        <v>37781</v>
      </c>
      <c r="D11">
        <v>38944</v>
      </c>
      <c r="E11">
        <v>33668</v>
      </c>
      <c r="F11">
        <v>3628</v>
      </c>
      <c r="G11">
        <v>4513</v>
      </c>
      <c r="H11">
        <v>101179</v>
      </c>
      <c r="I11">
        <v>9733</v>
      </c>
      <c r="J11">
        <v>9135</v>
      </c>
      <c r="K11">
        <v>6303</v>
      </c>
      <c r="L11">
        <v>58534</v>
      </c>
      <c r="M11">
        <v>2093</v>
      </c>
      <c r="N11">
        <v>3472</v>
      </c>
      <c r="O11">
        <v>94470</v>
      </c>
      <c r="P11">
        <v>130579</v>
      </c>
      <c r="Q11">
        <v>23806</v>
      </c>
      <c r="R11">
        <v>6696</v>
      </c>
      <c r="S11">
        <v>90335</v>
      </c>
      <c r="T11">
        <v>191318</v>
      </c>
      <c r="U11">
        <v>8705</v>
      </c>
      <c r="V11">
        <v>9942</v>
      </c>
    </row>
    <row r="12" spans="1:22" x14ac:dyDescent="0.4">
      <c r="A12" s="1" t="s">
        <v>12</v>
      </c>
      <c r="B12" s="3" t="s">
        <v>13</v>
      </c>
      <c r="C12">
        <v>27322</v>
      </c>
      <c r="D12">
        <v>30326</v>
      </c>
      <c r="E12">
        <v>28610</v>
      </c>
      <c r="F12">
        <v>3572</v>
      </c>
      <c r="G12">
        <v>3033</v>
      </c>
      <c r="H12">
        <v>120176</v>
      </c>
      <c r="I12">
        <v>10623</v>
      </c>
      <c r="J12">
        <v>7922</v>
      </c>
      <c r="K12">
        <v>5905</v>
      </c>
      <c r="L12">
        <v>39789</v>
      </c>
      <c r="M12">
        <v>2050</v>
      </c>
      <c r="N12">
        <v>5482</v>
      </c>
      <c r="O12">
        <v>101290</v>
      </c>
      <c r="P12">
        <v>149225</v>
      </c>
      <c r="Q12">
        <v>27352</v>
      </c>
      <c r="R12">
        <v>9490</v>
      </c>
      <c r="S12">
        <v>85493</v>
      </c>
      <c r="T12">
        <v>192041</v>
      </c>
      <c r="U12">
        <v>8938</v>
      </c>
      <c r="V12">
        <v>11886</v>
      </c>
    </row>
    <row r="13" spans="1:22" x14ac:dyDescent="0.4">
      <c r="A13" s="1" t="s">
        <v>14</v>
      </c>
      <c r="B13" s="3" t="s">
        <v>15</v>
      </c>
      <c r="C13">
        <v>22532</v>
      </c>
      <c r="D13">
        <v>25684</v>
      </c>
      <c r="E13">
        <v>24618</v>
      </c>
      <c r="F13">
        <v>3281</v>
      </c>
      <c r="G13">
        <v>4131</v>
      </c>
      <c r="H13">
        <v>122697</v>
      </c>
      <c r="I13">
        <v>9803</v>
      </c>
      <c r="J13">
        <v>4450</v>
      </c>
      <c r="K13">
        <v>7423</v>
      </c>
      <c r="L13">
        <v>55208</v>
      </c>
      <c r="M13">
        <v>2430</v>
      </c>
      <c r="N13">
        <v>1560</v>
      </c>
      <c r="O13">
        <v>97148</v>
      </c>
      <c r="P13">
        <v>151486</v>
      </c>
      <c r="Q13">
        <v>25696</v>
      </c>
      <c r="R13">
        <v>14382</v>
      </c>
      <c r="S13">
        <v>89580</v>
      </c>
      <c r="T13">
        <v>202227</v>
      </c>
      <c r="U13">
        <v>9713</v>
      </c>
      <c r="V13">
        <v>10389</v>
      </c>
    </row>
    <row r="14" spans="1:22" x14ac:dyDescent="0.4">
      <c r="A14" s="1" t="s">
        <v>16</v>
      </c>
      <c r="B14" s="1" t="s">
        <v>17</v>
      </c>
      <c r="C14">
        <v>2720</v>
      </c>
      <c r="D14">
        <v>3042</v>
      </c>
      <c r="E14">
        <v>2663</v>
      </c>
      <c r="F14">
        <v>3398</v>
      </c>
      <c r="G14">
        <v>149</v>
      </c>
      <c r="H14">
        <v>12393</v>
      </c>
      <c r="I14">
        <v>1060</v>
      </c>
      <c r="J14">
        <v>12935</v>
      </c>
      <c r="K14">
        <v>340</v>
      </c>
      <c r="L14">
        <v>2173</v>
      </c>
      <c r="M14">
        <v>119</v>
      </c>
      <c r="N14">
        <v>12065</v>
      </c>
      <c r="O14">
        <v>9709</v>
      </c>
      <c r="P14">
        <v>14603</v>
      </c>
      <c r="Q14">
        <v>2759</v>
      </c>
      <c r="R14">
        <v>7319</v>
      </c>
      <c r="S14">
        <v>7005</v>
      </c>
      <c r="T14">
        <v>14022</v>
      </c>
      <c r="U14">
        <v>673</v>
      </c>
      <c r="V14">
        <v>13423</v>
      </c>
    </row>
    <row r="15" spans="1:22" x14ac:dyDescent="0.4">
      <c r="A15" s="1" t="s">
        <v>18</v>
      </c>
      <c r="B15" s="1" t="s">
        <v>19</v>
      </c>
      <c r="C15">
        <v>2549</v>
      </c>
      <c r="D15">
        <v>2392</v>
      </c>
      <c r="E15">
        <v>2324</v>
      </c>
      <c r="F15">
        <v>3692</v>
      </c>
      <c r="G15">
        <v>211</v>
      </c>
      <c r="H15">
        <v>7996</v>
      </c>
      <c r="I15">
        <v>816</v>
      </c>
      <c r="J15">
        <v>15447</v>
      </c>
      <c r="K15">
        <v>278</v>
      </c>
      <c r="L15">
        <v>3907</v>
      </c>
      <c r="M15">
        <v>188</v>
      </c>
      <c r="N15">
        <v>12706</v>
      </c>
      <c r="O15">
        <v>8488</v>
      </c>
      <c r="P15">
        <v>12840</v>
      </c>
      <c r="Q15">
        <v>2316</v>
      </c>
      <c r="R15">
        <v>9162</v>
      </c>
      <c r="S15">
        <v>7170</v>
      </c>
      <c r="T15">
        <v>18299</v>
      </c>
      <c r="U15">
        <v>818</v>
      </c>
      <c r="V15">
        <v>11174</v>
      </c>
    </row>
    <row r="16" spans="1:22" x14ac:dyDescent="0.4">
      <c r="A16" s="1" t="s">
        <v>20</v>
      </c>
      <c r="B16" s="1" t="s">
        <v>21</v>
      </c>
      <c r="C16">
        <v>2381</v>
      </c>
      <c r="D16">
        <v>2714</v>
      </c>
      <c r="E16">
        <v>2668</v>
      </c>
      <c r="F16">
        <v>3603</v>
      </c>
      <c r="G16">
        <v>233</v>
      </c>
      <c r="H16">
        <v>6484</v>
      </c>
      <c r="I16">
        <v>681</v>
      </c>
      <c r="J16">
        <v>14203</v>
      </c>
      <c r="K16">
        <v>439</v>
      </c>
      <c r="L16">
        <v>2600</v>
      </c>
      <c r="M16">
        <v>189</v>
      </c>
      <c r="N16">
        <v>12041</v>
      </c>
      <c r="O16">
        <v>9077</v>
      </c>
      <c r="P16">
        <v>13911</v>
      </c>
      <c r="Q16">
        <v>2697</v>
      </c>
      <c r="R16">
        <v>6010</v>
      </c>
      <c r="S16">
        <v>6968</v>
      </c>
      <c r="T16">
        <v>14975</v>
      </c>
      <c r="U16">
        <v>714</v>
      </c>
      <c r="V16">
        <v>11572</v>
      </c>
    </row>
    <row r="17" spans="1:22" x14ac:dyDescent="0.4">
      <c r="A17" s="1" t="s">
        <v>22</v>
      </c>
      <c r="B17" s="1" t="s">
        <v>23</v>
      </c>
      <c r="C17">
        <v>2342</v>
      </c>
      <c r="D17">
        <v>2450</v>
      </c>
      <c r="E17">
        <v>2495</v>
      </c>
      <c r="F17">
        <v>3708</v>
      </c>
      <c r="G17">
        <v>229</v>
      </c>
      <c r="H17">
        <v>10286</v>
      </c>
      <c r="I17">
        <v>881</v>
      </c>
      <c r="J17">
        <v>12703</v>
      </c>
      <c r="K17">
        <v>452</v>
      </c>
      <c r="L17">
        <v>2675</v>
      </c>
      <c r="M17">
        <v>199</v>
      </c>
      <c r="N17">
        <v>12205</v>
      </c>
      <c r="O17">
        <v>8374</v>
      </c>
      <c r="P17">
        <v>12807</v>
      </c>
      <c r="Q17">
        <v>2391</v>
      </c>
      <c r="R17">
        <v>5449</v>
      </c>
      <c r="S17">
        <v>7839</v>
      </c>
      <c r="T17">
        <v>16313</v>
      </c>
      <c r="U17">
        <v>823</v>
      </c>
      <c r="V17">
        <v>9406</v>
      </c>
    </row>
    <row r="18" spans="1:22" x14ac:dyDescent="0.4">
      <c r="A18" s="1" t="s">
        <v>24</v>
      </c>
      <c r="B18" s="1" t="s">
        <v>25</v>
      </c>
      <c r="C18">
        <v>2569</v>
      </c>
      <c r="D18">
        <v>2741</v>
      </c>
      <c r="E18">
        <v>2751</v>
      </c>
      <c r="F18">
        <v>3829</v>
      </c>
      <c r="G18">
        <v>266</v>
      </c>
      <c r="H18">
        <v>10336</v>
      </c>
      <c r="I18">
        <v>935</v>
      </c>
      <c r="J18">
        <v>11015</v>
      </c>
      <c r="K18">
        <v>422</v>
      </c>
      <c r="L18">
        <v>2163</v>
      </c>
      <c r="M18">
        <v>128</v>
      </c>
      <c r="N18">
        <v>12264</v>
      </c>
      <c r="O18">
        <v>8869</v>
      </c>
      <c r="P18">
        <v>11009</v>
      </c>
      <c r="Q18">
        <v>2247</v>
      </c>
      <c r="R18">
        <v>6276</v>
      </c>
      <c r="S18">
        <v>7779</v>
      </c>
      <c r="T18">
        <v>15827</v>
      </c>
      <c r="U18">
        <v>705</v>
      </c>
      <c r="V18">
        <v>10550</v>
      </c>
    </row>
    <row r="19" spans="1:22" x14ac:dyDescent="0.4">
      <c r="A19" s="1" t="s">
        <v>26</v>
      </c>
      <c r="B19" s="1" t="s">
        <v>27</v>
      </c>
      <c r="C19">
        <v>1730</v>
      </c>
      <c r="D19">
        <v>2060</v>
      </c>
      <c r="E19">
        <v>2132</v>
      </c>
      <c r="F19">
        <v>3710</v>
      </c>
      <c r="G19">
        <v>179</v>
      </c>
      <c r="H19">
        <v>11450</v>
      </c>
      <c r="I19">
        <v>991</v>
      </c>
      <c r="J19">
        <v>9031</v>
      </c>
      <c r="K19">
        <v>852</v>
      </c>
      <c r="L19">
        <v>3306</v>
      </c>
      <c r="M19">
        <v>203</v>
      </c>
      <c r="N19">
        <v>11857</v>
      </c>
      <c r="O19">
        <v>7253</v>
      </c>
      <c r="P19">
        <v>9856</v>
      </c>
      <c r="Q19">
        <v>1971</v>
      </c>
      <c r="R19">
        <v>6048</v>
      </c>
      <c r="S19">
        <v>6288</v>
      </c>
      <c r="T19">
        <v>13723</v>
      </c>
      <c r="U19">
        <v>734</v>
      </c>
      <c r="V19">
        <v>9843</v>
      </c>
    </row>
    <row r="20" spans="1:22" x14ac:dyDescent="0.4">
      <c r="A20" s="1" t="s">
        <v>28</v>
      </c>
      <c r="B20" s="1" t="s">
        <v>29</v>
      </c>
      <c r="C20">
        <v>1873</v>
      </c>
      <c r="D20">
        <v>2395</v>
      </c>
      <c r="E20">
        <v>2276</v>
      </c>
      <c r="F20">
        <v>3502</v>
      </c>
      <c r="G20">
        <v>256</v>
      </c>
      <c r="H20">
        <v>9893</v>
      </c>
      <c r="I20">
        <v>850</v>
      </c>
      <c r="J20">
        <v>7805</v>
      </c>
      <c r="K20">
        <v>1111</v>
      </c>
      <c r="L20">
        <v>3947</v>
      </c>
      <c r="M20">
        <v>201</v>
      </c>
      <c r="N20">
        <v>11732</v>
      </c>
      <c r="O20">
        <v>8189</v>
      </c>
      <c r="P20">
        <v>10381</v>
      </c>
      <c r="Q20">
        <v>1980</v>
      </c>
      <c r="R20">
        <v>8288</v>
      </c>
      <c r="S20">
        <v>6852</v>
      </c>
      <c r="T20">
        <v>16016</v>
      </c>
      <c r="U20">
        <v>760</v>
      </c>
      <c r="V20">
        <v>9437</v>
      </c>
    </row>
    <row r="21" spans="1:22" x14ac:dyDescent="0.4">
      <c r="A21" s="1" t="s">
        <v>30</v>
      </c>
      <c r="B21" s="1" t="s">
        <v>31</v>
      </c>
      <c r="C21">
        <v>2181</v>
      </c>
      <c r="D21">
        <v>2270</v>
      </c>
      <c r="E21">
        <v>2153</v>
      </c>
      <c r="F21">
        <v>3635</v>
      </c>
      <c r="G21">
        <v>341</v>
      </c>
      <c r="H21">
        <v>12416</v>
      </c>
      <c r="I21">
        <v>995</v>
      </c>
      <c r="J21">
        <v>7419</v>
      </c>
      <c r="K21">
        <v>384</v>
      </c>
      <c r="L21">
        <v>4156</v>
      </c>
      <c r="M21">
        <v>181</v>
      </c>
      <c r="N21">
        <v>9736</v>
      </c>
      <c r="O21">
        <v>9197</v>
      </c>
      <c r="P21">
        <v>13882</v>
      </c>
      <c r="Q21">
        <v>2359</v>
      </c>
      <c r="R21">
        <v>10667</v>
      </c>
      <c r="S21">
        <v>7239</v>
      </c>
      <c r="T21">
        <v>19689</v>
      </c>
      <c r="U21">
        <v>799</v>
      </c>
      <c r="V21">
        <v>12338</v>
      </c>
    </row>
    <row r="22" spans="1:22" x14ac:dyDescent="0.4">
      <c r="A22" s="1" t="s">
        <v>32</v>
      </c>
      <c r="B22" s="1" t="s">
        <v>33</v>
      </c>
      <c r="C22">
        <v>1937</v>
      </c>
      <c r="D22">
        <v>2348</v>
      </c>
      <c r="E22">
        <v>2093</v>
      </c>
      <c r="F22">
        <v>3548</v>
      </c>
      <c r="G22">
        <v>316</v>
      </c>
      <c r="H22">
        <v>13334</v>
      </c>
      <c r="I22">
        <v>1009</v>
      </c>
      <c r="J22">
        <v>7181</v>
      </c>
      <c r="K22">
        <v>520</v>
      </c>
      <c r="L22">
        <v>6656</v>
      </c>
      <c r="M22">
        <v>271</v>
      </c>
      <c r="N22">
        <v>5644</v>
      </c>
      <c r="O22">
        <v>8628</v>
      </c>
      <c r="P22">
        <v>13665</v>
      </c>
      <c r="Q22">
        <v>2328</v>
      </c>
      <c r="R22">
        <v>11400</v>
      </c>
      <c r="S22">
        <v>7852</v>
      </c>
      <c r="T22">
        <v>19783</v>
      </c>
      <c r="U22">
        <v>855</v>
      </c>
      <c r="V22">
        <v>10406</v>
      </c>
    </row>
    <row r="23" spans="1:22" x14ac:dyDescent="0.4">
      <c r="A23" s="1" t="s">
        <v>34</v>
      </c>
      <c r="B23" s="1" t="s">
        <v>35</v>
      </c>
      <c r="C23">
        <v>1834</v>
      </c>
      <c r="D23">
        <v>2048</v>
      </c>
      <c r="E23">
        <v>1883</v>
      </c>
      <c r="F23">
        <v>3572</v>
      </c>
      <c r="G23">
        <v>400</v>
      </c>
      <c r="H23">
        <v>10576</v>
      </c>
      <c r="I23">
        <v>934</v>
      </c>
      <c r="J23">
        <v>7922</v>
      </c>
      <c r="K23">
        <v>373</v>
      </c>
      <c r="L23">
        <v>4205</v>
      </c>
      <c r="M23">
        <v>177</v>
      </c>
      <c r="N23">
        <v>5482</v>
      </c>
      <c r="O23">
        <v>7729</v>
      </c>
      <c r="P23">
        <v>14459</v>
      </c>
      <c r="Q23">
        <v>2152</v>
      </c>
      <c r="R23">
        <v>9490</v>
      </c>
      <c r="S23">
        <v>7539</v>
      </c>
      <c r="T23">
        <v>18080</v>
      </c>
      <c r="U23">
        <v>822</v>
      </c>
      <c r="V23">
        <v>11886</v>
      </c>
    </row>
    <row r="24" spans="1:22" x14ac:dyDescent="0.4">
      <c r="A24" s="1" t="s">
        <v>36</v>
      </c>
      <c r="B24" s="1" t="s">
        <v>37</v>
      </c>
      <c r="C24">
        <v>1697</v>
      </c>
      <c r="D24">
        <v>2041</v>
      </c>
      <c r="E24">
        <v>1890</v>
      </c>
      <c r="F24">
        <v>3506</v>
      </c>
      <c r="G24">
        <v>350</v>
      </c>
      <c r="H24">
        <v>10135</v>
      </c>
      <c r="I24">
        <v>821</v>
      </c>
      <c r="J24">
        <v>8468</v>
      </c>
      <c r="K24">
        <v>477</v>
      </c>
      <c r="L24">
        <v>3041</v>
      </c>
      <c r="M24">
        <v>129</v>
      </c>
      <c r="N24">
        <v>4317</v>
      </c>
      <c r="O24">
        <v>7549</v>
      </c>
      <c r="P24">
        <v>9421</v>
      </c>
      <c r="Q24">
        <v>1830</v>
      </c>
      <c r="R24">
        <v>11585</v>
      </c>
      <c r="S24">
        <v>6609</v>
      </c>
      <c r="T24">
        <v>12511</v>
      </c>
      <c r="U24">
        <v>629</v>
      </c>
      <c r="V24">
        <v>13972</v>
      </c>
    </row>
    <row r="25" spans="1:22" x14ac:dyDescent="0.4">
      <c r="A25" s="1" t="s">
        <v>38</v>
      </c>
      <c r="B25" s="1" t="s">
        <v>39</v>
      </c>
      <c r="C25">
        <v>1646</v>
      </c>
      <c r="D25">
        <v>2066</v>
      </c>
      <c r="E25">
        <v>1906</v>
      </c>
      <c r="F25">
        <v>3321</v>
      </c>
      <c r="G25">
        <v>469</v>
      </c>
      <c r="H25">
        <v>12051</v>
      </c>
      <c r="I25">
        <v>838</v>
      </c>
      <c r="J25">
        <v>8489</v>
      </c>
      <c r="K25">
        <v>419</v>
      </c>
      <c r="L25">
        <v>3038</v>
      </c>
      <c r="M25">
        <v>134</v>
      </c>
      <c r="N25">
        <v>3116</v>
      </c>
      <c r="O25">
        <v>7608</v>
      </c>
      <c r="P25">
        <v>10501</v>
      </c>
      <c r="Q25">
        <v>2008</v>
      </c>
      <c r="R25">
        <v>14299</v>
      </c>
      <c r="S25">
        <v>7292</v>
      </c>
      <c r="T25">
        <v>15490</v>
      </c>
      <c r="U25">
        <v>736</v>
      </c>
      <c r="V25">
        <v>14319</v>
      </c>
    </row>
    <row r="26" spans="1:22" x14ac:dyDescent="0.4">
      <c r="A26" s="1" t="s">
        <v>40</v>
      </c>
      <c r="B26" s="1" t="s">
        <v>41</v>
      </c>
      <c r="C26">
        <v>1696</v>
      </c>
      <c r="D26">
        <v>2554</v>
      </c>
      <c r="E26">
        <v>2248</v>
      </c>
      <c r="F26">
        <v>2800</v>
      </c>
      <c r="G26">
        <v>159</v>
      </c>
      <c r="H26">
        <v>12416</v>
      </c>
      <c r="I26">
        <v>979</v>
      </c>
      <c r="J26">
        <v>8222</v>
      </c>
      <c r="K26">
        <v>537</v>
      </c>
      <c r="L26">
        <v>3550</v>
      </c>
      <c r="M26">
        <v>167</v>
      </c>
      <c r="N26">
        <v>2147</v>
      </c>
      <c r="O26">
        <v>8889</v>
      </c>
      <c r="P26">
        <v>14087</v>
      </c>
      <c r="Q26">
        <v>2171</v>
      </c>
      <c r="R26">
        <v>19468</v>
      </c>
      <c r="S26">
        <v>7380</v>
      </c>
      <c r="T26">
        <v>20585</v>
      </c>
      <c r="U26">
        <v>876</v>
      </c>
      <c r="V26">
        <v>15726</v>
      </c>
    </row>
    <row r="27" spans="1:22" x14ac:dyDescent="0.4">
      <c r="A27" s="1" t="s">
        <v>42</v>
      </c>
      <c r="B27" s="1" t="s">
        <v>43</v>
      </c>
      <c r="C27">
        <v>2134</v>
      </c>
      <c r="D27">
        <v>2275</v>
      </c>
      <c r="E27">
        <v>2454</v>
      </c>
      <c r="F27">
        <v>2833</v>
      </c>
      <c r="G27">
        <v>444</v>
      </c>
      <c r="H27">
        <v>10190</v>
      </c>
      <c r="I27">
        <v>913</v>
      </c>
      <c r="J27">
        <v>6975</v>
      </c>
      <c r="K27">
        <v>508</v>
      </c>
      <c r="L27">
        <v>4318</v>
      </c>
      <c r="M27">
        <v>190</v>
      </c>
      <c r="N27">
        <v>1716</v>
      </c>
      <c r="O27">
        <v>8592</v>
      </c>
      <c r="P27">
        <v>16109</v>
      </c>
      <c r="Q27">
        <v>2329</v>
      </c>
      <c r="R27">
        <v>14783</v>
      </c>
      <c r="S27">
        <v>8124</v>
      </c>
      <c r="T27">
        <v>20956</v>
      </c>
      <c r="U27">
        <v>929</v>
      </c>
      <c r="V27">
        <v>10841</v>
      </c>
    </row>
    <row r="28" spans="1:22" x14ac:dyDescent="0.4">
      <c r="A28" s="1" t="s">
        <v>44</v>
      </c>
      <c r="B28" s="1" t="s">
        <v>45</v>
      </c>
      <c r="C28">
        <v>1917</v>
      </c>
      <c r="D28">
        <v>2076</v>
      </c>
      <c r="E28">
        <v>1892</v>
      </c>
      <c r="F28">
        <v>2901</v>
      </c>
      <c r="G28">
        <v>256</v>
      </c>
      <c r="H28">
        <v>9222</v>
      </c>
      <c r="I28">
        <v>763</v>
      </c>
      <c r="J28">
        <v>7442</v>
      </c>
      <c r="K28">
        <v>651</v>
      </c>
      <c r="L28">
        <v>3244</v>
      </c>
      <c r="M28">
        <v>187</v>
      </c>
      <c r="N28">
        <v>2101</v>
      </c>
      <c r="O28">
        <v>8094</v>
      </c>
      <c r="P28">
        <v>18129</v>
      </c>
      <c r="Q28">
        <v>3028</v>
      </c>
      <c r="R28">
        <v>11251</v>
      </c>
      <c r="S28">
        <v>7016</v>
      </c>
      <c r="T28">
        <v>18096</v>
      </c>
      <c r="U28">
        <v>825</v>
      </c>
      <c r="V28">
        <v>9771</v>
      </c>
    </row>
    <row r="29" spans="1:22" x14ac:dyDescent="0.4">
      <c r="A29" s="1" t="s">
        <v>46</v>
      </c>
      <c r="B29" s="1" t="s">
        <v>47</v>
      </c>
      <c r="C29">
        <v>2074</v>
      </c>
      <c r="D29">
        <v>1976</v>
      </c>
      <c r="E29">
        <v>1793</v>
      </c>
      <c r="F29">
        <v>3221</v>
      </c>
      <c r="G29">
        <v>523</v>
      </c>
      <c r="H29">
        <v>8581</v>
      </c>
      <c r="I29">
        <v>680</v>
      </c>
      <c r="J29">
        <v>5692</v>
      </c>
      <c r="K29">
        <v>564</v>
      </c>
      <c r="L29">
        <v>3920</v>
      </c>
      <c r="M29">
        <v>166</v>
      </c>
      <c r="N29">
        <v>1772</v>
      </c>
      <c r="O29">
        <v>8510</v>
      </c>
      <c r="P29">
        <v>15201</v>
      </c>
      <c r="Q29">
        <v>2330</v>
      </c>
      <c r="R29">
        <v>8981</v>
      </c>
      <c r="S29">
        <v>8607</v>
      </c>
      <c r="T29">
        <v>15679</v>
      </c>
      <c r="U29">
        <v>811</v>
      </c>
      <c r="V29">
        <v>11944</v>
      </c>
    </row>
    <row r="30" spans="1:22" x14ac:dyDescent="0.4">
      <c r="A30" s="1" t="s">
        <v>48</v>
      </c>
      <c r="B30" s="1" t="s">
        <v>49</v>
      </c>
      <c r="C30">
        <v>2183</v>
      </c>
      <c r="D30">
        <v>2128</v>
      </c>
      <c r="E30">
        <v>2164</v>
      </c>
      <c r="F30">
        <v>3501</v>
      </c>
      <c r="G30">
        <v>289</v>
      </c>
      <c r="H30">
        <v>7551</v>
      </c>
      <c r="I30">
        <v>732</v>
      </c>
      <c r="J30">
        <v>6221</v>
      </c>
      <c r="K30">
        <v>1016</v>
      </c>
      <c r="L30">
        <v>3972</v>
      </c>
      <c r="M30">
        <v>195</v>
      </c>
      <c r="N30">
        <v>2155</v>
      </c>
      <c r="O30">
        <v>8853</v>
      </c>
      <c r="P30">
        <v>11085</v>
      </c>
      <c r="Q30">
        <v>2096</v>
      </c>
      <c r="R30">
        <v>8712</v>
      </c>
      <c r="S30">
        <v>8028</v>
      </c>
      <c r="T30">
        <v>17276</v>
      </c>
      <c r="U30">
        <v>838</v>
      </c>
      <c r="V30">
        <v>13854</v>
      </c>
    </row>
    <row r="31" spans="1:22" x14ac:dyDescent="0.4">
      <c r="A31" s="1" t="s">
        <v>50</v>
      </c>
      <c r="B31" s="1" t="s">
        <v>51</v>
      </c>
      <c r="C31">
        <v>1581</v>
      </c>
      <c r="D31">
        <v>1530</v>
      </c>
      <c r="E31">
        <v>1524</v>
      </c>
      <c r="F31">
        <v>3745</v>
      </c>
      <c r="G31">
        <v>287</v>
      </c>
      <c r="H31">
        <v>7921</v>
      </c>
      <c r="I31">
        <v>682</v>
      </c>
      <c r="J31">
        <v>6426</v>
      </c>
      <c r="K31">
        <v>443</v>
      </c>
      <c r="L31">
        <v>3259</v>
      </c>
      <c r="M31">
        <v>144</v>
      </c>
      <c r="N31">
        <v>3739</v>
      </c>
      <c r="O31">
        <v>6513</v>
      </c>
      <c r="P31">
        <v>9435</v>
      </c>
      <c r="Q31">
        <v>1905</v>
      </c>
      <c r="R31">
        <v>9933</v>
      </c>
      <c r="S31">
        <v>6781</v>
      </c>
      <c r="T31">
        <v>14873</v>
      </c>
      <c r="U31">
        <v>733</v>
      </c>
      <c r="V31">
        <v>13763</v>
      </c>
    </row>
    <row r="32" spans="1:22" x14ac:dyDescent="0.4">
      <c r="A32" s="1" t="s">
        <v>52</v>
      </c>
      <c r="B32" s="1" t="s">
        <v>53</v>
      </c>
      <c r="C32">
        <v>1968</v>
      </c>
      <c r="D32">
        <v>2443</v>
      </c>
      <c r="E32">
        <v>2327</v>
      </c>
      <c r="F32">
        <v>3503</v>
      </c>
      <c r="G32">
        <v>573</v>
      </c>
      <c r="H32">
        <v>10553</v>
      </c>
      <c r="I32">
        <v>820</v>
      </c>
      <c r="J32">
        <v>4848</v>
      </c>
      <c r="K32">
        <v>630</v>
      </c>
      <c r="L32">
        <v>4864</v>
      </c>
      <c r="M32">
        <v>195</v>
      </c>
      <c r="N32">
        <v>5089</v>
      </c>
      <c r="O32">
        <v>8178</v>
      </c>
      <c r="P32">
        <v>11914</v>
      </c>
      <c r="Q32">
        <v>1992</v>
      </c>
      <c r="R32">
        <v>10377</v>
      </c>
      <c r="S32">
        <v>7741</v>
      </c>
      <c r="T32">
        <v>17647</v>
      </c>
      <c r="U32">
        <v>872</v>
      </c>
      <c r="V32">
        <v>14324</v>
      </c>
    </row>
    <row r="33" spans="1:22" x14ac:dyDescent="0.4">
      <c r="A33" s="1" t="s">
        <v>54</v>
      </c>
      <c r="B33" s="1" t="s">
        <v>55</v>
      </c>
      <c r="C33">
        <v>2086</v>
      </c>
      <c r="D33">
        <v>2241</v>
      </c>
      <c r="E33">
        <v>2126</v>
      </c>
      <c r="F33">
        <v>3547</v>
      </c>
      <c r="G33">
        <v>416</v>
      </c>
      <c r="H33">
        <v>11428</v>
      </c>
      <c r="I33">
        <v>837</v>
      </c>
      <c r="J33">
        <v>5454</v>
      </c>
      <c r="K33">
        <v>1118</v>
      </c>
      <c r="L33">
        <v>5331</v>
      </c>
      <c r="M33">
        <v>252</v>
      </c>
      <c r="N33">
        <v>7325</v>
      </c>
      <c r="O33">
        <v>9024</v>
      </c>
      <c r="P33">
        <v>12063</v>
      </c>
      <c r="Q33">
        <v>2153</v>
      </c>
      <c r="R33">
        <v>11129</v>
      </c>
      <c r="S33">
        <v>7310</v>
      </c>
      <c r="T33">
        <v>17996</v>
      </c>
      <c r="U33">
        <v>930</v>
      </c>
      <c r="V33">
        <v>9983</v>
      </c>
    </row>
    <row r="34" spans="1:22" x14ac:dyDescent="0.4">
      <c r="A34" s="1" t="s">
        <v>56</v>
      </c>
      <c r="B34" s="1" t="s">
        <v>57</v>
      </c>
      <c r="C34">
        <v>1749</v>
      </c>
      <c r="D34">
        <v>2366</v>
      </c>
      <c r="E34">
        <v>2217</v>
      </c>
      <c r="F34">
        <v>3220</v>
      </c>
      <c r="G34">
        <v>166</v>
      </c>
      <c r="H34">
        <v>11564</v>
      </c>
      <c r="I34">
        <v>876</v>
      </c>
      <c r="J34">
        <v>5456</v>
      </c>
      <c r="K34">
        <v>595</v>
      </c>
      <c r="L34">
        <v>11501</v>
      </c>
      <c r="M34">
        <v>435</v>
      </c>
      <c r="N34">
        <v>2077</v>
      </c>
      <c r="O34">
        <v>7236</v>
      </c>
      <c r="P34">
        <v>12035</v>
      </c>
      <c r="Q34">
        <v>1884</v>
      </c>
      <c r="R34">
        <v>10544</v>
      </c>
      <c r="S34">
        <v>7188</v>
      </c>
      <c r="T34">
        <v>16852</v>
      </c>
      <c r="U34">
        <v>796</v>
      </c>
      <c r="V34">
        <v>11071</v>
      </c>
    </row>
    <row r="35" spans="1:22" x14ac:dyDescent="0.4">
      <c r="A35" s="1" t="s">
        <v>58</v>
      </c>
      <c r="B35" s="1" t="s">
        <v>59</v>
      </c>
      <c r="C35">
        <v>1801</v>
      </c>
      <c r="D35">
        <v>1988</v>
      </c>
      <c r="E35">
        <v>2077</v>
      </c>
      <c r="F35">
        <v>3281</v>
      </c>
      <c r="G35">
        <v>199</v>
      </c>
      <c r="H35">
        <v>11085</v>
      </c>
      <c r="I35">
        <v>862</v>
      </c>
      <c r="J35">
        <v>4450</v>
      </c>
      <c r="K35">
        <v>465</v>
      </c>
      <c r="L35">
        <v>5170</v>
      </c>
      <c r="M35">
        <v>236</v>
      </c>
      <c r="N35">
        <v>1560</v>
      </c>
      <c r="O35">
        <v>8102</v>
      </c>
      <c r="P35">
        <v>11506</v>
      </c>
      <c r="Q35">
        <v>1970</v>
      </c>
      <c r="R35">
        <v>14382</v>
      </c>
      <c r="S35">
        <v>7504</v>
      </c>
      <c r="T35">
        <v>14266</v>
      </c>
      <c r="U35">
        <v>738</v>
      </c>
      <c r="V35">
        <v>10389</v>
      </c>
    </row>
    <row r="36" spans="1:22" x14ac:dyDescent="0.4">
      <c r="A36" s="1" t="s">
        <v>60</v>
      </c>
      <c r="B36" s="1" t="s">
        <v>61</v>
      </c>
      <c r="C36">
        <v>1791</v>
      </c>
      <c r="D36">
        <v>1869</v>
      </c>
      <c r="E36">
        <v>1897</v>
      </c>
      <c r="F36">
        <v>3424</v>
      </c>
      <c r="G36">
        <v>876</v>
      </c>
      <c r="H36">
        <v>8466</v>
      </c>
      <c r="I36">
        <v>873</v>
      </c>
      <c r="J36">
        <v>4947</v>
      </c>
      <c r="K36">
        <v>669</v>
      </c>
      <c r="L36">
        <v>3037</v>
      </c>
      <c r="M36">
        <v>170</v>
      </c>
      <c r="N36">
        <v>2010</v>
      </c>
      <c r="O36">
        <v>7883</v>
      </c>
      <c r="P36">
        <v>11752</v>
      </c>
      <c r="Q36">
        <v>2071</v>
      </c>
      <c r="R36">
        <v>13879</v>
      </c>
      <c r="S36">
        <v>6745</v>
      </c>
      <c r="T36">
        <v>12668</v>
      </c>
      <c r="U36">
        <v>677</v>
      </c>
      <c r="V36">
        <v>11821</v>
      </c>
    </row>
    <row r="37" spans="1:22" x14ac:dyDescent="0.4">
      <c r="A37" s="1" t="s">
        <v>62</v>
      </c>
      <c r="B37" s="1" t="s">
        <v>63</v>
      </c>
      <c r="C37">
        <v>1789</v>
      </c>
      <c r="D37">
        <v>2267</v>
      </c>
      <c r="E37">
        <v>2057</v>
      </c>
      <c r="F37">
        <v>3344</v>
      </c>
      <c r="G37">
        <v>777</v>
      </c>
      <c r="H37">
        <v>10148</v>
      </c>
      <c r="I37">
        <v>1087</v>
      </c>
      <c r="J37">
        <v>4580</v>
      </c>
      <c r="K37">
        <v>850</v>
      </c>
      <c r="L37">
        <v>3977</v>
      </c>
      <c r="M37">
        <v>196</v>
      </c>
      <c r="N37">
        <v>2182</v>
      </c>
      <c r="O37">
        <v>7595</v>
      </c>
      <c r="P37">
        <v>12235</v>
      </c>
      <c r="Q37">
        <v>2179</v>
      </c>
      <c r="R37">
        <v>16192</v>
      </c>
      <c r="S37">
        <v>7863</v>
      </c>
      <c r="T37">
        <v>14550</v>
      </c>
      <c r="U37">
        <v>748</v>
      </c>
      <c r="V37">
        <v>12389</v>
      </c>
    </row>
    <row r="38" spans="1:22" x14ac:dyDescent="0.4">
      <c r="A38" s="1" t="s">
        <v>64</v>
      </c>
      <c r="B38" s="1" t="s">
        <v>65</v>
      </c>
      <c r="C38">
        <v>1973</v>
      </c>
      <c r="D38">
        <v>2322</v>
      </c>
      <c r="E38">
        <v>2249</v>
      </c>
      <c r="F38">
        <v>3287</v>
      </c>
      <c r="G38">
        <v>959</v>
      </c>
      <c r="H38">
        <v>11010</v>
      </c>
      <c r="I38">
        <v>1113</v>
      </c>
      <c r="J38">
        <v>4155</v>
      </c>
      <c r="K38">
        <v>854</v>
      </c>
      <c r="L38">
        <v>4022</v>
      </c>
      <c r="M38">
        <v>225</v>
      </c>
      <c r="N38">
        <v>1898</v>
      </c>
      <c r="O38">
        <v>8770</v>
      </c>
      <c r="P38">
        <v>12593</v>
      </c>
      <c r="Q38">
        <v>2277</v>
      </c>
      <c r="R38">
        <v>18943</v>
      </c>
      <c r="S38">
        <v>6664</v>
      </c>
      <c r="T38">
        <v>12740</v>
      </c>
      <c r="U38">
        <v>725</v>
      </c>
      <c r="V38">
        <v>10162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C3840-A9AB-46FF-8A5B-AF98C28B0197}">
  <dimension ref="A1:CX40"/>
  <sheetViews>
    <sheetView workbookViewId="0">
      <selection activeCell="C9" sqref="C9"/>
    </sheetView>
  </sheetViews>
  <sheetFormatPr defaultColWidth="15.625" defaultRowHeight="18.75" x14ac:dyDescent="0.4"/>
  <sheetData>
    <row r="1" spans="1:102" x14ac:dyDescent="0.4">
      <c r="A1" s="1" t="s">
        <v>66</v>
      </c>
      <c r="B1" s="1"/>
    </row>
    <row r="2" spans="1:102" x14ac:dyDescent="0.4">
      <c r="A2" s="4" t="str">
        <f>HYPERLINK("#'目次(Contents)'!A3","目次に戻る(Return to Contents)")</f>
        <v>目次に戻る(Return to Contents)</v>
      </c>
      <c r="B2" s="1"/>
    </row>
    <row r="3" spans="1:102" x14ac:dyDescent="0.4">
      <c r="A3" s="1"/>
      <c r="B3" s="2" t="s">
        <v>0</v>
      </c>
      <c r="C3" t="s">
        <v>2128</v>
      </c>
      <c r="D3" t="s">
        <v>2128</v>
      </c>
      <c r="E3" t="s">
        <v>2128</v>
      </c>
      <c r="F3" t="s">
        <v>2128</v>
      </c>
      <c r="G3" t="s">
        <v>2130</v>
      </c>
      <c r="H3" t="s">
        <v>2130</v>
      </c>
      <c r="I3" t="s">
        <v>2130</v>
      </c>
      <c r="J3" t="s">
        <v>2130</v>
      </c>
      <c r="K3" t="s">
        <v>2132</v>
      </c>
      <c r="L3" t="s">
        <v>2132</v>
      </c>
      <c r="M3" t="s">
        <v>2132</v>
      </c>
      <c r="N3" t="s">
        <v>2132</v>
      </c>
      <c r="O3" t="s">
        <v>2134</v>
      </c>
      <c r="P3" t="s">
        <v>2134</v>
      </c>
      <c r="Q3" t="s">
        <v>2134</v>
      </c>
      <c r="R3" t="s">
        <v>2134</v>
      </c>
      <c r="S3" t="s">
        <v>2136</v>
      </c>
      <c r="T3" t="s">
        <v>2136</v>
      </c>
      <c r="U3" t="s">
        <v>2136</v>
      </c>
      <c r="V3" t="s">
        <v>2136</v>
      </c>
      <c r="W3" t="s">
        <v>2138</v>
      </c>
      <c r="X3" t="s">
        <v>2138</v>
      </c>
      <c r="Y3" t="s">
        <v>2138</v>
      </c>
      <c r="Z3" t="s">
        <v>2138</v>
      </c>
      <c r="AA3" t="s">
        <v>2140</v>
      </c>
      <c r="AB3" t="s">
        <v>2140</v>
      </c>
      <c r="AC3" t="s">
        <v>2140</v>
      </c>
      <c r="AD3" t="s">
        <v>2140</v>
      </c>
      <c r="AE3" t="s">
        <v>2142</v>
      </c>
      <c r="AF3" t="s">
        <v>2142</v>
      </c>
      <c r="AG3" t="s">
        <v>2142</v>
      </c>
      <c r="AH3" t="s">
        <v>2142</v>
      </c>
      <c r="AI3" t="s">
        <v>2144</v>
      </c>
      <c r="AJ3" t="s">
        <v>2144</v>
      </c>
      <c r="AK3" t="s">
        <v>2144</v>
      </c>
      <c r="AL3" t="s">
        <v>2144</v>
      </c>
      <c r="AM3" t="s">
        <v>2146</v>
      </c>
      <c r="AN3" t="s">
        <v>2146</v>
      </c>
      <c r="AO3" t="s">
        <v>2146</v>
      </c>
      <c r="AP3" t="s">
        <v>2146</v>
      </c>
      <c r="AQ3" t="s">
        <v>2148</v>
      </c>
      <c r="AR3" t="s">
        <v>2148</v>
      </c>
      <c r="AS3" t="s">
        <v>2148</v>
      </c>
      <c r="AT3" t="s">
        <v>2148</v>
      </c>
      <c r="AU3" t="s">
        <v>2152</v>
      </c>
      <c r="AV3" t="s">
        <v>2152</v>
      </c>
      <c r="AW3" t="s">
        <v>2152</v>
      </c>
      <c r="AX3" t="s">
        <v>2152</v>
      </c>
      <c r="AY3" t="s">
        <v>2154</v>
      </c>
      <c r="AZ3" t="s">
        <v>2154</v>
      </c>
      <c r="BA3" t="s">
        <v>2154</v>
      </c>
      <c r="BB3" t="s">
        <v>2154</v>
      </c>
      <c r="BC3" t="s">
        <v>2156</v>
      </c>
      <c r="BD3" t="s">
        <v>2156</v>
      </c>
      <c r="BE3" t="s">
        <v>2156</v>
      </c>
      <c r="BF3" t="s">
        <v>2156</v>
      </c>
      <c r="BG3" t="s">
        <v>2158</v>
      </c>
      <c r="BH3" t="s">
        <v>2158</v>
      </c>
      <c r="BI3" t="s">
        <v>2158</v>
      </c>
      <c r="BJ3" t="s">
        <v>2158</v>
      </c>
      <c r="BK3" t="s">
        <v>2160</v>
      </c>
      <c r="BL3" t="s">
        <v>2160</v>
      </c>
      <c r="BM3" t="s">
        <v>2160</v>
      </c>
      <c r="BN3" t="s">
        <v>2160</v>
      </c>
      <c r="BO3" t="s">
        <v>2162</v>
      </c>
      <c r="BP3" t="s">
        <v>2162</v>
      </c>
      <c r="BQ3" t="s">
        <v>2162</v>
      </c>
      <c r="BR3" t="s">
        <v>2162</v>
      </c>
      <c r="BS3" t="s">
        <v>2164</v>
      </c>
      <c r="BT3" t="s">
        <v>2164</v>
      </c>
      <c r="BU3" t="s">
        <v>2164</v>
      </c>
      <c r="BV3" t="s">
        <v>2164</v>
      </c>
      <c r="BW3" t="s">
        <v>2166</v>
      </c>
      <c r="BX3" t="s">
        <v>2166</v>
      </c>
      <c r="BY3" t="s">
        <v>2166</v>
      </c>
      <c r="BZ3" t="s">
        <v>2166</v>
      </c>
      <c r="CA3" t="s">
        <v>2168</v>
      </c>
      <c r="CB3" t="s">
        <v>2168</v>
      </c>
      <c r="CC3" t="s">
        <v>2168</v>
      </c>
      <c r="CD3" t="s">
        <v>2168</v>
      </c>
      <c r="CE3" t="s">
        <v>2170</v>
      </c>
      <c r="CF3" t="s">
        <v>2170</v>
      </c>
      <c r="CG3" t="s">
        <v>2170</v>
      </c>
      <c r="CH3" t="s">
        <v>2170</v>
      </c>
      <c r="CI3" t="s">
        <v>2172</v>
      </c>
      <c r="CJ3" t="s">
        <v>2172</v>
      </c>
      <c r="CK3" t="s">
        <v>2172</v>
      </c>
      <c r="CL3" t="s">
        <v>2172</v>
      </c>
      <c r="CM3" t="s">
        <v>2174</v>
      </c>
      <c r="CN3" t="s">
        <v>2174</v>
      </c>
      <c r="CO3" t="s">
        <v>2174</v>
      </c>
      <c r="CP3" t="s">
        <v>2174</v>
      </c>
      <c r="CQ3" t="s">
        <v>2176</v>
      </c>
      <c r="CR3" t="s">
        <v>2176</v>
      </c>
      <c r="CS3" t="s">
        <v>2176</v>
      </c>
      <c r="CT3" t="s">
        <v>2176</v>
      </c>
      <c r="CU3" t="s">
        <v>2178</v>
      </c>
      <c r="CV3" t="s">
        <v>2178</v>
      </c>
      <c r="CW3" t="s">
        <v>2178</v>
      </c>
      <c r="CX3" t="s">
        <v>2178</v>
      </c>
    </row>
    <row r="4" spans="1:102" x14ac:dyDescent="0.4">
      <c r="A4" s="1"/>
      <c r="B4" s="2" t="s">
        <v>1</v>
      </c>
      <c r="C4" t="s">
        <v>2129</v>
      </c>
      <c r="D4" t="s">
        <v>2129</v>
      </c>
      <c r="E4" t="s">
        <v>2129</v>
      </c>
      <c r="F4" t="s">
        <v>2129</v>
      </c>
      <c r="G4" t="s">
        <v>2131</v>
      </c>
      <c r="H4" t="s">
        <v>2131</v>
      </c>
      <c r="I4" t="s">
        <v>2131</v>
      </c>
      <c r="J4" t="s">
        <v>2131</v>
      </c>
      <c r="K4" t="s">
        <v>2133</v>
      </c>
      <c r="L4" t="s">
        <v>2133</v>
      </c>
      <c r="M4" t="s">
        <v>2133</v>
      </c>
      <c r="N4" t="s">
        <v>2133</v>
      </c>
      <c r="O4" t="s">
        <v>2135</v>
      </c>
      <c r="P4" t="s">
        <v>2135</v>
      </c>
      <c r="Q4" t="s">
        <v>2135</v>
      </c>
      <c r="R4" t="s">
        <v>2135</v>
      </c>
      <c r="S4" t="s">
        <v>2137</v>
      </c>
      <c r="T4" t="s">
        <v>2137</v>
      </c>
      <c r="U4" t="s">
        <v>2137</v>
      </c>
      <c r="V4" t="s">
        <v>2137</v>
      </c>
      <c r="W4" t="s">
        <v>2139</v>
      </c>
      <c r="X4" t="s">
        <v>2139</v>
      </c>
      <c r="Y4" t="s">
        <v>2139</v>
      </c>
      <c r="Z4" t="s">
        <v>2139</v>
      </c>
      <c r="AA4" t="s">
        <v>2141</v>
      </c>
      <c r="AB4" t="s">
        <v>2141</v>
      </c>
      <c r="AC4" t="s">
        <v>2141</v>
      </c>
      <c r="AD4" t="s">
        <v>2141</v>
      </c>
      <c r="AE4" t="s">
        <v>2143</v>
      </c>
      <c r="AF4" t="s">
        <v>2143</v>
      </c>
      <c r="AG4" t="s">
        <v>2143</v>
      </c>
      <c r="AH4" t="s">
        <v>2143</v>
      </c>
      <c r="AI4" t="s">
        <v>2145</v>
      </c>
      <c r="AJ4" t="s">
        <v>2145</v>
      </c>
      <c r="AK4" t="s">
        <v>2145</v>
      </c>
      <c r="AL4" t="s">
        <v>2145</v>
      </c>
      <c r="AM4" t="s">
        <v>2147</v>
      </c>
      <c r="AN4" t="s">
        <v>2147</v>
      </c>
      <c r="AO4" t="s">
        <v>2147</v>
      </c>
      <c r="AP4" t="s">
        <v>2147</v>
      </c>
      <c r="AQ4" t="s">
        <v>2150</v>
      </c>
      <c r="AR4" t="s">
        <v>2150</v>
      </c>
      <c r="AS4" t="s">
        <v>2150</v>
      </c>
      <c r="AT4" t="s">
        <v>2150</v>
      </c>
      <c r="AU4" t="s">
        <v>2153</v>
      </c>
      <c r="AV4" t="s">
        <v>2153</v>
      </c>
      <c r="AW4" t="s">
        <v>2153</v>
      </c>
      <c r="AX4" t="s">
        <v>2153</v>
      </c>
      <c r="AY4" t="s">
        <v>2155</v>
      </c>
      <c r="AZ4" t="s">
        <v>2155</v>
      </c>
      <c r="BA4" t="s">
        <v>2155</v>
      </c>
      <c r="BB4" t="s">
        <v>2155</v>
      </c>
      <c r="BC4" t="s">
        <v>2157</v>
      </c>
      <c r="BD4" t="s">
        <v>2157</v>
      </c>
      <c r="BE4" t="s">
        <v>2157</v>
      </c>
      <c r="BF4" t="s">
        <v>2157</v>
      </c>
      <c r="BG4" t="s">
        <v>2159</v>
      </c>
      <c r="BH4" t="s">
        <v>2159</v>
      </c>
      <c r="BI4" t="s">
        <v>2159</v>
      </c>
      <c r="BJ4" t="s">
        <v>2159</v>
      </c>
      <c r="BK4" t="s">
        <v>2161</v>
      </c>
      <c r="BL4" t="s">
        <v>2161</v>
      </c>
      <c r="BM4" t="s">
        <v>2161</v>
      </c>
      <c r="BN4" t="s">
        <v>2161</v>
      </c>
      <c r="BO4" t="s">
        <v>2163</v>
      </c>
      <c r="BP4" t="s">
        <v>2163</v>
      </c>
      <c r="BQ4" t="s">
        <v>2163</v>
      </c>
      <c r="BR4" t="s">
        <v>2163</v>
      </c>
      <c r="BS4" t="s">
        <v>2165</v>
      </c>
      <c r="BT4" t="s">
        <v>2165</v>
      </c>
      <c r="BU4" t="s">
        <v>2165</v>
      </c>
      <c r="BV4" t="s">
        <v>2165</v>
      </c>
      <c r="BW4" t="s">
        <v>2167</v>
      </c>
      <c r="BX4" t="s">
        <v>2167</v>
      </c>
      <c r="BY4" t="s">
        <v>2167</v>
      </c>
      <c r="BZ4" t="s">
        <v>2167</v>
      </c>
      <c r="CA4" t="s">
        <v>2169</v>
      </c>
      <c r="CB4" t="s">
        <v>2169</v>
      </c>
      <c r="CC4" t="s">
        <v>2169</v>
      </c>
      <c r="CD4" t="s">
        <v>2169</v>
      </c>
      <c r="CE4" t="s">
        <v>2171</v>
      </c>
      <c r="CF4" t="s">
        <v>2171</v>
      </c>
      <c r="CG4" t="s">
        <v>2171</v>
      </c>
      <c r="CH4" t="s">
        <v>2171</v>
      </c>
      <c r="CI4" t="s">
        <v>2173</v>
      </c>
      <c r="CJ4" t="s">
        <v>2173</v>
      </c>
      <c r="CK4" t="s">
        <v>2173</v>
      </c>
      <c r="CL4" t="s">
        <v>2173</v>
      </c>
      <c r="CM4" t="s">
        <v>2175</v>
      </c>
      <c r="CN4" t="s">
        <v>2175</v>
      </c>
      <c r="CO4" t="s">
        <v>2175</v>
      </c>
      <c r="CP4" t="s">
        <v>2175</v>
      </c>
      <c r="CQ4" t="s">
        <v>2177</v>
      </c>
      <c r="CR4" t="s">
        <v>2177</v>
      </c>
      <c r="CS4" t="s">
        <v>2177</v>
      </c>
      <c r="CT4" t="s">
        <v>2177</v>
      </c>
      <c r="CU4" t="s">
        <v>2179</v>
      </c>
      <c r="CV4" t="s">
        <v>2179</v>
      </c>
      <c r="CW4" t="s">
        <v>2179</v>
      </c>
      <c r="CX4" t="s">
        <v>2179</v>
      </c>
    </row>
    <row r="5" spans="1:10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</row>
    <row r="6" spans="1:10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</row>
    <row r="7" spans="1:102" x14ac:dyDescent="0.4">
      <c r="A7" s="1"/>
      <c r="B7" s="2" t="s">
        <v>4</v>
      </c>
      <c r="C7" t="s">
        <v>502</v>
      </c>
      <c r="D7" t="s">
        <v>502</v>
      </c>
      <c r="E7" t="s">
        <v>341</v>
      </c>
      <c r="F7" t="s">
        <v>502</v>
      </c>
      <c r="G7" t="s">
        <v>502</v>
      </c>
      <c r="H7" t="s">
        <v>502</v>
      </c>
      <c r="I7" t="s">
        <v>341</v>
      </c>
      <c r="J7" t="s">
        <v>502</v>
      </c>
      <c r="K7" t="s">
        <v>502</v>
      </c>
      <c r="L7" t="s">
        <v>502</v>
      </c>
      <c r="M7" t="s">
        <v>341</v>
      </c>
      <c r="N7" t="s">
        <v>502</v>
      </c>
      <c r="O7" t="s">
        <v>502</v>
      </c>
      <c r="P7" t="s">
        <v>502</v>
      </c>
      <c r="Q7" t="s">
        <v>341</v>
      </c>
      <c r="R7" t="s">
        <v>502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502</v>
      </c>
      <c r="AJ7" t="s">
        <v>502</v>
      </c>
      <c r="AK7" t="s">
        <v>341</v>
      </c>
      <c r="AL7" t="s">
        <v>502</v>
      </c>
      <c r="AM7" t="s">
        <v>502</v>
      </c>
      <c r="AN7" t="s">
        <v>502</v>
      </c>
      <c r="AO7" t="s">
        <v>341</v>
      </c>
      <c r="AP7" t="s">
        <v>502</v>
      </c>
      <c r="AQ7" t="s">
        <v>2149</v>
      </c>
      <c r="AR7" t="s">
        <v>2149</v>
      </c>
      <c r="AS7" t="s">
        <v>341</v>
      </c>
      <c r="AT7" t="s">
        <v>2149</v>
      </c>
      <c r="AU7" t="s">
        <v>502</v>
      </c>
      <c r="AV7" t="s">
        <v>502</v>
      </c>
      <c r="AW7" t="s">
        <v>341</v>
      </c>
      <c r="AX7" t="s">
        <v>502</v>
      </c>
      <c r="AY7" t="s">
        <v>502</v>
      </c>
      <c r="AZ7" t="s">
        <v>502</v>
      </c>
      <c r="BA7" t="s">
        <v>341</v>
      </c>
      <c r="BB7" t="s">
        <v>502</v>
      </c>
      <c r="BC7" t="s">
        <v>1247</v>
      </c>
      <c r="BD7" t="s">
        <v>1247</v>
      </c>
      <c r="BE7" t="s">
        <v>341</v>
      </c>
      <c r="BF7" t="s">
        <v>1247</v>
      </c>
      <c r="BG7" t="s">
        <v>502</v>
      </c>
      <c r="BH7" t="s">
        <v>502</v>
      </c>
      <c r="BI7" t="s">
        <v>341</v>
      </c>
      <c r="BJ7" t="s">
        <v>502</v>
      </c>
      <c r="BK7" t="s">
        <v>502</v>
      </c>
      <c r="BL7" t="s">
        <v>502</v>
      </c>
      <c r="BM7" t="s">
        <v>341</v>
      </c>
      <c r="BN7" t="s">
        <v>502</v>
      </c>
      <c r="BO7" t="s">
        <v>502</v>
      </c>
      <c r="BP7" t="s">
        <v>502</v>
      </c>
      <c r="BQ7" t="s">
        <v>341</v>
      </c>
      <c r="BR7" t="s">
        <v>502</v>
      </c>
      <c r="BS7" t="s">
        <v>502</v>
      </c>
      <c r="BT7" t="s">
        <v>502</v>
      </c>
      <c r="BU7" t="s">
        <v>341</v>
      </c>
      <c r="BV7" t="s">
        <v>502</v>
      </c>
      <c r="BW7" t="s">
        <v>502</v>
      </c>
      <c r="BX7" t="s">
        <v>502</v>
      </c>
      <c r="BY7" t="s">
        <v>341</v>
      </c>
      <c r="BZ7" t="s">
        <v>502</v>
      </c>
      <c r="CA7" t="s">
        <v>502</v>
      </c>
      <c r="CB7" t="s">
        <v>502</v>
      </c>
      <c r="CC7" t="s">
        <v>341</v>
      </c>
      <c r="CD7" t="s">
        <v>502</v>
      </c>
      <c r="CE7" t="s">
        <v>502</v>
      </c>
      <c r="CF7" t="s">
        <v>502</v>
      </c>
      <c r="CG7" t="s">
        <v>341</v>
      </c>
      <c r="CH7" t="s">
        <v>502</v>
      </c>
      <c r="CI7" t="s">
        <v>502</v>
      </c>
      <c r="CJ7" t="s">
        <v>502</v>
      </c>
      <c r="CK7" t="s">
        <v>341</v>
      </c>
      <c r="CL7" t="s">
        <v>502</v>
      </c>
      <c r="CM7" t="s">
        <v>502</v>
      </c>
      <c r="CN7" t="s">
        <v>502</v>
      </c>
      <c r="CO7" t="s">
        <v>341</v>
      </c>
      <c r="CP7" t="s">
        <v>502</v>
      </c>
      <c r="CQ7" t="s">
        <v>502</v>
      </c>
      <c r="CR7" t="s">
        <v>502</v>
      </c>
      <c r="CS7" t="s">
        <v>341</v>
      </c>
      <c r="CT7" t="s">
        <v>502</v>
      </c>
      <c r="CU7" t="s">
        <v>502</v>
      </c>
      <c r="CV7" t="s">
        <v>502</v>
      </c>
      <c r="CW7" t="s">
        <v>341</v>
      </c>
      <c r="CX7" t="s">
        <v>502</v>
      </c>
    </row>
    <row r="8" spans="1:10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342</v>
      </c>
      <c r="F8" t="s">
        <v>253</v>
      </c>
      <c r="G8" t="s">
        <v>253</v>
      </c>
      <c r="H8" t="s">
        <v>253</v>
      </c>
      <c r="I8" t="s">
        <v>342</v>
      </c>
      <c r="J8" t="s">
        <v>253</v>
      </c>
      <c r="K8" t="s">
        <v>253</v>
      </c>
      <c r="L8" t="s">
        <v>253</v>
      </c>
      <c r="M8" t="s">
        <v>342</v>
      </c>
      <c r="N8" t="s">
        <v>253</v>
      </c>
      <c r="O8" t="s">
        <v>253</v>
      </c>
      <c r="P8" t="s">
        <v>253</v>
      </c>
      <c r="Q8" t="s">
        <v>342</v>
      </c>
      <c r="R8" t="s">
        <v>253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2151</v>
      </c>
      <c r="AR8" t="s">
        <v>2151</v>
      </c>
      <c r="AS8" t="s">
        <v>342</v>
      </c>
      <c r="AT8" t="s">
        <v>2151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  <c r="BC8" t="s">
        <v>1247</v>
      </c>
      <c r="BD8" t="s">
        <v>1247</v>
      </c>
      <c r="BE8" t="s">
        <v>342</v>
      </c>
      <c r="BF8" t="s">
        <v>1247</v>
      </c>
      <c r="BG8" t="s">
        <v>253</v>
      </c>
      <c r="BH8" t="s">
        <v>253</v>
      </c>
      <c r="BI8" t="s">
        <v>342</v>
      </c>
      <c r="BJ8" t="s">
        <v>253</v>
      </c>
      <c r="BK8" t="s">
        <v>253</v>
      </c>
      <c r="BL8" t="s">
        <v>253</v>
      </c>
      <c r="BM8" t="s">
        <v>342</v>
      </c>
      <c r="BN8" t="s">
        <v>253</v>
      </c>
      <c r="BO8" t="s">
        <v>253</v>
      </c>
      <c r="BP8" t="s">
        <v>253</v>
      </c>
      <c r="BQ8" t="s">
        <v>342</v>
      </c>
      <c r="BR8" t="s">
        <v>253</v>
      </c>
      <c r="BS8" t="s">
        <v>253</v>
      </c>
      <c r="BT8" t="s">
        <v>253</v>
      </c>
      <c r="BU8" t="s">
        <v>342</v>
      </c>
      <c r="BV8" t="s">
        <v>253</v>
      </c>
      <c r="BW8" t="s">
        <v>253</v>
      </c>
      <c r="BX8" t="s">
        <v>253</v>
      </c>
      <c r="BY8" t="s">
        <v>342</v>
      </c>
      <c r="BZ8" t="s">
        <v>253</v>
      </c>
      <c r="CA8" t="s">
        <v>253</v>
      </c>
      <c r="CB8" t="s">
        <v>253</v>
      </c>
      <c r="CC8" t="s">
        <v>342</v>
      </c>
      <c r="CD8" t="s">
        <v>253</v>
      </c>
      <c r="CE8" t="s">
        <v>253</v>
      </c>
      <c r="CF8" t="s">
        <v>253</v>
      </c>
      <c r="CG8" t="s">
        <v>342</v>
      </c>
      <c r="CH8" t="s">
        <v>253</v>
      </c>
      <c r="CI8" t="s">
        <v>253</v>
      </c>
      <c r="CJ8" t="s">
        <v>253</v>
      </c>
      <c r="CK8" t="s">
        <v>342</v>
      </c>
      <c r="CL8" t="s">
        <v>253</v>
      </c>
      <c r="CM8" t="s">
        <v>253</v>
      </c>
      <c r="CN8" t="s">
        <v>253</v>
      </c>
      <c r="CO8" t="s">
        <v>342</v>
      </c>
      <c r="CP8" t="s">
        <v>253</v>
      </c>
      <c r="CQ8" t="s">
        <v>253</v>
      </c>
      <c r="CR8" t="s">
        <v>253</v>
      </c>
      <c r="CS8" t="s">
        <v>342</v>
      </c>
      <c r="CT8" t="s">
        <v>253</v>
      </c>
      <c r="CU8" t="s">
        <v>253</v>
      </c>
      <c r="CV8" t="s">
        <v>253</v>
      </c>
      <c r="CW8" t="s">
        <v>342</v>
      </c>
      <c r="CX8" t="s">
        <v>253</v>
      </c>
    </row>
    <row r="9" spans="1:102" x14ac:dyDescent="0.4">
      <c r="A9" s="1" t="s">
        <v>6</v>
      </c>
      <c r="B9" s="3" t="s">
        <v>7</v>
      </c>
      <c r="C9">
        <v>996049</v>
      </c>
      <c r="D9">
        <v>1077897</v>
      </c>
      <c r="E9">
        <v>41878235</v>
      </c>
      <c r="F9">
        <v>157284</v>
      </c>
      <c r="G9">
        <v>1288411</v>
      </c>
      <c r="H9">
        <v>1324951</v>
      </c>
      <c r="I9">
        <v>11777720</v>
      </c>
      <c r="J9">
        <v>260845</v>
      </c>
      <c r="K9">
        <v>1958147</v>
      </c>
      <c r="L9">
        <v>2063799</v>
      </c>
      <c r="M9">
        <v>23214144</v>
      </c>
      <c r="N9">
        <v>112164</v>
      </c>
      <c r="O9">
        <v>2363133</v>
      </c>
      <c r="P9">
        <v>2461745</v>
      </c>
      <c r="Q9">
        <v>24129655</v>
      </c>
      <c r="R9">
        <v>304104</v>
      </c>
      <c r="S9">
        <v>417107</v>
      </c>
      <c r="T9">
        <v>443770</v>
      </c>
      <c r="U9">
        <v>7035740</v>
      </c>
      <c r="V9">
        <v>90970</v>
      </c>
      <c r="W9">
        <v>2130900</v>
      </c>
      <c r="X9">
        <v>2139636</v>
      </c>
      <c r="Y9">
        <v>22813713</v>
      </c>
      <c r="Z9">
        <v>184258</v>
      </c>
      <c r="AA9">
        <v>34159</v>
      </c>
      <c r="AB9">
        <v>76543</v>
      </c>
      <c r="AC9">
        <v>4143885</v>
      </c>
      <c r="AD9">
        <v>8874</v>
      </c>
      <c r="AE9">
        <v>185815</v>
      </c>
      <c r="AF9">
        <v>185362</v>
      </c>
      <c r="AG9">
        <v>9065170</v>
      </c>
      <c r="AH9">
        <v>14113</v>
      </c>
      <c r="AI9">
        <v>104017</v>
      </c>
      <c r="AJ9">
        <v>103746</v>
      </c>
      <c r="AK9">
        <v>1350981</v>
      </c>
      <c r="AL9">
        <v>8166</v>
      </c>
      <c r="AM9">
        <v>63761</v>
      </c>
      <c r="AN9">
        <v>63659</v>
      </c>
      <c r="AO9">
        <v>1457839</v>
      </c>
      <c r="AP9">
        <v>5938</v>
      </c>
      <c r="AQ9">
        <v>843655</v>
      </c>
      <c r="AR9">
        <v>843564</v>
      </c>
      <c r="AS9">
        <v>153539736</v>
      </c>
      <c r="AT9">
        <v>41652</v>
      </c>
      <c r="AU9">
        <v>169598</v>
      </c>
      <c r="AV9">
        <v>163448</v>
      </c>
      <c r="AW9">
        <v>21027580</v>
      </c>
      <c r="AX9">
        <v>22795</v>
      </c>
      <c r="AY9">
        <v>1823519</v>
      </c>
      <c r="AZ9">
        <v>1928477</v>
      </c>
      <c r="BA9">
        <v>17584927</v>
      </c>
      <c r="BB9">
        <v>84576</v>
      </c>
      <c r="BC9">
        <v>3059076</v>
      </c>
      <c r="BD9">
        <v>3109127</v>
      </c>
      <c r="BE9">
        <v>87271187</v>
      </c>
      <c r="BF9">
        <v>67950</v>
      </c>
      <c r="BG9">
        <v>2114190</v>
      </c>
      <c r="BH9">
        <v>2227631</v>
      </c>
      <c r="BI9">
        <v>11621216</v>
      </c>
      <c r="BJ9">
        <v>44207</v>
      </c>
      <c r="BK9">
        <v>7750</v>
      </c>
      <c r="BL9">
        <v>8403</v>
      </c>
      <c r="BM9">
        <v>472066</v>
      </c>
      <c r="BN9">
        <v>834</v>
      </c>
      <c r="BO9">
        <v>697630</v>
      </c>
      <c r="BP9">
        <v>617373</v>
      </c>
      <c r="BQ9">
        <v>10833191</v>
      </c>
      <c r="BR9">
        <v>49972</v>
      </c>
      <c r="BS9">
        <v>257697</v>
      </c>
      <c r="BT9">
        <v>280787</v>
      </c>
      <c r="BU9">
        <v>4566623</v>
      </c>
      <c r="BV9">
        <v>43479</v>
      </c>
      <c r="BW9">
        <v>80797</v>
      </c>
      <c r="BX9">
        <v>79730</v>
      </c>
      <c r="BY9">
        <v>2023661</v>
      </c>
      <c r="BZ9">
        <v>11121</v>
      </c>
      <c r="CA9">
        <v>192141</v>
      </c>
      <c r="CB9">
        <v>212466</v>
      </c>
      <c r="CC9">
        <v>9263016</v>
      </c>
      <c r="CD9">
        <v>19786</v>
      </c>
      <c r="CE9">
        <v>226165</v>
      </c>
      <c r="CF9">
        <v>233991</v>
      </c>
      <c r="CG9">
        <v>14425282</v>
      </c>
      <c r="CH9">
        <v>7195</v>
      </c>
      <c r="CI9">
        <v>385808</v>
      </c>
      <c r="CJ9">
        <v>398831</v>
      </c>
      <c r="CK9">
        <v>11430057</v>
      </c>
      <c r="CL9">
        <v>17279</v>
      </c>
      <c r="CM9">
        <v>125050</v>
      </c>
      <c r="CN9">
        <v>131796</v>
      </c>
      <c r="CO9">
        <v>4269649</v>
      </c>
      <c r="CP9">
        <v>18058</v>
      </c>
      <c r="CQ9">
        <v>203229</v>
      </c>
      <c r="CR9">
        <v>196572</v>
      </c>
      <c r="CS9">
        <v>7754747</v>
      </c>
      <c r="CT9">
        <v>11988</v>
      </c>
      <c r="CU9">
        <v>2912260</v>
      </c>
      <c r="CV9">
        <v>3013464</v>
      </c>
      <c r="CW9">
        <v>73783409</v>
      </c>
      <c r="CX9">
        <v>135190</v>
      </c>
    </row>
    <row r="10" spans="1:102" x14ac:dyDescent="0.4">
      <c r="A10" s="1" t="s">
        <v>8</v>
      </c>
      <c r="B10" s="3" t="s">
        <v>9</v>
      </c>
      <c r="C10">
        <v>893953</v>
      </c>
      <c r="D10">
        <v>965075</v>
      </c>
      <c r="E10">
        <v>40905582</v>
      </c>
      <c r="F10">
        <v>150353</v>
      </c>
      <c r="G10">
        <v>1204788</v>
      </c>
      <c r="H10">
        <v>1365870</v>
      </c>
      <c r="I10">
        <v>12695707</v>
      </c>
      <c r="J10">
        <v>143256</v>
      </c>
      <c r="K10">
        <v>1675598</v>
      </c>
      <c r="L10">
        <v>1786789</v>
      </c>
      <c r="M10">
        <v>25258112</v>
      </c>
      <c r="N10">
        <v>100554</v>
      </c>
      <c r="O10">
        <v>2256334</v>
      </c>
      <c r="P10">
        <v>2408371</v>
      </c>
      <c r="Q10">
        <v>25177123</v>
      </c>
      <c r="R10">
        <v>216348</v>
      </c>
      <c r="S10">
        <v>332550</v>
      </c>
      <c r="T10">
        <v>339293</v>
      </c>
      <c r="U10">
        <v>6068443</v>
      </c>
      <c r="V10">
        <v>91887</v>
      </c>
      <c r="W10">
        <v>1861938</v>
      </c>
      <c r="X10">
        <v>1887373</v>
      </c>
      <c r="Y10">
        <v>20835916</v>
      </c>
      <c r="Z10">
        <v>182327</v>
      </c>
      <c r="AA10">
        <v>29259</v>
      </c>
      <c r="AB10">
        <v>73488</v>
      </c>
      <c r="AC10">
        <v>4188960</v>
      </c>
      <c r="AD10">
        <v>12627</v>
      </c>
      <c r="AE10">
        <v>173655</v>
      </c>
      <c r="AF10">
        <v>174219</v>
      </c>
      <c r="AG10">
        <v>8305180</v>
      </c>
      <c r="AH10">
        <v>13549</v>
      </c>
      <c r="AI10">
        <v>92742</v>
      </c>
      <c r="AJ10">
        <v>94190</v>
      </c>
      <c r="AK10">
        <v>1199247</v>
      </c>
      <c r="AL10">
        <v>6718</v>
      </c>
      <c r="AM10">
        <v>57790</v>
      </c>
      <c r="AN10">
        <v>57007</v>
      </c>
      <c r="AO10">
        <v>1322101</v>
      </c>
      <c r="AP10">
        <v>6721</v>
      </c>
      <c r="AQ10">
        <v>846517</v>
      </c>
      <c r="AR10">
        <v>854453</v>
      </c>
      <c r="AS10">
        <v>153378073</v>
      </c>
      <c r="AT10">
        <v>44672</v>
      </c>
      <c r="AU10">
        <v>165076</v>
      </c>
      <c r="AV10">
        <v>167988</v>
      </c>
      <c r="AW10">
        <v>21484179</v>
      </c>
      <c r="AX10">
        <v>19882</v>
      </c>
      <c r="AY10">
        <v>1824774</v>
      </c>
      <c r="AZ10">
        <v>1841798</v>
      </c>
      <c r="BA10">
        <v>18081346</v>
      </c>
      <c r="BB10">
        <v>125546</v>
      </c>
      <c r="BC10">
        <v>3249638</v>
      </c>
      <c r="BD10">
        <v>3255587</v>
      </c>
      <c r="BE10">
        <v>93562578</v>
      </c>
      <c r="BF10">
        <v>66601</v>
      </c>
      <c r="BG10">
        <v>2031171</v>
      </c>
      <c r="BH10">
        <v>2158854</v>
      </c>
      <c r="BI10">
        <v>10953076</v>
      </c>
      <c r="BJ10">
        <v>24035</v>
      </c>
      <c r="BK10">
        <v>3605</v>
      </c>
      <c r="BL10">
        <v>3667</v>
      </c>
      <c r="BM10">
        <v>272789</v>
      </c>
      <c r="BN10">
        <v>553</v>
      </c>
      <c r="BO10">
        <v>587685</v>
      </c>
      <c r="BP10">
        <v>533614</v>
      </c>
      <c r="BQ10">
        <v>9137717</v>
      </c>
      <c r="BR10">
        <v>52552</v>
      </c>
      <c r="BS10">
        <v>296842</v>
      </c>
      <c r="BT10">
        <v>311841</v>
      </c>
      <c r="BU10">
        <v>4960724</v>
      </c>
      <c r="BV10">
        <v>36685</v>
      </c>
      <c r="BW10">
        <v>71709</v>
      </c>
      <c r="BX10">
        <v>69130</v>
      </c>
      <c r="BY10">
        <v>1843002</v>
      </c>
      <c r="BZ10">
        <v>12409</v>
      </c>
      <c r="CA10">
        <v>197915</v>
      </c>
      <c r="CB10">
        <v>206126</v>
      </c>
      <c r="CC10">
        <v>9848299</v>
      </c>
      <c r="CD10">
        <v>19898</v>
      </c>
      <c r="CE10">
        <v>231436</v>
      </c>
      <c r="CF10">
        <v>238700</v>
      </c>
      <c r="CG10">
        <v>15322723</v>
      </c>
      <c r="CH10">
        <v>5787</v>
      </c>
      <c r="CI10">
        <v>422712</v>
      </c>
      <c r="CJ10">
        <v>436231</v>
      </c>
      <c r="CK10">
        <v>12738379</v>
      </c>
      <c r="CL10">
        <v>16802</v>
      </c>
      <c r="CM10">
        <v>113466</v>
      </c>
      <c r="CN10">
        <v>120091</v>
      </c>
      <c r="CO10">
        <v>4193223</v>
      </c>
      <c r="CP10">
        <v>6904</v>
      </c>
      <c r="CQ10">
        <v>185599</v>
      </c>
      <c r="CR10">
        <v>182950</v>
      </c>
      <c r="CS10">
        <v>7760040</v>
      </c>
      <c r="CT10">
        <v>10283</v>
      </c>
      <c r="CU10">
        <v>3031780</v>
      </c>
      <c r="CV10">
        <v>3116834</v>
      </c>
      <c r="CW10">
        <v>77459439</v>
      </c>
      <c r="CX10">
        <v>148317</v>
      </c>
    </row>
    <row r="11" spans="1:102" x14ac:dyDescent="0.4">
      <c r="A11" s="1" t="s">
        <v>10</v>
      </c>
      <c r="B11" s="3" t="s">
        <v>11</v>
      </c>
      <c r="C11">
        <v>835197</v>
      </c>
      <c r="D11">
        <v>886815</v>
      </c>
      <c r="E11">
        <v>41372858</v>
      </c>
      <c r="F11">
        <v>142932</v>
      </c>
      <c r="G11">
        <v>1126326</v>
      </c>
      <c r="H11">
        <v>1180509</v>
      </c>
      <c r="I11">
        <v>11464620</v>
      </c>
      <c r="J11">
        <v>139013</v>
      </c>
      <c r="K11">
        <v>1881131</v>
      </c>
      <c r="L11">
        <v>1981038</v>
      </c>
      <c r="M11">
        <v>25492086</v>
      </c>
      <c r="N11">
        <v>73090</v>
      </c>
      <c r="O11">
        <v>2155327</v>
      </c>
      <c r="P11">
        <v>2236616</v>
      </c>
      <c r="Q11">
        <v>26536820</v>
      </c>
      <c r="R11">
        <v>197839</v>
      </c>
      <c r="S11">
        <v>356638</v>
      </c>
      <c r="T11">
        <v>365620</v>
      </c>
      <c r="U11">
        <v>7549736</v>
      </c>
      <c r="V11">
        <v>87418</v>
      </c>
      <c r="W11">
        <v>1698331</v>
      </c>
      <c r="X11">
        <v>1723809</v>
      </c>
      <c r="Y11">
        <v>21188376</v>
      </c>
      <c r="Z11">
        <v>180296</v>
      </c>
      <c r="AA11">
        <v>24900</v>
      </c>
      <c r="AB11">
        <v>58233</v>
      </c>
      <c r="AC11">
        <v>4319446</v>
      </c>
      <c r="AD11">
        <v>11389</v>
      </c>
      <c r="AE11">
        <v>161144</v>
      </c>
      <c r="AF11">
        <v>161641</v>
      </c>
      <c r="AG11">
        <v>8484128</v>
      </c>
      <c r="AH11">
        <v>13052</v>
      </c>
      <c r="AI11">
        <v>88236</v>
      </c>
      <c r="AJ11">
        <v>88078</v>
      </c>
      <c r="AK11">
        <v>1243722</v>
      </c>
      <c r="AL11">
        <v>6876</v>
      </c>
      <c r="AM11">
        <v>48845</v>
      </c>
      <c r="AN11">
        <v>49857</v>
      </c>
      <c r="AO11">
        <v>1310994</v>
      </c>
      <c r="AP11">
        <v>5708</v>
      </c>
      <c r="AQ11">
        <v>812290</v>
      </c>
      <c r="AR11">
        <v>843848</v>
      </c>
      <c r="AS11">
        <v>158776760</v>
      </c>
      <c r="AT11">
        <v>36587</v>
      </c>
      <c r="AU11">
        <v>168473</v>
      </c>
      <c r="AV11">
        <v>165792</v>
      </c>
      <c r="AW11">
        <v>20695781</v>
      </c>
      <c r="AX11">
        <v>39240</v>
      </c>
      <c r="AY11">
        <v>1726962</v>
      </c>
      <c r="AZ11">
        <v>1808000</v>
      </c>
      <c r="BA11">
        <v>18880916</v>
      </c>
      <c r="BB11">
        <v>103265</v>
      </c>
      <c r="BC11">
        <v>3227351</v>
      </c>
      <c r="BD11">
        <v>3235753</v>
      </c>
      <c r="BE11">
        <v>100727308</v>
      </c>
      <c r="BF11">
        <v>63605</v>
      </c>
      <c r="BG11">
        <v>1856021</v>
      </c>
      <c r="BH11">
        <v>1913437</v>
      </c>
      <c r="BI11">
        <v>12095025</v>
      </c>
      <c r="BJ11">
        <v>20497</v>
      </c>
      <c r="BK11">
        <v>3744</v>
      </c>
      <c r="BL11">
        <v>3911</v>
      </c>
      <c r="BM11">
        <v>206300</v>
      </c>
      <c r="BN11">
        <v>477</v>
      </c>
      <c r="BO11">
        <v>556367</v>
      </c>
      <c r="BP11">
        <v>516383</v>
      </c>
      <c r="BQ11">
        <v>10410863</v>
      </c>
      <c r="BR11">
        <v>72321</v>
      </c>
      <c r="BS11">
        <v>290440</v>
      </c>
      <c r="BT11">
        <v>304199</v>
      </c>
      <c r="BU11">
        <v>5192358</v>
      </c>
      <c r="BV11">
        <v>24497</v>
      </c>
      <c r="BW11">
        <v>50573</v>
      </c>
      <c r="BX11">
        <v>52187</v>
      </c>
      <c r="BY11">
        <v>1471054</v>
      </c>
      <c r="BZ11">
        <v>9134</v>
      </c>
      <c r="CA11">
        <v>172155</v>
      </c>
      <c r="CB11">
        <v>177417</v>
      </c>
      <c r="CC11">
        <v>8956773</v>
      </c>
      <c r="CD11">
        <v>18565</v>
      </c>
      <c r="CE11">
        <v>205597</v>
      </c>
      <c r="CF11">
        <v>210465</v>
      </c>
      <c r="CG11">
        <v>14344017</v>
      </c>
      <c r="CH11">
        <v>6251</v>
      </c>
      <c r="CI11">
        <v>364440</v>
      </c>
      <c r="CJ11">
        <v>374129</v>
      </c>
      <c r="CK11">
        <v>12297078</v>
      </c>
      <c r="CL11">
        <v>18097</v>
      </c>
      <c r="CM11">
        <v>91728</v>
      </c>
      <c r="CN11">
        <v>92645</v>
      </c>
      <c r="CO11">
        <v>3783586</v>
      </c>
      <c r="CP11">
        <v>5362</v>
      </c>
      <c r="CQ11">
        <v>164018</v>
      </c>
      <c r="CR11">
        <v>163632</v>
      </c>
      <c r="CS11">
        <v>7262913</v>
      </c>
      <c r="CT11">
        <v>10956</v>
      </c>
      <c r="CU11">
        <v>2828097</v>
      </c>
      <c r="CV11">
        <v>2931614</v>
      </c>
      <c r="CW11">
        <v>76559402</v>
      </c>
      <c r="CX11">
        <v>133312</v>
      </c>
    </row>
    <row r="12" spans="1:102" x14ac:dyDescent="0.4">
      <c r="A12" s="1" t="s">
        <v>12</v>
      </c>
      <c r="B12" s="3" t="s">
        <v>13</v>
      </c>
      <c r="C12">
        <v>960411</v>
      </c>
      <c r="D12">
        <v>976747</v>
      </c>
      <c r="E12">
        <v>44212789</v>
      </c>
      <c r="F12">
        <v>158032</v>
      </c>
      <c r="G12">
        <v>1174653</v>
      </c>
      <c r="H12">
        <v>1252393</v>
      </c>
      <c r="I12">
        <v>12252874</v>
      </c>
      <c r="J12">
        <v>111541</v>
      </c>
      <c r="K12">
        <v>2478578</v>
      </c>
      <c r="L12">
        <v>2563887</v>
      </c>
      <c r="M12">
        <v>33326101</v>
      </c>
      <c r="N12">
        <v>65865</v>
      </c>
      <c r="O12">
        <v>2209160</v>
      </c>
      <c r="P12">
        <v>2271876</v>
      </c>
      <c r="Q12">
        <v>25242385</v>
      </c>
      <c r="R12">
        <v>196810</v>
      </c>
      <c r="S12">
        <v>349962</v>
      </c>
      <c r="T12">
        <v>367457</v>
      </c>
      <c r="U12">
        <v>9824677</v>
      </c>
      <c r="V12">
        <v>73456</v>
      </c>
      <c r="W12">
        <v>1672119</v>
      </c>
      <c r="X12">
        <v>1690364</v>
      </c>
      <c r="Y12">
        <v>21332055</v>
      </c>
      <c r="Z12">
        <v>183556</v>
      </c>
      <c r="AA12">
        <v>25515</v>
      </c>
      <c r="AB12">
        <v>58443</v>
      </c>
      <c r="AC12">
        <v>4406507</v>
      </c>
      <c r="AD12">
        <v>9168</v>
      </c>
      <c r="AE12">
        <v>155385</v>
      </c>
      <c r="AF12">
        <v>154181</v>
      </c>
      <c r="AG12">
        <v>8467918</v>
      </c>
      <c r="AH12">
        <v>14027</v>
      </c>
      <c r="AI12">
        <v>81709</v>
      </c>
      <c r="AJ12">
        <v>82540</v>
      </c>
      <c r="AK12">
        <v>1199129</v>
      </c>
      <c r="AL12">
        <v>6045</v>
      </c>
      <c r="AM12">
        <v>46912</v>
      </c>
      <c r="AN12">
        <v>46892</v>
      </c>
      <c r="AO12">
        <v>1299297</v>
      </c>
      <c r="AP12">
        <v>5397</v>
      </c>
      <c r="AQ12">
        <v>786036</v>
      </c>
      <c r="AR12">
        <v>814927</v>
      </c>
      <c r="AS12">
        <v>157153193</v>
      </c>
      <c r="AT12">
        <v>34764</v>
      </c>
      <c r="AU12" t="s">
        <v>73</v>
      </c>
      <c r="AV12" t="s">
        <v>73</v>
      </c>
      <c r="AW12" t="s">
        <v>73</v>
      </c>
      <c r="AX12" t="s">
        <v>73</v>
      </c>
      <c r="AY12">
        <v>1739474</v>
      </c>
      <c r="AZ12">
        <v>1798859</v>
      </c>
      <c r="BA12">
        <v>19654992</v>
      </c>
      <c r="BB12">
        <v>101969</v>
      </c>
      <c r="BC12">
        <v>3211425</v>
      </c>
      <c r="BD12">
        <v>3213303</v>
      </c>
      <c r="BE12">
        <v>101343163</v>
      </c>
      <c r="BF12">
        <v>68320</v>
      </c>
      <c r="BG12">
        <v>1707081</v>
      </c>
      <c r="BH12">
        <v>1763245</v>
      </c>
      <c r="BI12" t="s">
        <v>73</v>
      </c>
      <c r="BJ12">
        <v>15718</v>
      </c>
      <c r="BK12">
        <v>2445</v>
      </c>
      <c r="BL12">
        <v>2540</v>
      </c>
      <c r="BM12">
        <v>135204</v>
      </c>
      <c r="BN12">
        <v>418</v>
      </c>
      <c r="BO12">
        <v>543020</v>
      </c>
      <c r="BP12">
        <v>515108</v>
      </c>
      <c r="BQ12">
        <v>11315556</v>
      </c>
      <c r="BR12">
        <v>55248</v>
      </c>
      <c r="BS12">
        <v>310589</v>
      </c>
      <c r="BT12">
        <v>310483</v>
      </c>
      <c r="BU12">
        <v>5080205</v>
      </c>
      <c r="BV12">
        <v>37691</v>
      </c>
      <c r="BW12">
        <v>39548</v>
      </c>
      <c r="BX12">
        <v>41194</v>
      </c>
      <c r="BY12">
        <v>1238300</v>
      </c>
      <c r="BZ12">
        <v>7368</v>
      </c>
      <c r="CA12">
        <v>158783</v>
      </c>
      <c r="CB12">
        <v>161267</v>
      </c>
      <c r="CC12">
        <v>8773610</v>
      </c>
      <c r="CD12">
        <v>20188</v>
      </c>
      <c r="CE12">
        <v>190760</v>
      </c>
      <c r="CF12">
        <v>194768</v>
      </c>
      <c r="CG12">
        <v>13445233</v>
      </c>
      <c r="CH12">
        <v>6669</v>
      </c>
      <c r="CI12">
        <v>339540</v>
      </c>
      <c r="CJ12">
        <v>352927</v>
      </c>
      <c r="CK12">
        <v>12143387</v>
      </c>
      <c r="CL12">
        <v>17062</v>
      </c>
      <c r="CM12">
        <v>79067</v>
      </c>
      <c r="CN12">
        <v>79294</v>
      </c>
      <c r="CO12">
        <v>3387708</v>
      </c>
      <c r="CP12">
        <v>5394</v>
      </c>
      <c r="CQ12">
        <v>171197</v>
      </c>
      <c r="CR12">
        <v>168263</v>
      </c>
      <c r="CS12">
        <v>7606587</v>
      </c>
      <c r="CT12">
        <v>12333</v>
      </c>
      <c r="CU12">
        <v>2566289</v>
      </c>
      <c r="CV12">
        <v>2679917</v>
      </c>
      <c r="CW12">
        <v>77275628</v>
      </c>
      <c r="CX12">
        <v>130132</v>
      </c>
    </row>
    <row r="13" spans="1:102" x14ac:dyDescent="0.4">
      <c r="A13" s="1" t="s">
        <v>14</v>
      </c>
      <c r="B13" s="3" t="s">
        <v>15</v>
      </c>
      <c r="C13">
        <v>850386</v>
      </c>
      <c r="D13">
        <v>855760</v>
      </c>
      <c r="E13">
        <v>43499404</v>
      </c>
      <c r="F13">
        <v>172139</v>
      </c>
      <c r="G13">
        <v>1114425</v>
      </c>
      <c r="H13">
        <v>1151623</v>
      </c>
      <c r="I13">
        <v>12067944</v>
      </c>
      <c r="J13">
        <v>119440</v>
      </c>
      <c r="K13">
        <v>2581734</v>
      </c>
      <c r="L13">
        <v>2637318</v>
      </c>
      <c r="M13">
        <v>36871920</v>
      </c>
      <c r="N13">
        <v>87118</v>
      </c>
      <c r="O13">
        <v>2126423</v>
      </c>
      <c r="P13">
        <v>2200550</v>
      </c>
      <c r="Q13">
        <v>29622178</v>
      </c>
      <c r="R13">
        <v>104872</v>
      </c>
      <c r="S13">
        <v>364305</v>
      </c>
      <c r="T13">
        <v>358362</v>
      </c>
      <c r="U13">
        <v>10496680</v>
      </c>
      <c r="V13">
        <v>58731</v>
      </c>
      <c r="W13">
        <v>1580753</v>
      </c>
      <c r="X13">
        <v>1614740</v>
      </c>
      <c r="Y13">
        <v>23175427</v>
      </c>
      <c r="Z13">
        <v>165782</v>
      </c>
      <c r="AA13">
        <v>24892</v>
      </c>
      <c r="AB13">
        <v>57837</v>
      </c>
      <c r="AC13">
        <v>4578603</v>
      </c>
      <c r="AD13">
        <v>9675</v>
      </c>
      <c r="AE13">
        <v>144180</v>
      </c>
      <c r="AF13">
        <v>145243</v>
      </c>
      <c r="AG13">
        <v>8106123</v>
      </c>
      <c r="AH13">
        <v>10365</v>
      </c>
      <c r="AI13">
        <v>71617</v>
      </c>
      <c r="AJ13">
        <v>72012</v>
      </c>
      <c r="AK13">
        <v>1032332</v>
      </c>
      <c r="AL13">
        <v>4881</v>
      </c>
      <c r="AM13">
        <v>44470</v>
      </c>
      <c r="AN13">
        <v>44564</v>
      </c>
      <c r="AO13">
        <v>1246442</v>
      </c>
      <c r="AP13">
        <v>4777</v>
      </c>
      <c r="AQ13">
        <v>794331</v>
      </c>
      <c r="AR13">
        <v>816441</v>
      </c>
      <c r="AS13">
        <v>160790221</v>
      </c>
      <c r="AT13">
        <v>35026</v>
      </c>
      <c r="AU13" t="s">
        <v>73</v>
      </c>
      <c r="AV13" t="s">
        <v>73</v>
      </c>
      <c r="AW13" t="s">
        <v>73</v>
      </c>
      <c r="AX13" t="s">
        <v>73</v>
      </c>
      <c r="AY13">
        <v>1669183</v>
      </c>
      <c r="AZ13">
        <v>1715513</v>
      </c>
      <c r="BA13">
        <v>19456401</v>
      </c>
      <c r="BB13">
        <v>115136</v>
      </c>
      <c r="BC13">
        <v>3432553</v>
      </c>
      <c r="BD13">
        <v>3446407</v>
      </c>
      <c r="BE13">
        <v>108859979</v>
      </c>
      <c r="BF13">
        <v>83684</v>
      </c>
      <c r="BG13">
        <v>1637948</v>
      </c>
      <c r="BH13">
        <v>1680838</v>
      </c>
      <c r="BI13" t="s">
        <v>73</v>
      </c>
      <c r="BJ13">
        <v>17659</v>
      </c>
      <c r="BK13">
        <v>13043</v>
      </c>
      <c r="BL13">
        <v>16483</v>
      </c>
      <c r="BM13">
        <v>1187260</v>
      </c>
      <c r="BN13">
        <v>440</v>
      </c>
      <c r="BO13">
        <v>537080</v>
      </c>
      <c r="BP13">
        <v>508201</v>
      </c>
      <c r="BQ13">
        <v>12031648</v>
      </c>
      <c r="BR13">
        <v>51079</v>
      </c>
      <c r="BS13">
        <v>189506</v>
      </c>
      <c r="BT13">
        <v>218407</v>
      </c>
      <c r="BU13">
        <v>4837344</v>
      </c>
      <c r="BV13">
        <v>22287</v>
      </c>
      <c r="BW13">
        <v>36416</v>
      </c>
      <c r="BX13">
        <v>39034</v>
      </c>
      <c r="BY13">
        <v>1284422</v>
      </c>
      <c r="BZ13">
        <v>4768</v>
      </c>
      <c r="CA13">
        <v>166839</v>
      </c>
      <c r="CB13">
        <v>167676</v>
      </c>
      <c r="CC13">
        <v>9169182</v>
      </c>
      <c r="CD13">
        <v>22807</v>
      </c>
      <c r="CE13">
        <v>188390</v>
      </c>
      <c r="CF13">
        <v>191856</v>
      </c>
      <c r="CG13">
        <v>13536902</v>
      </c>
      <c r="CH13">
        <v>8151</v>
      </c>
      <c r="CI13">
        <v>334129</v>
      </c>
      <c r="CJ13">
        <v>346781</v>
      </c>
      <c r="CK13">
        <v>12270611</v>
      </c>
      <c r="CL13">
        <v>15927</v>
      </c>
      <c r="CM13">
        <v>85054</v>
      </c>
      <c r="CN13">
        <v>85314</v>
      </c>
      <c r="CO13">
        <v>3651259</v>
      </c>
      <c r="CP13">
        <v>5016</v>
      </c>
      <c r="CQ13">
        <v>166673</v>
      </c>
      <c r="CR13">
        <v>167863</v>
      </c>
      <c r="CS13">
        <v>7547562</v>
      </c>
      <c r="CT13">
        <v>10237</v>
      </c>
      <c r="CU13">
        <v>2717401</v>
      </c>
      <c r="CV13">
        <v>2798289</v>
      </c>
      <c r="CW13">
        <v>85203530</v>
      </c>
      <c r="CX13">
        <v>137978</v>
      </c>
    </row>
    <row r="14" spans="1:102" x14ac:dyDescent="0.4">
      <c r="A14" s="1" t="s">
        <v>16</v>
      </c>
      <c r="B14" s="1" t="s">
        <v>17</v>
      </c>
      <c r="C14">
        <v>103638</v>
      </c>
      <c r="D14">
        <v>149498</v>
      </c>
      <c r="E14">
        <v>6632232</v>
      </c>
      <c r="F14">
        <v>120222</v>
      </c>
      <c r="G14">
        <v>102100</v>
      </c>
      <c r="H14">
        <v>171659</v>
      </c>
      <c r="I14">
        <v>2029918</v>
      </c>
      <c r="J14">
        <v>91887</v>
      </c>
      <c r="K14">
        <v>226528</v>
      </c>
      <c r="L14">
        <v>271500</v>
      </c>
      <c r="M14">
        <v>4953616</v>
      </c>
      <c r="N14">
        <v>57805</v>
      </c>
      <c r="O14">
        <v>250681</v>
      </c>
      <c r="P14">
        <v>333117</v>
      </c>
      <c r="Q14">
        <v>4501871</v>
      </c>
      <c r="R14">
        <v>136486</v>
      </c>
      <c r="S14">
        <v>39927</v>
      </c>
      <c r="T14">
        <v>59814</v>
      </c>
      <c r="U14">
        <v>1591646</v>
      </c>
      <c r="V14">
        <v>80605</v>
      </c>
      <c r="W14">
        <v>140824</v>
      </c>
      <c r="X14">
        <v>161060</v>
      </c>
      <c r="Y14">
        <v>2756656</v>
      </c>
      <c r="Z14">
        <v>164423</v>
      </c>
      <c r="AA14">
        <v>2667</v>
      </c>
      <c r="AB14">
        <v>5363</v>
      </c>
      <c r="AC14">
        <v>528655</v>
      </c>
      <c r="AD14">
        <v>9147</v>
      </c>
      <c r="AE14">
        <v>13138</v>
      </c>
      <c r="AF14">
        <v>13557</v>
      </c>
      <c r="AG14">
        <v>746133</v>
      </c>
      <c r="AH14">
        <v>11718</v>
      </c>
      <c r="AI14">
        <v>7169</v>
      </c>
      <c r="AJ14">
        <v>7249</v>
      </c>
      <c r="AK14">
        <v>107282</v>
      </c>
      <c r="AL14">
        <v>6171</v>
      </c>
      <c r="AM14">
        <v>4052</v>
      </c>
      <c r="AN14">
        <v>4439</v>
      </c>
      <c r="AO14">
        <v>120032</v>
      </c>
      <c r="AP14">
        <v>4578</v>
      </c>
      <c r="AQ14">
        <v>63185</v>
      </c>
      <c r="AR14">
        <v>74058</v>
      </c>
      <c r="AS14">
        <v>13602148</v>
      </c>
      <c r="AT14">
        <v>25976</v>
      </c>
      <c r="AU14" t="s">
        <v>73</v>
      </c>
      <c r="AV14" t="s">
        <v>73</v>
      </c>
      <c r="AW14" t="s">
        <v>73</v>
      </c>
      <c r="AX14" t="s">
        <v>73</v>
      </c>
      <c r="AY14">
        <v>153436</v>
      </c>
      <c r="AZ14">
        <v>174057</v>
      </c>
      <c r="BA14">
        <v>2210445</v>
      </c>
      <c r="BB14">
        <v>103908</v>
      </c>
      <c r="BC14">
        <v>351758</v>
      </c>
      <c r="BD14">
        <v>374324</v>
      </c>
      <c r="BE14">
        <v>11117993</v>
      </c>
      <c r="BF14">
        <v>63203</v>
      </c>
      <c r="BG14">
        <v>148044</v>
      </c>
      <c r="BH14">
        <v>155745</v>
      </c>
      <c r="BI14" t="s">
        <v>73</v>
      </c>
      <c r="BJ14">
        <v>21600</v>
      </c>
      <c r="BK14">
        <v>441</v>
      </c>
      <c r="BL14">
        <v>441</v>
      </c>
      <c r="BM14">
        <v>15337</v>
      </c>
      <c r="BN14">
        <v>390</v>
      </c>
      <c r="BO14">
        <v>44457</v>
      </c>
      <c r="BP14">
        <v>46269</v>
      </c>
      <c r="BQ14">
        <v>1070482</v>
      </c>
      <c r="BR14">
        <v>57430</v>
      </c>
      <c r="BS14">
        <v>28593</v>
      </c>
      <c r="BT14">
        <v>25769</v>
      </c>
      <c r="BU14">
        <v>527528</v>
      </c>
      <c r="BV14">
        <v>31933</v>
      </c>
      <c r="BW14">
        <v>4556</v>
      </c>
      <c r="BX14">
        <v>6130</v>
      </c>
      <c r="BY14">
        <v>169393</v>
      </c>
      <c r="BZ14">
        <v>6894</v>
      </c>
      <c r="CA14">
        <v>15163</v>
      </c>
      <c r="CB14">
        <v>16450</v>
      </c>
      <c r="CC14">
        <v>839702</v>
      </c>
      <c r="CD14">
        <v>17333</v>
      </c>
      <c r="CE14">
        <v>16824</v>
      </c>
      <c r="CF14">
        <v>17125</v>
      </c>
      <c r="CG14">
        <v>1158580</v>
      </c>
      <c r="CH14">
        <v>6571</v>
      </c>
      <c r="CI14">
        <v>31368</v>
      </c>
      <c r="CJ14">
        <v>33253</v>
      </c>
      <c r="CK14">
        <v>1160849</v>
      </c>
      <c r="CL14">
        <v>17834</v>
      </c>
      <c r="CM14">
        <v>7091</v>
      </c>
      <c r="CN14">
        <v>7809</v>
      </c>
      <c r="CO14">
        <v>336145</v>
      </c>
      <c r="CP14">
        <v>4006</v>
      </c>
      <c r="CQ14">
        <v>16100</v>
      </c>
      <c r="CR14">
        <v>16983</v>
      </c>
      <c r="CS14">
        <v>732457</v>
      </c>
      <c r="CT14">
        <v>9562</v>
      </c>
      <c r="CU14">
        <v>207283</v>
      </c>
      <c r="CV14">
        <v>218944</v>
      </c>
      <c r="CW14">
        <v>6680382</v>
      </c>
      <c r="CX14">
        <v>122244</v>
      </c>
    </row>
    <row r="15" spans="1:102" x14ac:dyDescent="0.4">
      <c r="A15" s="1" t="s">
        <v>18</v>
      </c>
      <c r="B15" s="1" t="s">
        <v>19</v>
      </c>
      <c r="C15">
        <v>77912</v>
      </c>
      <c r="D15">
        <v>82649</v>
      </c>
      <c r="E15">
        <v>3880957</v>
      </c>
      <c r="F15">
        <v>118800</v>
      </c>
      <c r="G15">
        <v>79722</v>
      </c>
      <c r="H15">
        <v>86668</v>
      </c>
      <c r="I15">
        <v>869947</v>
      </c>
      <c r="J15">
        <v>89038</v>
      </c>
      <c r="K15">
        <v>202470</v>
      </c>
      <c r="L15">
        <v>203404</v>
      </c>
      <c r="M15">
        <v>2577207</v>
      </c>
      <c r="N15">
        <v>61164</v>
      </c>
      <c r="O15">
        <v>168318</v>
      </c>
      <c r="P15">
        <v>171964</v>
      </c>
      <c r="Q15">
        <v>1722587</v>
      </c>
      <c r="R15">
        <v>140263</v>
      </c>
      <c r="S15">
        <v>29788</v>
      </c>
      <c r="T15">
        <v>33658</v>
      </c>
      <c r="U15">
        <v>794559</v>
      </c>
      <c r="V15">
        <v>76748</v>
      </c>
      <c r="W15">
        <v>151264</v>
      </c>
      <c r="X15">
        <v>151910</v>
      </c>
      <c r="Y15">
        <v>1892527</v>
      </c>
      <c r="Z15">
        <v>165770</v>
      </c>
      <c r="AA15">
        <v>2220</v>
      </c>
      <c r="AB15">
        <v>6534</v>
      </c>
      <c r="AC15">
        <v>387462</v>
      </c>
      <c r="AD15">
        <v>8852</v>
      </c>
      <c r="AE15">
        <v>12955</v>
      </c>
      <c r="AF15">
        <v>12702</v>
      </c>
      <c r="AG15">
        <v>655800</v>
      </c>
      <c r="AH15">
        <v>11971</v>
      </c>
      <c r="AI15">
        <v>6903</v>
      </c>
      <c r="AJ15">
        <v>7113</v>
      </c>
      <c r="AK15">
        <v>101666</v>
      </c>
      <c r="AL15">
        <v>5961</v>
      </c>
      <c r="AM15">
        <v>4031</v>
      </c>
      <c r="AN15">
        <v>3950</v>
      </c>
      <c r="AO15">
        <v>114116</v>
      </c>
      <c r="AP15">
        <v>4659</v>
      </c>
      <c r="AQ15">
        <v>62276</v>
      </c>
      <c r="AR15">
        <v>62106</v>
      </c>
      <c r="AS15">
        <v>12267776</v>
      </c>
      <c r="AT15">
        <v>27958</v>
      </c>
      <c r="AU15" t="s">
        <v>73</v>
      </c>
      <c r="AV15" t="s">
        <v>73</v>
      </c>
      <c r="AW15" t="s">
        <v>73</v>
      </c>
      <c r="AX15" t="s">
        <v>73</v>
      </c>
      <c r="AY15">
        <v>131934</v>
      </c>
      <c r="AZ15">
        <v>127820</v>
      </c>
      <c r="BA15">
        <v>1545292</v>
      </c>
      <c r="BB15">
        <v>113348</v>
      </c>
      <c r="BC15">
        <v>260572</v>
      </c>
      <c r="BD15">
        <v>253809</v>
      </c>
      <c r="BE15">
        <v>7286612</v>
      </c>
      <c r="BF15">
        <v>70719</v>
      </c>
      <c r="BG15">
        <v>140751</v>
      </c>
      <c r="BH15">
        <v>148399</v>
      </c>
      <c r="BI15" t="s">
        <v>73</v>
      </c>
      <c r="BJ15">
        <v>20608</v>
      </c>
      <c r="BK15">
        <v>283</v>
      </c>
      <c r="BL15">
        <v>270</v>
      </c>
      <c r="BM15">
        <v>14475</v>
      </c>
      <c r="BN15">
        <v>404</v>
      </c>
      <c r="BO15">
        <v>46984</v>
      </c>
      <c r="BP15">
        <v>43257</v>
      </c>
      <c r="BQ15">
        <v>986512</v>
      </c>
      <c r="BR15">
        <v>56646</v>
      </c>
      <c r="BS15">
        <v>25122</v>
      </c>
      <c r="BT15">
        <v>26724</v>
      </c>
      <c r="BU15">
        <v>434818</v>
      </c>
      <c r="BV15">
        <v>31242</v>
      </c>
      <c r="BW15">
        <v>4762</v>
      </c>
      <c r="BX15">
        <v>5007</v>
      </c>
      <c r="BY15">
        <v>146317</v>
      </c>
      <c r="BZ15">
        <v>6610</v>
      </c>
      <c r="CA15">
        <v>13271</v>
      </c>
      <c r="CB15">
        <v>14681</v>
      </c>
      <c r="CC15">
        <v>788926</v>
      </c>
      <c r="CD15">
        <v>16117</v>
      </c>
      <c r="CE15">
        <v>16637</v>
      </c>
      <c r="CF15">
        <v>17105</v>
      </c>
      <c r="CG15">
        <v>1172497</v>
      </c>
      <c r="CH15">
        <v>6616</v>
      </c>
      <c r="CI15">
        <v>28062</v>
      </c>
      <c r="CJ15">
        <v>29405</v>
      </c>
      <c r="CK15">
        <v>1040865</v>
      </c>
      <c r="CL15">
        <v>17508</v>
      </c>
      <c r="CM15">
        <v>6635</v>
      </c>
      <c r="CN15">
        <v>6840</v>
      </c>
      <c r="CO15">
        <v>274182</v>
      </c>
      <c r="CP15">
        <v>3968</v>
      </c>
      <c r="CQ15">
        <v>16112</v>
      </c>
      <c r="CR15">
        <v>13752</v>
      </c>
      <c r="CS15">
        <v>664547</v>
      </c>
      <c r="CT15">
        <v>11959</v>
      </c>
      <c r="CU15">
        <v>205270</v>
      </c>
      <c r="CV15">
        <v>216436</v>
      </c>
      <c r="CW15">
        <v>6424399</v>
      </c>
      <c r="CX15">
        <v>121996</v>
      </c>
    </row>
    <row r="16" spans="1:102" x14ac:dyDescent="0.4">
      <c r="A16" s="1" t="s">
        <v>20</v>
      </c>
      <c r="B16" s="1" t="s">
        <v>21</v>
      </c>
      <c r="C16">
        <v>72503</v>
      </c>
      <c r="D16">
        <v>65617</v>
      </c>
      <c r="E16">
        <v>3093413</v>
      </c>
      <c r="F16">
        <v>128093</v>
      </c>
      <c r="G16">
        <v>75632</v>
      </c>
      <c r="H16">
        <v>79847</v>
      </c>
      <c r="I16">
        <v>735514</v>
      </c>
      <c r="J16">
        <v>88922</v>
      </c>
      <c r="K16">
        <v>168146</v>
      </c>
      <c r="L16">
        <v>172316</v>
      </c>
      <c r="M16">
        <v>2211074</v>
      </c>
      <c r="N16">
        <v>61765</v>
      </c>
      <c r="O16">
        <v>128399</v>
      </c>
      <c r="P16">
        <v>115709</v>
      </c>
      <c r="Q16">
        <v>930654</v>
      </c>
      <c r="R16">
        <v>156424</v>
      </c>
      <c r="S16">
        <v>27649</v>
      </c>
      <c r="T16">
        <v>27764</v>
      </c>
      <c r="U16">
        <v>650201</v>
      </c>
      <c r="V16">
        <v>76884</v>
      </c>
      <c r="W16">
        <v>111492</v>
      </c>
      <c r="X16">
        <v>110070</v>
      </c>
      <c r="Y16">
        <v>1420100</v>
      </c>
      <c r="Z16">
        <v>168628</v>
      </c>
      <c r="AA16">
        <v>2199</v>
      </c>
      <c r="AB16">
        <v>3427</v>
      </c>
      <c r="AC16">
        <v>317854</v>
      </c>
      <c r="AD16">
        <v>8512</v>
      </c>
      <c r="AE16">
        <v>12395</v>
      </c>
      <c r="AF16">
        <v>12229</v>
      </c>
      <c r="AG16">
        <v>623714</v>
      </c>
      <c r="AH16">
        <v>12137</v>
      </c>
      <c r="AI16">
        <v>7029</v>
      </c>
      <c r="AJ16">
        <v>6934</v>
      </c>
      <c r="AK16">
        <v>97572</v>
      </c>
      <c r="AL16">
        <v>6056</v>
      </c>
      <c r="AM16">
        <v>3873</v>
      </c>
      <c r="AN16">
        <v>3560</v>
      </c>
      <c r="AO16">
        <v>94718</v>
      </c>
      <c r="AP16">
        <v>4972</v>
      </c>
      <c r="AQ16">
        <v>64112</v>
      </c>
      <c r="AR16">
        <v>64901</v>
      </c>
      <c r="AS16">
        <v>12318998</v>
      </c>
      <c r="AT16">
        <v>29049</v>
      </c>
      <c r="AU16" t="s">
        <v>73</v>
      </c>
      <c r="AV16" t="s">
        <v>73</v>
      </c>
      <c r="AW16" t="s">
        <v>73</v>
      </c>
      <c r="AX16" t="s">
        <v>73</v>
      </c>
      <c r="AY16">
        <v>132837</v>
      </c>
      <c r="AZ16">
        <v>143404</v>
      </c>
      <c r="BA16">
        <v>1558646</v>
      </c>
      <c r="BB16">
        <v>107627</v>
      </c>
      <c r="BC16">
        <v>229794</v>
      </c>
      <c r="BD16">
        <v>240859</v>
      </c>
      <c r="BE16">
        <v>7264083</v>
      </c>
      <c r="BF16">
        <v>60099</v>
      </c>
      <c r="BG16">
        <v>109943</v>
      </c>
      <c r="BH16">
        <v>112668</v>
      </c>
      <c r="BI16" t="s">
        <v>73</v>
      </c>
      <c r="BJ16">
        <v>19192</v>
      </c>
      <c r="BK16">
        <v>323</v>
      </c>
      <c r="BL16">
        <v>340</v>
      </c>
      <c r="BM16">
        <v>13113</v>
      </c>
      <c r="BN16">
        <v>390</v>
      </c>
      <c r="BO16">
        <v>44846</v>
      </c>
      <c r="BP16">
        <v>40675</v>
      </c>
      <c r="BQ16">
        <v>898768</v>
      </c>
      <c r="BR16">
        <v>57708</v>
      </c>
      <c r="BS16">
        <v>29108</v>
      </c>
      <c r="BT16">
        <v>25151</v>
      </c>
      <c r="BU16">
        <v>403716</v>
      </c>
      <c r="BV16">
        <v>37211</v>
      </c>
      <c r="BW16">
        <v>3300</v>
      </c>
      <c r="BX16">
        <v>3418</v>
      </c>
      <c r="BY16">
        <v>101277</v>
      </c>
      <c r="BZ16">
        <v>6463</v>
      </c>
      <c r="CA16">
        <v>12928</v>
      </c>
      <c r="CB16">
        <v>12685</v>
      </c>
      <c r="CC16">
        <v>692300</v>
      </c>
      <c r="CD16">
        <v>16856</v>
      </c>
      <c r="CE16">
        <v>14810</v>
      </c>
      <c r="CF16">
        <v>15151</v>
      </c>
      <c r="CG16">
        <v>1054518</v>
      </c>
      <c r="CH16">
        <v>6878</v>
      </c>
      <c r="CI16">
        <v>26221</v>
      </c>
      <c r="CJ16">
        <v>28031</v>
      </c>
      <c r="CK16">
        <v>942793</v>
      </c>
      <c r="CL16">
        <v>16805</v>
      </c>
      <c r="CM16">
        <v>6516</v>
      </c>
      <c r="CN16">
        <v>6370</v>
      </c>
      <c r="CO16">
        <v>259905</v>
      </c>
      <c r="CP16">
        <v>4116</v>
      </c>
      <c r="CQ16">
        <v>13763</v>
      </c>
      <c r="CR16">
        <v>13031</v>
      </c>
      <c r="CS16">
        <v>605759</v>
      </c>
      <c r="CT16">
        <v>12548</v>
      </c>
      <c r="CU16">
        <v>204839</v>
      </c>
      <c r="CV16">
        <v>210718</v>
      </c>
      <c r="CW16">
        <v>6083292</v>
      </c>
      <c r="CX16">
        <v>124108</v>
      </c>
    </row>
    <row r="17" spans="1:102" x14ac:dyDescent="0.4">
      <c r="A17" s="1" t="s">
        <v>22</v>
      </c>
      <c r="B17" s="1" t="s">
        <v>23</v>
      </c>
      <c r="C17">
        <v>73112</v>
      </c>
      <c r="D17">
        <v>67865</v>
      </c>
      <c r="E17">
        <v>3213602</v>
      </c>
      <c r="F17">
        <v>135106</v>
      </c>
      <c r="G17">
        <v>76027</v>
      </c>
      <c r="H17">
        <v>75703</v>
      </c>
      <c r="I17">
        <v>728905</v>
      </c>
      <c r="J17">
        <v>93341</v>
      </c>
      <c r="K17">
        <v>143492</v>
      </c>
      <c r="L17">
        <v>152409</v>
      </c>
      <c r="M17">
        <v>2170712</v>
      </c>
      <c r="N17">
        <v>56974</v>
      </c>
      <c r="O17">
        <v>169541</v>
      </c>
      <c r="P17">
        <v>161538</v>
      </c>
      <c r="Q17">
        <v>2203972</v>
      </c>
      <c r="R17">
        <v>169983</v>
      </c>
      <c r="S17">
        <v>25842</v>
      </c>
      <c r="T17">
        <v>27466</v>
      </c>
      <c r="U17">
        <v>703440</v>
      </c>
      <c r="V17">
        <v>75261</v>
      </c>
      <c r="W17">
        <v>114149</v>
      </c>
      <c r="X17">
        <v>112429</v>
      </c>
      <c r="Y17">
        <v>1443987</v>
      </c>
      <c r="Z17">
        <v>172076</v>
      </c>
      <c r="AA17">
        <v>1992</v>
      </c>
      <c r="AB17">
        <v>6259</v>
      </c>
      <c r="AC17">
        <v>348594</v>
      </c>
      <c r="AD17">
        <v>8454</v>
      </c>
      <c r="AE17">
        <v>12172</v>
      </c>
      <c r="AF17">
        <v>11664</v>
      </c>
      <c r="AG17">
        <v>626697</v>
      </c>
      <c r="AH17">
        <v>12645</v>
      </c>
      <c r="AI17">
        <v>6548</v>
      </c>
      <c r="AJ17">
        <v>6319</v>
      </c>
      <c r="AK17">
        <v>90893</v>
      </c>
      <c r="AL17">
        <v>6285</v>
      </c>
      <c r="AM17">
        <v>3948</v>
      </c>
      <c r="AN17">
        <v>3801</v>
      </c>
      <c r="AO17">
        <v>107820</v>
      </c>
      <c r="AP17">
        <v>5119</v>
      </c>
      <c r="AQ17">
        <v>62298</v>
      </c>
      <c r="AR17">
        <v>63394</v>
      </c>
      <c r="AS17">
        <v>12805873</v>
      </c>
      <c r="AT17">
        <v>29958</v>
      </c>
      <c r="AU17" t="s">
        <v>73</v>
      </c>
      <c r="AV17" t="s">
        <v>73</v>
      </c>
      <c r="AW17" t="s">
        <v>73</v>
      </c>
      <c r="AX17" t="s">
        <v>73</v>
      </c>
      <c r="AY17">
        <v>149812</v>
      </c>
      <c r="AZ17">
        <v>148131</v>
      </c>
      <c r="BA17">
        <v>1511585</v>
      </c>
      <c r="BB17">
        <v>112049</v>
      </c>
      <c r="BC17">
        <v>231797</v>
      </c>
      <c r="BD17">
        <v>232963</v>
      </c>
      <c r="BE17">
        <v>7363501</v>
      </c>
      <c r="BF17">
        <v>59579</v>
      </c>
      <c r="BG17">
        <v>138923</v>
      </c>
      <c r="BH17">
        <v>141711</v>
      </c>
      <c r="BI17" t="s">
        <v>73</v>
      </c>
      <c r="BJ17">
        <v>20654</v>
      </c>
      <c r="BK17">
        <v>300</v>
      </c>
      <c r="BL17">
        <v>314</v>
      </c>
      <c r="BM17">
        <v>8791</v>
      </c>
      <c r="BN17">
        <v>378</v>
      </c>
      <c r="BO17">
        <v>43460</v>
      </c>
      <c r="BP17">
        <v>39871</v>
      </c>
      <c r="BQ17">
        <v>861159</v>
      </c>
      <c r="BR17">
        <v>58763</v>
      </c>
      <c r="BS17">
        <v>24317</v>
      </c>
      <c r="BT17">
        <v>25349</v>
      </c>
      <c r="BU17">
        <v>391665</v>
      </c>
      <c r="BV17">
        <v>37195</v>
      </c>
      <c r="BW17">
        <v>2868</v>
      </c>
      <c r="BX17">
        <v>2663</v>
      </c>
      <c r="BY17">
        <v>73644</v>
      </c>
      <c r="BZ17">
        <v>6666</v>
      </c>
      <c r="CA17">
        <v>11371</v>
      </c>
      <c r="CB17">
        <v>11569</v>
      </c>
      <c r="CC17">
        <v>683753</v>
      </c>
      <c r="CD17">
        <v>16993</v>
      </c>
      <c r="CE17">
        <v>14991</v>
      </c>
      <c r="CF17">
        <v>15334</v>
      </c>
      <c r="CG17">
        <v>1086189</v>
      </c>
      <c r="CH17">
        <v>6983</v>
      </c>
      <c r="CI17">
        <v>27792</v>
      </c>
      <c r="CJ17">
        <v>28665</v>
      </c>
      <c r="CK17">
        <v>1014517</v>
      </c>
      <c r="CL17">
        <v>16832</v>
      </c>
      <c r="CM17">
        <v>5981</v>
      </c>
      <c r="CN17">
        <v>5520</v>
      </c>
      <c r="CO17">
        <v>248140</v>
      </c>
      <c r="CP17">
        <v>4578</v>
      </c>
      <c r="CQ17">
        <v>12722</v>
      </c>
      <c r="CR17">
        <v>12809</v>
      </c>
      <c r="CS17">
        <v>619676</v>
      </c>
      <c r="CT17">
        <v>12409</v>
      </c>
      <c r="CU17">
        <v>198413</v>
      </c>
      <c r="CV17">
        <v>207043</v>
      </c>
      <c r="CW17">
        <v>5998709</v>
      </c>
      <c r="CX17">
        <v>126250</v>
      </c>
    </row>
    <row r="18" spans="1:102" x14ac:dyDescent="0.4">
      <c r="A18" s="1" t="s">
        <v>24</v>
      </c>
      <c r="B18" s="1" t="s">
        <v>25</v>
      </c>
      <c r="C18">
        <v>77521</v>
      </c>
      <c r="D18">
        <v>72552</v>
      </c>
      <c r="E18">
        <v>3123815</v>
      </c>
      <c r="F18">
        <v>141574</v>
      </c>
      <c r="G18">
        <v>91323</v>
      </c>
      <c r="H18">
        <v>90524</v>
      </c>
      <c r="I18">
        <v>804757</v>
      </c>
      <c r="J18">
        <v>98217</v>
      </c>
      <c r="K18">
        <v>148862</v>
      </c>
      <c r="L18">
        <v>154679</v>
      </c>
      <c r="M18">
        <v>2254159</v>
      </c>
      <c r="N18">
        <v>56275</v>
      </c>
      <c r="O18">
        <v>137087</v>
      </c>
      <c r="P18">
        <v>148132</v>
      </c>
      <c r="Q18">
        <v>1348017</v>
      </c>
      <c r="R18">
        <v>164629</v>
      </c>
      <c r="S18">
        <v>27515</v>
      </c>
      <c r="T18">
        <v>27141</v>
      </c>
      <c r="U18">
        <v>748495</v>
      </c>
      <c r="V18">
        <v>75626</v>
      </c>
      <c r="W18">
        <v>136406</v>
      </c>
      <c r="X18">
        <v>135444</v>
      </c>
      <c r="Y18">
        <v>1616924</v>
      </c>
      <c r="Z18">
        <v>175202</v>
      </c>
      <c r="AA18">
        <v>2317</v>
      </c>
      <c r="AB18">
        <v>5203</v>
      </c>
      <c r="AC18">
        <v>319813</v>
      </c>
      <c r="AD18">
        <v>8737</v>
      </c>
      <c r="AE18">
        <v>14285</v>
      </c>
      <c r="AF18">
        <v>13756</v>
      </c>
      <c r="AG18">
        <v>798381</v>
      </c>
      <c r="AH18">
        <v>13174</v>
      </c>
      <c r="AI18">
        <v>7789</v>
      </c>
      <c r="AJ18">
        <v>7456</v>
      </c>
      <c r="AK18">
        <v>105328</v>
      </c>
      <c r="AL18">
        <v>6618</v>
      </c>
      <c r="AM18">
        <v>4199</v>
      </c>
      <c r="AN18">
        <v>4177</v>
      </c>
      <c r="AO18">
        <v>116145</v>
      </c>
      <c r="AP18">
        <v>5141</v>
      </c>
      <c r="AQ18">
        <v>70381</v>
      </c>
      <c r="AR18">
        <v>69704</v>
      </c>
      <c r="AS18">
        <v>13937440</v>
      </c>
      <c r="AT18">
        <v>32559</v>
      </c>
      <c r="AU18" t="s">
        <v>73</v>
      </c>
      <c r="AV18" t="s">
        <v>73</v>
      </c>
      <c r="AW18" t="s">
        <v>73</v>
      </c>
      <c r="AX18" t="s">
        <v>73</v>
      </c>
      <c r="AY18">
        <v>145694</v>
      </c>
      <c r="AZ18">
        <v>148331</v>
      </c>
      <c r="BA18">
        <v>1439398</v>
      </c>
      <c r="BB18">
        <v>114119</v>
      </c>
      <c r="BC18">
        <v>263357</v>
      </c>
      <c r="BD18">
        <v>254770</v>
      </c>
      <c r="BE18">
        <v>7714385</v>
      </c>
      <c r="BF18">
        <v>68527</v>
      </c>
      <c r="BG18">
        <v>167322</v>
      </c>
      <c r="BH18">
        <v>171436</v>
      </c>
      <c r="BI18" t="s">
        <v>73</v>
      </c>
      <c r="BJ18">
        <v>19907</v>
      </c>
      <c r="BK18">
        <v>89</v>
      </c>
      <c r="BL18">
        <v>75</v>
      </c>
      <c r="BM18">
        <v>8162</v>
      </c>
      <c r="BN18">
        <v>394</v>
      </c>
      <c r="BO18">
        <v>46487</v>
      </c>
      <c r="BP18">
        <v>43614</v>
      </c>
      <c r="BQ18">
        <v>1037780</v>
      </c>
      <c r="BR18">
        <v>58203</v>
      </c>
      <c r="BS18">
        <v>25178</v>
      </c>
      <c r="BT18">
        <v>27229</v>
      </c>
      <c r="BU18">
        <v>410032</v>
      </c>
      <c r="BV18">
        <v>35852</v>
      </c>
      <c r="BW18">
        <v>2982</v>
      </c>
      <c r="BX18">
        <v>2736</v>
      </c>
      <c r="BY18">
        <v>83221</v>
      </c>
      <c r="BZ18">
        <v>6951</v>
      </c>
      <c r="CA18">
        <v>12727</v>
      </c>
      <c r="CB18">
        <v>12542</v>
      </c>
      <c r="CC18">
        <v>717110</v>
      </c>
      <c r="CD18">
        <v>17515</v>
      </c>
      <c r="CE18">
        <v>16408</v>
      </c>
      <c r="CF18">
        <v>16834</v>
      </c>
      <c r="CG18">
        <v>1179040</v>
      </c>
      <c r="CH18">
        <v>6739</v>
      </c>
      <c r="CI18">
        <v>30771</v>
      </c>
      <c r="CJ18">
        <v>30674</v>
      </c>
      <c r="CK18">
        <v>1048190</v>
      </c>
      <c r="CL18">
        <v>17991</v>
      </c>
      <c r="CM18">
        <v>6153</v>
      </c>
      <c r="CN18">
        <v>6186</v>
      </c>
      <c r="CO18">
        <v>265023</v>
      </c>
      <c r="CP18">
        <v>4556</v>
      </c>
      <c r="CQ18">
        <v>13125</v>
      </c>
      <c r="CR18">
        <v>13897</v>
      </c>
      <c r="CS18">
        <v>660869</v>
      </c>
      <c r="CT18">
        <v>10932</v>
      </c>
      <c r="CU18">
        <v>248129</v>
      </c>
      <c r="CV18">
        <v>258098</v>
      </c>
      <c r="CW18">
        <v>6746268</v>
      </c>
      <c r="CX18">
        <v>125850</v>
      </c>
    </row>
    <row r="19" spans="1:102" x14ac:dyDescent="0.4">
      <c r="A19" s="1" t="s">
        <v>26</v>
      </c>
      <c r="B19" s="1" t="s">
        <v>27</v>
      </c>
      <c r="C19">
        <v>64783</v>
      </c>
      <c r="D19">
        <v>73861</v>
      </c>
      <c r="E19">
        <v>3006697</v>
      </c>
      <c r="F19">
        <v>134251</v>
      </c>
      <c r="G19">
        <v>86008</v>
      </c>
      <c r="H19">
        <v>104151</v>
      </c>
      <c r="I19">
        <v>1021950</v>
      </c>
      <c r="J19">
        <v>84173</v>
      </c>
      <c r="K19">
        <v>152379</v>
      </c>
      <c r="L19">
        <v>158768</v>
      </c>
      <c r="M19">
        <v>1993900</v>
      </c>
      <c r="N19">
        <v>54881</v>
      </c>
      <c r="O19">
        <v>129863</v>
      </c>
      <c r="P19">
        <v>153062</v>
      </c>
      <c r="Q19">
        <v>1713574</v>
      </c>
      <c r="R19">
        <v>145383</v>
      </c>
      <c r="S19">
        <v>24321</v>
      </c>
      <c r="T19">
        <v>24975</v>
      </c>
      <c r="U19">
        <v>659518</v>
      </c>
      <c r="V19">
        <v>75319</v>
      </c>
      <c r="W19">
        <v>117528</v>
      </c>
      <c r="X19">
        <v>117873</v>
      </c>
      <c r="Y19">
        <v>1392846</v>
      </c>
      <c r="Z19">
        <v>175779</v>
      </c>
      <c r="AA19">
        <v>1861</v>
      </c>
      <c r="AB19">
        <v>3393</v>
      </c>
      <c r="AC19">
        <v>305350</v>
      </c>
      <c r="AD19">
        <v>9079</v>
      </c>
      <c r="AE19">
        <v>11675</v>
      </c>
      <c r="AF19">
        <v>11202</v>
      </c>
      <c r="AG19">
        <v>630520</v>
      </c>
      <c r="AH19">
        <v>13647</v>
      </c>
      <c r="AI19">
        <v>5975</v>
      </c>
      <c r="AJ19">
        <v>5830</v>
      </c>
      <c r="AK19">
        <v>84195</v>
      </c>
      <c r="AL19">
        <v>6763</v>
      </c>
      <c r="AM19">
        <v>3452</v>
      </c>
      <c r="AN19">
        <v>3230</v>
      </c>
      <c r="AO19">
        <v>87653</v>
      </c>
      <c r="AP19">
        <v>5363</v>
      </c>
      <c r="AQ19">
        <v>57328</v>
      </c>
      <c r="AR19">
        <v>58794</v>
      </c>
      <c r="AS19">
        <v>11562256</v>
      </c>
      <c r="AT19">
        <v>33074</v>
      </c>
      <c r="AU19" t="s">
        <v>73</v>
      </c>
      <c r="AV19" t="s">
        <v>73</v>
      </c>
      <c r="AW19" t="s">
        <v>73</v>
      </c>
      <c r="AX19" t="s">
        <v>73</v>
      </c>
      <c r="AY19">
        <v>138163</v>
      </c>
      <c r="AZ19">
        <v>147670</v>
      </c>
      <c r="BA19">
        <v>1680190</v>
      </c>
      <c r="BB19">
        <v>112019</v>
      </c>
      <c r="BC19">
        <v>255851</v>
      </c>
      <c r="BD19">
        <v>256990</v>
      </c>
      <c r="BE19">
        <v>8313235</v>
      </c>
      <c r="BF19">
        <v>67840</v>
      </c>
      <c r="BG19">
        <v>135225</v>
      </c>
      <c r="BH19">
        <v>140225</v>
      </c>
      <c r="BI19" t="s">
        <v>73</v>
      </c>
      <c r="BJ19">
        <v>18359</v>
      </c>
      <c r="BK19">
        <v>107</v>
      </c>
      <c r="BL19">
        <v>114</v>
      </c>
      <c r="BM19">
        <v>11230</v>
      </c>
      <c r="BN19">
        <v>388</v>
      </c>
      <c r="BO19">
        <v>39796</v>
      </c>
      <c r="BP19">
        <v>35684</v>
      </c>
      <c r="BQ19">
        <v>767319</v>
      </c>
      <c r="BR19">
        <v>59098</v>
      </c>
      <c r="BS19">
        <v>23164</v>
      </c>
      <c r="BT19">
        <v>24060</v>
      </c>
      <c r="BU19">
        <v>358713</v>
      </c>
      <c r="BV19">
        <v>35922</v>
      </c>
      <c r="BW19">
        <v>2481</v>
      </c>
      <c r="BX19">
        <v>2346</v>
      </c>
      <c r="BY19">
        <v>73146</v>
      </c>
      <c r="BZ19">
        <v>7186</v>
      </c>
      <c r="CA19">
        <v>12007</v>
      </c>
      <c r="CB19">
        <v>11206</v>
      </c>
      <c r="CC19">
        <v>641617</v>
      </c>
      <c r="CD19">
        <v>18594</v>
      </c>
      <c r="CE19">
        <v>12949</v>
      </c>
      <c r="CF19">
        <v>13184</v>
      </c>
      <c r="CG19">
        <v>923581</v>
      </c>
      <c r="CH19">
        <v>6883</v>
      </c>
      <c r="CI19">
        <v>24727</v>
      </c>
      <c r="CJ19">
        <v>26152</v>
      </c>
      <c r="CK19">
        <v>883887</v>
      </c>
      <c r="CL19">
        <v>17459</v>
      </c>
      <c r="CM19">
        <v>5884</v>
      </c>
      <c r="CN19">
        <v>5008</v>
      </c>
      <c r="CO19">
        <v>212905</v>
      </c>
      <c r="CP19">
        <v>5431</v>
      </c>
      <c r="CQ19">
        <v>12560</v>
      </c>
      <c r="CR19">
        <v>11810</v>
      </c>
      <c r="CS19">
        <v>538948</v>
      </c>
      <c r="CT19">
        <v>11430</v>
      </c>
      <c r="CU19">
        <v>190774</v>
      </c>
      <c r="CV19">
        <v>201793</v>
      </c>
      <c r="CW19">
        <v>5664459</v>
      </c>
      <c r="CX19">
        <v>126976</v>
      </c>
    </row>
    <row r="20" spans="1:102" x14ac:dyDescent="0.4">
      <c r="A20" s="1" t="s">
        <v>28</v>
      </c>
      <c r="B20" s="1" t="s">
        <v>29</v>
      </c>
      <c r="C20">
        <v>73605</v>
      </c>
      <c r="D20">
        <v>78028</v>
      </c>
      <c r="E20">
        <v>3387927</v>
      </c>
      <c r="F20">
        <v>131111</v>
      </c>
      <c r="G20">
        <v>90306</v>
      </c>
      <c r="H20">
        <v>93728</v>
      </c>
      <c r="I20">
        <v>1003901</v>
      </c>
      <c r="J20">
        <v>84849</v>
      </c>
      <c r="K20">
        <v>182780</v>
      </c>
      <c r="L20">
        <v>195035</v>
      </c>
      <c r="M20">
        <v>2465384</v>
      </c>
      <c r="N20">
        <v>48122</v>
      </c>
      <c r="O20">
        <v>163949</v>
      </c>
      <c r="P20">
        <v>168747</v>
      </c>
      <c r="Q20">
        <v>2151391</v>
      </c>
      <c r="R20">
        <v>144077</v>
      </c>
      <c r="S20">
        <v>25961</v>
      </c>
      <c r="T20">
        <v>28360</v>
      </c>
      <c r="U20">
        <v>838474</v>
      </c>
      <c r="V20">
        <v>73105</v>
      </c>
      <c r="W20">
        <v>124295</v>
      </c>
      <c r="X20">
        <v>123858</v>
      </c>
      <c r="Y20">
        <v>1520845</v>
      </c>
      <c r="Z20">
        <v>177727</v>
      </c>
      <c r="AA20">
        <v>2009</v>
      </c>
      <c r="AB20">
        <v>5705</v>
      </c>
      <c r="AC20">
        <v>328826</v>
      </c>
      <c r="AD20">
        <v>9090</v>
      </c>
      <c r="AE20">
        <v>12136</v>
      </c>
      <c r="AF20">
        <v>12355</v>
      </c>
      <c r="AG20">
        <v>688256</v>
      </c>
      <c r="AH20">
        <v>13428</v>
      </c>
      <c r="AI20">
        <v>6161</v>
      </c>
      <c r="AJ20">
        <v>6751</v>
      </c>
      <c r="AK20">
        <v>97693</v>
      </c>
      <c r="AL20">
        <v>6173</v>
      </c>
      <c r="AM20">
        <v>3780</v>
      </c>
      <c r="AN20">
        <v>3649</v>
      </c>
      <c r="AO20">
        <v>100283</v>
      </c>
      <c r="AP20">
        <v>5494</v>
      </c>
      <c r="AQ20">
        <v>62738</v>
      </c>
      <c r="AR20">
        <v>66163</v>
      </c>
      <c r="AS20">
        <v>13062493</v>
      </c>
      <c r="AT20">
        <v>31609</v>
      </c>
      <c r="AU20" t="s">
        <v>73</v>
      </c>
      <c r="AV20" t="s">
        <v>73</v>
      </c>
      <c r="AW20" t="s">
        <v>73</v>
      </c>
      <c r="AX20" t="s">
        <v>73</v>
      </c>
      <c r="AY20">
        <v>145716</v>
      </c>
      <c r="AZ20">
        <v>169509</v>
      </c>
      <c r="BA20">
        <v>1852699</v>
      </c>
      <c r="BB20">
        <v>93087</v>
      </c>
      <c r="BC20">
        <v>263205</v>
      </c>
      <c r="BD20">
        <v>268347</v>
      </c>
      <c r="BE20">
        <v>8411588</v>
      </c>
      <c r="BF20">
        <v>63578</v>
      </c>
      <c r="BG20">
        <v>146262</v>
      </c>
      <c r="BH20">
        <v>151816</v>
      </c>
      <c r="BI20" t="s">
        <v>73</v>
      </c>
      <c r="BJ20">
        <v>18902</v>
      </c>
      <c r="BK20">
        <v>98</v>
      </c>
      <c r="BL20">
        <v>84</v>
      </c>
      <c r="BM20">
        <v>7794</v>
      </c>
      <c r="BN20">
        <v>402</v>
      </c>
      <c r="BO20">
        <v>42482</v>
      </c>
      <c r="BP20">
        <v>41171</v>
      </c>
      <c r="BQ20">
        <v>886974</v>
      </c>
      <c r="BR20">
        <v>57273</v>
      </c>
      <c r="BS20">
        <v>24851</v>
      </c>
      <c r="BT20">
        <v>24653</v>
      </c>
      <c r="BU20">
        <v>396442</v>
      </c>
      <c r="BV20">
        <v>37006</v>
      </c>
      <c r="BW20">
        <v>3205</v>
      </c>
      <c r="BX20">
        <v>2285</v>
      </c>
      <c r="BY20">
        <v>66564</v>
      </c>
      <c r="BZ20">
        <v>8027</v>
      </c>
      <c r="CA20">
        <v>13228</v>
      </c>
      <c r="CB20">
        <v>13335</v>
      </c>
      <c r="CC20">
        <v>727201</v>
      </c>
      <c r="CD20">
        <v>18862</v>
      </c>
      <c r="CE20">
        <v>16792</v>
      </c>
      <c r="CF20">
        <v>17336</v>
      </c>
      <c r="CG20">
        <v>1201958</v>
      </c>
      <c r="CH20">
        <v>6581</v>
      </c>
      <c r="CI20">
        <v>27552</v>
      </c>
      <c r="CJ20">
        <v>28333</v>
      </c>
      <c r="CK20">
        <v>996455</v>
      </c>
      <c r="CL20">
        <v>17558</v>
      </c>
      <c r="CM20">
        <v>6485</v>
      </c>
      <c r="CN20">
        <v>6589</v>
      </c>
      <c r="CO20">
        <v>274666</v>
      </c>
      <c r="CP20">
        <v>5322</v>
      </c>
      <c r="CQ20">
        <v>14254</v>
      </c>
      <c r="CR20">
        <v>13498</v>
      </c>
      <c r="CS20">
        <v>625947</v>
      </c>
      <c r="CT20">
        <v>12188</v>
      </c>
      <c r="CU20">
        <v>210179</v>
      </c>
      <c r="CV20">
        <v>219838</v>
      </c>
      <c r="CW20">
        <v>6241661</v>
      </c>
      <c r="CX20">
        <v>130360</v>
      </c>
    </row>
    <row r="21" spans="1:102" x14ac:dyDescent="0.4">
      <c r="A21" s="1" t="s">
        <v>30</v>
      </c>
      <c r="B21" s="1" t="s">
        <v>31</v>
      </c>
      <c r="C21">
        <v>82844</v>
      </c>
      <c r="D21">
        <v>69514</v>
      </c>
      <c r="E21">
        <v>3028640</v>
      </c>
      <c r="F21">
        <v>146223</v>
      </c>
      <c r="G21">
        <v>96757</v>
      </c>
      <c r="H21">
        <v>94390</v>
      </c>
      <c r="I21">
        <v>820556</v>
      </c>
      <c r="J21">
        <v>91949</v>
      </c>
      <c r="K21">
        <v>227926</v>
      </c>
      <c r="L21">
        <v>226437</v>
      </c>
      <c r="M21">
        <v>2509696</v>
      </c>
      <c r="N21">
        <v>56882</v>
      </c>
      <c r="O21">
        <v>187023</v>
      </c>
      <c r="P21">
        <v>177545</v>
      </c>
      <c r="Q21">
        <v>1862602</v>
      </c>
      <c r="R21">
        <v>159297</v>
      </c>
      <c r="S21">
        <v>26071</v>
      </c>
      <c r="T21">
        <v>22655</v>
      </c>
      <c r="U21">
        <v>605940</v>
      </c>
      <c r="V21">
        <v>76695</v>
      </c>
      <c r="W21">
        <v>145983</v>
      </c>
      <c r="X21">
        <v>141782</v>
      </c>
      <c r="Y21">
        <v>1681835</v>
      </c>
      <c r="Z21">
        <v>183178</v>
      </c>
      <c r="AA21">
        <v>2122</v>
      </c>
      <c r="AB21">
        <v>4622</v>
      </c>
      <c r="AC21">
        <v>350100</v>
      </c>
      <c r="AD21">
        <v>9288</v>
      </c>
      <c r="AE21">
        <v>14054</v>
      </c>
      <c r="AF21">
        <v>13794</v>
      </c>
      <c r="AG21">
        <v>767796</v>
      </c>
      <c r="AH21">
        <v>13688</v>
      </c>
      <c r="AI21">
        <v>7660</v>
      </c>
      <c r="AJ21">
        <v>7468</v>
      </c>
      <c r="AK21">
        <v>112404</v>
      </c>
      <c r="AL21">
        <v>6365</v>
      </c>
      <c r="AM21">
        <v>4528</v>
      </c>
      <c r="AN21">
        <v>4355</v>
      </c>
      <c r="AO21">
        <v>117452</v>
      </c>
      <c r="AP21">
        <v>5667</v>
      </c>
      <c r="AQ21">
        <v>76370</v>
      </c>
      <c r="AR21">
        <v>72610</v>
      </c>
      <c r="AS21">
        <v>14093731</v>
      </c>
      <c r="AT21">
        <v>37356</v>
      </c>
      <c r="AU21" t="s">
        <v>73</v>
      </c>
      <c r="AV21" t="s">
        <v>73</v>
      </c>
      <c r="AW21" t="s">
        <v>73</v>
      </c>
      <c r="AX21" t="s">
        <v>73</v>
      </c>
      <c r="AY21">
        <v>166004</v>
      </c>
      <c r="AZ21">
        <v>166713</v>
      </c>
      <c r="BA21">
        <v>1554586</v>
      </c>
      <c r="BB21">
        <v>95339</v>
      </c>
      <c r="BC21">
        <v>260478</v>
      </c>
      <c r="BD21">
        <v>251483</v>
      </c>
      <c r="BE21">
        <v>8104733</v>
      </c>
      <c r="BF21">
        <v>72777</v>
      </c>
      <c r="BG21">
        <v>157154</v>
      </c>
      <c r="BH21">
        <v>161964</v>
      </c>
      <c r="BI21" t="s">
        <v>73</v>
      </c>
      <c r="BJ21">
        <v>16420</v>
      </c>
      <c r="BK21">
        <v>90</v>
      </c>
      <c r="BL21">
        <v>136</v>
      </c>
      <c r="BM21">
        <v>10293</v>
      </c>
      <c r="BN21">
        <v>373</v>
      </c>
      <c r="BO21">
        <v>50099</v>
      </c>
      <c r="BP21">
        <v>46620</v>
      </c>
      <c r="BQ21">
        <v>1005830</v>
      </c>
      <c r="BR21">
        <v>57685</v>
      </c>
      <c r="BS21">
        <v>28129</v>
      </c>
      <c r="BT21">
        <v>28234</v>
      </c>
      <c r="BU21">
        <v>426737</v>
      </c>
      <c r="BV21">
        <v>37994</v>
      </c>
      <c r="BW21">
        <v>2338</v>
      </c>
      <c r="BX21">
        <v>2477</v>
      </c>
      <c r="BY21">
        <v>103325</v>
      </c>
      <c r="BZ21">
        <v>7934</v>
      </c>
      <c r="CA21">
        <v>13658</v>
      </c>
      <c r="CB21">
        <v>13574</v>
      </c>
      <c r="CC21">
        <v>755678</v>
      </c>
      <c r="CD21">
        <v>19293</v>
      </c>
      <c r="CE21">
        <v>16857</v>
      </c>
      <c r="CF21">
        <v>17235</v>
      </c>
      <c r="CG21">
        <v>1172746</v>
      </c>
      <c r="CH21">
        <v>6616</v>
      </c>
      <c r="CI21">
        <v>30653</v>
      </c>
      <c r="CJ21">
        <v>31911</v>
      </c>
      <c r="CK21">
        <v>1073230</v>
      </c>
      <c r="CL21">
        <v>17538</v>
      </c>
      <c r="CM21">
        <v>7521</v>
      </c>
      <c r="CN21">
        <v>7347</v>
      </c>
      <c r="CO21">
        <v>336721</v>
      </c>
      <c r="CP21">
        <v>5486</v>
      </c>
      <c r="CQ21">
        <v>15913</v>
      </c>
      <c r="CR21">
        <v>16172</v>
      </c>
      <c r="CS21">
        <v>691593</v>
      </c>
      <c r="CT21">
        <v>11912</v>
      </c>
      <c r="CU21">
        <v>248691</v>
      </c>
      <c r="CV21">
        <v>249606</v>
      </c>
      <c r="CW21">
        <v>7111023</v>
      </c>
      <c r="CX21">
        <v>134398</v>
      </c>
    </row>
    <row r="22" spans="1:102" x14ac:dyDescent="0.4">
      <c r="A22" s="1" t="s">
        <v>32</v>
      </c>
      <c r="B22" s="1" t="s">
        <v>33</v>
      </c>
      <c r="C22">
        <v>80719</v>
      </c>
      <c r="D22">
        <v>68581</v>
      </c>
      <c r="E22">
        <v>3413611</v>
      </c>
      <c r="F22">
        <v>159776</v>
      </c>
      <c r="G22">
        <v>111352</v>
      </c>
      <c r="H22">
        <v>101248</v>
      </c>
      <c r="I22">
        <v>925215</v>
      </c>
      <c r="J22">
        <v>106574</v>
      </c>
      <c r="K22">
        <v>273883</v>
      </c>
      <c r="L22">
        <v>275692</v>
      </c>
      <c r="M22">
        <v>2944995</v>
      </c>
      <c r="N22">
        <v>61701</v>
      </c>
      <c r="O22">
        <v>198564</v>
      </c>
      <c r="P22">
        <v>178968</v>
      </c>
      <c r="Q22">
        <v>1517907</v>
      </c>
      <c r="R22">
        <v>184516</v>
      </c>
      <c r="S22">
        <v>26289</v>
      </c>
      <c r="T22">
        <v>24276</v>
      </c>
      <c r="U22">
        <v>766882</v>
      </c>
      <c r="V22">
        <v>78902</v>
      </c>
      <c r="W22">
        <v>142398</v>
      </c>
      <c r="X22">
        <v>139690</v>
      </c>
      <c r="Y22">
        <v>1746289</v>
      </c>
      <c r="Z22">
        <v>187218</v>
      </c>
      <c r="AA22">
        <v>2087</v>
      </c>
      <c r="AB22">
        <v>4618</v>
      </c>
      <c r="AC22">
        <v>403449</v>
      </c>
      <c r="AD22">
        <v>9304</v>
      </c>
      <c r="AE22">
        <v>13329</v>
      </c>
      <c r="AF22">
        <v>12916</v>
      </c>
      <c r="AG22">
        <v>714758</v>
      </c>
      <c r="AH22">
        <v>14101</v>
      </c>
      <c r="AI22">
        <v>6789</v>
      </c>
      <c r="AJ22">
        <v>6774</v>
      </c>
      <c r="AK22">
        <v>99785</v>
      </c>
      <c r="AL22">
        <v>6380</v>
      </c>
      <c r="AM22">
        <v>4094</v>
      </c>
      <c r="AN22">
        <v>4189</v>
      </c>
      <c r="AO22">
        <v>114441</v>
      </c>
      <c r="AP22">
        <v>5572</v>
      </c>
      <c r="AQ22">
        <v>71012</v>
      </c>
      <c r="AR22">
        <v>75292</v>
      </c>
      <c r="AS22">
        <v>14989028</v>
      </c>
      <c r="AT22">
        <v>35477</v>
      </c>
      <c r="AU22" t="s">
        <v>73</v>
      </c>
      <c r="AV22" t="s">
        <v>73</v>
      </c>
      <c r="AW22" t="s">
        <v>73</v>
      </c>
      <c r="AX22" t="s">
        <v>73</v>
      </c>
      <c r="AY22">
        <v>115340</v>
      </c>
      <c r="AZ22">
        <v>127984</v>
      </c>
      <c r="BA22">
        <v>1441625</v>
      </c>
      <c r="BB22">
        <v>88053</v>
      </c>
      <c r="BC22">
        <v>277330</v>
      </c>
      <c r="BD22">
        <v>277245</v>
      </c>
      <c r="BE22">
        <v>8835084</v>
      </c>
      <c r="BF22">
        <v>73175</v>
      </c>
      <c r="BG22">
        <v>119327</v>
      </c>
      <c r="BH22">
        <v>123292</v>
      </c>
      <c r="BI22" t="s">
        <v>73</v>
      </c>
      <c r="BJ22">
        <v>16662</v>
      </c>
      <c r="BK22">
        <v>111</v>
      </c>
      <c r="BL22">
        <v>100</v>
      </c>
      <c r="BM22">
        <v>7991</v>
      </c>
      <c r="BN22">
        <v>385</v>
      </c>
      <c r="BO22">
        <v>48438</v>
      </c>
      <c r="BP22">
        <v>45711</v>
      </c>
      <c r="BQ22">
        <v>955650</v>
      </c>
      <c r="BR22">
        <v>56994</v>
      </c>
      <c r="BS22">
        <v>26674</v>
      </c>
      <c r="BT22">
        <v>27966</v>
      </c>
      <c r="BU22">
        <v>424422</v>
      </c>
      <c r="BV22">
        <v>37635</v>
      </c>
      <c r="BW22">
        <v>2357</v>
      </c>
      <c r="BX22">
        <v>2412</v>
      </c>
      <c r="BY22">
        <v>72415</v>
      </c>
      <c r="BZ22">
        <v>8350</v>
      </c>
      <c r="CA22">
        <v>13889</v>
      </c>
      <c r="CB22">
        <v>13252</v>
      </c>
      <c r="CC22">
        <v>740386</v>
      </c>
      <c r="CD22">
        <v>20157</v>
      </c>
      <c r="CE22">
        <v>17250</v>
      </c>
      <c r="CF22">
        <v>17392</v>
      </c>
      <c r="CG22">
        <v>1198229</v>
      </c>
      <c r="CH22">
        <v>6676</v>
      </c>
      <c r="CI22">
        <v>29201</v>
      </c>
      <c r="CJ22">
        <v>29392</v>
      </c>
      <c r="CK22">
        <v>1021037</v>
      </c>
      <c r="CL22">
        <v>18028</v>
      </c>
      <c r="CM22">
        <v>6439</v>
      </c>
      <c r="CN22">
        <v>6306</v>
      </c>
      <c r="CO22">
        <v>279416</v>
      </c>
      <c r="CP22">
        <v>5592</v>
      </c>
      <c r="CQ22">
        <v>15159</v>
      </c>
      <c r="CR22">
        <v>13846</v>
      </c>
      <c r="CS22">
        <v>635061</v>
      </c>
      <c r="CT22">
        <v>13092</v>
      </c>
      <c r="CU22">
        <v>225547</v>
      </c>
      <c r="CV22">
        <v>234719</v>
      </c>
      <c r="CW22">
        <v>6962661</v>
      </c>
      <c r="CX22">
        <v>133993</v>
      </c>
    </row>
    <row r="23" spans="1:102" x14ac:dyDescent="0.4">
      <c r="A23" s="1" t="s">
        <v>34</v>
      </c>
      <c r="B23" s="1" t="s">
        <v>35</v>
      </c>
      <c r="C23">
        <v>70727</v>
      </c>
      <c r="D23">
        <v>77592</v>
      </c>
      <c r="E23">
        <v>3857532</v>
      </c>
      <c r="F23">
        <v>158032</v>
      </c>
      <c r="G23">
        <v>115204</v>
      </c>
      <c r="H23">
        <v>114335</v>
      </c>
      <c r="I23">
        <v>1119465</v>
      </c>
      <c r="J23">
        <v>111541</v>
      </c>
      <c r="K23">
        <v>288882</v>
      </c>
      <c r="L23">
        <v>289358</v>
      </c>
      <c r="M23">
        <v>3077526</v>
      </c>
      <c r="N23">
        <v>65865</v>
      </c>
      <c r="O23">
        <v>227337</v>
      </c>
      <c r="P23">
        <v>221555</v>
      </c>
      <c r="Q23">
        <v>2375303</v>
      </c>
      <c r="R23">
        <v>196810</v>
      </c>
      <c r="S23">
        <v>25145</v>
      </c>
      <c r="T23">
        <v>31587</v>
      </c>
      <c r="U23">
        <v>936855</v>
      </c>
      <c r="V23">
        <v>73456</v>
      </c>
      <c r="W23">
        <v>141033</v>
      </c>
      <c r="X23">
        <v>147548</v>
      </c>
      <c r="Y23">
        <v>1801307</v>
      </c>
      <c r="Z23">
        <v>183556</v>
      </c>
      <c r="AA23">
        <v>1589</v>
      </c>
      <c r="AB23">
        <v>3297</v>
      </c>
      <c r="AC23">
        <v>357683</v>
      </c>
      <c r="AD23">
        <v>9168</v>
      </c>
      <c r="AE23">
        <v>13295</v>
      </c>
      <c r="AF23">
        <v>13369</v>
      </c>
      <c r="AG23">
        <v>742339</v>
      </c>
      <c r="AH23">
        <v>14027</v>
      </c>
      <c r="AI23">
        <v>6516</v>
      </c>
      <c r="AJ23">
        <v>6851</v>
      </c>
      <c r="AK23">
        <v>98971</v>
      </c>
      <c r="AL23">
        <v>6045</v>
      </c>
      <c r="AM23">
        <v>3687</v>
      </c>
      <c r="AN23">
        <v>3862</v>
      </c>
      <c r="AO23">
        <v>114010</v>
      </c>
      <c r="AP23">
        <v>5397</v>
      </c>
      <c r="AQ23">
        <v>68658</v>
      </c>
      <c r="AR23">
        <v>72239</v>
      </c>
      <c r="AS23">
        <v>14319807</v>
      </c>
      <c r="AT23">
        <v>34764</v>
      </c>
      <c r="AU23" t="s">
        <v>73</v>
      </c>
      <c r="AV23" t="s">
        <v>73</v>
      </c>
      <c r="AW23" t="s">
        <v>73</v>
      </c>
      <c r="AX23" t="s">
        <v>73</v>
      </c>
      <c r="AY23">
        <v>137375</v>
      </c>
      <c r="AZ23">
        <v>127103</v>
      </c>
      <c r="BA23">
        <v>1482521</v>
      </c>
      <c r="BB23">
        <v>101969</v>
      </c>
      <c r="BC23">
        <v>279040</v>
      </c>
      <c r="BD23">
        <v>284549</v>
      </c>
      <c r="BE23">
        <v>9510621</v>
      </c>
      <c r="BF23">
        <v>68320</v>
      </c>
      <c r="BG23">
        <v>96274</v>
      </c>
      <c r="BH23">
        <v>99038</v>
      </c>
      <c r="BI23" t="s">
        <v>73</v>
      </c>
      <c r="BJ23">
        <v>15718</v>
      </c>
      <c r="BK23">
        <v>129</v>
      </c>
      <c r="BL23">
        <v>98</v>
      </c>
      <c r="BM23">
        <v>11083</v>
      </c>
      <c r="BN23">
        <v>418</v>
      </c>
      <c r="BO23">
        <v>46883</v>
      </c>
      <c r="BP23">
        <v>45185</v>
      </c>
      <c r="BQ23">
        <v>953986</v>
      </c>
      <c r="BR23">
        <v>55248</v>
      </c>
      <c r="BS23">
        <v>25436</v>
      </c>
      <c r="BT23">
        <v>26070</v>
      </c>
      <c r="BU23">
        <v>436188</v>
      </c>
      <c r="BV23">
        <v>37691</v>
      </c>
      <c r="BW23">
        <v>3234</v>
      </c>
      <c r="BX23">
        <v>3151</v>
      </c>
      <c r="BY23">
        <v>99145</v>
      </c>
      <c r="BZ23">
        <v>7368</v>
      </c>
      <c r="CA23">
        <v>13879</v>
      </c>
      <c r="CB23">
        <v>14173</v>
      </c>
      <c r="CC23">
        <v>822739</v>
      </c>
      <c r="CD23">
        <v>20188</v>
      </c>
      <c r="CE23">
        <v>17486</v>
      </c>
      <c r="CF23">
        <v>17679</v>
      </c>
      <c r="CG23">
        <v>1221886</v>
      </c>
      <c r="CH23">
        <v>6669</v>
      </c>
      <c r="CI23">
        <v>29513</v>
      </c>
      <c r="CJ23">
        <v>31443</v>
      </c>
      <c r="CK23">
        <v>1101734</v>
      </c>
      <c r="CL23">
        <v>17062</v>
      </c>
      <c r="CM23">
        <v>7301</v>
      </c>
      <c r="CN23">
        <v>7510</v>
      </c>
      <c r="CO23">
        <v>322923</v>
      </c>
      <c r="CP23">
        <v>5394</v>
      </c>
      <c r="CQ23">
        <v>16000</v>
      </c>
      <c r="CR23">
        <v>16535</v>
      </c>
      <c r="CS23">
        <v>680111</v>
      </c>
      <c r="CT23">
        <v>12333</v>
      </c>
      <c r="CU23">
        <v>217420</v>
      </c>
      <c r="CV23">
        <v>227451</v>
      </c>
      <c r="CW23">
        <v>6839447</v>
      </c>
      <c r="CX23">
        <v>130132</v>
      </c>
    </row>
    <row r="24" spans="1:102" x14ac:dyDescent="0.4">
      <c r="A24" s="1" t="s">
        <v>36</v>
      </c>
      <c r="B24" s="1" t="s">
        <v>37</v>
      </c>
      <c r="C24">
        <v>84473</v>
      </c>
      <c r="D24">
        <v>67286</v>
      </c>
      <c r="E24">
        <v>3510244</v>
      </c>
      <c r="F24">
        <v>183599</v>
      </c>
      <c r="G24">
        <v>122800</v>
      </c>
      <c r="H24">
        <v>101101</v>
      </c>
      <c r="I24">
        <v>918044</v>
      </c>
      <c r="J24">
        <v>131801</v>
      </c>
      <c r="K24">
        <v>239996</v>
      </c>
      <c r="L24">
        <v>231435</v>
      </c>
      <c r="M24">
        <v>3037459</v>
      </c>
      <c r="N24">
        <v>95705</v>
      </c>
      <c r="O24">
        <v>200962</v>
      </c>
      <c r="P24">
        <v>180323</v>
      </c>
      <c r="Q24">
        <v>1942134</v>
      </c>
      <c r="R24">
        <v>145930</v>
      </c>
      <c r="S24">
        <v>31578</v>
      </c>
      <c r="T24">
        <v>26475</v>
      </c>
      <c r="U24">
        <v>707422</v>
      </c>
      <c r="V24">
        <v>53651</v>
      </c>
      <c r="W24">
        <v>170057</v>
      </c>
      <c r="X24">
        <v>166960</v>
      </c>
      <c r="Y24">
        <v>1995392</v>
      </c>
      <c r="Z24">
        <v>187883</v>
      </c>
      <c r="AA24">
        <v>2375</v>
      </c>
      <c r="AB24">
        <v>4776</v>
      </c>
      <c r="AC24">
        <v>355060</v>
      </c>
      <c r="AD24">
        <v>8840</v>
      </c>
      <c r="AE24">
        <v>12926</v>
      </c>
      <c r="AF24">
        <v>12669</v>
      </c>
      <c r="AG24">
        <v>713872</v>
      </c>
      <c r="AH24">
        <v>11851</v>
      </c>
      <c r="AI24">
        <v>6635</v>
      </c>
      <c r="AJ24">
        <v>6300</v>
      </c>
      <c r="AK24">
        <v>90840</v>
      </c>
      <c r="AL24">
        <v>5611</v>
      </c>
      <c r="AM24">
        <v>3324</v>
      </c>
      <c r="AN24">
        <v>3210</v>
      </c>
      <c r="AO24">
        <v>81219</v>
      </c>
      <c r="AP24">
        <v>5064</v>
      </c>
      <c r="AQ24">
        <v>63269</v>
      </c>
      <c r="AR24">
        <v>62913</v>
      </c>
      <c r="AS24">
        <v>11692012</v>
      </c>
      <c r="AT24">
        <v>37427</v>
      </c>
      <c r="AU24" t="s">
        <v>73</v>
      </c>
      <c r="AV24" t="s">
        <v>73</v>
      </c>
      <c r="AW24" t="s">
        <v>73</v>
      </c>
      <c r="AX24" t="s">
        <v>73</v>
      </c>
      <c r="AY24">
        <v>144873</v>
      </c>
      <c r="AZ24">
        <v>143300</v>
      </c>
      <c r="BA24">
        <v>1516618</v>
      </c>
      <c r="BB24">
        <v>110323</v>
      </c>
      <c r="BC24">
        <v>275922</v>
      </c>
      <c r="BD24">
        <v>266707</v>
      </c>
      <c r="BE24">
        <v>8342411</v>
      </c>
      <c r="BF24">
        <v>98085</v>
      </c>
      <c r="BG24">
        <v>131141</v>
      </c>
      <c r="BH24">
        <v>133972</v>
      </c>
      <c r="BI24" t="s">
        <v>73</v>
      </c>
      <c r="BJ24">
        <v>14957</v>
      </c>
      <c r="BK24">
        <v>1216</v>
      </c>
      <c r="BL24">
        <v>1248</v>
      </c>
      <c r="BM24">
        <v>92061</v>
      </c>
      <c r="BN24">
        <v>495</v>
      </c>
      <c r="BO24">
        <v>43332</v>
      </c>
      <c r="BP24">
        <v>38784</v>
      </c>
      <c r="BQ24">
        <v>938984</v>
      </c>
      <c r="BR24">
        <v>55740</v>
      </c>
      <c r="BS24">
        <v>16511</v>
      </c>
      <c r="BT24">
        <v>18594</v>
      </c>
      <c r="BU24">
        <v>396836</v>
      </c>
      <c r="BV24">
        <v>31811</v>
      </c>
      <c r="BW24">
        <v>3573</v>
      </c>
      <c r="BX24">
        <v>3873</v>
      </c>
      <c r="BY24">
        <v>129270</v>
      </c>
      <c r="BZ24">
        <v>7602</v>
      </c>
      <c r="CA24">
        <v>15288</v>
      </c>
      <c r="CB24">
        <v>14773</v>
      </c>
      <c r="CC24">
        <v>726837</v>
      </c>
      <c r="CD24">
        <v>21047</v>
      </c>
      <c r="CE24">
        <v>16120</v>
      </c>
      <c r="CF24">
        <v>16287</v>
      </c>
      <c r="CG24">
        <v>1066375</v>
      </c>
      <c r="CH24">
        <v>7008</v>
      </c>
      <c r="CI24">
        <v>26804</v>
      </c>
      <c r="CJ24">
        <v>27130</v>
      </c>
      <c r="CK24">
        <v>933224</v>
      </c>
      <c r="CL24">
        <v>17965</v>
      </c>
      <c r="CM24">
        <v>6754</v>
      </c>
      <c r="CN24">
        <v>6827</v>
      </c>
      <c r="CO24">
        <v>274232</v>
      </c>
      <c r="CP24">
        <v>5324</v>
      </c>
      <c r="CQ24">
        <v>13219</v>
      </c>
      <c r="CR24">
        <v>13992</v>
      </c>
      <c r="CS24">
        <v>620134</v>
      </c>
      <c r="CT24">
        <v>11597</v>
      </c>
      <c r="CU24">
        <v>251891</v>
      </c>
      <c r="CV24">
        <v>255991</v>
      </c>
      <c r="CW24">
        <v>6747303</v>
      </c>
      <c r="CX24">
        <v>134658</v>
      </c>
    </row>
    <row r="25" spans="1:102" x14ac:dyDescent="0.4">
      <c r="A25" s="1" t="s">
        <v>38</v>
      </c>
      <c r="B25" s="1" t="s">
        <v>39</v>
      </c>
      <c r="C25">
        <v>79322</v>
      </c>
      <c r="D25">
        <v>87036</v>
      </c>
      <c r="E25">
        <v>4609349</v>
      </c>
      <c r="F25">
        <v>179210</v>
      </c>
      <c r="G25">
        <v>123239</v>
      </c>
      <c r="H25">
        <v>119433</v>
      </c>
      <c r="I25">
        <v>1187946</v>
      </c>
      <c r="J25">
        <v>139707</v>
      </c>
      <c r="K25">
        <v>258353</v>
      </c>
      <c r="L25">
        <v>267650</v>
      </c>
      <c r="M25">
        <v>4041475</v>
      </c>
      <c r="N25">
        <v>100932</v>
      </c>
      <c r="O25">
        <v>262572</v>
      </c>
      <c r="P25">
        <v>271387</v>
      </c>
      <c r="Q25">
        <v>4711669</v>
      </c>
      <c r="R25">
        <v>141201</v>
      </c>
      <c r="S25">
        <v>36956</v>
      </c>
      <c r="T25">
        <v>38758</v>
      </c>
      <c r="U25">
        <v>1067292</v>
      </c>
      <c r="V25">
        <v>52457</v>
      </c>
      <c r="W25">
        <v>138746</v>
      </c>
      <c r="X25">
        <v>141487</v>
      </c>
      <c r="Y25">
        <v>2196795</v>
      </c>
      <c r="Z25">
        <v>187390</v>
      </c>
      <c r="AA25">
        <v>2382</v>
      </c>
      <c r="AB25">
        <v>5496</v>
      </c>
      <c r="AC25">
        <v>392711</v>
      </c>
      <c r="AD25">
        <v>8606</v>
      </c>
      <c r="AE25">
        <v>13735</v>
      </c>
      <c r="AF25">
        <v>14065</v>
      </c>
      <c r="AG25">
        <v>812535</v>
      </c>
      <c r="AH25">
        <v>11521</v>
      </c>
      <c r="AI25">
        <v>6727</v>
      </c>
      <c r="AJ25">
        <v>6586</v>
      </c>
      <c r="AK25">
        <v>95201</v>
      </c>
      <c r="AL25">
        <v>5752</v>
      </c>
      <c r="AM25">
        <v>3827</v>
      </c>
      <c r="AN25">
        <v>3933</v>
      </c>
      <c r="AO25">
        <v>108161</v>
      </c>
      <c r="AP25">
        <v>4958</v>
      </c>
      <c r="AQ25">
        <v>65143</v>
      </c>
      <c r="AR25">
        <v>70086</v>
      </c>
      <c r="AS25">
        <v>13335231</v>
      </c>
      <c r="AT25">
        <v>35231</v>
      </c>
      <c r="AU25" t="s">
        <v>73</v>
      </c>
      <c r="AV25" t="s">
        <v>73</v>
      </c>
      <c r="AW25" t="s">
        <v>73</v>
      </c>
      <c r="AX25" t="s">
        <v>73</v>
      </c>
      <c r="AY25">
        <v>151693</v>
      </c>
      <c r="AZ25">
        <v>150994</v>
      </c>
      <c r="BA25">
        <v>1840592</v>
      </c>
      <c r="BB25">
        <v>114931</v>
      </c>
      <c r="BC25">
        <v>326168</v>
      </c>
      <c r="BD25">
        <v>331649</v>
      </c>
      <c r="BE25">
        <v>10329633</v>
      </c>
      <c r="BF25">
        <v>93790</v>
      </c>
      <c r="BG25">
        <v>149938</v>
      </c>
      <c r="BH25">
        <v>156106</v>
      </c>
      <c r="BI25" t="s">
        <v>73</v>
      </c>
      <c r="BJ25">
        <v>17458</v>
      </c>
      <c r="BK25">
        <v>1229</v>
      </c>
      <c r="BL25">
        <v>1247</v>
      </c>
      <c r="BM25">
        <v>88131</v>
      </c>
      <c r="BN25">
        <v>493</v>
      </c>
      <c r="BO25">
        <v>45470</v>
      </c>
      <c r="BP25">
        <v>43589</v>
      </c>
      <c r="BQ25">
        <v>1049157</v>
      </c>
      <c r="BR25">
        <v>53764</v>
      </c>
      <c r="BS25">
        <v>14752</v>
      </c>
      <c r="BT25">
        <v>19808</v>
      </c>
      <c r="BU25">
        <v>416675</v>
      </c>
      <c r="BV25">
        <v>28336</v>
      </c>
      <c r="BW25">
        <v>3241</v>
      </c>
      <c r="BX25">
        <v>4217</v>
      </c>
      <c r="BY25">
        <v>148091</v>
      </c>
      <c r="BZ25">
        <v>6609</v>
      </c>
      <c r="CA25">
        <v>15532</v>
      </c>
      <c r="CB25">
        <v>15647</v>
      </c>
      <c r="CC25">
        <v>771831</v>
      </c>
      <c r="CD25">
        <v>21333</v>
      </c>
      <c r="CE25">
        <v>15381</v>
      </c>
      <c r="CF25">
        <v>15469</v>
      </c>
      <c r="CG25">
        <v>1048279</v>
      </c>
      <c r="CH25">
        <v>7109</v>
      </c>
      <c r="CI25">
        <v>28923</v>
      </c>
      <c r="CJ25">
        <v>31328</v>
      </c>
      <c r="CK25">
        <v>1057080</v>
      </c>
      <c r="CL25">
        <v>16563</v>
      </c>
      <c r="CM25">
        <v>7201</v>
      </c>
      <c r="CN25">
        <v>7406</v>
      </c>
      <c r="CO25">
        <v>294225</v>
      </c>
      <c r="CP25">
        <v>5122</v>
      </c>
      <c r="CQ25">
        <v>13519</v>
      </c>
      <c r="CR25">
        <v>14711</v>
      </c>
      <c r="CS25">
        <v>635639</v>
      </c>
      <c r="CT25">
        <v>10355</v>
      </c>
      <c r="CU25">
        <v>218648</v>
      </c>
      <c r="CV25">
        <v>231814</v>
      </c>
      <c r="CW25">
        <v>7021865</v>
      </c>
      <c r="CX25">
        <v>131211</v>
      </c>
    </row>
    <row r="26" spans="1:102" x14ac:dyDescent="0.4">
      <c r="A26" s="1" t="s">
        <v>40</v>
      </c>
      <c r="B26" s="1" t="s">
        <v>41</v>
      </c>
      <c r="C26">
        <v>89352</v>
      </c>
      <c r="D26">
        <v>133936</v>
      </c>
      <c r="E26">
        <v>6992431</v>
      </c>
      <c r="F26">
        <v>138203</v>
      </c>
      <c r="G26">
        <v>105727</v>
      </c>
      <c r="H26">
        <v>165719</v>
      </c>
      <c r="I26">
        <v>2109369</v>
      </c>
      <c r="J26">
        <v>83935</v>
      </c>
      <c r="K26">
        <v>295480</v>
      </c>
      <c r="L26">
        <v>346847</v>
      </c>
      <c r="M26">
        <v>5998980</v>
      </c>
      <c r="N26">
        <v>57293</v>
      </c>
      <c r="O26">
        <v>257608</v>
      </c>
      <c r="P26">
        <v>324657</v>
      </c>
      <c r="Q26">
        <v>5211865</v>
      </c>
      <c r="R26">
        <v>77503</v>
      </c>
      <c r="S26">
        <v>39119</v>
      </c>
      <c r="T26">
        <v>57972</v>
      </c>
      <c r="U26">
        <v>1609918</v>
      </c>
      <c r="V26">
        <v>34217</v>
      </c>
      <c r="W26">
        <v>110258</v>
      </c>
      <c r="X26">
        <v>130597</v>
      </c>
      <c r="Y26">
        <v>2763881</v>
      </c>
      <c r="Z26">
        <v>168789</v>
      </c>
      <c r="AA26">
        <v>2427</v>
      </c>
      <c r="AB26">
        <v>6100</v>
      </c>
      <c r="AC26">
        <v>508203</v>
      </c>
      <c r="AD26">
        <v>8247</v>
      </c>
      <c r="AE26">
        <v>11774</v>
      </c>
      <c r="AF26">
        <v>12673</v>
      </c>
      <c r="AG26">
        <v>691619</v>
      </c>
      <c r="AH26">
        <v>10622</v>
      </c>
      <c r="AI26">
        <v>5981</v>
      </c>
      <c r="AJ26">
        <v>6410</v>
      </c>
      <c r="AK26">
        <v>89058</v>
      </c>
      <c r="AL26">
        <v>5323</v>
      </c>
      <c r="AM26">
        <v>3744</v>
      </c>
      <c r="AN26">
        <v>4031</v>
      </c>
      <c r="AO26">
        <v>124608</v>
      </c>
      <c r="AP26">
        <v>4671</v>
      </c>
      <c r="AQ26">
        <v>63414</v>
      </c>
      <c r="AR26">
        <v>73985</v>
      </c>
      <c r="AS26">
        <v>13806491</v>
      </c>
      <c r="AT26">
        <v>26957</v>
      </c>
      <c r="AU26" t="s">
        <v>73</v>
      </c>
      <c r="AV26" t="s">
        <v>73</v>
      </c>
      <c r="AW26" t="s">
        <v>73</v>
      </c>
      <c r="AX26" t="s">
        <v>73</v>
      </c>
      <c r="AY26">
        <v>160489</v>
      </c>
      <c r="AZ26">
        <v>181043</v>
      </c>
      <c r="BA26">
        <v>2292875</v>
      </c>
      <c r="BB26">
        <v>101395</v>
      </c>
      <c r="BC26">
        <v>333275</v>
      </c>
      <c r="BD26">
        <v>347732</v>
      </c>
      <c r="BE26">
        <v>11139297</v>
      </c>
      <c r="BF26">
        <v>80193</v>
      </c>
      <c r="BG26">
        <v>126875</v>
      </c>
      <c r="BH26">
        <v>133285</v>
      </c>
      <c r="BI26" t="s">
        <v>73</v>
      </c>
      <c r="BJ26">
        <v>15049</v>
      </c>
      <c r="BK26">
        <v>1266</v>
      </c>
      <c r="BL26">
        <v>1329</v>
      </c>
      <c r="BM26">
        <v>100239</v>
      </c>
      <c r="BN26">
        <v>483</v>
      </c>
      <c r="BO26">
        <v>45283</v>
      </c>
      <c r="BP26">
        <v>44409</v>
      </c>
      <c r="BQ26">
        <v>1078983</v>
      </c>
      <c r="BR26">
        <v>52001</v>
      </c>
      <c r="BS26">
        <v>17434</v>
      </c>
      <c r="BT26">
        <v>21099</v>
      </c>
      <c r="BU26">
        <v>478598</v>
      </c>
      <c r="BV26">
        <v>26242</v>
      </c>
      <c r="BW26">
        <v>4406</v>
      </c>
      <c r="BX26">
        <v>5429</v>
      </c>
      <c r="BY26">
        <v>169543</v>
      </c>
      <c r="BZ26">
        <v>5192</v>
      </c>
      <c r="CA26">
        <v>16485</v>
      </c>
      <c r="CB26">
        <v>18099</v>
      </c>
      <c r="CC26">
        <v>946992</v>
      </c>
      <c r="CD26">
        <v>19928</v>
      </c>
      <c r="CE26">
        <v>17817</v>
      </c>
      <c r="CF26">
        <v>18187</v>
      </c>
      <c r="CG26">
        <v>1268685</v>
      </c>
      <c r="CH26">
        <v>7188</v>
      </c>
      <c r="CI26">
        <v>34453</v>
      </c>
      <c r="CJ26">
        <v>34934</v>
      </c>
      <c r="CK26">
        <v>1244032</v>
      </c>
      <c r="CL26">
        <v>17264</v>
      </c>
      <c r="CM26">
        <v>8957</v>
      </c>
      <c r="CN26">
        <v>9904</v>
      </c>
      <c r="CO26">
        <v>394117</v>
      </c>
      <c r="CP26">
        <v>4155</v>
      </c>
      <c r="CQ26">
        <v>15866</v>
      </c>
      <c r="CR26">
        <v>16863</v>
      </c>
      <c r="CS26">
        <v>744054</v>
      </c>
      <c r="CT26">
        <v>9367</v>
      </c>
      <c r="CU26">
        <v>223672</v>
      </c>
      <c r="CV26">
        <v>231930</v>
      </c>
      <c r="CW26">
        <v>7257860</v>
      </c>
      <c r="CX26">
        <v>132362</v>
      </c>
    </row>
    <row r="27" spans="1:102" x14ac:dyDescent="0.4">
      <c r="A27" s="1" t="s">
        <v>42</v>
      </c>
      <c r="B27" s="1" t="s">
        <v>43</v>
      </c>
      <c r="C27">
        <v>70227</v>
      </c>
      <c r="D27">
        <v>74220</v>
      </c>
      <c r="E27">
        <v>3392642</v>
      </c>
      <c r="F27">
        <v>133810</v>
      </c>
      <c r="G27">
        <v>86397</v>
      </c>
      <c r="H27">
        <v>86279</v>
      </c>
      <c r="I27">
        <v>881933</v>
      </c>
      <c r="J27">
        <v>88153</v>
      </c>
      <c r="K27">
        <v>200264</v>
      </c>
      <c r="L27">
        <v>201168</v>
      </c>
      <c r="M27">
        <v>2602510</v>
      </c>
      <c r="N27">
        <v>58631</v>
      </c>
      <c r="O27">
        <v>158906</v>
      </c>
      <c r="P27">
        <v>175226</v>
      </c>
      <c r="Q27">
        <v>3060639</v>
      </c>
      <c r="R27">
        <v>70533</v>
      </c>
      <c r="S27">
        <v>28696</v>
      </c>
      <c r="T27">
        <v>32843</v>
      </c>
      <c r="U27">
        <v>992591</v>
      </c>
      <c r="V27">
        <v>30373</v>
      </c>
      <c r="W27">
        <v>128985</v>
      </c>
      <c r="X27">
        <v>136928</v>
      </c>
      <c r="Y27">
        <v>1980797</v>
      </c>
      <c r="Z27">
        <v>162507</v>
      </c>
      <c r="AA27">
        <v>2070</v>
      </c>
      <c r="AB27">
        <v>4890</v>
      </c>
      <c r="AC27">
        <v>396559</v>
      </c>
      <c r="AD27">
        <v>8261</v>
      </c>
      <c r="AE27">
        <v>12065</v>
      </c>
      <c r="AF27">
        <v>11856</v>
      </c>
      <c r="AG27">
        <v>635047</v>
      </c>
      <c r="AH27">
        <v>10831</v>
      </c>
      <c r="AI27">
        <v>6467</v>
      </c>
      <c r="AJ27">
        <v>6354</v>
      </c>
      <c r="AK27">
        <v>88109</v>
      </c>
      <c r="AL27">
        <v>5436</v>
      </c>
      <c r="AM27">
        <v>3791</v>
      </c>
      <c r="AN27">
        <v>3924</v>
      </c>
      <c r="AO27">
        <v>103878</v>
      </c>
      <c r="AP27">
        <v>4538</v>
      </c>
      <c r="AQ27">
        <v>62650</v>
      </c>
      <c r="AR27">
        <v>63393</v>
      </c>
      <c r="AS27">
        <v>12519882</v>
      </c>
      <c r="AT27">
        <v>27951</v>
      </c>
      <c r="AU27" t="s">
        <v>73</v>
      </c>
      <c r="AV27" t="s">
        <v>73</v>
      </c>
      <c r="AW27" t="s">
        <v>73</v>
      </c>
      <c r="AX27" t="s">
        <v>73</v>
      </c>
      <c r="AY27">
        <v>134074</v>
      </c>
      <c r="AZ27">
        <v>139861</v>
      </c>
      <c r="BA27">
        <v>1581938</v>
      </c>
      <c r="BB27">
        <v>101574</v>
      </c>
      <c r="BC27">
        <v>257410</v>
      </c>
      <c r="BD27">
        <v>245395</v>
      </c>
      <c r="BE27">
        <v>7476414</v>
      </c>
      <c r="BF27">
        <v>92575</v>
      </c>
      <c r="BG27">
        <v>149417</v>
      </c>
      <c r="BH27">
        <v>156820</v>
      </c>
      <c r="BI27" t="s">
        <v>73</v>
      </c>
      <c r="BJ27">
        <v>12986</v>
      </c>
      <c r="BK27">
        <v>1198</v>
      </c>
      <c r="BL27">
        <v>1277</v>
      </c>
      <c r="BM27">
        <v>93225</v>
      </c>
      <c r="BN27">
        <v>473</v>
      </c>
      <c r="BO27">
        <v>44948</v>
      </c>
      <c r="BP27">
        <v>43218</v>
      </c>
      <c r="BQ27">
        <v>1047000</v>
      </c>
      <c r="BR27">
        <v>50293</v>
      </c>
      <c r="BS27">
        <v>16813</v>
      </c>
      <c r="BT27">
        <v>19276</v>
      </c>
      <c r="BU27">
        <v>431770</v>
      </c>
      <c r="BV27">
        <v>25297</v>
      </c>
      <c r="BW27">
        <v>3382</v>
      </c>
      <c r="BX27">
        <v>4218</v>
      </c>
      <c r="BY27">
        <v>140832</v>
      </c>
      <c r="BZ27">
        <v>4316</v>
      </c>
      <c r="CA27">
        <v>15721</v>
      </c>
      <c r="CB27">
        <v>14038</v>
      </c>
      <c r="CC27">
        <v>779587</v>
      </c>
      <c r="CD27">
        <v>21920</v>
      </c>
      <c r="CE27">
        <v>15683</v>
      </c>
      <c r="CF27">
        <v>16030</v>
      </c>
      <c r="CG27">
        <v>1153942</v>
      </c>
      <c r="CH27">
        <v>7033</v>
      </c>
      <c r="CI27">
        <v>28210</v>
      </c>
      <c r="CJ27">
        <v>28743</v>
      </c>
      <c r="CK27">
        <v>1016787</v>
      </c>
      <c r="CL27">
        <v>18347</v>
      </c>
      <c r="CM27">
        <v>6919</v>
      </c>
      <c r="CN27">
        <v>6878</v>
      </c>
      <c r="CO27">
        <v>268588</v>
      </c>
      <c r="CP27">
        <v>4195</v>
      </c>
      <c r="CQ27">
        <v>13735</v>
      </c>
      <c r="CR27">
        <v>13801</v>
      </c>
      <c r="CS27">
        <v>687965</v>
      </c>
      <c r="CT27">
        <v>9416</v>
      </c>
      <c r="CU27">
        <v>220533</v>
      </c>
      <c r="CV27">
        <v>232587</v>
      </c>
      <c r="CW27">
        <v>7035705</v>
      </c>
      <c r="CX27">
        <v>129250</v>
      </c>
    </row>
    <row r="28" spans="1:102" x14ac:dyDescent="0.4">
      <c r="A28" s="1" t="s">
        <v>44</v>
      </c>
      <c r="B28" s="1" t="s">
        <v>45</v>
      </c>
      <c r="C28">
        <v>59982</v>
      </c>
      <c r="D28">
        <v>56704</v>
      </c>
      <c r="E28">
        <v>2911653</v>
      </c>
      <c r="F28">
        <v>138417</v>
      </c>
      <c r="G28">
        <v>66306</v>
      </c>
      <c r="H28">
        <v>68151</v>
      </c>
      <c r="I28">
        <v>644083</v>
      </c>
      <c r="J28">
        <v>90506</v>
      </c>
      <c r="K28">
        <v>204374</v>
      </c>
      <c r="L28">
        <v>208320</v>
      </c>
      <c r="M28">
        <v>2421047</v>
      </c>
      <c r="N28">
        <v>60146</v>
      </c>
      <c r="O28">
        <v>131239</v>
      </c>
      <c r="P28">
        <v>129053</v>
      </c>
      <c r="Q28">
        <v>1651600</v>
      </c>
      <c r="R28">
        <v>78676</v>
      </c>
      <c r="S28">
        <v>25957</v>
      </c>
      <c r="T28">
        <v>24943</v>
      </c>
      <c r="U28">
        <v>664137</v>
      </c>
      <c r="V28">
        <v>31752</v>
      </c>
      <c r="W28">
        <v>103277</v>
      </c>
      <c r="X28">
        <v>101798</v>
      </c>
      <c r="Y28">
        <v>1534098</v>
      </c>
      <c r="Z28">
        <v>165252</v>
      </c>
      <c r="AA28">
        <v>1943</v>
      </c>
      <c r="AB28">
        <v>4977</v>
      </c>
      <c r="AC28">
        <v>378068</v>
      </c>
      <c r="AD28">
        <v>8561</v>
      </c>
      <c r="AE28">
        <v>10899</v>
      </c>
      <c r="AF28">
        <v>11043</v>
      </c>
      <c r="AG28">
        <v>602146</v>
      </c>
      <c r="AH28">
        <v>10687</v>
      </c>
      <c r="AI28">
        <v>5913</v>
      </c>
      <c r="AJ28">
        <v>5854</v>
      </c>
      <c r="AK28">
        <v>83270</v>
      </c>
      <c r="AL28">
        <v>5495</v>
      </c>
      <c r="AM28">
        <v>3564</v>
      </c>
      <c r="AN28">
        <v>3402</v>
      </c>
      <c r="AO28">
        <v>90684</v>
      </c>
      <c r="AP28">
        <v>4700</v>
      </c>
      <c r="AQ28">
        <v>62819</v>
      </c>
      <c r="AR28">
        <v>62656</v>
      </c>
      <c r="AS28">
        <v>12449806</v>
      </c>
      <c r="AT28">
        <v>30042</v>
      </c>
      <c r="AU28" t="s">
        <v>73</v>
      </c>
      <c r="AV28" t="s">
        <v>73</v>
      </c>
      <c r="AW28" t="s">
        <v>73</v>
      </c>
      <c r="AX28" t="s">
        <v>73</v>
      </c>
      <c r="AY28">
        <v>114705</v>
      </c>
      <c r="AZ28">
        <v>129215</v>
      </c>
      <c r="BA28">
        <v>1447410</v>
      </c>
      <c r="BB28">
        <v>92341</v>
      </c>
      <c r="BC28">
        <v>241312</v>
      </c>
      <c r="BD28">
        <v>258085</v>
      </c>
      <c r="BE28">
        <v>7795671</v>
      </c>
      <c r="BF28">
        <v>76057</v>
      </c>
      <c r="BG28">
        <v>125264</v>
      </c>
      <c r="BH28">
        <v>127869</v>
      </c>
      <c r="BI28" t="s">
        <v>73</v>
      </c>
      <c r="BJ28">
        <v>16357</v>
      </c>
      <c r="BK28">
        <v>1085</v>
      </c>
      <c r="BL28">
        <v>1260</v>
      </c>
      <c r="BM28">
        <v>94345</v>
      </c>
      <c r="BN28">
        <v>472</v>
      </c>
      <c r="BO28">
        <v>42252</v>
      </c>
      <c r="BP28">
        <v>39789</v>
      </c>
      <c r="BQ28">
        <v>960656</v>
      </c>
      <c r="BR28">
        <v>50272</v>
      </c>
      <c r="BS28">
        <v>17804</v>
      </c>
      <c r="BT28">
        <v>17755</v>
      </c>
      <c r="BU28">
        <v>382122</v>
      </c>
      <c r="BV28">
        <v>27159</v>
      </c>
      <c r="BW28">
        <v>2928</v>
      </c>
      <c r="BX28">
        <v>2819</v>
      </c>
      <c r="BY28">
        <v>79266</v>
      </c>
      <c r="BZ28">
        <v>4436</v>
      </c>
      <c r="CA28">
        <v>12519</v>
      </c>
      <c r="CB28">
        <v>12772</v>
      </c>
      <c r="CC28">
        <v>697077</v>
      </c>
      <c r="CD28">
        <v>21895</v>
      </c>
      <c r="CE28">
        <v>14529</v>
      </c>
      <c r="CF28">
        <v>14757</v>
      </c>
      <c r="CG28">
        <v>1011656</v>
      </c>
      <c r="CH28">
        <v>7364</v>
      </c>
      <c r="CI28">
        <v>27132</v>
      </c>
      <c r="CJ28">
        <v>27587</v>
      </c>
      <c r="CK28">
        <v>936185</v>
      </c>
      <c r="CL28">
        <v>18634</v>
      </c>
      <c r="CM28">
        <v>6388</v>
      </c>
      <c r="CN28">
        <v>5808</v>
      </c>
      <c r="CO28">
        <v>244717</v>
      </c>
      <c r="CP28">
        <v>4776</v>
      </c>
      <c r="CQ28">
        <v>13333</v>
      </c>
      <c r="CR28">
        <v>12526</v>
      </c>
      <c r="CS28">
        <v>604030</v>
      </c>
      <c r="CT28">
        <v>10228</v>
      </c>
      <c r="CU28">
        <v>234616</v>
      </c>
      <c r="CV28">
        <v>233995</v>
      </c>
      <c r="CW28">
        <v>6691081</v>
      </c>
      <c r="CX28">
        <v>137692</v>
      </c>
    </row>
    <row r="29" spans="1:102" x14ac:dyDescent="0.4">
      <c r="A29" s="1" t="s">
        <v>46</v>
      </c>
      <c r="B29" s="1" t="s">
        <v>47</v>
      </c>
      <c r="C29">
        <v>60943</v>
      </c>
      <c r="D29">
        <v>57657</v>
      </c>
      <c r="E29">
        <v>2823468</v>
      </c>
      <c r="F29">
        <v>142624</v>
      </c>
      <c r="G29">
        <v>79212</v>
      </c>
      <c r="H29">
        <v>73849</v>
      </c>
      <c r="I29">
        <v>777594</v>
      </c>
      <c r="J29">
        <v>101204</v>
      </c>
      <c r="K29">
        <v>154379</v>
      </c>
      <c r="L29">
        <v>158801</v>
      </c>
      <c r="M29">
        <v>2354860</v>
      </c>
      <c r="N29">
        <v>59059</v>
      </c>
      <c r="O29">
        <v>155884</v>
      </c>
      <c r="P29">
        <v>151708</v>
      </c>
      <c r="Q29">
        <v>1864388</v>
      </c>
      <c r="R29">
        <v>87158</v>
      </c>
      <c r="S29">
        <v>23702</v>
      </c>
      <c r="T29">
        <v>23992</v>
      </c>
      <c r="U29">
        <v>720560</v>
      </c>
      <c r="V29">
        <v>32149</v>
      </c>
      <c r="W29">
        <v>118592</v>
      </c>
      <c r="X29">
        <v>122480</v>
      </c>
      <c r="Y29">
        <v>1668036</v>
      </c>
      <c r="Z29">
        <v>162893</v>
      </c>
      <c r="AA29">
        <v>1932</v>
      </c>
      <c r="AB29">
        <v>4919</v>
      </c>
      <c r="AC29">
        <v>355216</v>
      </c>
      <c r="AD29">
        <v>7889</v>
      </c>
      <c r="AE29">
        <v>11375</v>
      </c>
      <c r="AF29">
        <v>11437</v>
      </c>
      <c r="AG29">
        <v>619474</v>
      </c>
      <c r="AH29">
        <v>10625</v>
      </c>
      <c r="AI29">
        <v>5900</v>
      </c>
      <c r="AJ29">
        <v>5898</v>
      </c>
      <c r="AK29">
        <v>84812</v>
      </c>
      <c r="AL29">
        <v>5497</v>
      </c>
      <c r="AM29">
        <v>3857</v>
      </c>
      <c r="AN29">
        <v>3589</v>
      </c>
      <c r="AO29">
        <v>102880</v>
      </c>
      <c r="AP29">
        <v>4968</v>
      </c>
      <c r="AQ29">
        <v>66881</v>
      </c>
      <c r="AR29">
        <v>67013</v>
      </c>
      <c r="AS29">
        <v>13380241</v>
      </c>
      <c r="AT29">
        <v>31800</v>
      </c>
      <c r="AU29" t="s">
        <v>73</v>
      </c>
      <c r="AV29" t="s">
        <v>73</v>
      </c>
      <c r="AW29" t="s">
        <v>73</v>
      </c>
      <c r="AX29" t="s">
        <v>73</v>
      </c>
      <c r="AY29">
        <v>122073</v>
      </c>
      <c r="AZ29">
        <v>117011</v>
      </c>
      <c r="BA29">
        <v>1197761</v>
      </c>
      <c r="BB29">
        <v>103178</v>
      </c>
      <c r="BC29">
        <v>257472</v>
      </c>
      <c r="BD29">
        <v>256462</v>
      </c>
      <c r="BE29">
        <v>8383608</v>
      </c>
      <c r="BF29">
        <v>77477</v>
      </c>
      <c r="BG29">
        <v>116412</v>
      </c>
      <c r="BH29">
        <v>119037</v>
      </c>
      <c r="BI29" t="s">
        <v>73</v>
      </c>
      <c r="BJ29">
        <v>16560</v>
      </c>
      <c r="BK29">
        <v>1143</v>
      </c>
      <c r="BL29">
        <v>1334</v>
      </c>
      <c r="BM29">
        <v>97922</v>
      </c>
      <c r="BN29">
        <v>513</v>
      </c>
      <c r="BO29">
        <v>44737</v>
      </c>
      <c r="BP29">
        <v>41736</v>
      </c>
      <c r="BQ29">
        <v>996960</v>
      </c>
      <c r="BR29">
        <v>51145</v>
      </c>
      <c r="BS29">
        <v>15264</v>
      </c>
      <c r="BT29">
        <v>18902</v>
      </c>
      <c r="BU29">
        <v>407823</v>
      </c>
      <c r="BV29">
        <v>25221</v>
      </c>
      <c r="BW29">
        <v>2501</v>
      </c>
      <c r="BX29">
        <v>2676</v>
      </c>
      <c r="BY29">
        <v>78781</v>
      </c>
      <c r="BZ29">
        <v>4250</v>
      </c>
      <c r="CA29">
        <v>12135</v>
      </c>
      <c r="CB29">
        <v>11943</v>
      </c>
      <c r="CC29">
        <v>716707</v>
      </c>
      <c r="CD29">
        <v>22393</v>
      </c>
      <c r="CE29">
        <v>15881</v>
      </c>
      <c r="CF29">
        <v>16307</v>
      </c>
      <c r="CG29">
        <v>1152166</v>
      </c>
      <c r="CH29">
        <v>7471</v>
      </c>
      <c r="CI29">
        <v>27696</v>
      </c>
      <c r="CJ29">
        <v>29071</v>
      </c>
      <c r="CK29">
        <v>1005712</v>
      </c>
      <c r="CL29">
        <v>17814</v>
      </c>
      <c r="CM29">
        <v>6146</v>
      </c>
      <c r="CN29">
        <v>6442</v>
      </c>
      <c r="CO29">
        <v>305150</v>
      </c>
      <c r="CP29">
        <v>4482</v>
      </c>
      <c r="CQ29">
        <v>13152</v>
      </c>
      <c r="CR29">
        <v>12372</v>
      </c>
      <c r="CS29">
        <v>565445</v>
      </c>
      <c r="CT29">
        <v>11047</v>
      </c>
      <c r="CU29">
        <v>211701</v>
      </c>
      <c r="CV29">
        <v>221863</v>
      </c>
      <c r="CW29">
        <v>6694213</v>
      </c>
      <c r="CX29">
        <v>135771</v>
      </c>
    </row>
    <row r="30" spans="1:102" x14ac:dyDescent="0.4">
      <c r="A30" s="1" t="s">
        <v>48</v>
      </c>
      <c r="B30" s="1" t="s">
        <v>49</v>
      </c>
      <c r="C30">
        <v>71140</v>
      </c>
      <c r="D30">
        <v>62199</v>
      </c>
      <c r="E30">
        <v>2945034</v>
      </c>
      <c r="F30">
        <v>152082</v>
      </c>
      <c r="G30">
        <v>90644</v>
      </c>
      <c r="H30">
        <v>91152</v>
      </c>
      <c r="I30">
        <v>898061</v>
      </c>
      <c r="J30">
        <v>104794</v>
      </c>
      <c r="K30">
        <v>163118</v>
      </c>
      <c r="L30">
        <v>164320</v>
      </c>
      <c r="M30">
        <v>2326690</v>
      </c>
      <c r="N30">
        <v>61170</v>
      </c>
      <c r="O30">
        <v>141139</v>
      </c>
      <c r="P30">
        <v>147700</v>
      </c>
      <c r="Q30">
        <v>1379267</v>
      </c>
      <c r="R30">
        <v>85924</v>
      </c>
      <c r="S30">
        <v>27800</v>
      </c>
      <c r="T30">
        <v>26044</v>
      </c>
      <c r="U30">
        <v>663661</v>
      </c>
      <c r="V30">
        <v>34354</v>
      </c>
      <c r="W30">
        <v>128689</v>
      </c>
      <c r="X30">
        <v>134410</v>
      </c>
      <c r="Y30">
        <v>1932323</v>
      </c>
      <c r="Z30">
        <v>158387</v>
      </c>
      <c r="AA30">
        <v>2141</v>
      </c>
      <c r="AB30">
        <v>4221</v>
      </c>
      <c r="AC30">
        <v>389481</v>
      </c>
      <c r="AD30">
        <v>8564</v>
      </c>
      <c r="AE30">
        <v>12542</v>
      </c>
      <c r="AF30">
        <v>12599</v>
      </c>
      <c r="AG30">
        <v>690187</v>
      </c>
      <c r="AH30">
        <v>10568</v>
      </c>
      <c r="AI30">
        <v>6036</v>
      </c>
      <c r="AJ30">
        <v>6178</v>
      </c>
      <c r="AK30">
        <v>89691</v>
      </c>
      <c r="AL30">
        <v>5355</v>
      </c>
      <c r="AM30">
        <v>4055</v>
      </c>
      <c r="AN30">
        <v>4065</v>
      </c>
      <c r="AO30">
        <v>106888</v>
      </c>
      <c r="AP30">
        <v>4958</v>
      </c>
      <c r="AQ30">
        <v>73082</v>
      </c>
      <c r="AR30">
        <v>73045</v>
      </c>
      <c r="AS30">
        <v>14462349</v>
      </c>
      <c r="AT30">
        <v>34006</v>
      </c>
      <c r="AU30" t="s">
        <v>73</v>
      </c>
      <c r="AV30" t="s">
        <v>73</v>
      </c>
      <c r="AW30" t="s">
        <v>73</v>
      </c>
      <c r="AX30" t="s">
        <v>73</v>
      </c>
      <c r="AY30">
        <v>134891</v>
      </c>
      <c r="AZ30">
        <v>139690</v>
      </c>
      <c r="BA30">
        <v>1515992</v>
      </c>
      <c r="BB30">
        <v>103035</v>
      </c>
      <c r="BC30">
        <v>268509</v>
      </c>
      <c r="BD30">
        <v>265024</v>
      </c>
      <c r="BE30">
        <v>8883465</v>
      </c>
      <c r="BF30">
        <v>81591</v>
      </c>
      <c r="BG30">
        <v>147951</v>
      </c>
      <c r="BH30">
        <v>153224</v>
      </c>
      <c r="BI30" t="s">
        <v>73</v>
      </c>
      <c r="BJ30">
        <v>13491</v>
      </c>
      <c r="BK30">
        <v>1108</v>
      </c>
      <c r="BL30">
        <v>1454</v>
      </c>
      <c r="BM30">
        <v>107348</v>
      </c>
      <c r="BN30">
        <v>538</v>
      </c>
      <c r="BO30">
        <v>46443</v>
      </c>
      <c r="BP30">
        <v>44562</v>
      </c>
      <c r="BQ30">
        <v>1045622</v>
      </c>
      <c r="BR30">
        <v>50258</v>
      </c>
      <c r="BS30">
        <v>16105</v>
      </c>
      <c r="BT30">
        <v>18115</v>
      </c>
      <c r="BU30">
        <v>404418</v>
      </c>
      <c r="BV30">
        <v>24811</v>
      </c>
      <c r="BW30">
        <v>3585</v>
      </c>
      <c r="BX30">
        <v>3210</v>
      </c>
      <c r="BY30">
        <v>107795</v>
      </c>
      <c r="BZ30">
        <v>4616</v>
      </c>
      <c r="CA30">
        <v>12590</v>
      </c>
      <c r="CB30">
        <v>13801</v>
      </c>
      <c r="CC30">
        <v>774816</v>
      </c>
      <c r="CD30">
        <v>21401</v>
      </c>
      <c r="CE30">
        <v>15739</v>
      </c>
      <c r="CF30">
        <v>15799</v>
      </c>
      <c r="CG30">
        <v>1147493</v>
      </c>
      <c r="CH30">
        <v>7765</v>
      </c>
      <c r="CI30">
        <v>28159</v>
      </c>
      <c r="CJ30">
        <v>28459</v>
      </c>
      <c r="CK30">
        <v>964777</v>
      </c>
      <c r="CL30">
        <v>18583</v>
      </c>
      <c r="CM30">
        <v>7335</v>
      </c>
      <c r="CN30">
        <v>7401</v>
      </c>
      <c r="CO30">
        <v>300236</v>
      </c>
      <c r="CP30">
        <v>4394</v>
      </c>
      <c r="CQ30">
        <v>13827</v>
      </c>
      <c r="CR30">
        <v>14371</v>
      </c>
      <c r="CS30">
        <v>640500</v>
      </c>
      <c r="CT30">
        <v>10339</v>
      </c>
      <c r="CU30">
        <v>239903</v>
      </c>
      <c r="CV30">
        <v>243450</v>
      </c>
      <c r="CW30">
        <v>7469103</v>
      </c>
      <c r="CX30">
        <v>138050</v>
      </c>
    </row>
    <row r="31" spans="1:102" x14ac:dyDescent="0.4">
      <c r="A31" s="1" t="s">
        <v>50</v>
      </c>
      <c r="B31" s="1" t="s">
        <v>51</v>
      </c>
      <c r="C31">
        <v>54073</v>
      </c>
      <c r="D31">
        <v>59385</v>
      </c>
      <c r="E31">
        <v>3144124</v>
      </c>
      <c r="F31">
        <v>147298</v>
      </c>
      <c r="G31">
        <v>84847</v>
      </c>
      <c r="H31">
        <v>96382</v>
      </c>
      <c r="I31">
        <v>1031241</v>
      </c>
      <c r="J31">
        <v>97357</v>
      </c>
      <c r="K31">
        <v>183753</v>
      </c>
      <c r="L31">
        <v>190968</v>
      </c>
      <c r="M31">
        <v>2390128</v>
      </c>
      <c r="N31">
        <v>57292</v>
      </c>
      <c r="O31">
        <v>120848</v>
      </c>
      <c r="P31">
        <v>149603</v>
      </c>
      <c r="Q31">
        <v>1616062</v>
      </c>
      <c r="R31">
        <v>60442</v>
      </c>
      <c r="S31">
        <v>25299</v>
      </c>
      <c r="T31">
        <v>24048</v>
      </c>
      <c r="U31">
        <v>758353</v>
      </c>
      <c r="V31">
        <v>35518</v>
      </c>
      <c r="W31">
        <v>109777</v>
      </c>
      <c r="X31">
        <v>118567</v>
      </c>
      <c r="Y31">
        <v>1695931</v>
      </c>
      <c r="Z31">
        <v>150938</v>
      </c>
      <c r="AA31">
        <v>2043</v>
      </c>
      <c r="AB31">
        <v>5198</v>
      </c>
      <c r="AC31">
        <v>309877</v>
      </c>
      <c r="AD31">
        <v>9070</v>
      </c>
      <c r="AE31">
        <v>10362</v>
      </c>
      <c r="AF31">
        <v>10277</v>
      </c>
      <c r="AG31">
        <v>587931</v>
      </c>
      <c r="AH31">
        <v>10531</v>
      </c>
      <c r="AI31">
        <v>4647</v>
      </c>
      <c r="AJ31">
        <v>4786</v>
      </c>
      <c r="AK31">
        <v>68615</v>
      </c>
      <c r="AL31">
        <v>5216</v>
      </c>
      <c r="AM31">
        <v>3125</v>
      </c>
      <c r="AN31">
        <v>3098</v>
      </c>
      <c r="AO31">
        <v>83724</v>
      </c>
      <c r="AP31">
        <v>4985</v>
      </c>
      <c r="AQ31">
        <v>55421</v>
      </c>
      <c r="AR31">
        <v>57930</v>
      </c>
      <c r="AS31">
        <v>11498725</v>
      </c>
      <c r="AT31">
        <v>33474</v>
      </c>
      <c r="AU31" t="s">
        <v>73</v>
      </c>
      <c r="AV31" t="s">
        <v>73</v>
      </c>
      <c r="AW31" t="s">
        <v>73</v>
      </c>
      <c r="AX31" t="s">
        <v>73</v>
      </c>
      <c r="AY31">
        <v>137023</v>
      </c>
      <c r="AZ31">
        <v>132477</v>
      </c>
      <c r="BA31">
        <v>1496890</v>
      </c>
      <c r="BB31">
        <v>112077</v>
      </c>
      <c r="BC31">
        <v>254353</v>
      </c>
      <c r="BD31">
        <v>255898</v>
      </c>
      <c r="BE31">
        <v>8567888</v>
      </c>
      <c r="BF31">
        <v>81086</v>
      </c>
      <c r="BG31">
        <v>125828</v>
      </c>
      <c r="BH31">
        <v>129379</v>
      </c>
      <c r="BI31" t="s">
        <v>73</v>
      </c>
      <c r="BJ31">
        <v>11726</v>
      </c>
      <c r="BK31">
        <v>818</v>
      </c>
      <c r="BL31">
        <v>1214</v>
      </c>
      <c r="BM31">
        <v>88080</v>
      </c>
      <c r="BN31">
        <v>504</v>
      </c>
      <c r="BO31">
        <v>37618</v>
      </c>
      <c r="BP31">
        <v>34025</v>
      </c>
      <c r="BQ31">
        <v>800819</v>
      </c>
      <c r="BR31">
        <v>51831</v>
      </c>
      <c r="BS31">
        <v>12998</v>
      </c>
      <c r="BT31">
        <v>15222</v>
      </c>
      <c r="BU31">
        <v>324757</v>
      </c>
      <c r="BV31">
        <v>23530</v>
      </c>
      <c r="BW31">
        <v>2297</v>
      </c>
      <c r="BX31">
        <v>2482</v>
      </c>
      <c r="BY31">
        <v>85375</v>
      </c>
      <c r="BZ31">
        <v>4373</v>
      </c>
      <c r="CA31">
        <v>11035</v>
      </c>
      <c r="CB31">
        <v>11287</v>
      </c>
      <c r="CC31">
        <v>627018</v>
      </c>
      <c r="CD31">
        <v>21350</v>
      </c>
      <c r="CE31">
        <v>12742</v>
      </c>
      <c r="CF31">
        <v>13074</v>
      </c>
      <c r="CG31">
        <v>916739</v>
      </c>
      <c r="CH31">
        <v>7610</v>
      </c>
      <c r="CI31">
        <v>22227</v>
      </c>
      <c r="CJ31">
        <v>24198</v>
      </c>
      <c r="CK31">
        <v>835224</v>
      </c>
      <c r="CL31">
        <v>17472</v>
      </c>
      <c r="CM31">
        <v>6048</v>
      </c>
      <c r="CN31">
        <v>5598</v>
      </c>
      <c r="CO31">
        <v>268208</v>
      </c>
      <c r="CP31">
        <v>4845</v>
      </c>
      <c r="CQ31">
        <v>11013</v>
      </c>
      <c r="CR31">
        <v>11641</v>
      </c>
      <c r="CS31">
        <v>516837</v>
      </c>
      <c r="CT31">
        <v>9501</v>
      </c>
      <c r="CU31">
        <v>214586</v>
      </c>
      <c r="CV31">
        <v>219107</v>
      </c>
      <c r="CW31">
        <v>5879682</v>
      </c>
      <c r="CX31">
        <v>140656</v>
      </c>
    </row>
    <row r="32" spans="1:102" x14ac:dyDescent="0.4">
      <c r="A32" s="1" t="s">
        <v>52</v>
      </c>
      <c r="B32" s="1" t="s">
        <v>53</v>
      </c>
      <c r="C32">
        <v>70811</v>
      </c>
      <c r="D32">
        <v>66693</v>
      </c>
      <c r="E32">
        <v>3145527</v>
      </c>
      <c r="F32">
        <v>151616</v>
      </c>
      <c r="G32">
        <v>77984</v>
      </c>
      <c r="H32">
        <v>80022</v>
      </c>
      <c r="I32">
        <v>1004345</v>
      </c>
      <c r="J32">
        <v>99402</v>
      </c>
      <c r="K32">
        <v>178949</v>
      </c>
      <c r="L32">
        <v>176762</v>
      </c>
      <c r="M32">
        <v>2611743</v>
      </c>
      <c r="N32">
        <v>61807</v>
      </c>
      <c r="O32">
        <v>139888</v>
      </c>
      <c r="P32">
        <v>143007</v>
      </c>
      <c r="Q32">
        <v>1681565</v>
      </c>
      <c r="R32">
        <v>61673</v>
      </c>
      <c r="S32">
        <v>28595</v>
      </c>
      <c r="T32">
        <v>24149</v>
      </c>
      <c r="U32">
        <v>793929</v>
      </c>
      <c r="V32">
        <v>40453</v>
      </c>
      <c r="W32">
        <v>128808</v>
      </c>
      <c r="X32">
        <v>129461</v>
      </c>
      <c r="Y32">
        <v>1806856</v>
      </c>
      <c r="Z32">
        <v>151206</v>
      </c>
      <c r="AA32">
        <v>1867</v>
      </c>
      <c r="AB32">
        <v>4277</v>
      </c>
      <c r="AC32">
        <v>385445</v>
      </c>
      <c r="AD32">
        <v>9207</v>
      </c>
      <c r="AE32">
        <v>12194</v>
      </c>
      <c r="AF32">
        <v>12139</v>
      </c>
      <c r="AG32">
        <v>677294</v>
      </c>
      <c r="AH32">
        <v>10586</v>
      </c>
      <c r="AI32">
        <v>6176</v>
      </c>
      <c r="AJ32">
        <v>5930</v>
      </c>
      <c r="AK32">
        <v>85697</v>
      </c>
      <c r="AL32">
        <v>5462</v>
      </c>
      <c r="AM32">
        <v>3783</v>
      </c>
      <c r="AN32">
        <v>3858</v>
      </c>
      <c r="AO32">
        <v>113119</v>
      </c>
      <c r="AP32">
        <v>4910</v>
      </c>
      <c r="AQ32">
        <v>65113</v>
      </c>
      <c r="AR32">
        <v>69605</v>
      </c>
      <c r="AS32">
        <v>13684986</v>
      </c>
      <c r="AT32">
        <v>30741</v>
      </c>
      <c r="AU32" t="s">
        <v>73</v>
      </c>
      <c r="AV32" t="s">
        <v>73</v>
      </c>
      <c r="AW32" t="s">
        <v>73</v>
      </c>
      <c r="AX32" t="s">
        <v>73</v>
      </c>
      <c r="AY32">
        <v>153174</v>
      </c>
      <c r="AZ32">
        <v>156855</v>
      </c>
      <c r="BA32">
        <v>1694721</v>
      </c>
      <c r="BB32">
        <v>112172</v>
      </c>
      <c r="BC32">
        <v>278557</v>
      </c>
      <c r="BD32">
        <v>278727</v>
      </c>
      <c r="BE32">
        <v>8941889</v>
      </c>
      <c r="BF32">
        <v>81745</v>
      </c>
      <c r="BG32">
        <v>132014</v>
      </c>
      <c r="BH32">
        <v>134271</v>
      </c>
      <c r="BI32" t="s">
        <v>73</v>
      </c>
      <c r="BJ32">
        <v>12657</v>
      </c>
      <c r="BK32">
        <v>1052</v>
      </c>
      <c r="BL32">
        <v>1534</v>
      </c>
      <c r="BM32">
        <v>109073</v>
      </c>
      <c r="BN32">
        <v>493</v>
      </c>
      <c r="BO32">
        <v>43644</v>
      </c>
      <c r="BP32">
        <v>41350</v>
      </c>
      <c r="BQ32">
        <v>971271</v>
      </c>
      <c r="BR32">
        <v>51839</v>
      </c>
      <c r="BS32">
        <v>14701</v>
      </c>
      <c r="BT32">
        <v>16387</v>
      </c>
      <c r="BU32">
        <v>382959</v>
      </c>
      <c r="BV32">
        <v>23778</v>
      </c>
      <c r="BW32">
        <v>2159</v>
      </c>
      <c r="BX32">
        <v>2203</v>
      </c>
      <c r="BY32">
        <v>76102</v>
      </c>
      <c r="BZ32">
        <v>4379</v>
      </c>
      <c r="CA32">
        <v>13023</v>
      </c>
      <c r="CB32">
        <v>13461</v>
      </c>
      <c r="CC32">
        <v>767401</v>
      </c>
      <c r="CD32">
        <v>21255</v>
      </c>
      <c r="CE32">
        <v>16089</v>
      </c>
      <c r="CF32">
        <v>16627</v>
      </c>
      <c r="CG32">
        <v>1208473</v>
      </c>
      <c r="CH32">
        <v>7628</v>
      </c>
      <c r="CI32">
        <v>28811</v>
      </c>
      <c r="CJ32">
        <v>30401</v>
      </c>
      <c r="CK32">
        <v>1128028</v>
      </c>
      <c r="CL32">
        <v>16894</v>
      </c>
      <c r="CM32">
        <v>6931</v>
      </c>
      <c r="CN32">
        <v>6786</v>
      </c>
      <c r="CO32">
        <v>287649</v>
      </c>
      <c r="CP32">
        <v>5009</v>
      </c>
      <c r="CQ32">
        <v>13925</v>
      </c>
      <c r="CR32">
        <v>13859</v>
      </c>
      <c r="CS32">
        <v>618182</v>
      </c>
      <c r="CT32">
        <v>9351</v>
      </c>
      <c r="CU32">
        <v>215987</v>
      </c>
      <c r="CV32">
        <v>222003</v>
      </c>
      <c r="CW32">
        <v>7135607</v>
      </c>
      <c r="CX32">
        <v>140014</v>
      </c>
    </row>
    <row r="33" spans="1:102" x14ac:dyDescent="0.4">
      <c r="A33" s="1" t="s">
        <v>54</v>
      </c>
      <c r="B33" s="1" t="s">
        <v>55</v>
      </c>
      <c r="C33">
        <v>70218</v>
      </c>
      <c r="D33">
        <v>62498</v>
      </c>
      <c r="E33">
        <v>3327299</v>
      </c>
      <c r="F33">
        <v>159722</v>
      </c>
      <c r="G33">
        <v>86027</v>
      </c>
      <c r="H33">
        <v>87104</v>
      </c>
      <c r="I33">
        <v>815794</v>
      </c>
      <c r="J33">
        <v>102425</v>
      </c>
      <c r="K33">
        <v>215069</v>
      </c>
      <c r="L33">
        <v>206361</v>
      </c>
      <c r="M33">
        <v>2788869</v>
      </c>
      <c r="N33">
        <v>74044</v>
      </c>
      <c r="O33">
        <v>176408</v>
      </c>
      <c r="P33">
        <v>171020</v>
      </c>
      <c r="Q33">
        <v>1741311</v>
      </c>
      <c r="R33">
        <v>71053</v>
      </c>
      <c r="S33">
        <v>34409</v>
      </c>
      <c r="T33">
        <v>22996</v>
      </c>
      <c r="U33">
        <v>739493</v>
      </c>
      <c r="V33">
        <v>51859</v>
      </c>
      <c r="W33">
        <v>153540</v>
      </c>
      <c r="X33">
        <v>149887</v>
      </c>
      <c r="Y33">
        <v>1927675</v>
      </c>
      <c r="Z33">
        <v>156055</v>
      </c>
      <c r="AA33">
        <v>1973</v>
      </c>
      <c r="AB33">
        <v>4713</v>
      </c>
      <c r="AC33">
        <v>364187</v>
      </c>
      <c r="AD33">
        <v>9860</v>
      </c>
      <c r="AE33">
        <v>13174</v>
      </c>
      <c r="AF33">
        <v>13031</v>
      </c>
      <c r="AG33">
        <v>704940</v>
      </c>
      <c r="AH33">
        <v>10686</v>
      </c>
      <c r="AI33">
        <v>6559</v>
      </c>
      <c r="AJ33">
        <v>6546</v>
      </c>
      <c r="AK33">
        <v>95401</v>
      </c>
      <c r="AL33">
        <v>5475</v>
      </c>
      <c r="AM33">
        <v>4028</v>
      </c>
      <c r="AN33">
        <v>4096</v>
      </c>
      <c r="AO33">
        <v>115916</v>
      </c>
      <c r="AP33">
        <v>4765</v>
      </c>
      <c r="AQ33">
        <v>75456</v>
      </c>
      <c r="AR33">
        <v>71821</v>
      </c>
      <c r="AS33">
        <v>14698171</v>
      </c>
      <c r="AT33">
        <v>35879</v>
      </c>
      <c r="AU33" t="s">
        <v>73</v>
      </c>
      <c r="AV33" t="s">
        <v>73</v>
      </c>
      <c r="AW33" t="s">
        <v>73</v>
      </c>
      <c r="AX33" t="s">
        <v>73</v>
      </c>
      <c r="AY33">
        <v>159592</v>
      </c>
      <c r="AZ33">
        <v>160590</v>
      </c>
      <c r="BA33">
        <v>1831847</v>
      </c>
      <c r="BB33">
        <v>114744</v>
      </c>
      <c r="BC33">
        <v>308667</v>
      </c>
      <c r="BD33">
        <v>308059</v>
      </c>
      <c r="BE33">
        <v>9415650</v>
      </c>
      <c r="BF33">
        <v>83476</v>
      </c>
      <c r="BG33">
        <v>189474</v>
      </c>
      <c r="BH33">
        <v>190533</v>
      </c>
      <c r="BI33" t="s">
        <v>73</v>
      </c>
      <c r="BJ33">
        <v>12692</v>
      </c>
      <c r="BK33">
        <v>1132</v>
      </c>
      <c r="BL33">
        <v>1744</v>
      </c>
      <c r="BM33">
        <v>117250</v>
      </c>
      <c r="BN33">
        <v>477</v>
      </c>
      <c r="BO33">
        <v>49345</v>
      </c>
      <c r="BP33">
        <v>45378</v>
      </c>
      <c r="BQ33">
        <v>1088349</v>
      </c>
      <c r="BR33">
        <v>53464</v>
      </c>
      <c r="BS33">
        <v>15161</v>
      </c>
      <c r="BT33">
        <v>19174</v>
      </c>
      <c r="BU33">
        <v>473611</v>
      </c>
      <c r="BV33">
        <v>21415</v>
      </c>
      <c r="BW33">
        <v>3048</v>
      </c>
      <c r="BX33">
        <v>2512</v>
      </c>
      <c r="BY33">
        <v>83962</v>
      </c>
      <c r="BZ33">
        <v>4927</v>
      </c>
      <c r="CA33">
        <v>15353</v>
      </c>
      <c r="CB33">
        <v>14813</v>
      </c>
      <c r="CC33">
        <v>812444</v>
      </c>
      <c r="CD33">
        <v>22021</v>
      </c>
      <c r="CE33">
        <v>16633</v>
      </c>
      <c r="CF33">
        <v>17060</v>
      </c>
      <c r="CG33">
        <v>1230021</v>
      </c>
      <c r="CH33">
        <v>7814</v>
      </c>
      <c r="CI33">
        <v>28838</v>
      </c>
      <c r="CJ33">
        <v>30011</v>
      </c>
      <c r="CK33">
        <v>1108210</v>
      </c>
      <c r="CL33">
        <v>16508</v>
      </c>
      <c r="CM33">
        <v>7110</v>
      </c>
      <c r="CN33">
        <v>7476</v>
      </c>
      <c r="CO33">
        <v>319303</v>
      </c>
      <c r="CP33">
        <v>4624</v>
      </c>
      <c r="CQ33">
        <v>15717</v>
      </c>
      <c r="CR33">
        <v>14468</v>
      </c>
      <c r="CS33">
        <v>666116</v>
      </c>
      <c r="CT33">
        <v>10462</v>
      </c>
      <c r="CU33">
        <v>241834</v>
      </c>
      <c r="CV33">
        <v>251651</v>
      </c>
      <c r="CW33">
        <v>8072959</v>
      </c>
      <c r="CX33">
        <v>138170</v>
      </c>
    </row>
    <row r="34" spans="1:102" x14ac:dyDescent="0.4">
      <c r="A34" s="1" t="s">
        <v>56</v>
      </c>
      <c r="B34" s="1" t="s">
        <v>57</v>
      </c>
      <c r="C34">
        <v>67341</v>
      </c>
      <c r="D34">
        <v>59783</v>
      </c>
      <c r="E34">
        <v>3113265</v>
      </c>
      <c r="F34">
        <v>167117</v>
      </c>
      <c r="G34">
        <v>88090</v>
      </c>
      <c r="H34">
        <v>79641</v>
      </c>
      <c r="I34">
        <v>759507</v>
      </c>
      <c r="J34">
        <v>114985</v>
      </c>
      <c r="K34">
        <v>234921</v>
      </c>
      <c r="L34">
        <v>229951</v>
      </c>
      <c r="M34">
        <v>3066032</v>
      </c>
      <c r="N34">
        <v>82272</v>
      </c>
      <c r="O34">
        <v>187061</v>
      </c>
      <c r="P34">
        <v>167868</v>
      </c>
      <c r="Q34">
        <v>2141670</v>
      </c>
      <c r="R34">
        <v>95384</v>
      </c>
      <c r="S34">
        <v>34914</v>
      </c>
      <c r="T34">
        <v>26297</v>
      </c>
      <c r="U34">
        <v>872087</v>
      </c>
      <c r="V34">
        <v>61103</v>
      </c>
      <c r="W34">
        <v>134241</v>
      </c>
      <c r="X34">
        <v>130550</v>
      </c>
      <c r="Y34">
        <v>1702813</v>
      </c>
      <c r="Z34">
        <v>160710</v>
      </c>
      <c r="AA34">
        <v>1658</v>
      </c>
      <c r="AB34">
        <v>4159</v>
      </c>
      <c r="AC34">
        <v>364370</v>
      </c>
      <c r="AD34">
        <v>10390</v>
      </c>
      <c r="AE34">
        <v>11336</v>
      </c>
      <c r="AF34">
        <v>11758</v>
      </c>
      <c r="AG34">
        <v>662758</v>
      </c>
      <c r="AH34">
        <v>10263</v>
      </c>
      <c r="AI34">
        <v>5194</v>
      </c>
      <c r="AJ34">
        <v>5644</v>
      </c>
      <c r="AK34">
        <v>82133</v>
      </c>
      <c r="AL34">
        <v>5025</v>
      </c>
      <c r="AM34">
        <v>3753</v>
      </c>
      <c r="AN34">
        <v>3923</v>
      </c>
      <c r="AO34">
        <v>120790</v>
      </c>
      <c r="AP34">
        <v>4593</v>
      </c>
      <c r="AQ34">
        <v>69695</v>
      </c>
      <c r="AR34">
        <v>70820</v>
      </c>
      <c r="AS34">
        <v>14556581</v>
      </c>
      <c r="AT34">
        <v>35837</v>
      </c>
      <c r="AU34" t="s">
        <v>73</v>
      </c>
      <c r="AV34" t="s">
        <v>73</v>
      </c>
      <c r="AW34" t="s">
        <v>73</v>
      </c>
      <c r="AX34" t="s">
        <v>73</v>
      </c>
      <c r="AY34">
        <v>137281</v>
      </c>
      <c r="AZ34">
        <v>136070</v>
      </c>
      <c r="BA34">
        <v>1495323</v>
      </c>
      <c r="BB34">
        <v>118466</v>
      </c>
      <c r="BC34">
        <v>307372</v>
      </c>
      <c r="BD34">
        <v>311856</v>
      </c>
      <c r="BE34">
        <v>9516704</v>
      </c>
      <c r="BF34">
        <v>79907</v>
      </c>
      <c r="BG34">
        <v>123716</v>
      </c>
      <c r="BH34">
        <v>123023</v>
      </c>
      <c r="BI34" t="s">
        <v>73</v>
      </c>
      <c r="BJ34">
        <v>17326</v>
      </c>
      <c r="BK34">
        <v>926</v>
      </c>
      <c r="BL34">
        <v>1463</v>
      </c>
      <c r="BM34">
        <v>96747</v>
      </c>
      <c r="BN34">
        <v>437</v>
      </c>
      <c r="BO34">
        <v>45136</v>
      </c>
      <c r="BP34">
        <v>43693</v>
      </c>
      <c r="BQ34">
        <v>989440</v>
      </c>
      <c r="BR34">
        <v>53237</v>
      </c>
      <c r="BS34">
        <v>16794</v>
      </c>
      <c r="BT34">
        <v>16731</v>
      </c>
      <c r="BU34">
        <v>356672</v>
      </c>
      <c r="BV34">
        <v>23085</v>
      </c>
      <c r="BW34">
        <v>2479</v>
      </c>
      <c r="BX34">
        <v>2377</v>
      </c>
      <c r="BY34">
        <v>88156</v>
      </c>
      <c r="BZ34">
        <v>4993</v>
      </c>
      <c r="CA34">
        <v>13269</v>
      </c>
      <c r="CB34">
        <v>13137</v>
      </c>
      <c r="CC34">
        <v>737168</v>
      </c>
      <c r="CD34">
        <v>22516</v>
      </c>
      <c r="CE34">
        <v>15413</v>
      </c>
      <c r="CF34">
        <v>15549</v>
      </c>
      <c r="CG34">
        <v>1114814</v>
      </c>
      <c r="CH34">
        <v>8147</v>
      </c>
      <c r="CI34">
        <v>26270</v>
      </c>
      <c r="CJ34">
        <v>26066</v>
      </c>
      <c r="CK34">
        <v>946708</v>
      </c>
      <c r="CL34">
        <v>17616</v>
      </c>
      <c r="CM34">
        <v>7848</v>
      </c>
      <c r="CN34">
        <v>7287</v>
      </c>
      <c r="CO34">
        <v>370840</v>
      </c>
      <c r="CP34">
        <v>5201</v>
      </c>
      <c r="CQ34">
        <v>14576</v>
      </c>
      <c r="CR34">
        <v>14873</v>
      </c>
      <c r="CS34">
        <v>602646</v>
      </c>
      <c r="CT34">
        <v>9998</v>
      </c>
      <c r="CU34">
        <v>220980</v>
      </c>
      <c r="CV34">
        <v>228012</v>
      </c>
      <c r="CW34">
        <v>7373639</v>
      </c>
      <c r="CX34">
        <v>136109</v>
      </c>
    </row>
    <row r="35" spans="1:102" x14ac:dyDescent="0.4">
      <c r="A35" s="1" t="s">
        <v>58</v>
      </c>
      <c r="B35" s="1" t="s">
        <v>59</v>
      </c>
      <c r="C35">
        <v>72504</v>
      </c>
      <c r="D35">
        <v>68363</v>
      </c>
      <c r="E35">
        <v>3584368</v>
      </c>
      <c r="F35">
        <v>172139</v>
      </c>
      <c r="G35">
        <v>103152</v>
      </c>
      <c r="H35">
        <v>102790</v>
      </c>
      <c r="I35">
        <v>1040027</v>
      </c>
      <c r="J35">
        <v>119440</v>
      </c>
      <c r="K35">
        <v>253078</v>
      </c>
      <c r="L35">
        <v>254735</v>
      </c>
      <c r="M35">
        <v>3232127</v>
      </c>
      <c r="N35">
        <v>87118</v>
      </c>
      <c r="O35">
        <v>193908</v>
      </c>
      <c r="P35">
        <v>188998</v>
      </c>
      <c r="Q35">
        <v>2620008</v>
      </c>
      <c r="R35">
        <v>104872</v>
      </c>
      <c r="S35">
        <v>27280</v>
      </c>
      <c r="T35">
        <v>29845</v>
      </c>
      <c r="U35">
        <v>907237</v>
      </c>
      <c r="V35">
        <v>58731</v>
      </c>
      <c r="W35">
        <v>155783</v>
      </c>
      <c r="X35">
        <v>151615</v>
      </c>
      <c r="Y35">
        <v>1970830</v>
      </c>
      <c r="Z35">
        <v>165782</v>
      </c>
      <c r="AA35">
        <v>2081</v>
      </c>
      <c r="AB35">
        <v>4111</v>
      </c>
      <c r="AC35">
        <v>379426</v>
      </c>
      <c r="AD35">
        <v>9675</v>
      </c>
      <c r="AE35">
        <v>11798</v>
      </c>
      <c r="AF35">
        <v>11696</v>
      </c>
      <c r="AG35">
        <v>708320</v>
      </c>
      <c r="AH35">
        <v>10365</v>
      </c>
      <c r="AI35">
        <v>5382</v>
      </c>
      <c r="AJ35">
        <v>5526</v>
      </c>
      <c r="AK35">
        <v>79505</v>
      </c>
      <c r="AL35">
        <v>4881</v>
      </c>
      <c r="AM35">
        <v>3619</v>
      </c>
      <c r="AN35">
        <v>3435</v>
      </c>
      <c r="AO35">
        <v>94575</v>
      </c>
      <c r="AP35">
        <v>4777</v>
      </c>
      <c r="AQ35">
        <v>71388</v>
      </c>
      <c r="AR35">
        <v>73174</v>
      </c>
      <c r="AS35">
        <v>14705746</v>
      </c>
      <c r="AT35">
        <v>35026</v>
      </c>
      <c r="AU35" t="s">
        <v>73</v>
      </c>
      <c r="AV35" t="s">
        <v>73</v>
      </c>
      <c r="AW35" t="s">
        <v>73</v>
      </c>
      <c r="AX35" t="s">
        <v>73</v>
      </c>
      <c r="AY35">
        <v>119315</v>
      </c>
      <c r="AZ35">
        <v>128407</v>
      </c>
      <c r="BA35">
        <v>1544434</v>
      </c>
      <c r="BB35">
        <v>115136</v>
      </c>
      <c r="BC35">
        <v>323536</v>
      </c>
      <c r="BD35">
        <v>320813</v>
      </c>
      <c r="BE35">
        <v>10067349</v>
      </c>
      <c r="BF35">
        <v>83684</v>
      </c>
      <c r="BG35">
        <v>119918</v>
      </c>
      <c r="BH35">
        <v>123319</v>
      </c>
      <c r="BI35" t="s">
        <v>73</v>
      </c>
      <c r="BJ35">
        <v>17659</v>
      </c>
      <c r="BK35">
        <v>870</v>
      </c>
      <c r="BL35">
        <v>1379</v>
      </c>
      <c r="BM35">
        <v>102839</v>
      </c>
      <c r="BN35">
        <v>440</v>
      </c>
      <c r="BO35">
        <v>48872</v>
      </c>
      <c r="BP35">
        <v>47668</v>
      </c>
      <c r="BQ35">
        <v>1064407</v>
      </c>
      <c r="BR35">
        <v>51079</v>
      </c>
      <c r="BS35">
        <v>15169</v>
      </c>
      <c r="BT35">
        <v>17344</v>
      </c>
      <c r="BU35">
        <v>381103</v>
      </c>
      <c r="BV35">
        <v>22287</v>
      </c>
      <c r="BW35">
        <v>2817</v>
      </c>
      <c r="BX35">
        <v>3018</v>
      </c>
      <c r="BY35">
        <v>97249</v>
      </c>
      <c r="BZ35">
        <v>4768</v>
      </c>
      <c r="CA35">
        <v>13889</v>
      </c>
      <c r="CB35">
        <v>13905</v>
      </c>
      <c r="CC35">
        <v>811304</v>
      </c>
      <c r="CD35">
        <v>22807</v>
      </c>
      <c r="CE35">
        <v>16363</v>
      </c>
      <c r="CF35">
        <v>16710</v>
      </c>
      <c r="CG35">
        <v>1218259</v>
      </c>
      <c r="CH35">
        <v>8151</v>
      </c>
      <c r="CI35">
        <v>26606</v>
      </c>
      <c r="CJ35">
        <v>28853</v>
      </c>
      <c r="CK35">
        <v>1094644</v>
      </c>
      <c r="CL35">
        <v>15927</v>
      </c>
      <c r="CM35">
        <v>7417</v>
      </c>
      <c r="CN35">
        <v>7501</v>
      </c>
      <c r="CO35">
        <v>323994</v>
      </c>
      <c r="CP35">
        <v>5016</v>
      </c>
      <c r="CQ35">
        <v>14791</v>
      </c>
      <c r="CR35">
        <v>14386</v>
      </c>
      <c r="CS35">
        <v>646014</v>
      </c>
      <c r="CT35">
        <v>10237</v>
      </c>
      <c r="CU35">
        <v>223050</v>
      </c>
      <c r="CV35">
        <v>225886</v>
      </c>
      <c r="CW35">
        <v>7824513</v>
      </c>
      <c r="CX35">
        <v>137978</v>
      </c>
    </row>
    <row r="36" spans="1:102" x14ac:dyDescent="0.4">
      <c r="A36" s="1" t="s">
        <v>60</v>
      </c>
      <c r="B36" s="1" t="s">
        <v>61</v>
      </c>
      <c r="C36">
        <v>79439</v>
      </c>
      <c r="D36">
        <v>66605</v>
      </c>
      <c r="E36">
        <v>3177176</v>
      </c>
      <c r="F36">
        <v>185575</v>
      </c>
      <c r="G36">
        <v>118808</v>
      </c>
      <c r="H36">
        <v>108602</v>
      </c>
      <c r="I36">
        <v>1029130</v>
      </c>
      <c r="J36">
        <v>133744</v>
      </c>
      <c r="K36">
        <v>248469</v>
      </c>
      <c r="L36">
        <v>239178</v>
      </c>
      <c r="M36">
        <v>3386237</v>
      </c>
      <c r="N36">
        <v>105263</v>
      </c>
      <c r="O36">
        <v>198392</v>
      </c>
      <c r="P36">
        <v>186648</v>
      </c>
      <c r="Q36">
        <v>1964335</v>
      </c>
      <c r="R36">
        <v>120204</v>
      </c>
      <c r="S36">
        <v>27813</v>
      </c>
      <c r="T36">
        <v>20951</v>
      </c>
      <c r="U36">
        <v>577237</v>
      </c>
      <c r="V36">
        <v>66215</v>
      </c>
      <c r="W36">
        <v>156440</v>
      </c>
      <c r="X36">
        <v>148535</v>
      </c>
      <c r="Y36">
        <v>1931237</v>
      </c>
      <c r="Z36">
        <v>170911</v>
      </c>
      <c r="AA36">
        <v>2223</v>
      </c>
      <c r="AB36">
        <v>5593</v>
      </c>
      <c r="AC36">
        <v>370379</v>
      </c>
      <c r="AD36">
        <v>9593</v>
      </c>
      <c r="AE36">
        <v>12390</v>
      </c>
      <c r="AF36">
        <v>12182</v>
      </c>
      <c r="AG36">
        <v>703106</v>
      </c>
      <c r="AH36">
        <v>10573</v>
      </c>
      <c r="AI36">
        <v>6129</v>
      </c>
      <c r="AJ36">
        <v>5905</v>
      </c>
      <c r="AK36">
        <v>84375</v>
      </c>
      <c r="AL36">
        <v>5105</v>
      </c>
      <c r="AM36">
        <v>3454</v>
      </c>
      <c r="AN36">
        <v>3338</v>
      </c>
      <c r="AO36">
        <v>96963</v>
      </c>
      <c r="AP36">
        <v>4893</v>
      </c>
      <c r="AQ36">
        <v>63313</v>
      </c>
      <c r="AR36">
        <v>62145</v>
      </c>
      <c r="AS36">
        <v>12010841</v>
      </c>
      <c r="AT36">
        <v>37583</v>
      </c>
      <c r="AU36" t="s">
        <v>73</v>
      </c>
      <c r="AV36" t="s">
        <v>73</v>
      </c>
      <c r="AW36" t="s">
        <v>73</v>
      </c>
      <c r="AX36" t="s">
        <v>73</v>
      </c>
      <c r="AY36">
        <v>126014</v>
      </c>
      <c r="AZ36">
        <v>115218</v>
      </c>
      <c r="BA36">
        <v>1357508</v>
      </c>
      <c r="BB36">
        <v>129187</v>
      </c>
      <c r="BC36">
        <v>286576</v>
      </c>
      <c r="BD36">
        <v>252396</v>
      </c>
      <c r="BE36">
        <v>8867749</v>
      </c>
      <c r="BF36">
        <v>118660</v>
      </c>
      <c r="BG36" t="s">
        <v>73</v>
      </c>
      <c r="BH36" t="s">
        <v>73</v>
      </c>
      <c r="BI36" t="s">
        <v>73</v>
      </c>
      <c r="BJ36" t="s">
        <v>73</v>
      </c>
      <c r="BK36">
        <v>988</v>
      </c>
      <c r="BL36">
        <v>1540</v>
      </c>
      <c r="BM36">
        <v>122690</v>
      </c>
      <c r="BN36">
        <v>418</v>
      </c>
      <c r="BO36">
        <v>42929</v>
      </c>
      <c r="BP36">
        <v>38327</v>
      </c>
      <c r="BQ36">
        <v>922875</v>
      </c>
      <c r="BR36">
        <v>52423</v>
      </c>
      <c r="BS36">
        <v>15147</v>
      </c>
      <c r="BT36">
        <v>17232</v>
      </c>
      <c r="BU36">
        <v>391571</v>
      </c>
      <c r="BV36">
        <v>21430</v>
      </c>
      <c r="BW36">
        <v>4025</v>
      </c>
      <c r="BX36">
        <v>3255</v>
      </c>
      <c r="BY36">
        <v>99362</v>
      </c>
      <c r="BZ36">
        <v>5485</v>
      </c>
      <c r="CA36">
        <v>15066</v>
      </c>
      <c r="CB36">
        <v>8930</v>
      </c>
      <c r="CC36">
        <v>603140</v>
      </c>
      <c r="CD36">
        <v>23741</v>
      </c>
      <c r="CE36">
        <v>13225</v>
      </c>
      <c r="CF36">
        <v>13498</v>
      </c>
      <c r="CG36">
        <v>991594</v>
      </c>
      <c r="CH36">
        <v>8199</v>
      </c>
      <c r="CI36">
        <v>23969</v>
      </c>
      <c r="CJ36">
        <v>23965</v>
      </c>
      <c r="CK36">
        <v>874214</v>
      </c>
      <c r="CL36">
        <v>16681</v>
      </c>
      <c r="CM36">
        <v>7034</v>
      </c>
      <c r="CN36">
        <v>7078</v>
      </c>
      <c r="CO36">
        <v>274858</v>
      </c>
      <c r="CP36">
        <v>4972</v>
      </c>
      <c r="CQ36">
        <v>14977</v>
      </c>
      <c r="CR36">
        <v>15619</v>
      </c>
      <c r="CS36">
        <v>643734</v>
      </c>
      <c r="CT36">
        <v>9556</v>
      </c>
      <c r="CU36">
        <v>222381</v>
      </c>
      <c r="CV36">
        <v>223005</v>
      </c>
      <c r="CW36">
        <v>7039243</v>
      </c>
      <c r="CX36">
        <v>140906</v>
      </c>
    </row>
    <row r="37" spans="1:102" x14ac:dyDescent="0.4">
      <c r="A37" s="1" t="s">
        <v>62</v>
      </c>
      <c r="B37" s="1" t="s">
        <v>63</v>
      </c>
      <c r="C37">
        <v>83442</v>
      </c>
      <c r="D37">
        <v>90790</v>
      </c>
      <c r="E37">
        <v>4533478</v>
      </c>
      <c r="F37">
        <v>178678</v>
      </c>
      <c r="G37">
        <v>119637</v>
      </c>
      <c r="H37">
        <v>122001</v>
      </c>
      <c r="I37">
        <v>1353339</v>
      </c>
      <c r="J37">
        <v>135480</v>
      </c>
      <c r="K37">
        <v>235449</v>
      </c>
      <c r="L37">
        <v>257102</v>
      </c>
      <c r="M37">
        <v>4338486</v>
      </c>
      <c r="N37">
        <v>92205</v>
      </c>
      <c r="O37">
        <v>218544</v>
      </c>
      <c r="P37">
        <v>231969</v>
      </c>
      <c r="Q37">
        <v>2758577</v>
      </c>
      <c r="R37">
        <v>110591</v>
      </c>
      <c r="S37">
        <v>30447</v>
      </c>
      <c r="T37">
        <v>32262</v>
      </c>
      <c r="U37">
        <v>1034924</v>
      </c>
      <c r="V37">
        <v>64828</v>
      </c>
      <c r="W37">
        <v>165736</v>
      </c>
      <c r="X37">
        <v>168985</v>
      </c>
      <c r="Y37">
        <v>2231618</v>
      </c>
      <c r="Z37">
        <v>164856</v>
      </c>
      <c r="AA37">
        <v>2110</v>
      </c>
      <c r="AB37">
        <v>5468</v>
      </c>
      <c r="AC37">
        <v>390336</v>
      </c>
      <c r="AD37">
        <v>8414</v>
      </c>
      <c r="AE37">
        <v>11937</v>
      </c>
      <c r="AF37">
        <v>13002</v>
      </c>
      <c r="AG37">
        <v>781922</v>
      </c>
      <c r="AH37">
        <v>9508</v>
      </c>
      <c r="AI37">
        <v>5751</v>
      </c>
      <c r="AJ37">
        <v>6149</v>
      </c>
      <c r="AK37">
        <v>88556</v>
      </c>
      <c r="AL37">
        <v>4707</v>
      </c>
      <c r="AM37">
        <v>3567</v>
      </c>
      <c r="AN37">
        <v>3967</v>
      </c>
      <c r="AO37">
        <v>123343</v>
      </c>
      <c r="AP37">
        <v>4493</v>
      </c>
      <c r="AQ37">
        <v>65289</v>
      </c>
      <c r="AR37">
        <v>66397</v>
      </c>
      <c r="AS37">
        <v>13145929</v>
      </c>
      <c r="AT37">
        <v>37568</v>
      </c>
      <c r="AU37" t="s">
        <v>73</v>
      </c>
      <c r="AV37" t="s">
        <v>73</v>
      </c>
      <c r="AW37" t="s">
        <v>73</v>
      </c>
      <c r="AX37" t="s">
        <v>73</v>
      </c>
      <c r="AY37">
        <v>131831</v>
      </c>
      <c r="AZ37">
        <v>149012</v>
      </c>
      <c r="BA37">
        <v>1768291</v>
      </c>
      <c r="BB37">
        <v>118172</v>
      </c>
      <c r="BC37">
        <v>350106</v>
      </c>
      <c r="BD37">
        <v>343609</v>
      </c>
      <c r="BE37">
        <v>9777319</v>
      </c>
      <c r="BF37">
        <v>125836</v>
      </c>
      <c r="BG37" t="s">
        <v>73</v>
      </c>
      <c r="BH37" t="s">
        <v>73</v>
      </c>
      <c r="BI37" t="s">
        <v>73</v>
      </c>
      <c r="BJ37" t="s">
        <v>73</v>
      </c>
      <c r="BK37">
        <v>959</v>
      </c>
      <c r="BL37">
        <v>1497</v>
      </c>
      <c r="BM37">
        <v>105153</v>
      </c>
      <c r="BN37">
        <v>415</v>
      </c>
      <c r="BO37">
        <v>42658</v>
      </c>
      <c r="BP37">
        <v>42293</v>
      </c>
      <c r="BQ37">
        <v>1007712</v>
      </c>
      <c r="BR37">
        <v>49476</v>
      </c>
      <c r="BS37">
        <v>15198</v>
      </c>
      <c r="BT37">
        <v>17168</v>
      </c>
      <c r="BU37">
        <v>369569</v>
      </c>
      <c r="BV37">
        <v>20925</v>
      </c>
      <c r="BW37">
        <v>3173</v>
      </c>
      <c r="BX37">
        <v>3571</v>
      </c>
      <c r="BY37">
        <v>113991</v>
      </c>
      <c r="BZ37">
        <v>5063</v>
      </c>
      <c r="CA37">
        <v>18604</v>
      </c>
      <c r="CB37">
        <v>10987</v>
      </c>
      <c r="CC37">
        <v>747476</v>
      </c>
      <c r="CD37">
        <v>23598</v>
      </c>
      <c r="CE37">
        <v>15465</v>
      </c>
      <c r="CF37">
        <v>15786</v>
      </c>
      <c r="CG37">
        <v>1116542</v>
      </c>
      <c r="CH37">
        <v>8045</v>
      </c>
      <c r="CI37">
        <v>26721</v>
      </c>
      <c r="CJ37">
        <v>28409</v>
      </c>
      <c r="CK37">
        <v>1036974</v>
      </c>
      <c r="CL37">
        <v>15827</v>
      </c>
      <c r="CM37">
        <v>7670</v>
      </c>
      <c r="CN37">
        <v>7863</v>
      </c>
      <c r="CO37">
        <v>304584</v>
      </c>
      <c r="CP37">
        <v>4784</v>
      </c>
      <c r="CQ37">
        <v>14732</v>
      </c>
      <c r="CR37">
        <v>13789</v>
      </c>
      <c r="CS37">
        <v>628561</v>
      </c>
      <c r="CT37">
        <v>10284</v>
      </c>
      <c r="CU37">
        <v>209769</v>
      </c>
      <c r="CV37">
        <v>218020</v>
      </c>
      <c r="CW37">
        <v>7078800</v>
      </c>
      <c r="CX37">
        <v>137162</v>
      </c>
    </row>
    <row r="38" spans="1:102" x14ac:dyDescent="0.4">
      <c r="A38" s="1" t="s">
        <v>64</v>
      </c>
      <c r="B38" s="1" t="s">
        <v>65</v>
      </c>
      <c r="C38">
        <v>87067</v>
      </c>
      <c r="D38">
        <v>132761</v>
      </c>
      <c r="E38">
        <v>6811769</v>
      </c>
      <c r="F38">
        <v>133021</v>
      </c>
      <c r="G38">
        <v>106816</v>
      </c>
      <c r="H38">
        <v>156741</v>
      </c>
      <c r="I38">
        <v>2021841</v>
      </c>
      <c r="J38">
        <v>89655</v>
      </c>
      <c r="K38">
        <v>249600</v>
      </c>
      <c r="L38">
        <v>283239</v>
      </c>
      <c r="M38">
        <v>5690779</v>
      </c>
      <c r="N38">
        <v>64663</v>
      </c>
      <c r="O38">
        <v>245263</v>
      </c>
      <c r="P38">
        <v>293906</v>
      </c>
      <c r="Q38">
        <v>4370067</v>
      </c>
      <c r="R38">
        <v>65620</v>
      </c>
      <c r="S38">
        <v>26417</v>
      </c>
      <c r="T38">
        <v>48637</v>
      </c>
      <c r="U38">
        <v>1582165</v>
      </c>
      <c r="V38">
        <v>42969</v>
      </c>
      <c r="W38">
        <v>154494</v>
      </c>
      <c r="X38">
        <v>168678</v>
      </c>
      <c r="Y38">
        <v>2753517</v>
      </c>
      <c r="Z38">
        <v>148001</v>
      </c>
      <c r="AA38">
        <v>2227</v>
      </c>
      <c r="AB38">
        <v>5026</v>
      </c>
      <c r="AC38">
        <v>549870</v>
      </c>
      <c r="AD38">
        <v>7679</v>
      </c>
      <c r="AE38">
        <v>11994</v>
      </c>
      <c r="AF38">
        <v>13461</v>
      </c>
      <c r="AG38">
        <v>770798</v>
      </c>
      <c r="AH38">
        <v>8041</v>
      </c>
      <c r="AI38">
        <v>6116</v>
      </c>
      <c r="AJ38">
        <v>6476</v>
      </c>
      <c r="AK38">
        <v>93116</v>
      </c>
      <c r="AL38">
        <v>4347</v>
      </c>
      <c r="AM38">
        <v>3897</v>
      </c>
      <c r="AN38">
        <v>4469</v>
      </c>
      <c r="AO38">
        <v>136686</v>
      </c>
      <c r="AP38">
        <v>3921</v>
      </c>
      <c r="AQ38">
        <v>65588</v>
      </c>
      <c r="AR38">
        <v>71553</v>
      </c>
      <c r="AS38">
        <v>14367066</v>
      </c>
      <c r="AT38">
        <v>32696</v>
      </c>
      <c r="AU38" t="s">
        <v>73</v>
      </c>
      <c r="AV38" t="s">
        <v>73</v>
      </c>
      <c r="AW38" t="s">
        <v>73</v>
      </c>
      <c r="AX38" t="s">
        <v>73</v>
      </c>
      <c r="AY38">
        <v>147279</v>
      </c>
      <c r="AZ38">
        <v>176618</v>
      </c>
      <c r="BA38">
        <v>2125128</v>
      </c>
      <c r="BB38">
        <v>92219</v>
      </c>
      <c r="BC38">
        <v>360394</v>
      </c>
      <c r="BD38">
        <v>376261</v>
      </c>
      <c r="BE38">
        <v>11860950</v>
      </c>
      <c r="BF38">
        <v>110996</v>
      </c>
      <c r="BG38" t="s">
        <v>73</v>
      </c>
      <c r="BH38" t="s">
        <v>73</v>
      </c>
      <c r="BI38" t="s">
        <v>73</v>
      </c>
      <c r="BJ38" t="s">
        <v>73</v>
      </c>
      <c r="BK38">
        <v>1023</v>
      </c>
      <c r="BL38">
        <v>1613</v>
      </c>
      <c r="BM38">
        <v>119526</v>
      </c>
      <c r="BN38">
        <v>417</v>
      </c>
      <c r="BO38">
        <v>46581</v>
      </c>
      <c r="BP38">
        <v>44964</v>
      </c>
      <c r="BQ38">
        <v>1070720</v>
      </c>
      <c r="BR38">
        <v>47457</v>
      </c>
      <c r="BS38">
        <v>14945</v>
      </c>
      <c r="BT38">
        <v>19259</v>
      </c>
      <c r="BU38">
        <v>420659</v>
      </c>
      <c r="BV38">
        <v>18074</v>
      </c>
      <c r="BW38">
        <v>4027</v>
      </c>
      <c r="BX38">
        <v>5157</v>
      </c>
      <c r="BY38">
        <v>162204</v>
      </c>
      <c r="BZ38">
        <v>3945</v>
      </c>
      <c r="CA38">
        <v>18075</v>
      </c>
      <c r="CB38">
        <v>12555</v>
      </c>
      <c r="CC38">
        <v>910036</v>
      </c>
      <c r="CD38">
        <v>20985</v>
      </c>
      <c r="CE38">
        <v>17094</v>
      </c>
      <c r="CF38">
        <v>17617</v>
      </c>
      <c r="CG38">
        <v>1267645</v>
      </c>
      <c r="CH38">
        <v>8015</v>
      </c>
      <c r="CI38">
        <v>31766</v>
      </c>
      <c r="CJ38">
        <v>33660</v>
      </c>
      <c r="CK38">
        <v>1239448</v>
      </c>
      <c r="CL38">
        <v>14685</v>
      </c>
      <c r="CM38">
        <v>9562</v>
      </c>
      <c r="CN38">
        <v>10586</v>
      </c>
      <c r="CO38">
        <v>444766</v>
      </c>
      <c r="CP38">
        <v>3772</v>
      </c>
      <c r="CQ38">
        <v>17621</v>
      </c>
      <c r="CR38">
        <v>17819</v>
      </c>
      <c r="CS38">
        <v>791925</v>
      </c>
      <c r="CT38">
        <v>9870</v>
      </c>
      <c r="CU38">
        <v>255700</v>
      </c>
      <c r="CV38">
        <v>260140</v>
      </c>
      <c r="CW38">
        <v>7817184</v>
      </c>
      <c r="CX38">
        <v>139185</v>
      </c>
    </row>
    <row r="39" spans="1:102" x14ac:dyDescent="0.4">
      <c r="A39" s="1"/>
      <c r="B39" s="1"/>
    </row>
    <row r="40" spans="1:102" x14ac:dyDescent="0.4">
      <c r="A40" s="1"/>
      <c r="B40" s="1"/>
    </row>
  </sheetData>
  <phoneticPr fontId="2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57FFB-FE23-47B4-B3BB-A55BE816D37A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2180</v>
      </c>
      <c r="D3" t="s">
        <v>2180</v>
      </c>
      <c r="E3" t="s">
        <v>2180</v>
      </c>
      <c r="F3" t="s">
        <v>2180</v>
      </c>
      <c r="G3" t="s">
        <v>2182</v>
      </c>
      <c r="H3" t="s">
        <v>2182</v>
      </c>
      <c r="I3" t="s">
        <v>2182</v>
      </c>
      <c r="J3" t="s">
        <v>2182</v>
      </c>
      <c r="K3" t="s">
        <v>2184</v>
      </c>
      <c r="L3" t="s">
        <v>2184</v>
      </c>
      <c r="M3" t="s">
        <v>2184</v>
      </c>
      <c r="N3" t="s">
        <v>2184</v>
      </c>
      <c r="O3" t="s">
        <v>2186</v>
      </c>
      <c r="P3" t="s">
        <v>2186</v>
      </c>
      <c r="Q3" t="s">
        <v>2186</v>
      </c>
      <c r="R3" t="s">
        <v>2186</v>
      </c>
      <c r="S3" t="s">
        <v>2188</v>
      </c>
      <c r="T3" t="s">
        <v>2188</v>
      </c>
      <c r="U3" t="s">
        <v>2188</v>
      </c>
      <c r="V3" t="s">
        <v>2188</v>
      </c>
      <c r="W3" t="s">
        <v>2190</v>
      </c>
      <c r="X3" t="s">
        <v>2190</v>
      </c>
      <c r="Y3" t="s">
        <v>2190</v>
      </c>
      <c r="Z3" t="s">
        <v>2190</v>
      </c>
    </row>
    <row r="4" spans="1:26" x14ac:dyDescent="0.4">
      <c r="A4" s="1"/>
      <c r="B4" s="2" t="s">
        <v>1</v>
      </c>
      <c r="C4" t="s">
        <v>2181</v>
      </c>
      <c r="D4" t="s">
        <v>2181</v>
      </c>
      <c r="E4" t="s">
        <v>2181</v>
      </c>
      <c r="F4" t="s">
        <v>2181</v>
      </c>
      <c r="G4" t="s">
        <v>2183</v>
      </c>
      <c r="H4" t="s">
        <v>2183</v>
      </c>
      <c r="I4" t="s">
        <v>2183</v>
      </c>
      <c r="J4" t="s">
        <v>2183</v>
      </c>
      <c r="K4" t="s">
        <v>2185</v>
      </c>
      <c r="L4" t="s">
        <v>2185</v>
      </c>
      <c r="M4" t="s">
        <v>2185</v>
      </c>
      <c r="N4" t="s">
        <v>2185</v>
      </c>
      <c r="O4" t="s">
        <v>2187</v>
      </c>
      <c r="P4" t="s">
        <v>2187</v>
      </c>
      <c r="Q4" t="s">
        <v>2187</v>
      </c>
      <c r="R4" t="s">
        <v>2187</v>
      </c>
      <c r="S4" t="s">
        <v>2189</v>
      </c>
      <c r="T4" t="s">
        <v>2189</v>
      </c>
      <c r="U4" t="s">
        <v>2189</v>
      </c>
      <c r="V4" t="s">
        <v>2189</v>
      </c>
      <c r="W4" t="s">
        <v>2191</v>
      </c>
      <c r="X4" t="s">
        <v>2191</v>
      </c>
      <c r="Y4" t="s">
        <v>2191</v>
      </c>
      <c r="Z4" t="s">
        <v>2191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339</v>
      </c>
      <c r="D7" t="s">
        <v>339</v>
      </c>
      <c r="E7" t="s">
        <v>258</v>
      </c>
      <c r="F7" t="s">
        <v>339</v>
      </c>
      <c r="G7" t="s">
        <v>339</v>
      </c>
      <c r="H7" t="s">
        <v>339</v>
      </c>
      <c r="I7" t="s">
        <v>258</v>
      </c>
      <c r="J7" t="s">
        <v>339</v>
      </c>
      <c r="K7" t="s">
        <v>339</v>
      </c>
      <c r="L7" t="s">
        <v>339</v>
      </c>
      <c r="M7" t="s">
        <v>258</v>
      </c>
      <c r="N7" t="s">
        <v>339</v>
      </c>
      <c r="O7" t="s">
        <v>339</v>
      </c>
      <c r="P7" t="s">
        <v>339</v>
      </c>
      <c r="Q7" t="s">
        <v>258</v>
      </c>
      <c r="R7" t="s">
        <v>339</v>
      </c>
      <c r="S7" t="s">
        <v>339</v>
      </c>
      <c r="T7" t="s">
        <v>339</v>
      </c>
      <c r="U7" t="s">
        <v>258</v>
      </c>
      <c r="V7" t="s">
        <v>339</v>
      </c>
      <c r="W7" t="s">
        <v>339</v>
      </c>
      <c r="X7" t="s">
        <v>339</v>
      </c>
      <c r="Y7" t="s">
        <v>258</v>
      </c>
      <c r="Z7" t="s">
        <v>339</v>
      </c>
    </row>
    <row r="8" spans="1:26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260</v>
      </c>
      <c r="F8" t="s">
        <v>339</v>
      </c>
      <c r="G8" t="s">
        <v>339</v>
      </c>
      <c r="H8" t="s">
        <v>339</v>
      </c>
      <c r="I8" t="s">
        <v>260</v>
      </c>
      <c r="J8" t="s">
        <v>339</v>
      </c>
      <c r="K8" t="s">
        <v>339</v>
      </c>
      <c r="L8" t="s">
        <v>339</v>
      </c>
      <c r="M8" t="s">
        <v>260</v>
      </c>
      <c r="N8" t="s">
        <v>339</v>
      </c>
      <c r="O8" t="s">
        <v>339</v>
      </c>
      <c r="P8" t="s">
        <v>339</v>
      </c>
      <c r="Q8" t="s">
        <v>260</v>
      </c>
      <c r="R8" t="s">
        <v>339</v>
      </c>
      <c r="S8" t="s">
        <v>339</v>
      </c>
      <c r="T8" t="s">
        <v>339</v>
      </c>
      <c r="U8" t="s">
        <v>260</v>
      </c>
      <c r="V8" t="s">
        <v>339</v>
      </c>
      <c r="W8" t="s">
        <v>339</v>
      </c>
      <c r="X8" t="s">
        <v>339</v>
      </c>
      <c r="Y8" t="s">
        <v>260</v>
      </c>
      <c r="Z8" t="s">
        <v>339</v>
      </c>
    </row>
    <row r="9" spans="1:26" x14ac:dyDescent="0.4">
      <c r="A9" s="1" t="s">
        <v>6</v>
      </c>
      <c r="B9" s="3" t="s">
        <v>7</v>
      </c>
      <c r="C9">
        <v>522373</v>
      </c>
      <c r="D9">
        <v>603552</v>
      </c>
      <c r="E9">
        <v>1653</v>
      </c>
      <c r="F9">
        <v>173027</v>
      </c>
      <c r="G9">
        <v>4774198</v>
      </c>
      <c r="H9">
        <v>4739904</v>
      </c>
      <c r="I9">
        <v>4262</v>
      </c>
      <c r="J9">
        <v>451336</v>
      </c>
      <c r="K9">
        <v>5236972</v>
      </c>
      <c r="L9">
        <v>5116043</v>
      </c>
      <c r="M9">
        <v>16028</v>
      </c>
      <c r="N9">
        <v>260196</v>
      </c>
      <c r="O9">
        <v>275756076</v>
      </c>
      <c r="P9">
        <v>254215917</v>
      </c>
      <c r="Q9">
        <v>232909</v>
      </c>
      <c r="R9">
        <v>21752568</v>
      </c>
      <c r="S9">
        <v>79784604</v>
      </c>
      <c r="T9">
        <v>69194198</v>
      </c>
      <c r="U9">
        <v>75043</v>
      </c>
      <c r="V9">
        <v>13882970</v>
      </c>
      <c r="W9">
        <v>3904241</v>
      </c>
      <c r="X9">
        <v>2821929</v>
      </c>
      <c r="Y9">
        <v>42495</v>
      </c>
      <c r="Z9">
        <v>177047</v>
      </c>
    </row>
    <row r="10" spans="1:26" x14ac:dyDescent="0.4">
      <c r="A10" s="1" t="s">
        <v>8</v>
      </c>
      <c r="B10" s="3" t="s">
        <v>9</v>
      </c>
      <c r="C10">
        <v>555306</v>
      </c>
      <c r="D10">
        <v>573047</v>
      </c>
      <c r="E10">
        <v>1616</v>
      </c>
      <c r="F10">
        <v>153247</v>
      </c>
      <c r="G10">
        <v>8677482</v>
      </c>
      <c r="H10">
        <v>7612306</v>
      </c>
      <c r="I10">
        <v>12679</v>
      </c>
      <c r="J10">
        <v>1618891</v>
      </c>
      <c r="K10">
        <v>3657706</v>
      </c>
      <c r="L10">
        <v>3606885</v>
      </c>
      <c r="M10">
        <v>16344</v>
      </c>
      <c r="N10">
        <v>311019</v>
      </c>
      <c r="O10">
        <v>272489346</v>
      </c>
      <c r="P10">
        <v>253167096</v>
      </c>
      <c r="Q10">
        <v>238615</v>
      </c>
      <c r="R10">
        <v>22532757</v>
      </c>
      <c r="S10">
        <v>78861767</v>
      </c>
      <c r="T10">
        <v>68241068</v>
      </c>
      <c r="U10">
        <v>75366</v>
      </c>
      <c r="V10">
        <v>13666607</v>
      </c>
      <c r="W10">
        <v>4707646</v>
      </c>
      <c r="X10">
        <v>3696568</v>
      </c>
      <c r="Y10">
        <v>47701</v>
      </c>
      <c r="Z10">
        <v>141212</v>
      </c>
    </row>
    <row r="11" spans="1:26" x14ac:dyDescent="0.4">
      <c r="A11" s="1" t="s">
        <v>10</v>
      </c>
      <c r="B11" s="3" t="s">
        <v>11</v>
      </c>
      <c r="C11">
        <v>559855</v>
      </c>
      <c r="D11">
        <v>563411</v>
      </c>
      <c r="E11">
        <v>1571</v>
      </c>
      <c r="F11">
        <v>148284</v>
      </c>
      <c r="G11">
        <v>8458472</v>
      </c>
      <c r="H11">
        <v>9243341</v>
      </c>
      <c r="I11">
        <v>14237</v>
      </c>
      <c r="J11">
        <v>830962</v>
      </c>
      <c r="K11">
        <v>1611779</v>
      </c>
      <c r="L11">
        <v>2165510</v>
      </c>
      <c r="M11">
        <v>9251</v>
      </c>
      <c r="N11">
        <v>69573</v>
      </c>
      <c r="O11">
        <v>266036742</v>
      </c>
      <c r="P11">
        <v>236238132</v>
      </c>
      <c r="Q11">
        <v>233131</v>
      </c>
      <c r="R11">
        <v>22115304</v>
      </c>
      <c r="S11">
        <v>80507696</v>
      </c>
      <c r="T11">
        <v>65432986</v>
      </c>
      <c r="U11">
        <v>75596</v>
      </c>
      <c r="V11">
        <v>15221455</v>
      </c>
      <c r="W11">
        <v>5001388</v>
      </c>
      <c r="X11">
        <v>3912432</v>
      </c>
      <c r="Y11">
        <v>51414</v>
      </c>
      <c r="Z11">
        <v>195803</v>
      </c>
    </row>
    <row r="12" spans="1:26" x14ac:dyDescent="0.4">
      <c r="A12" s="1" t="s">
        <v>12</v>
      </c>
      <c r="B12" s="3" t="s">
        <v>13</v>
      </c>
      <c r="C12">
        <v>546766</v>
      </c>
      <c r="D12">
        <v>492990</v>
      </c>
      <c r="E12">
        <v>1427</v>
      </c>
      <c r="F12">
        <v>201751</v>
      </c>
      <c r="G12">
        <v>8299302</v>
      </c>
      <c r="H12">
        <v>8583167</v>
      </c>
      <c r="I12">
        <v>14627</v>
      </c>
      <c r="J12">
        <v>547098</v>
      </c>
      <c r="K12">
        <v>1350881</v>
      </c>
      <c r="L12">
        <v>1367160</v>
      </c>
      <c r="M12">
        <v>6141</v>
      </c>
      <c r="N12">
        <v>53294</v>
      </c>
      <c r="O12">
        <v>263222585</v>
      </c>
      <c r="P12">
        <v>233699773</v>
      </c>
      <c r="Q12">
        <v>235563</v>
      </c>
      <c r="R12">
        <v>21373052</v>
      </c>
      <c r="S12">
        <v>74128628</v>
      </c>
      <c r="T12">
        <v>60971736</v>
      </c>
      <c r="U12">
        <v>70782</v>
      </c>
      <c r="V12">
        <v>14631732</v>
      </c>
      <c r="W12">
        <v>4991205</v>
      </c>
      <c r="X12">
        <v>3775647</v>
      </c>
      <c r="Y12">
        <v>52322</v>
      </c>
      <c r="Z12">
        <v>261409</v>
      </c>
    </row>
    <row r="13" spans="1:26" x14ac:dyDescent="0.4">
      <c r="A13" s="1" t="s">
        <v>14</v>
      </c>
      <c r="B13" s="3" t="s">
        <v>15</v>
      </c>
      <c r="C13">
        <v>460256</v>
      </c>
      <c r="D13">
        <v>459678</v>
      </c>
      <c r="E13">
        <v>1452</v>
      </c>
      <c r="F13">
        <v>201931</v>
      </c>
      <c r="G13">
        <v>10093111</v>
      </c>
      <c r="H13">
        <v>9920128</v>
      </c>
      <c r="I13">
        <v>17667</v>
      </c>
      <c r="J13">
        <v>720081</v>
      </c>
      <c r="K13">
        <v>1190943</v>
      </c>
      <c r="L13">
        <v>1201413</v>
      </c>
      <c r="M13">
        <v>5531</v>
      </c>
      <c r="N13">
        <v>42760</v>
      </c>
      <c r="O13">
        <v>254088130</v>
      </c>
      <c r="P13">
        <v>220817905</v>
      </c>
      <c r="Q13">
        <v>229160</v>
      </c>
      <c r="R13">
        <v>23547098</v>
      </c>
      <c r="S13">
        <v>73653752</v>
      </c>
      <c r="T13">
        <v>60325730</v>
      </c>
      <c r="U13">
        <v>71809</v>
      </c>
      <c r="V13">
        <v>15478857</v>
      </c>
      <c r="W13">
        <v>4471173</v>
      </c>
      <c r="X13">
        <v>3324751</v>
      </c>
      <c r="Y13">
        <v>51304</v>
      </c>
      <c r="Z13">
        <v>255220</v>
      </c>
    </row>
    <row r="14" spans="1:26" x14ac:dyDescent="0.4">
      <c r="A14" s="1" t="s">
        <v>16</v>
      </c>
      <c r="B14" s="1" t="s">
        <v>17</v>
      </c>
      <c r="C14">
        <v>42394</v>
      </c>
      <c r="D14">
        <v>46938</v>
      </c>
      <c r="E14">
        <v>136</v>
      </c>
      <c r="F14">
        <v>144739</v>
      </c>
      <c r="G14">
        <v>470414</v>
      </c>
      <c r="H14">
        <v>587892</v>
      </c>
      <c r="I14">
        <v>1106</v>
      </c>
      <c r="J14">
        <v>691357</v>
      </c>
      <c r="K14">
        <v>100801</v>
      </c>
      <c r="L14">
        <v>105754</v>
      </c>
      <c r="M14">
        <v>470</v>
      </c>
      <c r="N14">
        <v>49240</v>
      </c>
      <c r="O14">
        <v>23213701</v>
      </c>
      <c r="P14">
        <v>20215622</v>
      </c>
      <c r="Q14">
        <v>20108</v>
      </c>
      <c r="R14">
        <v>24343404</v>
      </c>
      <c r="S14">
        <v>6723488</v>
      </c>
      <c r="T14">
        <v>5116373</v>
      </c>
      <c r="U14">
        <v>5811</v>
      </c>
      <c r="V14">
        <v>15858753</v>
      </c>
      <c r="W14">
        <v>819359</v>
      </c>
      <c r="X14">
        <v>688545</v>
      </c>
      <c r="Y14">
        <v>6698</v>
      </c>
      <c r="Z14">
        <v>201834</v>
      </c>
    </row>
    <row r="15" spans="1:26" x14ac:dyDescent="0.4">
      <c r="A15" s="1" t="s">
        <v>18</v>
      </c>
      <c r="B15" s="1" t="s">
        <v>19</v>
      </c>
      <c r="C15">
        <v>47617</v>
      </c>
      <c r="D15">
        <v>49898</v>
      </c>
      <c r="E15">
        <v>138</v>
      </c>
      <c r="F15">
        <v>142466</v>
      </c>
      <c r="G15">
        <v>595162</v>
      </c>
      <c r="H15">
        <v>573592</v>
      </c>
      <c r="I15">
        <v>1053</v>
      </c>
      <c r="J15">
        <v>712927</v>
      </c>
      <c r="K15">
        <v>108609</v>
      </c>
      <c r="L15">
        <v>100443</v>
      </c>
      <c r="M15">
        <v>500</v>
      </c>
      <c r="N15">
        <v>57406</v>
      </c>
      <c r="O15">
        <v>24144171</v>
      </c>
      <c r="P15">
        <v>21651542</v>
      </c>
      <c r="Q15">
        <v>21710</v>
      </c>
      <c r="R15">
        <v>24322117</v>
      </c>
      <c r="S15">
        <v>6431623</v>
      </c>
      <c r="T15">
        <v>5649672</v>
      </c>
      <c r="U15">
        <v>6503</v>
      </c>
      <c r="V15">
        <v>15298300</v>
      </c>
      <c r="W15">
        <v>329476</v>
      </c>
      <c r="X15">
        <v>224004</v>
      </c>
      <c r="Y15">
        <v>4215</v>
      </c>
      <c r="Z15">
        <v>197194</v>
      </c>
    </row>
    <row r="16" spans="1:26" x14ac:dyDescent="0.4">
      <c r="A16" s="1" t="s">
        <v>20</v>
      </c>
      <c r="B16" s="1" t="s">
        <v>21</v>
      </c>
      <c r="C16">
        <v>43677</v>
      </c>
      <c r="D16">
        <v>35332</v>
      </c>
      <c r="E16">
        <v>104</v>
      </c>
      <c r="F16">
        <v>150813</v>
      </c>
      <c r="G16">
        <v>485223</v>
      </c>
      <c r="H16">
        <v>545380</v>
      </c>
      <c r="I16">
        <v>1014</v>
      </c>
      <c r="J16">
        <v>652770</v>
      </c>
      <c r="K16">
        <v>116954</v>
      </c>
      <c r="L16">
        <v>121560</v>
      </c>
      <c r="M16">
        <v>516</v>
      </c>
      <c r="N16">
        <v>52800</v>
      </c>
      <c r="O16">
        <v>23696704</v>
      </c>
      <c r="P16">
        <v>20065916</v>
      </c>
      <c r="Q16">
        <v>20225</v>
      </c>
      <c r="R16">
        <v>25570533</v>
      </c>
      <c r="S16">
        <v>6845442</v>
      </c>
      <c r="T16">
        <v>5283441</v>
      </c>
      <c r="U16">
        <v>6113</v>
      </c>
      <c r="V16">
        <v>15836150</v>
      </c>
      <c r="W16">
        <v>333001</v>
      </c>
      <c r="X16">
        <v>238727</v>
      </c>
      <c r="Y16">
        <v>3707</v>
      </c>
      <c r="Z16">
        <v>190445</v>
      </c>
    </row>
    <row r="17" spans="1:26" x14ac:dyDescent="0.4">
      <c r="A17" s="1" t="s">
        <v>22</v>
      </c>
      <c r="B17" s="1" t="s">
        <v>23</v>
      </c>
      <c r="C17">
        <v>42292</v>
      </c>
      <c r="D17">
        <v>30610</v>
      </c>
      <c r="E17">
        <v>87</v>
      </c>
      <c r="F17">
        <v>162478</v>
      </c>
      <c r="G17">
        <v>761338</v>
      </c>
      <c r="H17">
        <v>731840</v>
      </c>
      <c r="I17">
        <v>1297</v>
      </c>
      <c r="J17">
        <v>682268</v>
      </c>
      <c r="K17">
        <v>108245</v>
      </c>
      <c r="L17">
        <v>106843</v>
      </c>
      <c r="M17">
        <v>525</v>
      </c>
      <c r="N17">
        <v>54202</v>
      </c>
      <c r="O17">
        <v>23864844</v>
      </c>
      <c r="P17">
        <v>20428712</v>
      </c>
      <c r="Q17">
        <v>20684</v>
      </c>
      <c r="R17">
        <v>26573090</v>
      </c>
      <c r="S17">
        <v>6300051</v>
      </c>
      <c r="T17">
        <v>5172454</v>
      </c>
      <c r="U17">
        <v>5971</v>
      </c>
      <c r="V17">
        <v>15883685</v>
      </c>
      <c r="W17">
        <v>375600</v>
      </c>
      <c r="X17">
        <v>271683</v>
      </c>
      <c r="Y17">
        <v>4412</v>
      </c>
      <c r="Z17">
        <v>191023</v>
      </c>
    </row>
    <row r="18" spans="1:26" x14ac:dyDescent="0.4">
      <c r="A18" s="1" t="s">
        <v>24</v>
      </c>
      <c r="B18" s="1" t="s">
        <v>25</v>
      </c>
      <c r="C18">
        <v>49934</v>
      </c>
      <c r="D18">
        <v>36072</v>
      </c>
      <c r="E18">
        <v>102</v>
      </c>
      <c r="F18">
        <v>175778</v>
      </c>
      <c r="G18">
        <v>793699</v>
      </c>
      <c r="H18">
        <v>825012</v>
      </c>
      <c r="I18">
        <v>1464</v>
      </c>
      <c r="J18">
        <v>650955</v>
      </c>
      <c r="K18">
        <v>133438</v>
      </c>
      <c r="L18">
        <v>122606</v>
      </c>
      <c r="M18">
        <v>530</v>
      </c>
      <c r="N18">
        <v>65034</v>
      </c>
      <c r="O18">
        <v>24217342</v>
      </c>
      <c r="P18">
        <v>22782014</v>
      </c>
      <c r="Q18">
        <v>22972</v>
      </c>
      <c r="R18">
        <v>25000036</v>
      </c>
      <c r="S18">
        <v>6796111</v>
      </c>
      <c r="T18">
        <v>5757051</v>
      </c>
      <c r="U18">
        <v>6626</v>
      </c>
      <c r="V18">
        <v>15508352</v>
      </c>
      <c r="W18">
        <v>369954</v>
      </c>
      <c r="X18">
        <v>264508</v>
      </c>
      <c r="Y18">
        <v>3836</v>
      </c>
      <c r="Z18">
        <v>214625</v>
      </c>
    </row>
    <row r="19" spans="1:26" x14ac:dyDescent="0.4">
      <c r="A19" s="1" t="s">
        <v>26</v>
      </c>
      <c r="B19" s="1" t="s">
        <v>27</v>
      </c>
      <c r="C19">
        <v>38225</v>
      </c>
      <c r="D19">
        <v>31236</v>
      </c>
      <c r="E19">
        <v>91</v>
      </c>
      <c r="F19">
        <v>182769</v>
      </c>
      <c r="G19">
        <v>753326</v>
      </c>
      <c r="H19">
        <v>638053</v>
      </c>
      <c r="I19">
        <v>1067</v>
      </c>
      <c r="J19">
        <v>766228</v>
      </c>
      <c r="K19">
        <v>95114</v>
      </c>
      <c r="L19">
        <v>103958</v>
      </c>
      <c r="M19">
        <v>477</v>
      </c>
      <c r="N19">
        <v>56190</v>
      </c>
      <c r="O19">
        <v>20982401</v>
      </c>
      <c r="P19">
        <v>19483330</v>
      </c>
      <c r="Q19">
        <v>19635</v>
      </c>
      <c r="R19">
        <v>23820190</v>
      </c>
      <c r="S19">
        <v>5878073</v>
      </c>
      <c r="T19">
        <v>5052661</v>
      </c>
      <c r="U19">
        <v>5844</v>
      </c>
      <c r="V19">
        <v>15145571</v>
      </c>
      <c r="W19">
        <v>282141</v>
      </c>
      <c r="X19">
        <v>237239</v>
      </c>
      <c r="Y19">
        <v>3255</v>
      </c>
      <c r="Z19">
        <v>176747</v>
      </c>
    </row>
    <row r="20" spans="1:26" x14ac:dyDescent="0.4">
      <c r="A20" s="1" t="s">
        <v>28</v>
      </c>
      <c r="B20" s="1" t="s">
        <v>29</v>
      </c>
      <c r="C20">
        <v>52081</v>
      </c>
      <c r="D20">
        <v>46636</v>
      </c>
      <c r="E20">
        <v>129</v>
      </c>
      <c r="F20">
        <v>188173</v>
      </c>
      <c r="G20">
        <v>701827</v>
      </c>
      <c r="H20">
        <v>822012</v>
      </c>
      <c r="I20">
        <v>1256</v>
      </c>
      <c r="J20">
        <v>646043</v>
      </c>
      <c r="K20">
        <v>124305</v>
      </c>
      <c r="L20">
        <v>114553</v>
      </c>
      <c r="M20">
        <v>517</v>
      </c>
      <c r="N20">
        <v>65942</v>
      </c>
      <c r="O20">
        <v>21590918</v>
      </c>
      <c r="P20">
        <v>19112244</v>
      </c>
      <c r="Q20">
        <v>19345</v>
      </c>
      <c r="R20">
        <v>23370879</v>
      </c>
      <c r="S20">
        <v>6550767</v>
      </c>
      <c r="T20">
        <v>5108495</v>
      </c>
      <c r="U20">
        <v>5976</v>
      </c>
      <c r="V20">
        <v>15582381</v>
      </c>
      <c r="W20">
        <v>354404</v>
      </c>
      <c r="X20">
        <v>277176</v>
      </c>
      <c r="Y20">
        <v>5068</v>
      </c>
      <c r="Z20">
        <v>176303</v>
      </c>
    </row>
    <row r="21" spans="1:26" x14ac:dyDescent="0.4">
      <c r="A21" s="1" t="s">
        <v>30</v>
      </c>
      <c r="B21" s="1" t="s">
        <v>31</v>
      </c>
      <c r="C21">
        <v>46645</v>
      </c>
      <c r="D21">
        <v>35228</v>
      </c>
      <c r="E21">
        <v>107</v>
      </c>
      <c r="F21">
        <v>199987</v>
      </c>
      <c r="G21">
        <v>925137</v>
      </c>
      <c r="H21">
        <v>780684</v>
      </c>
      <c r="I21">
        <v>1497</v>
      </c>
      <c r="J21">
        <v>790496</v>
      </c>
      <c r="K21">
        <v>122105</v>
      </c>
      <c r="L21">
        <v>129381</v>
      </c>
      <c r="M21">
        <v>546</v>
      </c>
      <c r="N21">
        <v>58666</v>
      </c>
      <c r="O21">
        <v>22424758</v>
      </c>
      <c r="P21">
        <v>18944511</v>
      </c>
      <c r="Q21">
        <v>19259</v>
      </c>
      <c r="R21">
        <v>23566093</v>
      </c>
      <c r="S21">
        <v>6525835</v>
      </c>
      <c r="T21">
        <v>4994633</v>
      </c>
      <c r="U21">
        <v>5901</v>
      </c>
      <c r="V21">
        <v>15705286</v>
      </c>
      <c r="W21">
        <v>471081</v>
      </c>
      <c r="X21">
        <v>337020</v>
      </c>
      <c r="Y21">
        <v>4845</v>
      </c>
      <c r="Z21">
        <v>215929</v>
      </c>
    </row>
    <row r="22" spans="1:26" x14ac:dyDescent="0.4">
      <c r="A22" s="1" t="s">
        <v>32</v>
      </c>
      <c r="B22" s="1" t="s">
        <v>33</v>
      </c>
      <c r="C22">
        <v>52228</v>
      </c>
      <c r="D22">
        <v>46116</v>
      </c>
      <c r="E22">
        <v>135</v>
      </c>
      <c r="F22">
        <v>206105</v>
      </c>
      <c r="G22">
        <v>835661</v>
      </c>
      <c r="H22">
        <v>1091160</v>
      </c>
      <c r="I22">
        <v>1384</v>
      </c>
      <c r="J22">
        <v>534997</v>
      </c>
      <c r="K22">
        <v>108913</v>
      </c>
      <c r="L22">
        <v>116642</v>
      </c>
      <c r="M22">
        <v>538</v>
      </c>
      <c r="N22">
        <v>50937</v>
      </c>
      <c r="O22">
        <v>21034436</v>
      </c>
      <c r="P22">
        <v>19748983</v>
      </c>
      <c r="Q22">
        <v>20074</v>
      </c>
      <c r="R22">
        <v>22147274</v>
      </c>
      <c r="S22">
        <v>5966948</v>
      </c>
      <c r="T22">
        <v>4874411</v>
      </c>
      <c r="U22">
        <v>5574</v>
      </c>
      <c r="V22">
        <v>15422633</v>
      </c>
      <c r="W22">
        <v>408399</v>
      </c>
      <c r="X22">
        <v>299511</v>
      </c>
      <c r="Y22">
        <v>4975</v>
      </c>
      <c r="Z22">
        <v>240108</v>
      </c>
    </row>
    <row r="23" spans="1:26" x14ac:dyDescent="0.4">
      <c r="A23" s="1" t="s">
        <v>34</v>
      </c>
      <c r="B23" s="1" t="s">
        <v>35</v>
      </c>
      <c r="C23">
        <v>44072</v>
      </c>
      <c r="D23">
        <v>48290</v>
      </c>
      <c r="E23">
        <v>150</v>
      </c>
      <c r="F23">
        <v>201751</v>
      </c>
      <c r="G23">
        <v>679701</v>
      </c>
      <c r="H23">
        <v>667600</v>
      </c>
      <c r="I23">
        <v>1273</v>
      </c>
      <c r="J23">
        <v>547098</v>
      </c>
      <c r="K23">
        <v>110506</v>
      </c>
      <c r="L23">
        <v>108149</v>
      </c>
      <c r="M23">
        <v>479</v>
      </c>
      <c r="N23">
        <v>53294</v>
      </c>
      <c r="O23">
        <v>20106269</v>
      </c>
      <c r="P23">
        <v>18897738</v>
      </c>
      <c r="Q23">
        <v>19278</v>
      </c>
      <c r="R23">
        <v>21373052</v>
      </c>
      <c r="S23">
        <v>5075378</v>
      </c>
      <c r="T23">
        <v>4952368</v>
      </c>
      <c r="U23">
        <v>5721</v>
      </c>
      <c r="V23">
        <v>14631732</v>
      </c>
      <c r="W23">
        <v>441662</v>
      </c>
      <c r="X23">
        <v>334552</v>
      </c>
      <c r="Y23">
        <v>3631</v>
      </c>
      <c r="Z23">
        <v>261409</v>
      </c>
    </row>
    <row r="24" spans="1:26" x14ac:dyDescent="0.4">
      <c r="A24" s="1" t="s">
        <v>36</v>
      </c>
      <c r="B24" s="1" t="s">
        <v>37</v>
      </c>
      <c r="C24">
        <v>36974</v>
      </c>
      <c r="D24">
        <v>34813</v>
      </c>
      <c r="E24">
        <v>125</v>
      </c>
      <c r="F24">
        <v>203938</v>
      </c>
      <c r="G24">
        <v>663294</v>
      </c>
      <c r="H24">
        <v>642220</v>
      </c>
      <c r="I24">
        <v>1210</v>
      </c>
      <c r="J24">
        <v>568172</v>
      </c>
      <c r="K24">
        <v>96974</v>
      </c>
      <c r="L24">
        <v>99099</v>
      </c>
      <c r="M24">
        <v>496</v>
      </c>
      <c r="N24">
        <v>51169</v>
      </c>
      <c r="O24">
        <v>18817875</v>
      </c>
      <c r="P24">
        <v>16040766</v>
      </c>
      <c r="Q24">
        <v>16608</v>
      </c>
      <c r="R24">
        <v>21839024</v>
      </c>
      <c r="S24">
        <v>5364210</v>
      </c>
      <c r="T24">
        <v>4284313</v>
      </c>
      <c r="U24">
        <v>5021</v>
      </c>
      <c r="V24">
        <v>14872195</v>
      </c>
      <c r="W24">
        <v>293264</v>
      </c>
      <c r="X24">
        <v>226126</v>
      </c>
      <c r="Y24">
        <v>3012</v>
      </c>
      <c r="Z24">
        <v>226740</v>
      </c>
    </row>
    <row r="25" spans="1:26" x14ac:dyDescent="0.4">
      <c r="A25" s="1" t="s">
        <v>38</v>
      </c>
      <c r="B25" s="1" t="s">
        <v>39</v>
      </c>
      <c r="C25">
        <v>46384</v>
      </c>
      <c r="D25">
        <v>43386</v>
      </c>
      <c r="E25">
        <v>127</v>
      </c>
      <c r="F25">
        <v>207027</v>
      </c>
      <c r="G25">
        <v>614298</v>
      </c>
      <c r="H25">
        <v>725930</v>
      </c>
      <c r="I25">
        <v>1278</v>
      </c>
      <c r="J25">
        <v>456540</v>
      </c>
      <c r="K25">
        <v>101437</v>
      </c>
      <c r="L25">
        <v>102829</v>
      </c>
      <c r="M25">
        <v>511</v>
      </c>
      <c r="N25">
        <v>49777</v>
      </c>
      <c r="O25">
        <v>21059267</v>
      </c>
      <c r="P25">
        <v>17413051</v>
      </c>
      <c r="Q25">
        <v>18247</v>
      </c>
      <c r="R25">
        <v>23665932</v>
      </c>
      <c r="S25">
        <v>6126517</v>
      </c>
      <c r="T25">
        <v>4600424</v>
      </c>
      <c r="U25">
        <v>5484</v>
      </c>
      <c r="V25">
        <v>15393664</v>
      </c>
      <c r="W25">
        <v>350264</v>
      </c>
      <c r="X25">
        <v>250157</v>
      </c>
      <c r="Y25">
        <v>4264</v>
      </c>
      <c r="Z25">
        <v>225272</v>
      </c>
    </row>
    <row r="26" spans="1:26" x14ac:dyDescent="0.4">
      <c r="A26" s="1" t="s">
        <v>40</v>
      </c>
      <c r="B26" s="1" t="s">
        <v>41</v>
      </c>
      <c r="C26">
        <v>43770</v>
      </c>
      <c r="D26">
        <v>47187</v>
      </c>
      <c r="E26">
        <v>142</v>
      </c>
      <c r="F26">
        <v>203544</v>
      </c>
      <c r="G26">
        <v>705900</v>
      </c>
      <c r="H26">
        <v>828508</v>
      </c>
      <c r="I26">
        <v>1485</v>
      </c>
      <c r="J26">
        <v>333932</v>
      </c>
      <c r="K26">
        <v>105330</v>
      </c>
      <c r="L26">
        <v>88423</v>
      </c>
      <c r="M26">
        <v>466</v>
      </c>
      <c r="N26">
        <v>66683</v>
      </c>
      <c r="O26">
        <v>24037013</v>
      </c>
      <c r="P26">
        <v>20843797</v>
      </c>
      <c r="Q26">
        <v>21629</v>
      </c>
      <c r="R26">
        <v>24261091</v>
      </c>
      <c r="S26">
        <v>5891063</v>
      </c>
      <c r="T26">
        <v>5470317</v>
      </c>
      <c r="U26">
        <v>6353</v>
      </c>
      <c r="V26">
        <v>14739845</v>
      </c>
      <c r="W26">
        <v>684385</v>
      </c>
      <c r="X26">
        <v>569969</v>
      </c>
      <c r="Y26">
        <v>6770</v>
      </c>
      <c r="Z26">
        <v>220542</v>
      </c>
    </row>
    <row r="27" spans="1:26" x14ac:dyDescent="0.4">
      <c r="A27" s="1" t="s">
        <v>42</v>
      </c>
      <c r="B27" s="1" t="s">
        <v>43</v>
      </c>
      <c r="C27">
        <v>33833</v>
      </c>
      <c r="D27">
        <v>36996</v>
      </c>
      <c r="E27">
        <v>107</v>
      </c>
      <c r="F27">
        <v>200363</v>
      </c>
      <c r="G27">
        <v>840384</v>
      </c>
      <c r="H27">
        <v>693521</v>
      </c>
      <c r="I27">
        <v>1355</v>
      </c>
      <c r="J27">
        <v>480795</v>
      </c>
      <c r="K27">
        <v>90861</v>
      </c>
      <c r="L27">
        <v>104564</v>
      </c>
      <c r="M27">
        <v>447</v>
      </c>
      <c r="N27">
        <v>52980</v>
      </c>
      <c r="O27">
        <v>22438813</v>
      </c>
      <c r="P27">
        <v>18924155</v>
      </c>
      <c r="Q27">
        <v>19779</v>
      </c>
      <c r="R27">
        <v>25237960</v>
      </c>
      <c r="S27">
        <v>6580876</v>
      </c>
      <c r="T27">
        <v>5289080</v>
      </c>
      <c r="U27">
        <v>6442</v>
      </c>
      <c r="V27">
        <v>14764058</v>
      </c>
      <c r="W27">
        <v>317413</v>
      </c>
      <c r="X27">
        <v>211887</v>
      </c>
      <c r="Y27">
        <v>4851</v>
      </c>
      <c r="Z27">
        <v>229567</v>
      </c>
    </row>
    <row r="28" spans="1:26" x14ac:dyDescent="0.4">
      <c r="A28" s="1" t="s">
        <v>44</v>
      </c>
      <c r="B28" s="1" t="s">
        <v>45</v>
      </c>
      <c r="C28">
        <v>35988</v>
      </c>
      <c r="D28">
        <v>31393</v>
      </c>
      <c r="E28">
        <v>108</v>
      </c>
      <c r="F28">
        <v>204903</v>
      </c>
      <c r="G28">
        <v>711221</v>
      </c>
      <c r="H28">
        <v>784003</v>
      </c>
      <c r="I28">
        <v>1316</v>
      </c>
      <c r="J28">
        <v>408013</v>
      </c>
      <c r="K28">
        <v>98311</v>
      </c>
      <c r="L28">
        <v>103275</v>
      </c>
      <c r="M28">
        <v>425</v>
      </c>
      <c r="N28">
        <v>48016</v>
      </c>
      <c r="O28">
        <v>21462636</v>
      </c>
      <c r="P28">
        <v>17318682</v>
      </c>
      <c r="Q28">
        <v>17780</v>
      </c>
      <c r="R28">
        <v>26659359</v>
      </c>
      <c r="S28">
        <v>6138457</v>
      </c>
      <c r="T28">
        <v>4851168</v>
      </c>
      <c r="U28">
        <v>5792</v>
      </c>
      <c r="V28">
        <v>15076430</v>
      </c>
      <c r="W28">
        <v>349746</v>
      </c>
      <c r="X28">
        <v>249356</v>
      </c>
      <c r="Y28">
        <v>3498</v>
      </c>
      <c r="Z28">
        <v>225468</v>
      </c>
    </row>
    <row r="29" spans="1:26" x14ac:dyDescent="0.4">
      <c r="A29" s="1" t="s">
        <v>46</v>
      </c>
      <c r="B29" s="1" t="s">
        <v>47</v>
      </c>
      <c r="C29">
        <v>43165</v>
      </c>
      <c r="D29">
        <v>37471</v>
      </c>
      <c r="E29">
        <v>117</v>
      </c>
      <c r="F29">
        <v>210379</v>
      </c>
      <c r="G29">
        <v>982852</v>
      </c>
      <c r="H29">
        <v>824204</v>
      </c>
      <c r="I29">
        <v>1558</v>
      </c>
      <c r="J29">
        <v>566661</v>
      </c>
      <c r="K29">
        <v>95561</v>
      </c>
      <c r="L29">
        <v>93448</v>
      </c>
      <c r="M29">
        <v>400</v>
      </c>
      <c r="N29">
        <v>50129</v>
      </c>
      <c r="O29">
        <v>21976352</v>
      </c>
      <c r="P29">
        <v>19222793</v>
      </c>
      <c r="Q29">
        <v>19980</v>
      </c>
      <c r="R29">
        <v>27081009</v>
      </c>
      <c r="S29">
        <v>6530024</v>
      </c>
      <c r="T29">
        <v>5106496</v>
      </c>
      <c r="U29">
        <v>6083</v>
      </c>
      <c r="V29">
        <v>15336927</v>
      </c>
      <c r="W29">
        <v>344203</v>
      </c>
      <c r="X29">
        <v>246247</v>
      </c>
      <c r="Y29">
        <v>3881</v>
      </c>
      <c r="Z29">
        <v>247101</v>
      </c>
    </row>
    <row r="30" spans="1:26" x14ac:dyDescent="0.4">
      <c r="A30" s="1" t="s">
        <v>48</v>
      </c>
      <c r="B30" s="1" t="s">
        <v>49</v>
      </c>
      <c r="C30">
        <v>35816</v>
      </c>
      <c r="D30">
        <v>31708</v>
      </c>
      <c r="E30">
        <v>106</v>
      </c>
      <c r="F30">
        <v>214528</v>
      </c>
      <c r="G30">
        <v>1004930</v>
      </c>
      <c r="H30">
        <v>890753</v>
      </c>
      <c r="I30">
        <v>1689</v>
      </c>
      <c r="J30">
        <v>680838</v>
      </c>
      <c r="K30">
        <v>111416</v>
      </c>
      <c r="L30">
        <v>108796</v>
      </c>
      <c r="M30">
        <v>487</v>
      </c>
      <c r="N30">
        <v>52749</v>
      </c>
      <c r="O30">
        <v>23520500</v>
      </c>
      <c r="P30">
        <v>22323581</v>
      </c>
      <c r="Q30">
        <v>23043</v>
      </c>
      <c r="R30">
        <v>25446685</v>
      </c>
      <c r="S30">
        <v>7213135</v>
      </c>
      <c r="T30">
        <v>5913803</v>
      </c>
      <c r="U30">
        <v>6938</v>
      </c>
      <c r="V30">
        <v>15288351</v>
      </c>
      <c r="W30">
        <v>351304</v>
      </c>
      <c r="X30">
        <v>245170</v>
      </c>
      <c r="Y30">
        <v>3900</v>
      </c>
      <c r="Z30">
        <v>249087</v>
      </c>
    </row>
    <row r="31" spans="1:26" x14ac:dyDescent="0.4">
      <c r="A31" s="1" t="s">
        <v>50</v>
      </c>
      <c r="B31" s="1" t="s">
        <v>51</v>
      </c>
      <c r="C31">
        <v>31182</v>
      </c>
      <c r="D31">
        <v>37323</v>
      </c>
      <c r="E31">
        <v>121</v>
      </c>
      <c r="F31">
        <v>208397</v>
      </c>
      <c r="G31">
        <v>647476</v>
      </c>
      <c r="H31">
        <v>627508</v>
      </c>
      <c r="I31">
        <v>1219</v>
      </c>
      <c r="J31">
        <v>700806</v>
      </c>
      <c r="K31">
        <v>66887</v>
      </c>
      <c r="L31">
        <v>64788</v>
      </c>
      <c r="M31">
        <v>347</v>
      </c>
      <c r="N31">
        <v>54785</v>
      </c>
      <c r="O31">
        <v>20810609</v>
      </c>
      <c r="P31">
        <v>18500674</v>
      </c>
      <c r="Q31">
        <v>19302</v>
      </c>
      <c r="R31">
        <v>24848761</v>
      </c>
      <c r="S31">
        <v>6046835</v>
      </c>
      <c r="T31">
        <v>4881585</v>
      </c>
      <c r="U31">
        <v>5767</v>
      </c>
      <c r="V31">
        <v>15594141</v>
      </c>
      <c r="W31">
        <v>233238</v>
      </c>
      <c r="X31">
        <v>188332</v>
      </c>
      <c r="Y31">
        <v>3530</v>
      </c>
      <c r="Z31">
        <v>237249</v>
      </c>
    </row>
    <row r="32" spans="1:26" x14ac:dyDescent="0.4">
      <c r="A32" s="1" t="s">
        <v>52</v>
      </c>
      <c r="B32" s="1" t="s">
        <v>53</v>
      </c>
      <c r="C32">
        <v>30437</v>
      </c>
      <c r="D32">
        <v>36003</v>
      </c>
      <c r="E32">
        <v>118</v>
      </c>
      <c r="F32">
        <v>202777</v>
      </c>
      <c r="G32">
        <v>947225</v>
      </c>
      <c r="H32">
        <v>1152914</v>
      </c>
      <c r="I32">
        <v>1610</v>
      </c>
      <c r="J32">
        <v>495117</v>
      </c>
      <c r="K32">
        <v>99099</v>
      </c>
      <c r="L32">
        <v>114828</v>
      </c>
      <c r="M32">
        <v>481</v>
      </c>
      <c r="N32">
        <v>39056</v>
      </c>
      <c r="O32">
        <v>21427708</v>
      </c>
      <c r="P32">
        <v>18790055</v>
      </c>
      <c r="Q32">
        <v>19438</v>
      </c>
      <c r="R32">
        <v>24740461</v>
      </c>
      <c r="S32">
        <v>6120877</v>
      </c>
      <c r="T32">
        <v>5269709</v>
      </c>
      <c r="U32">
        <v>6398</v>
      </c>
      <c r="V32">
        <v>15385502</v>
      </c>
      <c r="W32">
        <v>336806</v>
      </c>
      <c r="X32">
        <v>259136</v>
      </c>
      <c r="Y32">
        <v>5104</v>
      </c>
      <c r="Z32">
        <v>229532</v>
      </c>
    </row>
    <row r="33" spans="1:26" x14ac:dyDescent="0.4">
      <c r="A33" s="1" t="s">
        <v>54</v>
      </c>
      <c r="B33" s="1" t="s">
        <v>55</v>
      </c>
      <c r="C33">
        <v>45261</v>
      </c>
      <c r="D33">
        <v>42132</v>
      </c>
      <c r="E33">
        <v>127</v>
      </c>
      <c r="F33">
        <v>205761</v>
      </c>
      <c r="G33">
        <v>1214440</v>
      </c>
      <c r="H33">
        <v>1005143</v>
      </c>
      <c r="I33">
        <v>1789</v>
      </c>
      <c r="J33">
        <v>704414</v>
      </c>
      <c r="K33">
        <v>102461</v>
      </c>
      <c r="L33">
        <v>103525</v>
      </c>
      <c r="M33">
        <v>523</v>
      </c>
      <c r="N33">
        <v>37992</v>
      </c>
      <c r="O33">
        <v>20515725</v>
      </c>
      <c r="P33">
        <v>18030293</v>
      </c>
      <c r="Q33">
        <v>18678</v>
      </c>
      <c r="R33">
        <v>24335316</v>
      </c>
      <c r="S33">
        <v>6478203</v>
      </c>
      <c r="T33">
        <v>5329869</v>
      </c>
      <c r="U33">
        <v>6272</v>
      </c>
      <c r="V33">
        <v>15409280</v>
      </c>
      <c r="W33">
        <v>469241</v>
      </c>
      <c r="X33">
        <v>353863</v>
      </c>
      <c r="Y33">
        <v>4800</v>
      </c>
      <c r="Z33">
        <v>235249</v>
      </c>
    </row>
    <row r="34" spans="1:26" x14ac:dyDescent="0.4">
      <c r="A34" s="1" t="s">
        <v>56</v>
      </c>
      <c r="B34" s="1" t="s">
        <v>57</v>
      </c>
      <c r="C34">
        <v>35681</v>
      </c>
      <c r="D34">
        <v>41009</v>
      </c>
      <c r="E34">
        <v>120</v>
      </c>
      <c r="F34">
        <v>200419</v>
      </c>
      <c r="G34">
        <v>822790</v>
      </c>
      <c r="H34">
        <v>987967</v>
      </c>
      <c r="I34">
        <v>1619</v>
      </c>
      <c r="J34">
        <v>539237</v>
      </c>
      <c r="K34">
        <v>110618</v>
      </c>
      <c r="L34">
        <v>108332</v>
      </c>
      <c r="M34">
        <v>457</v>
      </c>
      <c r="N34">
        <v>40278</v>
      </c>
      <c r="O34">
        <v>20753260</v>
      </c>
      <c r="P34">
        <v>17206179</v>
      </c>
      <c r="Q34">
        <v>17822</v>
      </c>
      <c r="R34">
        <v>25050949</v>
      </c>
      <c r="S34">
        <v>5948853</v>
      </c>
      <c r="T34">
        <v>4543308</v>
      </c>
      <c r="U34">
        <v>5485</v>
      </c>
      <c r="V34">
        <v>15802620</v>
      </c>
      <c r="W34">
        <v>379030</v>
      </c>
      <c r="X34">
        <v>267608</v>
      </c>
      <c r="Y34">
        <v>4710</v>
      </c>
      <c r="Z34">
        <v>240749</v>
      </c>
    </row>
    <row r="35" spans="1:26" x14ac:dyDescent="0.4">
      <c r="A35" s="1" t="s">
        <v>58</v>
      </c>
      <c r="B35" s="1" t="s">
        <v>59</v>
      </c>
      <c r="C35">
        <v>41765</v>
      </c>
      <c r="D35">
        <v>40257</v>
      </c>
      <c r="E35">
        <v>134</v>
      </c>
      <c r="F35">
        <v>201931</v>
      </c>
      <c r="G35">
        <v>938301</v>
      </c>
      <c r="H35">
        <v>757457</v>
      </c>
      <c r="I35">
        <v>1539</v>
      </c>
      <c r="J35">
        <v>720081</v>
      </c>
      <c r="K35">
        <v>111988</v>
      </c>
      <c r="L35">
        <v>109506</v>
      </c>
      <c r="M35">
        <v>491</v>
      </c>
      <c r="N35">
        <v>42760</v>
      </c>
      <c r="O35">
        <v>17268372</v>
      </c>
      <c r="P35">
        <v>16203879</v>
      </c>
      <c r="Q35">
        <v>16854</v>
      </c>
      <c r="R35">
        <v>23547098</v>
      </c>
      <c r="S35">
        <v>5214702</v>
      </c>
      <c r="T35">
        <v>4785658</v>
      </c>
      <c r="U35">
        <v>5774</v>
      </c>
      <c r="V35">
        <v>15478857</v>
      </c>
      <c r="W35">
        <v>362279</v>
      </c>
      <c r="X35">
        <v>256900</v>
      </c>
      <c r="Y35">
        <v>2984</v>
      </c>
      <c r="Z35">
        <v>255220</v>
      </c>
    </row>
    <row r="36" spans="1:26" x14ac:dyDescent="0.4">
      <c r="A36" s="1" t="s">
        <v>60</v>
      </c>
      <c r="B36" s="1" t="s">
        <v>61</v>
      </c>
      <c r="C36">
        <v>37603</v>
      </c>
      <c r="D36">
        <v>45686</v>
      </c>
      <c r="E36">
        <v>135</v>
      </c>
      <c r="F36">
        <v>193800</v>
      </c>
      <c r="G36">
        <v>803393</v>
      </c>
      <c r="H36">
        <v>787079</v>
      </c>
      <c r="I36">
        <v>1149</v>
      </c>
      <c r="J36">
        <v>736395</v>
      </c>
      <c r="K36">
        <v>126530</v>
      </c>
      <c r="L36">
        <v>137233</v>
      </c>
      <c r="M36">
        <v>500</v>
      </c>
      <c r="N36">
        <v>32057</v>
      </c>
      <c r="O36">
        <v>18231344</v>
      </c>
      <c r="P36">
        <v>15199266</v>
      </c>
      <c r="Q36">
        <v>16120</v>
      </c>
      <c r="R36">
        <v>23741035</v>
      </c>
      <c r="S36">
        <v>5438192</v>
      </c>
      <c r="T36">
        <v>3956259</v>
      </c>
      <c r="U36">
        <v>4802</v>
      </c>
      <c r="V36">
        <v>15997989</v>
      </c>
      <c r="W36">
        <v>365320</v>
      </c>
      <c r="X36">
        <v>267690</v>
      </c>
      <c r="Y36">
        <v>3040</v>
      </c>
      <c r="Z36">
        <v>257583</v>
      </c>
    </row>
    <row r="37" spans="1:26" x14ac:dyDescent="0.4">
      <c r="A37" s="1" t="s">
        <v>62</v>
      </c>
      <c r="B37" s="1" t="s">
        <v>63</v>
      </c>
      <c r="C37">
        <v>36335</v>
      </c>
      <c r="D37">
        <v>47526</v>
      </c>
      <c r="E37">
        <v>149</v>
      </c>
      <c r="F37">
        <v>182542</v>
      </c>
      <c r="G37">
        <v>243622</v>
      </c>
      <c r="H37">
        <v>311950</v>
      </c>
      <c r="I37">
        <v>631</v>
      </c>
      <c r="J37">
        <v>668067</v>
      </c>
      <c r="K37">
        <v>133850</v>
      </c>
      <c r="L37">
        <v>128942</v>
      </c>
      <c r="M37">
        <v>500</v>
      </c>
      <c r="N37">
        <v>36965</v>
      </c>
      <c r="O37">
        <v>18735736</v>
      </c>
      <c r="P37">
        <v>15629395</v>
      </c>
      <c r="Q37">
        <v>16840</v>
      </c>
      <c r="R37">
        <v>24444316</v>
      </c>
      <c r="S37">
        <v>5571768</v>
      </c>
      <c r="T37">
        <v>4432824</v>
      </c>
      <c r="U37">
        <v>5518</v>
      </c>
      <c r="V37">
        <v>16305937</v>
      </c>
      <c r="W37">
        <v>411878</v>
      </c>
      <c r="X37">
        <v>301965</v>
      </c>
      <c r="Y37">
        <v>4187</v>
      </c>
      <c r="Z37">
        <v>282740</v>
      </c>
    </row>
    <row r="38" spans="1:26" x14ac:dyDescent="0.4">
      <c r="A38" s="1" t="s">
        <v>64</v>
      </c>
      <c r="B38" s="1" t="s">
        <v>65</v>
      </c>
      <c r="C38">
        <v>40036</v>
      </c>
      <c r="D38">
        <v>48079</v>
      </c>
      <c r="E38">
        <v>148</v>
      </c>
      <c r="F38">
        <v>174540</v>
      </c>
      <c r="G38">
        <v>623468</v>
      </c>
      <c r="H38">
        <v>617333</v>
      </c>
      <c r="I38">
        <v>1159</v>
      </c>
      <c r="J38">
        <v>674202</v>
      </c>
      <c r="K38">
        <v>150447</v>
      </c>
      <c r="L38">
        <v>145936</v>
      </c>
      <c r="M38">
        <v>535</v>
      </c>
      <c r="N38">
        <v>41476</v>
      </c>
      <c r="O38">
        <v>22600875</v>
      </c>
      <c r="P38">
        <v>19634540</v>
      </c>
      <c r="Q38">
        <v>20868</v>
      </c>
      <c r="R38">
        <v>24548549</v>
      </c>
      <c r="S38">
        <v>6646297</v>
      </c>
      <c r="T38">
        <v>5291826</v>
      </c>
      <c r="U38">
        <v>6419</v>
      </c>
      <c r="V38">
        <v>16463004</v>
      </c>
      <c r="W38">
        <v>602072</v>
      </c>
      <c r="X38">
        <v>503814</v>
      </c>
      <c r="Y38">
        <v>7300</v>
      </c>
      <c r="Z38">
        <v>286186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F3885-1AEA-4D4F-B6BF-0CE88590803A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2192</v>
      </c>
      <c r="D3" t="s">
        <v>2192</v>
      </c>
      <c r="E3" t="s">
        <v>2192</v>
      </c>
      <c r="F3" t="s">
        <v>2192</v>
      </c>
      <c r="G3" t="s">
        <v>2196</v>
      </c>
      <c r="H3" t="s">
        <v>2196</v>
      </c>
      <c r="I3" t="s">
        <v>2196</v>
      </c>
      <c r="J3" t="s">
        <v>2196</v>
      </c>
      <c r="K3" t="s">
        <v>2199</v>
      </c>
      <c r="L3" t="s">
        <v>2199</v>
      </c>
      <c r="M3" t="s">
        <v>2199</v>
      </c>
      <c r="N3" t="s">
        <v>2199</v>
      </c>
      <c r="O3" t="s">
        <v>2201</v>
      </c>
      <c r="P3" t="s">
        <v>2201</v>
      </c>
      <c r="Q3" t="s">
        <v>2201</v>
      </c>
      <c r="R3" t="s">
        <v>2201</v>
      </c>
      <c r="S3" t="s">
        <v>2203</v>
      </c>
      <c r="T3" t="s">
        <v>2203</v>
      </c>
      <c r="U3" t="s">
        <v>2203</v>
      </c>
      <c r="V3" t="s">
        <v>2203</v>
      </c>
      <c r="W3" t="s">
        <v>2205</v>
      </c>
      <c r="X3" t="s">
        <v>2205</v>
      </c>
      <c r="Y3" t="s">
        <v>2205</v>
      </c>
      <c r="Z3" t="s">
        <v>2205</v>
      </c>
      <c r="AA3" t="s">
        <v>2207</v>
      </c>
      <c r="AB3" t="s">
        <v>2207</v>
      </c>
      <c r="AC3" t="s">
        <v>2207</v>
      </c>
      <c r="AD3" t="s">
        <v>2207</v>
      </c>
      <c r="AE3" t="s">
        <v>2209</v>
      </c>
      <c r="AF3" t="s">
        <v>2209</v>
      </c>
      <c r="AG3" t="s">
        <v>2209</v>
      </c>
      <c r="AH3" t="s">
        <v>2209</v>
      </c>
    </row>
    <row r="4" spans="1:34" x14ac:dyDescent="0.4">
      <c r="A4" s="1"/>
      <c r="B4" s="2" t="s">
        <v>1</v>
      </c>
      <c r="C4" t="s">
        <v>2194</v>
      </c>
      <c r="D4" t="s">
        <v>2194</v>
      </c>
      <c r="E4" t="s">
        <v>2194</v>
      </c>
      <c r="F4" t="s">
        <v>2194</v>
      </c>
      <c r="G4" t="s">
        <v>2198</v>
      </c>
      <c r="H4" t="s">
        <v>2198</v>
      </c>
      <c r="I4" t="s">
        <v>2198</v>
      </c>
      <c r="J4" t="s">
        <v>2198</v>
      </c>
      <c r="K4" t="s">
        <v>2200</v>
      </c>
      <c r="L4" t="s">
        <v>2200</v>
      </c>
      <c r="M4" t="s">
        <v>2200</v>
      </c>
      <c r="N4" t="s">
        <v>2200</v>
      </c>
      <c r="O4" t="s">
        <v>2202</v>
      </c>
      <c r="P4" t="s">
        <v>2202</v>
      </c>
      <c r="Q4" t="s">
        <v>2202</v>
      </c>
      <c r="R4" t="s">
        <v>2202</v>
      </c>
      <c r="S4" t="s">
        <v>2204</v>
      </c>
      <c r="T4" t="s">
        <v>2204</v>
      </c>
      <c r="U4" t="s">
        <v>2204</v>
      </c>
      <c r="V4" t="s">
        <v>2204</v>
      </c>
      <c r="W4" t="s">
        <v>2206</v>
      </c>
      <c r="X4" t="s">
        <v>2206</v>
      </c>
      <c r="Y4" t="s">
        <v>2206</v>
      </c>
      <c r="Z4" t="s">
        <v>2206</v>
      </c>
      <c r="AA4" t="s">
        <v>2208</v>
      </c>
      <c r="AB4" t="s">
        <v>2208</v>
      </c>
      <c r="AC4" t="s">
        <v>2208</v>
      </c>
      <c r="AD4" t="s">
        <v>2208</v>
      </c>
      <c r="AE4" t="s">
        <v>2210</v>
      </c>
      <c r="AF4" t="s">
        <v>2210</v>
      </c>
      <c r="AG4" t="s">
        <v>2210</v>
      </c>
      <c r="AH4" t="s">
        <v>2210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2193</v>
      </c>
      <c r="D7" t="s">
        <v>2193</v>
      </c>
      <c r="E7" t="s">
        <v>341</v>
      </c>
      <c r="F7" t="s">
        <v>2193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2197</v>
      </c>
      <c r="T7" t="s">
        <v>2197</v>
      </c>
      <c r="U7" t="s">
        <v>341</v>
      </c>
      <c r="V7" t="s">
        <v>2197</v>
      </c>
      <c r="W7" t="s">
        <v>2197</v>
      </c>
      <c r="X7" t="s">
        <v>2197</v>
      </c>
      <c r="Y7" t="s">
        <v>341</v>
      </c>
      <c r="Z7" t="s">
        <v>2197</v>
      </c>
      <c r="AA7" t="s">
        <v>2197</v>
      </c>
      <c r="AB7" t="s">
        <v>2197</v>
      </c>
      <c r="AC7" t="s">
        <v>341</v>
      </c>
      <c r="AD7" t="s">
        <v>2197</v>
      </c>
      <c r="AE7" t="s">
        <v>743</v>
      </c>
      <c r="AF7" t="s">
        <v>743</v>
      </c>
      <c r="AG7" t="s">
        <v>341</v>
      </c>
      <c r="AH7" t="s">
        <v>743</v>
      </c>
    </row>
    <row r="8" spans="1:34" x14ac:dyDescent="0.4">
      <c r="A8" s="1" t="s">
        <v>67</v>
      </c>
      <c r="B8" s="2" t="s">
        <v>5</v>
      </c>
      <c r="C8" t="s">
        <v>2195</v>
      </c>
      <c r="D8" t="s">
        <v>2195</v>
      </c>
      <c r="E8" t="s">
        <v>342</v>
      </c>
      <c r="F8" t="s">
        <v>2195</v>
      </c>
      <c r="G8" t="s">
        <v>745</v>
      </c>
      <c r="H8" t="s">
        <v>745</v>
      </c>
      <c r="I8" t="s">
        <v>342</v>
      </c>
      <c r="J8" t="s">
        <v>745</v>
      </c>
      <c r="K8" t="s">
        <v>745</v>
      </c>
      <c r="L8" t="s">
        <v>745</v>
      </c>
      <c r="M8" t="s">
        <v>342</v>
      </c>
      <c r="N8" t="s">
        <v>745</v>
      </c>
      <c r="O8" t="s">
        <v>745</v>
      </c>
      <c r="P8" t="s">
        <v>745</v>
      </c>
      <c r="Q8" t="s">
        <v>342</v>
      </c>
      <c r="R8" t="s">
        <v>745</v>
      </c>
      <c r="S8" t="s">
        <v>745</v>
      </c>
      <c r="T8" t="s">
        <v>745</v>
      </c>
      <c r="U8" t="s">
        <v>342</v>
      </c>
      <c r="V8" t="s">
        <v>745</v>
      </c>
      <c r="W8" t="s">
        <v>745</v>
      </c>
      <c r="X8" t="s">
        <v>745</v>
      </c>
      <c r="Y8" t="s">
        <v>342</v>
      </c>
      <c r="Z8" t="s">
        <v>745</v>
      </c>
      <c r="AA8" t="s">
        <v>745</v>
      </c>
      <c r="AB8" t="s">
        <v>745</v>
      </c>
      <c r="AC8" t="s">
        <v>342</v>
      </c>
      <c r="AD8" t="s">
        <v>745</v>
      </c>
      <c r="AE8" t="s">
        <v>745</v>
      </c>
      <c r="AF8" t="s">
        <v>745</v>
      </c>
      <c r="AG8" t="s">
        <v>342</v>
      </c>
      <c r="AH8" t="s">
        <v>745</v>
      </c>
    </row>
    <row r="9" spans="1:34" x14ac:dyDescent="0.4">
      <c r="A9" s="1" t="s">
        <v>6</v>
      </c>
      <c r="B9" s="3" t="s">
        <v>7</v>
      </c>
      <c r="C9">
        <v>1324287</v>
      </c>
      <c r="D9">
        <v>1752314</v>
      </c>
      <c r="E9">
        <v>6466091</v>
      </c>
      <c r="F9">
        <v>638123</v>
      </c>
      <c r="G9">
        <v>104628</v>
      </c>
      <c r="H9">
        <v>96130</v>
      </c>
      <c r="I9">
        <v>14834344</v>
      </c>
      <c r="J9">
        <v>14072</v>
      </c>
      <c r="K9">
        <v>1485437</v>
      </c>
      <c r="L9">
        <v>1443965</v>
      </c>
      <c r="M9">
        <v>55627014</v>
      </c>
      <c r="N9">
        <v>112586</v>
      </c>
      <c r="O9">
        <v>277312</v>
      </c>
      <c r="P9">
        <v>272991</v>
      </c>
      <c r="Q9">
        <v>18912790</v>
      </c>
      <c r="R9">
        <v>29459</v>
      </c>
      <c r="S9">
        <v>728623</v>
      </c>
      <c r="T9">
        <v>846765</v>
      </c>
      <c r="U9">
        <v>42128444</v>
      </c>
      <c r="V9">
        <v>125696</v>
      </c>
      <c r="W9">
        <v>88238</v>
      </c>
      <c r="X9">
        <v>142665</v>
      </c>
      <c r="Y9">
        <v>6003998</v>
      </c>
      <c r="Z9">
        <v>73039</v>
      </c>
      <c r="AA9">
        <v>11811</v>
      </c>
      <c r="AB9">
        <v>12780</v>
      </c>
      <c r="AC9">
        <v>945779</v>
      </c>
      <c r="AD9">
        <v>2067</v>
      </c>
      <c r="AE9">
        <v>802</v>
      </c>
      <c r="AF9">
        <v>40422</v>
      </c>
      <c r="AG9">
        <v>3433509</v>
      </c>
      <c r="AH9">
        <v>1835</v>
      </c>
    </row>
    <row r="10" spans="1:34" x14ac:dyDescent="0.4">
      <c r="A10" s="1" t="s">
        <v>8</v>
      </c>
      <c r="B10" s="3" t="s">
        <v>9</v>
      </c>
      <c r="C10">
        <v>1230545</v>
      </c>
      <c r="D10">
        <v>1588601</v>
      </c>
      <c r="E10">
        <v>6159928</v>
      </c>
      <c r="F10">
        <v>710818</v>
      </c>
      <c r="G10">
        <v>118254</v>
      </c>
      <c r="H10">
        <v>108691</v>
      </c>
      <c r="I10">
        <v>15932052</v>
      </c>
      <c r="J10">
        <v>12632</v>
      </c>
      <c r="K10">
        <v>1467268</v>
      </c>
      <c r="L10">
        <v>1455653</v>
      </c>
      <c r="M10">
        <v>57401157</v>
      </c>
      <c r="N10">
        <v>112123</v>
      </c>
      <c r="O10">
        <v>304654</v>
      </c>
      <c r="P10">
        <v>309479</v>
      </c>
      <c r="Q10">
        <v>20470441</v>
      </c>
      <c r="R10">
        <v>25721</v>
      </c>
      <c r="S10">
        <v>733578</v>
      </c>
      <c r="T10">
        <v>901683</v>
      </c>
      <c r="U10">
        <v>44835089</v>
      </c>
      <c r="V10">
        <v>125530</v>
      </c>
      <c r="W10">
        <v>77749</v>
      </c>
      <c r="X10">
        <v>117926</v>
      </c>
      <c r="Y10">
        <v>5500247</v>
      </c>
      <c r="Z10">
        <v>68131</v>
      </c>
      <c r="AA10">
        <v>13164</v>
      </c>
      <c r="AB10">
        <v>14589</v>
      </c>
      <c r="AC10">
        <v>1120882</v>
      </c>
      <c r="AD10">
        <v>2069</v>
      </c>
      <c r="AE10">
        <v>844</v>
      </c>
      <c r="AF10">
        <v>53574</v>
      </c>
      <c r="AG10">
        <v>4392268</v>
      </c>
      <c r="AH10">
        <v>3429</v>
      </c>
    </row>
    <row r="11" spans="1:34" x14ac:dyDescent="0.4">
      <c r="A11" s="1" t="s">
        <v>10</v>
      </c>
      <c r="B11" s="3" t="s">
        <v>11</v>
      </c>
      <c r="C11">
        <v>894570</v>
      </c>
      <c r="D11">
        <v>1360715</v>
      </c>
      <c r="E11">
        <v>5738739</v>
      </c>
      <c r="F11">
        <v>647568</v>
      </c>
      <c r="G11">
        <v>121454</v>
      </c>
      <c r="H11">
        <v>112276</v>
      </c>
      <c r="I11">
        <v>18436641</v>
      </c>
      <c r="J11">
        <v>11807</v>
      </c>
      <c r="K11">
        <v>1307699</v>
      </c>
      <c r="L11">
        <v>1318704</v>
      </c>
      <c r="M11">
        <v>56946728</v>
      </c>
      <c r="N11">
        <v>94984</v>
      </c>
      <c r="O11">
        <v>311273</v>
      </c>
      <c r="P11">
        <v>314397</v>
      </c>
      <c r="Q11">
        <v>20989567</v>
      </c>
      <c r="R11">
        <v>26592</v>
      </c>
      <c r="S11">
        <v>735778</v>
      </c>
      <c r="T11">
        <v>871750</v>
      </c>
      <c r="U11">
        <v>45463209</v>
      </c>
      <c r="V11">
        <v>138199</v>
      </c>
      <c r="W11">
        <v>79468</v>
      </c>
      <c r="X11">
        <v>112124</v>
      </c>
      <c r="Y11">
        <v>5598404</v>
      </c>
      <c r="Z11">
        <v>68436</v>
      </c>
      <c r="AA11">
        <v>10549</v>
      </c>
      <c r="AB11">
        <v>12795</v>
      </c>
      <c r="AC11">
        <v>883595</v>
      </c>
      <c r="AD11">
        <v>1880</v>
      </c>
      <c r="AE11">
        <v>495</v>
      </c>
      <c r="AF11">
        <v>39281</v>
      </c>
      <c r="AG11">
        <v>3444489</v>
      </c>
      <c r="AH11">
        <v>2438</v>
      </c>
    </row>
    <row r="12" spans="1:34" x14ac:dyDescent="0.4">
      <c r="A12" s="1" t="s">
        <v>12</v>
      </c>
      <c r="B12" s="3" t="s">
        <v>13</v>
      </c>
      <c r="C12">
        <v>863859</v>
      </c>
      <c r="D12">
        <v>1289682</v>
      </c>
      <c r="E12">
        <v>5490187</v>
      </c>
      <c r="F12">
        <v>688290</v>
      </c>
      <c r="G12">
        <v>117572</v>
      </c>
      <c r="H12">
        <v>107163</v>
      </c>
      <c r="I12">
        <v>19883368</v>
      </c>
      <c r="J12">
        <v>13853</v>
      </c>
      <c r="K12">
        <v>1250026</v>
      </c>
      <c r="L12">
        <v>1252834</v>
      </c>
      <c r="M12">
        <v>58654840</v>
      </c>
      <c r="N12">
        <v>89407</v>
      </c>
      <c r="O12">
        <v>311345</v>
      </c>
      <c r="P12">
        <v>311320</v>
      </c>
      <c r="Q12">
        <v>21774942</v>
      </c>
      <c r="R12">
        <v>30484</v>
      </c>
      <c r="S12">
        <v>769570</v>
      </c>
      <c r="T12">
        <v>902666</v>
      </c>
      <c r="U12">
        <v>50016392</v>
      </c>
      <c r="V12">
        <v>149370</v>
      </c>
      <c r="W12">
        <v>68380</v>
      </c>
      <c r="X12">
        <v>104838</v>
      </c>
      <c r="Y12">
        <v>5616801</v>
      </c>
      <c r="Z12">
        <v>64821</v>
      </c>
      <c r="AA12">
        <v>8839</v>
      </c>
      <c r="AB12">
        <v>11205</v>
      </c>
      <c r="AC12">
        <v>841397</v>
      </c>
      <c r="AD12">
        <v>1514</v>
      </c>
      <c r="AE12">
        <v>456</v>
      </c>
      <c r="AF12">
        <v>44614</v>
      </c>
      <c r="AG12">
        <v>3720645</v>
      </c>
      <c r="AH12">
        <v>2364</v>
      </c>
    </row>
    <row r="13" spans="1:34" x14ac:dyDescent="0.4">
      <c r="A13" s="1" t="s">
        <v>14</v>
      </c>
      <c r="B13" s="3" t="s">
        <v>15</v>
      </c>
      <c r="C13">
        <v>734653</v>
      </c>
      <c r="D13">
        <v>1241340</v>
      </c>
      <c r="E13">
        <v>5431879</v>
      </c>
      <c r="F13">
        <v>629260</v>
      </c>
      <c r="G13">
        <v>110894</v>
      </c>
      <c r="H13">
        <v>101192</v>
      </c>
      <c r="I13">
        <v>20039168</v>
      </c>
      <c r="J13">
        <v>14587</v>
      </c>
      <c r="K13">
        <v>1233822</v>
      </c>
      <c r="L13">
        <v>1235667</v>
      </c>
      <c r="M13">
        <v>57479499</v>
      </c>
      <c r="N13">
        <v>83108</v>
      </c>
      <c r="O13">
        <v>295838</v>
      </c>
      <c r="P13">
        <v>299846</v>
      </c>
      <c r="Q13">
        <v>21543490</v>
      </c>
      <c r="R13">
        <v>28879</v>
      </c>
      <c r="S13">
        <v>663485</v>
      </c>
      <c r="T13">
        <v>822985</v>
      </c>
      <c r="U13">
        <v>43683033</v>
      </c>
      <c r="V13">
        <v>135537</v>
      </c>
      <c r="W13">
        <v>71086</v>
      </c>
      <c r="X13">
        <v>101518</v>
      </c>
      <c r="Y13">
        <v>5525421</v>
      </c>
      <c r="Z13">
        <v>67406</v>
      </c>
      <c r="AA13">
        <v>9313</v>
      </c>
      <c r="AB13">
        <v>11175</v>
      </c>
      <c r="AC13">
        <v>811066</v>
      </c>
      <c r="AD13">
        <v>1601</v>
      </c>
      <c r="AE13">
        <v>475</v>
      </c>
      <c r="AF13">
        <v>40247</v>
      </c>
      <c r="AG13">
        <v>3654100</v>
      </c>
      <c r="AH13">
        <v>1510</v>
      </c>
    </row>
    <row r="14" spans="1:34" x14ac:dyDescent="0.4">
      <c r="A14" s="1" t="s">
        <v>16</v>
      </c>
      <c r="B14" s="1" t="s">
        <v>17</v>
      </c>
      <c r="C14">
        <v>74058</v>
      </c>
      <c r="D14">
        <v>131713</v>
      </c>
      <c r="E14">
        <v>580195</v>
      </c>
      <c r="F14">
        <v>598252</v>
      </c>
      <c r="G14">
        <v>10076</v>
      </c>
      <c r="H14">
        <v>10643</v>
      </c>
      <c r="I14">
        <v>2046923</v>
      </c>
      <c r="J14">
        <v>11559</v>
      </c>
      <c r="K14">
        <v>108749</v>
      </c>
      <c r="L14">
        <v>124550</v>
      </c>
      <c r="M14">
        <v>5896085</v>
      </c>
      <c r="N14">
        <v>87513</v>
      </c>
      <c r="O14">
        <v>27163</v>
      </c>
      <c r="P14">
        <v>29227</v>
      </c>
      <c r="Q14">
        <v>2112861</v>
      </c>
      <c r="R14">
        <v>27617</v>
      </c>
      <c r="S14">
        <v>64106</v>
      </c>
      <c r="T14">
        <v>78082</v>
      </c>
      <c r="U14">
        <v>4595885</v>
      </c>
      <c r="V14">
        <v>135772</v>
      </c>
      <c r="W14">
        <v>7461</v>
      </c>
      <c r="X14">
        <v>13183</v>
      </c>
      <c r="Y14">
        <v>593316</v>
      </c>
      <c r="Z14">
        <v>63740</v>
      </c>
      <c r="AA14">
        <v>999</v>
      </c>
      <c r="AB14">
        <v>743</v>
      </c>
      <c r="AC14">
        <v>68863</v>
      </c>
      <c r="AD14">
        <v>1954</v>
      </c>
      <c r="AE14">
        <v>36</v>
      </c>
      <c r="AF14">
        <v>4065</v>
      </c>
      <c r="AG14">
        <v>358707</v>
      </c>
      <c r="AH14">
        <v>2616</v>
      </c>
    </row>
    <row r="15" spans="1:34" x14ac:dyDescent="0.4">
      <c r="A15" s="1" t="s">
        <v>18</v>
      </c>
      <c r="B15" s="1" t="s">
        <v>19</v>
      </c>
      <c r="C15">
        <v>77124</v>
      </c>
      <c r="D15">
        <v>90431</v>
      </c>
      <c r="E15">
        <v>397000</v>
      </c>
      <c r="F15">
        <v>601734</v>
      </c>
      <c r="G15">
        <v>10243</v>
      </c>
      <c r="H15">
        <v>9532</v>
      </c>
      <c r="I15">
        <v>1705991</v>
      </c>
      <c r="J15">
        <v>11626</v>
      </c>
      <c r="K15">
        <v>101780</v>
      </c>
      <c r="L15">
        <v>110099</v>
      </c>
      <c r="M15">
        <v>5215066</v>
      </c>
      <c r="N15">
        <v>79299</v>
      </c>
      <c r="O15">
        <v>27073</v>
      </c>
      <c r="P15">
        <v>25559</v>
      </c>
      <c r="Q15">
        <v>1812440</v>
      </c>
      <c r="R15">
        <v>29513</v>
      </c>
      <c r="S15">
        <v>63948</v>
      </c>
      <c r="T15">
        <v>75481</v>
      </c>
      <c r="U15">
        <v>4087072</v>
      </c>
      <c r="V15">
        <v>135544</v>
      </c>
      <c r="W15">
        <v>7725</v>
      </c>
      <c r="X15">
        <v>12333</v>
      </c>
      <c r="Y15">
        <v>646540</v>
      </c>
      <c r="Z15">
        <v>61683</v>
      </c>
      <c r="AA15">
        <v>866</v>
      </c>
      <c r="AB15">
        <v>1446</v>
      </c>
      <c r="AC15">
        <v>93994</v>
      </c>
      <c r="AD15">
        <v>1544</v>
      </c>
      <c r="AE15">
        <v>36</v>
      </c>
      <c r="AF15">
        <v>4253</v>
      </c>
      <c r="AG15">
        <v>371567</v>
      </c>
      <c r="AH15">
        <v>2324</v>
      </c>
    </row>
    <row r="16" spans="1:34" x14ac:dyDescent="0.4">
      <c r="A16" s="1" t="s">
        <v>20</v>
      </c>
      <c r="B16" s="1" t="s">
        <v>21</v>
      </c>
      <c r="C16">
        <v>60503</v>
      </c>
      <c r="D16">
        <v>59802</v>
      </c>
      <c r="E16">
        <v>263763</v>
      </c>
      <c r="F16">
        <v>637360</v>
      </c>
      <c r="G16">
        <v>9229</v>
      </c>
      <c r="H16">
        <v>8112</v>
      </c>
      <c r="I16">
        <v>1409903</v>
      </c>
      <c r="J16">
        <v>12095</v>
      </c>
      <c r="K16">
        <v>99375</v>
      </c>
      <c r="L16">
        <v>104251</v>
      </c>
      <c r="M16">
        <v>5046288</v>
      </c>
      <c r="N16">
        <v>74573</v>
      </c>
      <c r="O16">
        <v>26290</v>
      </c>
      <c r="P16">
        <v>24705</v>
      </c>
      <c r="Q16">
        <v>1708556</v>
      </c>
      <c r="R16">
        <v>31325</v>
      </c>
      <c r="S16">
        <v>59224</v>
      </c>
      <c r="T16">
        <v>66785</v>
      </c>
      <c r="U16">
        <v>3926602</v>
      </c>
      <c r="V16">
        <v>137520</v>
      </c>
      <c r="W16">
        <v>5472</v>
      </c>
      <c r="X16">
        <v>6870</v>
      </c>
      <c r="Y16">
        <v>435360</v>
      </c>
      <c r="Z16">
        <v>62114</v>
      </c>
      <c r="AA16">
        <v>1211</v>
      </c>
      <c r="AB16">
        <v>901</v>
      </c>
      <c r="AC16">
        <v>71738</v>
      </c>
      <c r="AD16">
        <v>2026</v>
      </c>
      <c r="AE16">
        <v>44</v>
      </c>
      <c r="AF16">
        <v>3387</v>
      </c>
      <c r="AG16">
        <v>301657</v>
      </c>
      <c r="AH16">
        <v>2660</v>
      </c>
    </row>
    <row r="17" spans="1:34" x14ac:dyDescent="0.4">
      <c r="A17" s="1" t="s">
        <v>22</v>
      </c>
      <c r="B17" s="1" t="s">
        <v>23</v>
      </c>
      <c r="C17">
        <v>65555</v>
      </c>
      <c r="D17">
        <v>66935</v>
      </c>
      <c r="E17">
        <v>287521</v>
      </c>
      <c r="F17">
        <v>663460</v>
      </c>
      <c r="G17">
        <v>10305</v>
      </c>
      <c r="H17">
        <v>8690</v>
      </c>
      <c r="I17">
        <v>1526018</v>
      </c>
      <c r="J17">
        <v>12821</v>
      </c>
      <c r="K17">
        <v>94347</v>
      </c>
      <c r="L17">
        <v>97437</v>
      </c>
      <c r="M17">
        <v>4651502</v>
      </c>
      <c r="N17">
        <v>70733</v>
      </c>
      <c r="O17">
        <v>25144</v>
      </c>
      <c r="P17">
        <v>24316</v>
      </c>
      <c r="Q17">
        <v>1762075</v>
      </c>
      <c r="R17">
        <v>31997</v>
      </c>
      <c r="S17">
        <v>61504</v>
      </c>
      <c r="T17">
        <v>73960</v>
      </c>
      <c r="U17">
        <v>4157897</v>
      </c>
      <c r="V17">
        <v>137501</v>
      </c>
      <c r="W17">
        <v>4571</v>
      </c>
      <c r="X17">
        <v>6436</v>
      </c>
      <c r="Y17">
        <v>425191</v>
      </c>
      <c r="Z17">
        <v>62190</v>
      </c>
      <c r="AA17">
        <v>577</v>
      </c>
      <c r="AB17">
        <v>1244</v>
      </c>
      <c r="AC17">
        <v>71551</v>
      </c>
      <c r="AD17">
        <v>1529</v>
      </c>
      <c r="AE17">
        <v>36</v>
      </c>
      <c r="AF17">
        <v>3234</v>
      </c>
      <c r="AG17">
        <v>289231</v>
      </c>
      <c r="AH17">
        <v>2329</v>
      </c>
    </row>
    <row r="18" spans="1:34" x14ac:dyDescent="0.4">
      <c r="A18" s="1" t="s">
        <v>24</v>
      </c>
      <c r="B18" s="1" t="s">
        <v>25</v>
      </c>
      <c r="C18">
        <v>86300</v>
      </c>
      <c r="D18">
        <v>83216</v>
      </c>
      <c r="E18">
        <v>368268</v>
      </c>
      <c r="F18">
        <v>702836</v>
      </c>
      <c r="G18">
        <v>10373</v>
      </c>
      <c r="H18">
        <v>8974</v>
      </c>
      <c r="I18">
        <v>1609574</v>
      </c>
      <c r="J18">
        <v>13431</v>
      </c>
      <c r="K18">
        <v>111365</v>
      </c>
      <c r="L18">
        <v>104015</v>
      </c>
      <c r="M18">
        <v>4912511</v>
      </c>
      <c r="N18">
        <v>77806</v>
      </c>
      <c r="O18">
        <v>25467</v>
      </c>
      <c r="P18">
        <v>26552</v>
      </c>
      <c r="Q18">
        <v>1904581</v>
      </c>
      <c r="R18">
        <v>31143</v>
      </c>
      <c r="S18">
        <v>65628</v>
      </c>
      <c r="T18">
        <v>77547</v>
      </c>
      <c r="U18">
        <v>4274295</v>
      </c>
      <c r="V18">
        <v>139825</v>
      </c>
      <c r="W18">
        <v>4496</v>
      </c>
      <c r="X18">
        <v>5303</v>
      </c>
      <c r="Y18">
        <v>380346</v>
      </c>
      <c r="Z18">
        <v>63045</v>
      </c>
      <c r="AA18">
        <v>569</v>
      </c>
      <c r="AB18">
        <v>798</v>
      </c>
      <c r="AC18">
        <v>71885</v>
      </c>
      <c r="AD18">
        <v>1443</v>
      </c>
      <c r="AE18">
        <v>41</v>
      </c>
      <c r="AF18">
        <v>3519</v>
      </c>
      <c r="AG18">
        <v>310909</v>
      </c>
      <c r="AH18">
        <v>2417</v>
      </c>
    </row>
    <row r="19" spans="1:34" x14ac:dyDescent="0.4">
      <c r="A19" s="1" t="s">
        <v>26</v>
      </c>
      <c r="B19" s="1" t="s">
        <v>27</v>
      </c>
      <c r="C19">
        <v>65228</v>
      </c>
      <c r="D19">
        <v>68035</v>
      </c>
      <c r="E19">
        <v>247577</v>
      </c>
      <c r="F19">
        <v>735217</v>
      </c>
      <c r="G19">
        <v>8194</v>
      </c>
      <c r="H19">
        <v>6863</v>
      </c>
      <c r="I19">
        <v>1277367</v>
      </c>
      <c r="J19">
        <v>14155</v>
      </c>
      <c r="K19">
        <v>88802</v>
      </c>
      <c r="L19">
        <v>81754</v>
      </c>
      <c r="M19">
        <v>4008496</v>
      </c>
      <c r="N19">
        <v>84845</v>
      </c>
      <c r="O19">
        <v>25562</v>
      </c>
      <c r="P19">
        <v>21537</v>
      </c>
      <c r="Q19">
        <v>1472405</v>
      </c>
      <c r="R19">
        <v>35239</v>
      </c>
      <c r="S19">
        <v>62295</v>
      </c>
      <c r="T19">
        <v>70086</v>
      </c>
      <c r="U19">
        <v>3863642</v>
      </c>
      <c r="V19">
        <v>146682</v>
      </c>
      <c r="W19">
        <v>3551</v>
      </c>
      <c r="X19">
        <v>7452</v>
      </c>
      <c r="Y19">
        <v>453267</v>
      </c>
      <c r="Z19">
        <v>61502</v>
      </c>
      <c r="AA19">
        <v>688</v>
      </c>
      <c r="AB19">
        <v>766</v>
      </c>
      <c r="AC19">
        <v>57486</v>
      </c>
      <c r="AD19">
        <v>1514</v>
      </c>
      <c r="AE19">
        <v>37</v>
      </c>
      <c r="AF19">
        <v>3504</v>
      </c>
      <c r="AG19">
        <v>189693</v>
      </c>
      <c r="AH19">
        <v>2735</v>
      </c>
    </row>
    <row r="20" spans="1:34" x14ac:dyDescent="0.4">
      <c r="A20" s="1" t="s">
        <v>28</v>
      </c>
      <c r="B20" s="1" t="s">
        <v>29</v>
      </c>
      <c r="C20">
        <v>74508</v>
      </c>
      <c r="D20">
        <v>88803</v>
      </c>
      <c r="E20">
        <v>368931</v>
      </c>
      <c r="F20">
        <v>759083</v>
      </c>
      <c r="G20">
        <v>9423</v>
      </c>
      <c r="H20">
        <v>7881</v>
      </c>
      <c r="I20">
        <v>1441441</v>
      </c>
      <c r="J20">
        <v>14864</v>
      </c>
      <c r="K20">
        <v>106828</v>
      </c>
      <c r="L20">
        <v>112270</v>
      </c>
      <c r="M20">
        <v>5051493</v>
      </c>
      <c r="N20">
        <v>78969</v>
      </c>
      <c r="O20">
        <v>25066</v>
      </c>
      <c r="P20">
        <v>26984</v>
      </c>
      <c r="Q20">
        <v>1860306</v>
      </c>
      <c r="R20">
        <v>33808</v>
      </c>
      <c r="S20">
        <v>68838</v>
      </c>
      <c r="T20">
        <v>76568</v>
      </c>
      <c r="U20">
        <v>4299741</v>
      </c>
      <c r="V20">
        <v>148969</v>
      </c>
      <c r="W20">
        <v>4415</v>
      </c>
      <c r="X20">
        <v>6701</v>
      </c>
      <c r="Y20">
        <v>408558</v>
      </c>
      <c r="Z20">
        <v>62333</v>
      </c>
      <c r="AA20">
        <v>569</v>
      </c>
      <c r="AB20">
        <v>925</v>
      </c>
      <c r="AC20">
        <v>72587</v>
      </c>
      <c r="AD20">
        <v>1327</v>
      </c>
      <c r="AE20">
        <v>36</v>
      </c>
      <c r="AF20">
        <v>3704</v>
      </c>
      <c r="AG20">
        <v>313718</v>
      </c>
      <c r="AH20">
        <v>2635</v>
      </c>
    </row>
    <row r="21" spans="1:34" x14ac:dyDescent="0.4">
      <c r="A21" s="1" t="s">
        <v>30</v>
      </c>
      <c r="B21" s="1" t="s">
        <v>31</v>
      </c>
      <c r="C21">
        <v>81393</v>
      </c>
      <c r="D21">
        <v>116564</v>
      </c>
      <c r="E21">
        <v>460636</v>
      </c>
      <c r="F21">
        <v>789620</v>
      </c>
      <c r="G21">
        <v>9615</v>
      </c>
      <c r="H21">
        <v>9001</v>
      </c>
      <c r="I21">
        <v>1605486</v>
      </c>
      <c r="J21">
        <v>14933</v>
      </c>
      <c r="K21">
        <v>103920</v>
      </c>
      <c r="L21">
        <v>103369</v>
      </c>
      <c r="M21">
        <v>4888852</v>
      </c>
      <c r="N21">
        <v>79200</v>
      </c>
      <c r="O21">
        <v>26396</v>
      </c>
      <c r="P21">
        <v>27542</v>
      </c>
      <c r="Q21">
        <v>1918343</v>
      </c>
      <c r="R21">
        <v>33064</v>
      </c>
      <c r="S21">
        <v>73675</v>
      </c>
      <c r="T21">
        <v>85166</v>
      </c>
      <c r="U21">
        <v>4615647</v>
      </c>
      <c r="V21">
        <v>148624</v>
      </c>
      <c r="W21">
        <v>4556</v>
      </c>
      <c r="X21">
        <v>5260</v>
      </c>
      <c r="Y21">
        <v>340016</v>
      </c>
      <c r="Z21">
        <v>64512</v>
      </c>
      <c r="AA21">
        <v>615</v>
      </c>
      <c r="AB21">
        <v>707</v>
      </c>
      <c r="AC21">
        <v>54538</v>
      </c>
      <c r="AD21">
        <v>1405</v>
      </c>
      <c r="AE21">
        <v>36</v>
      </c>
      <c r="AF21">
        <v>3960</v>
      </c>
      <c r="AG21">
        <v>316649</v>
      </c>
      <c r="AH21">
        <v>2957</v>
      </c>
    </row>
    <row r="22" spans="1:34" x14ac:dyDescent="0.4">
      <c r="A22" s="1" t="s">
        <v>32</v>
      </c>
      <c r="B22" s="1" t="s">
        <v>33</v>
      </c>
      <c r="C22">
        <v>67236</v>
      </c>
      <c r="D22">
        <v>140208</v>
      </c>
      <c r="E22">
        <v>590991</v>
      </c>
      <c r="F22">
        <v>761741</v>
      </c>
      <c r="G22">
        <v>9643</v>
      </c>
      <c r="H22">
        <v>8950</v>
      </c>
      <c r="I22">
        <v>1861171</v>
      </c>
      <c r="J22">
        <v>15251</v>
      </c>
      <c r="K22">
        <v>101615</v>
      </c>
      <c r="L22">
        <v>93004</v>
      </c>
      <c r="M22">
        <v>4453672</v>
      </c>
      <c r="N22">
        <v>87770</v>
      </c>
      <c r="O22">
        <v>26145</v>
      </c>
      <c r="P22">
        <v>25536</v>
      </c>
      <c r="Q22">
        <v>1707423</v>
      </c>
      <c r="R22">
        <v>34109</v>
      </c>
      <c r="S22">
        <v>60380</v>
      </c>
      <c r="T22">
        <v>70380</v>
      </c>
      <c r="U22">
        <v>3753560</v>
      </c>
      <c r="V22">
        <v>153386</v>
      </c>
      <c r="W22">
        <v>5950</v>
      </c>
      <c r="X22">
        <v>6226</v>
      </c>
      <c r="Y22">
        <v>359943</v>
      </c>
      <c r="Z22">
        <v>67025</v>
      </c>
      <c r="AA22">
        <v>603</v>
      </c>
      <c r="AB22">
        <v>687</v>
      </c>
      <c r="AC22">
        <v>58236</v>
      </c>
      <c r="AD22">
        <v>1491</v>
      </c>
      <c r="AE22">
        <v>36</v>
      </c>
      <c r="AF22">
        <v>4254</v>
      </c>
      <c r="AG22">
        <v>340773</v>
      </c>
      <c r="AH22">
        <v>3165</v>
      </c>
    </row>
    <row r="23" spans="1:34" x14ac:dyDescent="0.4">
      <c r="A23" s="1" t="s">
        <v>34</v>
      </c>
      <c r="B23" s="1" t="s">
        <v>35</v>
      </c>
      <c r="C23">
        <v>23850</v>
      </c>
      <c r="D23">
        <v>147617</v>
      </c>
      <c r="E23">
        <v>653585</v>
      </c>
      <c r="F23">
        <v>688290</v>
      </c>
      <c r="G23">
        <v>8336</v>
      </c>
      <c r="H23">
        <v>8961</v>
      </c>
      <c r="I23">
        <v>1806327</v>
      </c>
      <c r="J23">
        <v>13853</v>
      </c>
      <c r="K23">
        <v>99670</v>
      </c>
      <c r="L23">
        <v>97607</v>
      </c>
      <c r="M23">
        <v>4602132</v>
      </c>
      <c r="N23">
        <v>89407</v>
      </c>
      <c r="O23">
        <v>22606</v>
      </c>
      <c r="P23">
        <v>26772</v>
      </c>
      <c r="Q23">
        <v>1867881</v>
      </c>
      <c r="R23">
        <v>30484</v>
      </c>
      <c r="S23">
        <v>65151</v>
      </c>
      <c r="T23">
        <v>84278</v>
      </c>
      <c r="U23">
        <v>4615321</v>
      </c>
      <c r="V23">
        <v>149370</v>
      </c>
      <c r="W23">
        <v>5930</v>
      </c>
      <c r="X23">
        <v>10862</v>
      </c>
      <c r="Y23">
        <v>519508</v>
      </c>
      <c r="Z23">
        <v>64821</v>
      </c>
      <c r="AA23">
        <v>577</v>
      </c>
      <c r="AB23">
        <v>724</v>
      </c>
      <c r="AC23">
        <v>63578</v>
      </c>
      <c r="AD23">
        <v>1514</v>
      </c>
      <c r="AE23">
        <v>46</v>
      </c>
      <c r="AF23">
        <v>3737</v>
      </c>
      <c r="AG23">
        <v>322374</v>
      </c>
      <c r="AH23">
        <v>2364</v>
      </c>
    </row>
    <row r="24" spans="1:34" x14ac:dyDescent="0.4">
      <c r="A24" s="1" t="s">
        <v>36</v>
      </c>
      <c r="B24" s="1" t="s">
        <v>37</v>
      </c>
      <c r="C24">
        <v>30310</v>
      </c>
      <c r="D24">
        <v>137371</v>
      </c>
      <c r="E24">
        <v>611109</v>
      </c>
      <c r="F24">
        <v>620913</v>
      </c>
      <c r="G24">
        <v>9536</v>
      </c>
      <c r="H24">
        <v>8705</v>
      </c>
      <c r="I24">
        <v>1671602</v>
      </c>
      <c r="J24">
        <v>13977</v>
      </c>
      <c r="K24">
        <v>98213</v>
      </c>
      <c r="L24">
        <v>94641</v>
      </c>
      <c r="M24">
        <v>4575391</v>
      </c>
      <c r="N24">
        <v>88194</v>
      </c>
      <c r="O24">
        <v>25404</v>
      </c>
      <c r="P24">
        <v>24530</v>
      </c>
      <c r="Q24">
        <v>1758550</v>
      </c>
      <c r="R24">
        <v>31432</v>
      </c>
      <c r="S24">
        <v>56963</v>
      </c>
      <c r="T24">
        <v>67336</v>
      </c>
      <c r="U24">
        <v>3729246</v>
      </c>
      <c r="V24">
        <v>150311</v>
      </c>
      <c r="W24">
        <v>5980</v>
      </c>
      <c r="X24">
        <v>10654</v>
      </c>
      <c r="Y24">
        <v>487919</v>
      </c>
      <c r="Z24">
        <v>63547</v>
      </c>
      <c r="AA24">
        <v>1107</v>
      </c>
      <c r="AB24">
        <v>937</v>
      </c>
      <c r="AC24">
        <v>80518</v>
      </c>
      <c r="AD24">
        <v>1799</v>
      </c>
      <c r="AE24">
        <v>57</v>
      </c>
      <c r="AF24">
        <v>3269</v>
      </c>
      <c r="AG24">
        <v>357288</v>
      </c>
      <c r="AH24">
        <v>2458</v>
      </c>
    </row>
    <row r="25" spans="1:34" x14ac:dyDescent="0.4">
      <c r="A25" s="1" t="s">
        <v>38</v>
      </c>
      <c r="B25" s="1" t="s">
        <v>39</v>
      </c>
      <c r="C25">
        <v>56438</v>
      </c>
      <c r="D25">
        <v>134854</v>
      </c>
      <c r="E25">
        <v>592322</v>
      </c>
      <c r="F25">
        <v>592523</v>
      </c>
      <c r="G25">
        <v>10660</v>
      </c>
      <c r="H25">
        <v>9910</v>
      </c>
      <c r="I25">
        <v>2048505</v>
      </c>
      <c r="J25">
        <v>14076</v>
      </c>
      <c r="K25">
        <v>102800</v>
      </c>
      <c r="L25">
        <v>101513</v>
      </c>
      <c r="M25">
        <v>4551435</v>
      </c>
      <c r="N25">
        <v>89355</v>
      </c>
      <c r="O25">
        <v>25680</v>
      </c>
      <c r="P25">
        <v>25195</v>
      </c>
      <c r="Q25">
        <v>1873145</v>
      </c>
      <c r="R25">
        <v>32189</v>
      </c>
      <c r="S25">
        <v>58056</v>
      </c>
      <c r="T25">
        <v>74452</v>
      </c>
      <c r="U25">
        <v>3972384</v>
      </c>
      <c r="V25">
        <v>146981</v>
      </c>
      <c r="W25">
        <v>6518</v>
      </c>
      <c r="X25">
        <v>12599</v>
      </c>
      <c r="Y25">
        <v>549599</v>
      </c>
      <c r="Z25">
        <v>60997</v>
      </c>
      <c r="AA25">
        <v>1218</v>
      </c>
      <c r="AB25">
        <v>1196</v>
      </c>
      <c r="AC25">
        <v>73599</v>
      </c>
      <c r="AD25">
        <v>1991</v>
      </c>
      <c r="AE25">
        <v>36</v>
      </c>
      <c r="AF25">
        <v>3319</v>
      </c>
      <c r="AG25">
        <v>299000</v>
      </c>
      <c r="AH25">
        <v>2397</v>
      </c>
    </row>
    <row r="26" spans="1:34" x14ac:dyDescent="0.4">
      <c r="A26" s="1" t="s">
        <v>40</v>
      </c>
      <c r="B26" s="1" t="s">
        <v>41</v>
      </c>
      <c r="C26">
        <v>63880</v>
      </c>
      <c r="D26">
        <v>142468</v>
      </c>
      <c r="E26">
        <v>617593</v>
      </c>
      <c r="F26">
        <v>541167</v>
      </c>
      <c r="G26">
        <v>10198</v>
      </c>
      <c r="H26">
        <v>10609</v>
      </c>
      <c r="I26">
        <v>2161715</v>
      </c>
      <c r="J26">
        <v>13092</v>
      </c>
      <c r="K26">
        <v>105776</v>
      </c>
      <c r="L26">
        <v>118652</v>
      </c>
      <c r="M26">
        <v>5747928</v>
      </c>
      <c r="N26">
        <v>76436</v>
      </c>
      <c r="O26">
        <v>26635</v>
      </c>
      <c r="P26">
        <v>28336</v>
      </c>
      <c r="Q26">
        <v>2095666</v>
      </c>
      <c r="R26">
        <v>31108</v>
      </c>
      <c r="S26">
        <v>57394</v>
      </c>
      <c r="T26">
        <v>74513</v>
      </c>
      <c r="U26">
        <v>4088171</v>
      </c>
      <c r="V26">
        <v>141335</v>
      </c>
      <c r="W26">
        <v>8201</v>
      </c>
      <c r="X26">
        <v>12336</v>
      </c>
      <c r="Y26">
        <v>584199</v>
      </c>
      <c r="Z26">
        <v>59361</v>
      </c>
      <c r="AA26">
        <v>607</v>
      </c>
      <c r="AB26">
        <v>1578</v>
      </c>
      <c r="AC26">
        <v>91897</v>
      </c>
      <c r="AD26">
        <v>1211</v>
      </c>
      <c r="AE26">
        <v>36</v>
      </c>
      <c r="AF26">
        <v>2919</v>
      </c>
      <c r="AG26">
        <v>273058</v>
      </c>
      <c r="AH26">
        <v>2613</v>
      </c>
    </row>
    <row r="27" spans="1:34" x14ac:dyDescent="0.4">
      <c r="A27" s="1" t="s">
        <v>42</v>
      </c>
      <c r="B27" s="1" t="s">
        <v>43</v>
      </c>
      <c r="C27">
        <v>55712</v>
      </c>
      <c r="D27">
        <v>94956</v>
      </c>
      <c r="E27">
        <v>414594</v>
      </c>
      <c r="F27">
        <v>526079</v>
      </c>
      <c r="G27">
        <v>8958</v>
      </c>
      <c r="H27">
        <v>7990</v>
      </c>
      <c r="I27">
        <v>1445923</v>
      </c>
      <c r="J27">
        <v>13318</v>
      </c>
      <c r="K27">
        <v>105113</v>
      </c>
      <c r="L27">
        <v>104169</v>
      </c>
      <c r="M27">
        <v>4753386</v>
      </c>
      <c r="N27">
        <v>77079</v>
      </c>
      <c r="O27">
        <v>25474</v>
      </c>
      <c r="P27">
        <v>28197</v>
      </c>
      <c r="Q27">
        <v>1967697</v>
      </c>
      <c r="R27">
        <v>28677</v>
      </c>
      <c r="S27">
        <v>58766</v>
      </c>
      <c r="T27">
        <v>75783</v>
      </c>
      <c r="U27">
        <v>3946571</v>
      </c>
      <c r="V27">
        <v>138868</v>
      </c>
      <c r="W27">
        <v>6919</v>
      </c>
      <c r="X27">
        <v>11627</v>
      </c>
      <c r="Y27">
        <v>635425</v>
      </c>
      <c r="Z27">
        <v>55989</v>
      </c>
      <c r="AA27">
        <v>708</v>
      </c>
      <c r="AB27">
        <v>881</v>
      </c>
      <c r="AC27">
        <v>80720</v>
      </c>
      <c r="AD27">
        <v>1209</v>
      </c>
      <c r="AE27">
        <v>36</v>
      </c>
      <c r="AF27">
        <v>3688</v>
      </c>
      <c r="AG27">
        <v>330763</v>
      </c>
      <c r="AH27">
        <v>2309</v>
      </c>
    </row>
    <row r="28" spans="1:34" x14ac:dyDescent="0.4">
      <c r="A28" s="1" t="s">
        <v>44</v>
      </c>
      <c r="B28" s="1" t="s">
        <v>45</v>
      </c>
      <c r="C28">
        <v>55302</v>
      </c>
      <c r="D28">
        <v>58641</v>
      </c>
      <c r="E28">
        <v>255533</v>
      </c>
      <c r="F28">
        <v>554168</v>
      </c>
      <c r="G28">
        <v>8968</v>
      </c>
      <c r="H28">
        <v>7482</v>
      </c>
      <c r="I28">
        <v>1275373</v>
      </c>
      <c r="J28">
        <v>13964</v>
      </c>
      <c r="K28">
        <v>102631</v>
      </c>
      <c r="L28">
        <v>99895</v>
      </c>
      <c r="M28">
        <v>4334374</v>
      </c>
      <c r="N28">
        <v>79764</v>
      </c>
      <c r="O28">
        <v>25825</v>
      </c>
      <c r="P28">
        <v>24225</v>
      </c>
      <c r="Q28">
        <v>1678208</v>
      </c>
      <c r="R28">
        <v>30281</v>
      </c>
      <c r="S28">
        <v>50436</v>
      </c>
      <c r="T28">
        <v>62256</v>
      </c>
      <c r="U28">
        <v>3224088</v>
      </c>
      <c r="V28">
        <v>139868</v>
      </c>
      <c r="W28">
        <v>6330</v>
      </c>
      <c r="X28">
        <v>5438</v>
      </c>
      <c r="Y28">
        <v>421140</v>
      </c>
      <c r="Z28">
        <v>58399</v>
      </c>
      <c r="AA28">
        <v>1051</v>
      </c>
      <c r="AB28">
        <v>755</v>
      </c>
      <c r="AC28">
        <v>65355</v>
      </c>
      <c r="AD28">
        <v>1667</v>
      </c>
      <c r="AE28">
        <v>36</v>
      </c>
      <c r="AF28">
        <v>3882</v>
      </c>
      <c r="AG28">
        <v>313033</v>
      </c>
      <c r="AH28">
        <v>2491</v>
      </c>
    </row>
    <row r="29" spans="1:34" x14ac:dyDescent="0.4">
      <c r="A29" s="1" t="s">
        <v>46</v>
      </c>
      <c r="B29" s="1" t="s">
        <v>47</v>
      </c>
      <c r="C29">
        <v>64544</v>
      </c>
      <c r="D29">
        <v>67860</v>
      </c>
      <c r="E29">
        <v>306772</v>
      </c>
      <c r="F29">
        <v>568348</v>
      </c>
      <c r="G29">
        <v>9313</v>
      </c>
      <c r="H29">
        <v>8170</v>
      </c>
      <c r="I29">
        <v>1418708</v>
      </c>
      <c r="J29">
        <v>14463</v>
      </c>
      <c r="K29">
        <v>103853</v>
      </c>
      <c r="L29">
        <v>107565</v>
      </c>
      <c r="M29">
        <v>4738400</v>
      </c>
      <c r="N29">
        <v>74763</v>
      </c>
      <c r="O29">
        <v>23812</v>
      </c>
      <c r="P29">
        <v>25778</v>
      </c>
      <c r="Q29">
        <v>1775878</v>
      </c>
      <c r="R29">
        <v>28342</v>
      </c>
      <c r="S29">
        <v>55896</v>
      </c>
      <c r="T29">
        <v>68968</v>
      </c>
      <c r="U29">
        <v>3427251</v>
      </c>
      <c r="V29">
        <v>137068</v>
      </c>
      <c r="W29">
        <v>5458</v>
      </c>
      <c r="X29">
        <v>6016</v>
      </c>
      <c r="Y29">
        <v>408455</v>
      </c>
      <c r="Z29">
        <v>59565</v>
      </c>
      <c r="AA29">
        <v>513</v>
      </c>
      <c r="AB29">
        <v>1137</v>
      </c>
      <c r="AC29">
        <v>56915</v>
      </c>
      <c r="AD29">
        <v>1212</v>
      </c>
      <c r="AE29">
        <v>43</v>
      </c>
      <c r="AF29">
        <v>3477</v>
      </c>
      <c r="AG29">
        <v>306861</v>
      </c>
      <c r="AH29">
        <v>2367</v>
      </c>
    </row>
    <row r="30" spans="1:34" x14ac:dyDescent="0.4">
      <c r="A30" s="1" t="s">
        <v>48</v>
      </c>
      <c r="B30" s="1" t="s">
        <v>49</v>
      </c>
      <c r="C30">
        <v>81971</v>
      </c>
      <c r="D30">
        <v>76245</v>
      </c>
      <c r="E30">
        <v>344321</v>
      </c>
      <c r="F30">
        <v>599855</v>
      </c>
      <c r="G30">
        <v>10043</v>
      </c>
      <c r="H30">
        <v>9096</v>
      </c>
      <c r="I30">
        <v>1553731</v>
      </c>
      <c r="J30">
        <v>14623</v>
      </c>
      <c r="K30">
        <v>107022</v>
      </c>
      <c r="L30">
        <v>101188</v>
      </c>
      <c r="M30">
        <v>4800183</v>
      </c>
      <c r="N30">
        <v>81612</v>
      </c>
      <c r="O30">
        <v>27055</v>
      </c>
      <c r="P30">
        <v>25074</v>
      </c>
      <c r="Q30">
        <v>1761971</v>
      </c>
      <c r="R30">
        <v>30442</v>
      </c>
      <c r="S30">
        <v>55209</v>
      </c>
      <c r="T30">
        <v>64360</v>
      </c>
      <c r="U30">
        <v>3357367</v>
      </c>
      <c r="V30">
        <v>138702</v>
      </c>
      <c r="W30">
        <v>5274</v>
      </c>
      <c r="X30">
        <v>6531</v>
      </c>
      <c r="Y30">
        <v>409259</v>
      </c>
      <c r="Z30">
        <v>60910</v>
      </c>
      <c r="AA30">
        <v>468</v>
      </c>
      <c r="AB30">
        <v>639</v>
      </c>
      <c r="AC30">
        <v>50738</v>
      </c>
      <c r="AD30">
        <v>1210</v>
      </c>
      <c r="AE30">
        <v>36</v>
      </c>
      <c r="AF30">
        <v>3401</v>
      </c>
      <c r="AG30">
        <v>297612</v>
      </c>
      <c r="AH30">
        <v>2447</v>
      </c>
    </row>
    <row r="31" spans="1:34" x14ac:dyDescent="0.4">
      <c r="A31" s="1" t="s">
        <v>50</v>
      </c>
      <c r="B31" s="1" t="s">
        <v>51</v>
      </c>
      <c r="C31">
        <v>68461</v>
      </c>
      <c r="D31">
        <v>69443</v>
      </c>
      <c r="E31">
        <v>309205</v>
      </c>
      <c r="F31">
        <v>626230</v>
      </c>
      <c r="G31">
        <v>7884</v>
      </c>
      <c r="H31">
        <v>6465</v>
      </c>
      <c r="I31">
        <v>1297852</v>
      </c>
      <c r="J31">
        <v>15308</v>
      </c>
      <c r="K31">
        <v>94889</v>
      </c>
      <c r="L31">
        <v>97204</v>
      </c>
      <c r="M31">
        <v>4464178</v>
      </c>
      <c r="N31">
        <v>78833</v>
      </c>
      <c r="O31">
        <v>22259</v>
      </c>
      <c r="P31">
        <v>21884</v>
      </c>
      <c r="Q31">
        <v>1508933</v>
      </c>
      <c r="R31">
        <v>30964</v>
      </c>
      <c r="S31">
        <v>48463</v>
      </c>
      <c r="T31">
        <v>56594</v>
      </c>
      <c r="U31">
        <v>3069246</v>
      </c>
      <c r="V31">
        <v>141900</v>
      </c>
      <c r="W31">
        <v>4053</v>
      </c>
      <c r="X31">
        <v>6770</v>
      </c>
      <c r="Y31">
        <v>443196</v>
      </c>
      <c r="Z31">
        <v>60615</v>
      </c>
      <c r="AA31">
        <v>943</v>
      </c>
      <c r="AB31">
        <v>638</v>
      </c>
      <c r="AC31">
        <v>48871</v>
      </c>
      <c r="AD31">
        <v>1662</v>
      </c>
      <c r="AE31">
        <v>36</v>
      </c>
      <c r="AF31">
        <v>3521</v>
      </c>
      <c r="AG31">
        <v>295050</v>
      </c>
      <c r="AH31">
        <v>1988</v>
      </c>
    </row>
    <row r="32" spans="1:34" x14ac:dyDescent="0.4">
      <c r="A32" s="1" t="s">
        <v>52</v>
      </c>
      <c r="B32" s="1" t="s">
        <v>53</v>
      </c>
      <c r="C32">
        <v>70082</v>
      </c>
      <c r="D32">
        <v>78176</v>
      </c>
      <c r="E32">
        <v>348828</v>
      </c>
      <c r="F32">
        <v>644540</v>
      </c>
      <c r="G32">
        <v>8594</v>
      </c>
      <c r="H32">
        <v>7841</v>
      </c>
      <c r="I32">
        <v>1536789</v>
      </c>
      <c r="J32">
        <v>15174</v>
      </c>
      <c r="K32">
        <v>102265</v>
      </c>
      <c r="L32">
        <v>104512</v>
      </c>
      <c r="M32">
        <v>4839417</v>
      </c>
      <c r="N32">
        <v>78377</v>
      </c>
      <c r="O32">
        <v>23434</v>
      </c>
      <c r="P32">
        <v>24700</v>
      </c>
      <c r="Q32">
        <v>1863069</v>
      </c>
      <c r="R32">
        <v>29802</v>
      </c>
      <c r="S32">
        <v>57050</v>
      </c>
      <c r="T32">
        <v>70533</v>
      </c>
      <c r="U32">
        <v>3737160</v>
      </c>
      <c r="V32">
        <v>140966</v>
      </c>
      <c r="W32">
        <v>5030</v>
      </c>
      <c r="X32">
        <v>7445</v>
      </c>
      <c r="Y32">
        <v>401600</v>
      </c>
      <c r="Z32">
        <v>61837</v>
      </c>
      <c r="AA32">
        <v>494</v>
      </c>
      <c r="AB32">
        <v>1122</v>
      </c>
      <c r="AC32">
        <v>59481</v>
      </c>
      <c r="AD32">
        <v>1215</v>
      </c>
      <c r="AE32">
        <v>36</v>
      </c>
      <c r="AF32">
        <v>3412</v>
      </c>
      <c r="AG32">
        <v>286160</v>
      </c>
      <c r="AH32">
        <v>2168</v>
      </c>
    </row>
    <row r="33" spans="1:34" x14ac:dyDescent="0.4">
      <c r="A33" s="1" t="s">
        <v>54</v>
      </c>
      <c r="B33" s="1" t="s">
        <v>55</v>
      </c>
      <c r="C33">
        <v>67246</v>
      </c>
      <c r="D33">
        <v>118353</v>
      </c>
      <c r="E33">
        <v>491908</v>
      </c>
      <c r="F33">
        <v>642508</v>
      </c>
      <c r="G33">
        <v>10101</v>
      </c>
      <c r="H33">
        <v>8571</v>
      </c>
      <c r="I33">
        <v>1810279</v>
      </c>
      <c r="J33">
        <v>15801</v>
      </c>
      <c r="K33">
        <v>112722</v>
      </c>
      <c r="L33">
        <v>107875</v>
      </c>
      <c r="M33">
        <v>5104620</v>
      </c>
      <c r="N33">
        <v>82935</v>
      </c>
      <c r="O33">
        <v>23833</v>
      </c>
      <c r="P33">
        <v>23404</v>
      </c>
      <c r="Q33">
        <v>1665617</v>
      </c>
      <c r="R33">
        <v>30648</v>
      </c>
      <c r="S33">
        <v>59072</v>
      </c>
      <c r="T33">
        <v>68780</v>
      </c>
      <c r="U33">
        <v>3549023</v>
      </c>
      <c r="V33">
        <v>143767</v>
      </c>
      <c r="W33">
        <v>5220</v>
      </c>
      <c r="X33">
        <v>5282</v>
      </c>
      <c r="Y33">
        <v>332842</v>
      </c>
      <c r="Z33">
        <v>64727</v>
      </c>
      <c r="AA33">
        <v>601</v>
      </c>
      <c r="AB33">
        <v>829</v>
      </c>
      <c r="AC33">
        <v>75272</v>
      </c>
      <c r="AD33">
        <v>1138</v>
      </c>
      <c r="AE33">
        <v>36</v>
      </c>
      <c r="AF33">
        <v>3216</v>
      </c>
      <c r="AG33">
        <v>301692</v>
      </c>
      <c r="AH33">
        <v>1944</v>
      </c>
    </row>
    <row r="34" spans="1:34" x14ac:dyDescent="0.4">
      <c r="A34" s="1" t="s">
        <v>56</v>
      </c>
      <c r="B34" s="1" t="s">
        <v>57</v>
      </c>
      <c r="C34">
        <v>63870</v>
      </c>
      <c r="D34">
        <v>113748</v>
      </c>
      <c r="E34">
        <v>488628</v>
      </c>
      <c r="F34">
        <v>646690</v>
      </c>
      <c r="G34">
        <v>7479</v>
      </c>
      <c r="H34">
        <v>7506</v>
      </c>
      <c r="I34">
        <v>1813566</v>
      </c>
      <c r="J34">
        <v>15255</v>
      </c>
      <c r="K34">
        <v>101546</v>
      </c>
      <c r="L34">
        <v>97427</v>
      </c>
      <c r="M34">
        <v>4600816</v>
      </c>
      <c r="N34">
        <v>87174</v>
      </c>
      <c r="O34">
        <v>21887</v>
      </c>
      <c r="P34">
        <v>21574</v>
      </c>
      <c r="Q34">
        <v>1673936</v>
      </c>
      <c r="R34">
        <v>31235</v>
      </c>
      <c r="S34">
        <v>53075</v>
      </c>
      <c r="T34">
        <v>63123</v>
      </c>
      <c r="U34">
        <v>3536837</v>
      </c>
      <c r="V34">
        <v>144252</v>
      </c>
      <c r="W34">
        <v>5669</v>
      </c>
      <c r="X34">
        <v>5995</v>
      </c>
      <c r="Y34">
        <v>346193</v>
      </c>
      <c r="Z34">
        <v>67483</v>
      </c>
      <c r="AA34">
        <v>573</v>
      </c>
      <c r="AB34">
        <v>634</v>
      </c>
      <c r="AC34">
        <v>54362</v>
      </c>
      <c r="AD34">
        <v>1239</v>
      </c>
      <c r="AE34">
        <v>36</v>
      </c>
      <c r="AF34">
        <v>2774</v>
      </c>
      <c r="AG34">
        <v>268121</v>
      </c>
      <c r="AH34">
        <v>1786</v>
      </c>
    </row>
    <row r="35" spans="1:34" x14ac:dyDescent="0.4">
      <c r="A35" s="1" t="s">
        <v>58</v>
      </c>
      <c r="B35" s="1" t="s">
        <v>59</v>
      </c>
      <c r="C35">
        <v>56837</v>
      </c>
      <c r="D35">
        <v>149225</v>
      </c>
      <c r="E35">
        <v>651066</v>
      </c>
      <c r="F35">
        <v>629260</v>
      </c>
      <c r="G35">
        <v>9160</v>
      </c>
      <c r="H35">
        <v>8847</v>
      </c>
      <c r="I35">
        <v>2005125</v>
      </c>
      <c r="J35">
        <v>14587</v>
      </c>
      <c r="K35">
        <v>96992</v>
      </c>
      <c r="L35">
        <v>101026</v>
      </c>
      <c r="M35">
        <v>4969371</v>
      </c>
      <c r="N35">
        <v>83108</v>
      </c>
      <c r="O35">
        <v>24540</v>
      </c>
      <c r="P35">
        <v>26949</v>
      </c>
      <c r="Q35">
        <v>1920820</v>
      </c>
      <c r="R35">
        <v>28879</v>
      </c>
      <c r="S35">
        <v>53105</v>
      </c>
      <c r="T35">
        <v>76287</v>
      </c>
      <c r="U35">
        <v>4045689</v>
      </c>
      <c r="V35">
        <v>135537</v>
      </c>
      <c r="W35">
        <v>6434</v>
      </c>
      <c r="X35">
        <v>10825</v>
      </c>
      <c r="Y35">
        <v>505594</v>
      </c>
      <c r="Z35">
        <v>67406</v>
      </c>
      <c r="AA35">
        <v>1030</v>
      </c>
      <c r="AB35">
        <v>829</v>
      </c>
      <c r="AC35">
        <v>73338</v>
      </c>
      <c r="AD35">
        <v>1601</v>
      </c>
      <c r="AE35">
        <v>51</v>
      </c>
      <c r="AF35">
        <v>3369</v>
      </c>
      <c r="AG35">
        <v>325462</v>
      </c>
      <c r="AH35">
        <v>1510</v>
      </c>
    </row>
    <row r="36" spans="1:34" x14ac:dyDescent="0.4">
      <c r="A36" s="1" t="s">
        <v>60</v>
      </c>
      <c r="B36" s="1" t="s">
        <v>61</v>
      </c>
      <c r="C36">
        <v>77597</v>
      </c>
      <c r="D36">
        <v>141202</v>
      </c>
      <c r="E36">
        <v>646768</v>
      </c>
      <c r="F36">
        <v>634671</v>
      </c>
      <c r="G36">
        <v>10662</v>
      </c>
      <c r="H36">
        <v>9398</v>
      </c>
      <c r="I36">
        <v>1939310</v>
      </c>
      <c r="J36">
        <v>14867</v>
      </c>
      <c r="K36">
        <v>101996</v>
      </c>
      <c r="L36">
        <v>109575</v>
      </c>
      <c r="M36">
        <v>4912079</v>
      </c>
      <c r="N36">
        <v>75112</v>
      </c>
      <c r="O36">
        <v>23004</v>
      </c>
      <c r="P36">
        <v>21114</v>
      </c>
      <c r="Q36">
        <v>1674553</v>
      </c>
      <c r="R36">
        <v>29903</v>
      </c>
      <c r="S36">
        <v>58048</v>
      </c>
      <c r="T36">
        <v>62635</v>
      </c>
      <c r="U36">
        <v>3377535</v>
      </c>
      <c r="V36">
        <v>131938</v>
      </c>
      <c r="W36">
        <v>6380</v>
      </c>
      <c r="X36">
        <v>11240</v>
      </c>
      <c r="Y36">
        <v>508478</v>
      </c>
      <c r="Z36">
        <v>30137</v>
      </c>
      <c r="AA36">
        <v>689</v>
      </c>
      <c r="AB36">
        <v>1199</v>
      </c>
      <c r="AC36">
        <v>68087</v>
      </c>
      <c r="AD36">
        <v>1210</v>
      </c>
      <c r="AE36">
        <v>36</v>
      </c>
      <c r="AF36">
        <v>3242</v>
      </c>
      <c r="AG36">
        <v>306366</v>
      </c>
      <c r="AH36">
        <v>1762</v>
      </c>
    </row>
    <row r="37" spans="1:34" x14ac:dyDescent="0.4">
      <c r="A37" s="1" t="s">
        <v>62</v>
      </c>
      <c r="B37" s="1" t="s">
        <v>63</v>
      </c>
      <c r="C37">
        <v>65521</v>
      </c>
      <c r="D37">
        <v>139335</v>
      </c>
      <c r="E37">
        <v>623664</v>
      </c>
      <c r="F37">
        <v>611518</v>
      </c>
      <c r="G37">
        <v>9793</v>
      </c>
      <c r="H37">
        <v>9138</v>
      </c>
      <c r="I37">
        <v>2103932</v>
      </c>
      <c r="J37">
        <v>15029</v>
      </c>
      <c r="K37">
        <v>108859</v>
      </c>
      <c r="L37">
        <v>94038</v>
      </c>
      <c r="M37">
        <v>4858843</v>
      </c>
      <c r="N37">
        <v>90483</v>
      </c>
      <c r="O37">
        <v>25471</v>
      </c>
      <c r="P37">
        <v>24533</v>
      </c>
      <c r="Q37">
        <v>2011508</v>
      </c>
      <c r="R37">
        <v>31299</v>
      </c>
      <c r="S37">
        <v>60358</v>
      </c>
      <c r="T37">
        <v>69143</v>
      </c>
      <c r="U37">
        <v>3712890</v>
      </c>
      <c r="V37">
        <v>134435</v>
      </c>
      <c r="W37">
        <v>7192</v>
      </c>
      <c r="X37">
        <v>10836</v>
      </c>
      <c r="Y37">
        <v>508930</v>
      </c>
      <c r="Z37">
        <v>29888</v>
      </c>
      <c r="AA37">
        <v>807</v>
      </c>
      <c r="AB37">
        <v>931</v>
      </c>
      <c r="AC37">
        <v>93283</v>
      </c>
      <c r="AD37">
        <v>1248</v>
      </c>
      <c r="AE37">
        <v>36</v>
      </c>
      <c r="AF37">
        <v>2632</v>
      </c>
      <c r="AG37">
        <v>249587</v>
      </c>
      <c r="AH37">
        <v>2085</v>
      </c>
    </row>
    <row r="38" spans="1:34" x14ac:dyDescent="0.4">
      <c r="A38" s="1" t="s">
        <v>64</v>
      </c>
      <c r="B38" s="1" t="s">
        <v>65</v>
      </c>
      <c r="C38">
        <v>65962</v>
      </c>
      <c r="D38">
        <v>145751</v>
      </c>
      <c r="E38">
        <v>668520</v>
      </c>
      <c r="F38">
        <v>567778</v>
      </c>
      <c r="G38">
        <v>9891</v>
      </c>
      <c r="H38">
        <v>9845</v>
      </c>
      <c r="I38">
        <v>2243590</v>
      </c>
      <c r="J38">
        <v>14244</v>
      </c>
      <c r="K38">
        <v>117087</v>
      </c>
      <c r="L38">
        <v>126052</v>
      </c>
      <c r="M38">
        <v>6043349</v>
      </c>
      <c r="N38">
        <v>81550</v>
      </c>
      <c r="O38">
        <v>25865</v>
      </c>
      <c r="P38">
        <v>26098</v>
      </c>
      <c r="Q38">
        <v>2086386</v>
      </c>
      <c r="R38">
        <v>30993</v>
      </c>
      <c r="S38">
        <v>54948</v>
      </c>
      <c r="T38">
        <v>81196</v>
      </c>
      <c r="U38">
        <v>4412578</v>
      </c>
      <c r="V38">
        <v>125040</v>
      </c>
      <c r="W38">
        <v>6064</v>
      </c>
      <c r="X38">
        <v>13216</v>
      </c>
      <c r="Y38">
        <v>623126</v>
      </c>
      <c r="Z38">
        <v>26354</v>
      </c>
      <c r="AA38">
        <v>840</v>
      </c>
      <c r="AB38">
        <v>709</v>
      </c>
      <c r="AC38">
        <v>62025</v>
      </c>
      <c r="AD38">
        <v>1524</v>
      </c>
      <c r="AE38">
        <v>41</v>
      </c>
      <c r="AF38">
        <v>4145</v>
      </c>
      <c r="AG38">
        <v>383134</v>
      </c>
      <c r="AH38">
        <v>2068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63D04-2905-4FFC-A6EB-BEF4A236FBF1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2211</v>
      </c>
      <c r="D3" t="s">
        <v>2211</v>
      </c>
      <c r="E3" t="s">
        <v>2211</v>
      </c>
      <c r="F3" t="s">
        <v>2211</v>
      </c>
      <c r="G3" t="s">
        <v>2215</v>
      </c>
      <c r="H3" t="s">
        <v>2215</v>
      </c>
      <c r="I3" t="s">
        <v>2215</v>
      </c>
      <c r="J3" t="s">
        <v>2215</v>
      </c>
      <c r="K3" t="s">
        <v>2217</v>
      </c>
      <c r="L3" t="s">
        <v>2217</v>
      </c>
      <c r="M3" t="s">
        <v>2217</v>
      </c>
      <c r="N3" t="s">
        <v>2217</v>
      </c>
      <c r="O3" t="s">
        <v>2219</v>
      </c>
      <c r="P3" t="s">
        <v>2219</v>
      </c>
      <c r="Q3" t="s">
        <v>2219</v>
      </c>
      <c r="R3" t="s">
        <v>2219</v>
      </c>
    </row>
    <row r="4" spans="1:18" x14ac:dyDescent="0.4">
      <c r="A4" s="1"/>
      <c r="B4" s="2" t="s">
        <v>1</v>
      </c>
      <c r="C4" t="s">
        <v>2213</v>
      </c>
      <c r="D4" t="s">
        <v>2213</v>
      </c>
      <c r="E4" t="s">
        <v>2213</v>
      </c>
      <c r="F4" t="s">
        <v>2213</v>
      </c>
      <c r="G4" t="s">
        <v>2216</v>
      </c>
      <c r="H4" t="s">
        <v>2216</v>
      </c>
      <c r="I4" t="s">
        <v>2216</v>
      </c>
      <c r="J4" t="s">
        <v>2216</v>
      </c>
      <c r="K4" t="s">
        <v>2218</v>
      </c>
      <c r="L4" t="s">
        <v>2218</v>
      </c>
      <c r="M4" t="s">
        <v>2218</v>
      </c>
      <c r="N4" t="s">
        <v>2218</v>
      </c>
      <c r="O4" t="s">
        <v>2220</v>
      </c>
      <c r="P4" t="s">
        <v>2220</v>
      </c>
      <c r="Q4" t="s">
        <v>2220</v>
      </c>
      <c r="R4" t="s">
        <v>2220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2212</v>
      </c>
      <c r="D7" t="s">
        <v>2212</v>
      </c>
      <c r="E7" t="s">
        <v>341</v>
      </c>
      <c r="F7" t="s">
        <v>2212</v>
      </c>
      <c r="G7" t="s">
        <v>2212</v>
      </c>
      <c r="H7" t="s">
        <v>2212</v>
      </c>
      <c r="I7" t="s">
        <v>341</v>
      </c>
      <c r="J7" t="s">
        <v>2212</v>
      </c>
      <c r="K7" t="s">
        <v>2212</v>
      </c>
      <c r="L7" t="s">
        <v>2212</v>
      </c>
      <c r="M7" t="s">
        <v>341</v>
      </c>
      <c r="N7" t="s">
        <v>2212</v>
      </c>
      <c r="O7" t="s">
        <v>2212</v>
      </c>
      <c r="P7" t="s">
        <v>2212</v>
      </c>
      <c r="Q7" t="s">
        <v>341</v>
      </c>
      <c r="R7" t="s">
        <v>2212</v>
      </c>
    </row>
    <row r="8" spans="1:18" x14ac:dyDescent="0.4">
      <c r="A8" s="1" t="s">
        <v>67</v>
      </c>
      <c r="B8" s="2" t="s">
        <v>5</v>
      </c>
      <c r="C8" t="s">
        <v>2214</v>
      </c>
      <c r="D8" t="s">
        <v>2214</v>
      </c>
      <c r="E8" t="s">
        <v>342</v>
      </c>
      <c r="F8" t="s">
        <v>2214</v>
      </c>
      <c r="G8" t="s">
        <v>2214</v>
      </c>
      <c r="H8" t="s">
        <v>2214</v>
      </c>
      <c r="I8" t="s">
        <v>342</v>
      </c>
      <c r="J8" t="s">
        <v>2214</v>
      </c>
      <c r="K8" t="s">
        <v>2214</v>
      </c>
      <c r="L8" t="s">
        <v>2214</v>
      </c>
      <c r="M8" t="s">
        <v>342</v>
      </c>
      <c r="N8" t="s">
        <v>2214</v>
      </c>
      <c r="O8" t="s">
        <v>2214</v>
      </c>
      <c r="P8" t="s">
        <v>2214</v>
      </c>
      <c r="Q8" t="s">
        <v>342</v>
      </c>
      <c r="R8" t="s">
        <v>2214</v>
      </c>
    </row>
    <row r="9" spans="1:1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>
        <v>5986308</v>
      </c>
      <c r="L9">
        <v>5758759</v>
      </c>
      <c r="M9">
        <v>40473267</v>
      </c>
      <c r="N9">
        <v>1102034</v>
      </c>
      <c r="O9">
        <v>631197</v>
      </c>
      <c r="P9">
        <v>613179</v>
      </c>
      <c r="Q9">
        <v>5938099</v>
      </c>
      <c r="R9">
        <v>82974</v>
      </c>
    </row>
    <row r="10" spans="1:1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>
        <v>5906334</v>
      </c>
      <c r="L10">
        <v>6040174</v>
      </c>
      <c r="M10">
        <v>43171717</v>
      </c>
      <c r="N10">
        <v>961022</v>
      </c>
      <c r="O10">
        <v>591186</v>
      </c>
      <c r="P10">
        <v>578006</v>
      </c>
      <c r="Q10">
        <v>5848662</v>
      </c>
      <c r="R10">
        <v>94270</v>
      </c>
    </row>
    <row r="11" spans="1:1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>
        <v>6278146</v>
      </c>
      <c r="L11">
        <v>6219587</v>
      </c>
      <c r="M11">
        <v>46531032</v>
      </c>
      <c r="N11">
        <v>1012713</v>
      </c>
      <c r="O11">
        <v>548408</v>
      </c>
      <c r="P11">
        <v>549348</v>
      </c>
      <c r="Q11">
        <v>5625987</v>
      </c>
      <c r="R11">
        <v>91446</v>
      </c>
    </row>
    <row r="12" spans="1:1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>
        <v>6288823</v>
      </c>
      <c r="L12">
        <v>6323940</v>
      </c>
      <c r="M12">
        <v>48785018</v>
      </c>
      <c r="N12">
        <v>968766</v>
      </c>
      <c r="O12">
        <v>541161</v>
      </c>
      <c r="P12">
        <v>553912</v>
      </c>
      <c r="Q12">
        <v>6241095</v>
      </c>
      <c r="R12">
        <v>76811</v>
      </c>
    </row>
    <row r="13" spans="1:1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>
        <v>6373619</v>
      </c>
      <c r="L13">
        <v>6329077</v>
      </c>
      <c r="M13">
        <v>51168722</v>
      </c>
      <c r="N13">
        <v>1005202</v>
      </c>
      <c r="O13">
        <v>536068</v>
      </c>
      <c r="P13">
        <v>532438</v>
      </c>
      <c r="Q13">
        <v>6456021</v>
      </c>
      <c r="R13">
        <v>78557</v>
      </c>
    </row>
    <row r="14" spans="1:1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>
        <v>416909</v>
      </c>
      <c r="L14">
        <v>403842</v>
      </c>
      <c r="M14">
        <v>2872354</v>
      </c>
      <c r="N14">
        <v>1035591</v>
      </c>
      <c r="O14">
        <v>40272</v>
      </c>
      <c r="P14">
        <v>47183</v>
      </c>
      <c r="Q14">
        <v>624458</v>
      </c>
      <c r="R14">
        <v>74464</v>
      </c>
    </row>
    <row r="15" spans="1:1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>
        <v>556765</v>
      </c>
      <c r="L15">
        <v>516880</v>
      </c>
      <c r="M15">
        <v>4854283</v>
      </c>
      <c r="N15">
        <v>1074824</v>
      </c>
      <c r="O15">
        <v>51355</v>
      </c>
      <c r="P15">
        <v>44156</v>
      </c>
      <c r="Q15">
        <v>395044</v>
      </c>
      <c r="R15">
        <v>81506</v>
      </c>
    </row>
    <row r="16" spans="1:1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>
        <v>531298</v>
      </c>
      <c r="L16">
        <v>541822</v>
      </c>
      <c r="M16">
        <v>4148083</v>
      </c>
      <c r="N16">
        <v>1063678</v>
      </c>
      <c r="O16">
        <v>51728</v>
      </c>
      <c r="P16">
        <v>50098</v>
      </c>
      <c r="Q16">
        <v>541457</v>
      </c>
      <c r="R16">
        <v>82979</v>
      </c>
    </row>
    <row r="17" spans="1:1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>
        <v>542188</v>
      </c>
      <c r="L17">
        <v>536298</v>
      </c>
      <c r="M17">
        <v>4242113</v>
      </c>
      <c r="N17">
        <v>1068669</v>
      </c>
      <c r="O17">
        <v>48974</v>
      </c>
      <c r="P17">
        <v>45851</v>
      </c>
      <c r="Q17">
        <v>468148</v>
      </c>
      <c r="R17">
        <v>85945</v>
      </c>
    </row>
    <row r="18" spans="1:1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>
        <v>611926</v>
      </c>
      <c r="L18">
        <v>671624</v>
      </c>
      <c r="M18">
        <v>4483202</v>
      </c>
      <c r="N18">
        <v>1008099</v>
      </c>
      <c r="O18">
        <v>44370</v>
      </c>
      <c r="P18">
        <v>45515</v>
      </c>
      <c r="Q18">
        <v>476458</v>
      </c>
      <c r="R18">
        <v>84643</v>
      </c>
    </row>
    <row r="19" spans="1:1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>
        <v>530347</v>
      </c>
      <c r="L19">
        <v>479885</v>
      </c>
      <c r="M19">
        <v>3646636</v>
      </c>
      <c r="N19">
        <v>1057884</v>
      </c>
      <c r="O19">
        <v>48939</v>
      </c>
      <c r="P19">
        <v>45377</v>
      </c>
      <c r="Q19">
        <v>469033</v>
      </c>
      <c r="R19">
        <v>88048</v>
      </c>
    </row>
    <row r="20" spans="1:1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>
        <v>535358</v>
      </c>
      <c r="L20">
        <v>573920</v>
      </c>
      <c r="M20">
        <v>4293262</v>
      </c>
      <c r="N20">
        <v>1018652</v>
      </c>
      <c r="O20">
        <v>44703</v>
      </c>
      <c r="P20">
        <v>49762</v>
      </c>
      <c r="Q20">
        <v>636184</v>
      </c>
      <c r="R20">
        <v>82832</v>
      </c>
    </row>
    <row r="21" spans="1:1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>
        <v>581744</v>
      </c>
      <c r="L21">
        <v>655917</v>
      </c>
      <c r="M21">
        <v>4517503</v>
      </c>
      <c r="N21">
        <v>943623</v>
      </c>
      <c r="O21">
        <v>44782</v>
      </c>
      <c r="P21">
        <v>40846</v>
      </c>
      <c r="Q21">
        <v>477866</v>
      </c>
      <c r="R21">
        <v>86611</v>
      </c>
    </row>
    <row r="22" spans="1:1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>
        <v>528421</v>
      </c>
      <c r="L22">
        <v>507577</v>
      </c>
      <c r="M22">
        <v>4234112</v>
      </c>
      <c r="N22">
        <v>963575</v>
      </c>
      <c r="O22">
        <v>45155</v>
      </c>
      <c r="P22">
        <v>48291</v>
      </c>
      <c r="Q22">
        <v>535700</v>
      </c>
      <c r="R22">
        <v>83318</v>
      </c>
    </row>
    <row r="23" spans="1:1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>
        <v>535086</v>
      </c>
      <c r="L23">
        <v>529116</v>
      </c>
      <c r="M23">
        <v>4446619</v>
      </c>
      <c r="N23">
        <v>968766</v>
      </c>
      <c r="O23">
        <v>41411</v>
      </c>
      <c r="P23">
        <v>47761</v>
      </c>
      <c r="Q23">
        <v>584171</v>
      </c>
      <c r="R23">
        <v>76811</v>
      </c>
    </row>
    <row r="24" spans="1:1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>
        <v>510714</v>
      </c>
      <c r="L24">
        <v>510109</v>
      </c>
      <c r="M24">
        <v>3790389</v>
      </c>
      <c r="N24">
        <v>968571</v>
      </c>
      <c r="O24">
        <v>40300</v>
      </c>
      <c r="P24">
        <v>44874</v>
      </c>
      <c r="Q24">
        <v>597483</v>
      </c>
      <c r="R24">
        <v>72080</v>
      </c>
    </row>
    <row r="25" spans="1:1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>
        <v>488479</v>
      </c>
      <c r="L25">
        <v>517128</v>
      </c>
      <c r="M25">
        <v>4112077</v>
      </c>
      <c r="N25">
        <v>939124</v>
      </c>
      <c r="O25">
        <v>36520</v>
      </c>
      <c r="P25">
        <v>41608</v>
      </c>
      <c r="Q25">
        <v>483860</v>
      </c>
      <c r="R25">
        <v>66835</v>
      </c>
    </row>
    <row r="26" spans="1:1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>
        <v>444892</v>
      </c>
      <c r="L26">
        <v>429444</v>
      </c>
      <c r="M26">
        <v>3702520</v>
      </c>
      <c r="N26">
        <v>954105</v>
      </c>
      <c r="O26">
        <v>32692</v>
      </c>
      <c r="P26">
        <v>36244</v>
      </c>
      <c r="Q26">
        <v>421186</v>
      </c>
      <c r="R26">
        <v>63126</v>
      </c>
    </row>
    <row r="27" spans="1:1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>
        <v>625561</v>
      </c>
      <c r="L27">
        <v>538072</v>
      </c>
      <c r="M27">
        <v>4089596</v>
      </c>
      <c r="N27">
        <v>1040642</v>
      </c>
      <c r="O27">
        <v>44869</v>
      </c>
      <c r="P27">
        <v>44327</v>
      </c>
      <c r="Q27">
        <v>470557</v>
      </c>
      <c r="R27">
        <v>63511</v>
      </c>
    </row>
    <row r="28" spans="1:1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>
        <v>537826</v>
      </c>
      <c r="L28">
        <v>569720</v>
      </c>
      <c r="M28">
        <v>4028562</v>
      </c>
      <c r="N28">
        <v>1008070</v>
      </c>
      <c r="O28">
        <v>46384</v>
      </c>
      <c r="P28">
        <v>43932</v>
      </c>
      <c r="Q28">
        <v>496133</v>
      </c>
      <c r="R28">
        <v>65806</v>
      </c>
    </row>
    <row r="29" spans="1:1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>
        <v>555207</v>
      </c>
      <c r="L29">
        <v>556242</v>
      </c>
      <c r="M29">
        <v>4757096</v>
      </c>
      <c r="N29">
        <v>1006376</v>
      </c>
      <c r="O29">
        <v>47169</v>
      </c>
      <c r="P29">
        <v>46170</v>
      </c>
      <c r="Q29">
        <v>592094</v>
      </c>
      <c r="R29">
        <v>66648</v>
      </c>
    </row>
    <row r="30" spans="1:1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>
        <v>573451</v>
      </c>
      <c r="L30">
        <v>591373</v>
      </c>
      <c r="M30">
        <v>4364029</v>
      </c>
      <c r="N30">
        <v>987604</v>
      </c>
      <c r="O30">
        <v>46965</v>
      </c>
      <c r="P30">
        <v>45283</v>
      </c>
      <c r="Q30">
        <v>503992</v>
      </c>
      <c r="R30">
        <v>68173</v>
      </c>
    </row>
    <row r="31" spans="1:1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>
        <v>478397</v>
      </c>
      <c r="L31">
        <v>459934</v>
      </c>
      <c r="M31">
        <v>4025628</v>
      </c>
      <c r="N31">
        <v>1005420</v>
      </c>
      <c r="O31">
        <v>40198</v>
      </c>
      <c r="P31">
        <v>40004</v>
      </c>
      <c r="Q31">
        <v>433606</v>
      </c>
      <c r="R31">
        <v>68210</v>
      </c>
    </row>
    <row r="32" spans="1:1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>
        <v>585096</v>
      </c>
      <c r="L32">
        <v>556601</v>
      </c>
      <c r="M32">
        <v>4429356</v>
      </c>
      <c r="N32">
        <v>1033402</v>
      </c>
      <c r="O32">
        <v>50609</v>
      </c>
      <c r="P32">
        <v>47029</v>
      </c>
      <c r="Q32">
        <v>600057</v>
      </c>
      <c r="R32">
        <v>71633</v>
      </c>
    </row>
    <row r="33" spans="1:1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>
        <v>620154</v>
      </c>
      <c r="L33">
        <v>560224</v>
      </c>
      <c r="M33">
        <v>4766038</v>
      </c>
      <c r="N33">
        <v>1092682</v>
      </c>
      <c r="O33">
        <v>54539</v>
      </c>
      <c r="P33">
        <v>49502</v>
      </c>
      <c r="Q33">
        <v>676699</v>
      </c>
      <c r="R33">
        <v>76513</v>
      </c>
    </row>
    <row r="34" spans="1:1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>
        <v>475957</v>
      </c>
      <c r="L34">
        <v>483235</v>
      </c>
      <c r="M34">
        <v>4095354</v>
      </c>
      <c r="N34">
        <v>1085004</v>
      </c>
      <c r="O34">
        <v>44599</v>
      </c>
      <c r="P34">
        <v>43741</v>
      </c>
      <c r="Q34">
        <v>518140</v>
      </c>
      <c r="R34">
        <v>77214</v>
      </c>
    </row>
    <row r="35" spans="1:1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>
        <v>477885</v>
      </c>
      <c r="L35">
        <v>556995</v>
      </c>
      <c r="M35">
        <v>5008077</v>
      </c>
      <c r="N35">
        <v>1005202</v>
      </c>
      <c r="O35">
        <v>51224</v>
      </c>
      <c r="P35">
        <v>49724</v>
      </c>
      <c r="Q35">
        <v>662214</v>
      </c>
      <c r="R35">
        <v>78557</v>
      </c>
    </row>
    <row r="36" spans="1:1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>
        <v>525777</v>
      </c>
      <c r="L36">
        <v>523549</v>
      </c>
      <c r="M36">
        <v>6962453</v>
      </c>
      <c r="N36">
        <v>1039163</v>
      </c>
      <c r="O36">
        <v>63163</v>
      </c>
      <c r="P36">
        <v>54447</v>
      </c>
      <c r="Q36">
        <v>506699</v>
      </c>
      <c r="R36">
        <v>94030</v>
      </c>
    </row>
    <row r="37" spans="1:1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>
        <v>500032</v>
      </c>
      <c r="L37">
        <v>437392</v>
      </c>
      <c r="M37">
        <v>5256875</v>
      </c>
      <c r="N37">
        <v>1100938</v>
      </c>
      <c r="O37">
        <v>54012</v>
      </c>
      <c r="P37">
        <v>60380</v>
      </c>
      <c r="Q37">
        <v>605751</v>
      </c>
      <c r="R37">
        <v>87505</v>
      </c>
    </row>
    <row r="38" spans="1:1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>
        <v>452042</v>
      </c>
      <c r="L38">
        <v>549588</v>
      </c>
      <c r="M38">
        <v>5762929</v>
      </c>
      <c r="N38">
        <v>1002528</v>
      </c>
      <c r="O38">
        <v>41808</v>
      </c>
      <c r="P38">
        <v>55006</v>
      </c>
      <c r="Q38">
        <v>606962</v>
      </c>
      <c r="R38">
        <v>74150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B6A70-9078-4EB1-9E88-E5B51F845CF4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2221</v>
      </c>
      <c r="D3" t="s">
        <v>2221</v>
      </c>
      <c r="E3" t="s">
        <v>2221</v>
      </c>
      <c r="F3" t="s">
        <v>2221</v>
      </c>
      <c r="G3" t="s">
        <v>2225</v>
      </c>
      <c r="H3" t="s">
        <v>2225</v>
      </c>
      <c r="I3" t="s">
        <v>2225</v>
      </c>
      <c r="J3" t="s">
        <v>2225</v>
      </c>
      <c r="K3" t="s">
        <v>2227</v>
      </c>
      <c r="L3" t="s">
        <v>2227</v>
      </c>
      <c r="M3" t="s">
        <v>2227</v>
      </c>
      <c r="N3" t="s">
        <v>2227</v>
      </c>
      <c r="O3" t="s">
        <v>2229</v>
      </c>
      <c r="P3" t="s">
        <v>2229</v>
      </c>
      <c r="Q3" t="s">
        <v>2229</v>
      </c>
      <c r="R3" t="s">
        <v>2229</v>
      </c>
    </row>
    <row r="4" spans="1:18" x14ac:dyDescent="0.4">
      <c r="A4" s="1"/>
      <c r="B4" s="2" t="s">
        <v>1</v>
      </c>
      <c r="C4" t="s">
        <v>2223</v>
      </c>
      <c r="D4" t="s">
        <v>2223</v>
      </c>
      <c r="E4" t="s">
        <v>2223</v>
      </c>
      <c r="F4" t="s">
        <v>2223</v>
      </c>
      <c r="G4" t="s">
        <v>2226</v>
      </c>
      <c r="H4" t="s">
        <v>2226</v>
      </c>
      <c r="I4" t="s">
        <v>2226</v>
      </c>
      <c r="J4" t="s">
        <v>2226</v>
      </c>
      <c r="K4" t="s">
        <v>2228</v>
      </c>
      <c r="L4" t="s">
        <v>2228</v>
      </c>
      <c r="M4" t="s">
        <v>2228</v>
      </c>
      <c r="N4" t="s">
        <v>2228</v>
      </c>
      <c r="O4" t="s">
        <v>2230</v>
      </c>
      <c r="P4" t="s">
        <v>2230</v>
      </c>
      <c r="Q4" t="s">
        <v>2230</v>
      </c>
      <c r="R4" t="s">
        <v>2230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2222</v>
      </c>
      <c r="D7" t="s">
        <v>2222</v>
      </c>
      <c r="E7" t="s">
        <v>341</v>
      </c>
      <c r="F7" t="s">
        <v>2222</v>
      </c>
      <c r="G7" t="s">
        <v>2222</v>
      </c>
      <c r="H7" t="s">
        <v>2222</v>
      </c>
      <c r="I7" t="s">
        <v>341</v>
      </c>
      <c r="J7" t="s">
        <v>2222</v>
      </c>
      <c r="K7" t="s">
        <v>2222</v>
      </c>
      <c r="L7" t="s">
        <v>2222</v>
      </c>
      <c r="M7" t="s">
        <v>341</v>
      </c>
      <c r="N7" t="s">
        <v>2222</v>
      </c>
      <c r="O7" t="s">
        <v>2222</v>
      </c>
      <c r="P7" t="s">
        <v>2222</v>
      </c>
      <c r="Q7" t="s">
        <v>341</v>
      </c>
      <c r="R7" t="s">
        <v>2222</v>
      </c>
    </row>
    <row r="8" spans="1:18" x14ac:dyDescent="0.4">
      <c r="A8" s="1" t="s">
        <v>67</v>
      </c>
      <c r="B8" s="2" t="s">
        <v>5</v>
      </c>
      <c r="C8" t="s">
        <v>2224</v>
      </c>
      <c r="D8" t="s">
        <v>2224</v>
      </c>
      <c r="E8" t="s">
        <v>342</v>
      </c>
      <c r="F8" t="s">
        <v>2224</v>
      </c>
      <c r="G8" t="s">
        <v>2224</v>
      </c>
      <c r="H8" t="s">
        <v>2224</v>
      </c>
      <c r="I8" t="s">
        <v>342</v>
      </c>
      <c r="J8" t="s">
        <v>2224</v>
      </c>
      <c r="K8" t="s">
        <v>2224</v>
      </c>
      <c r="L8" t="s">
        <v>2224</v>
      </c>
      <c r="M8" t="s">
        <v>342</v>
      </c>
      <c r="N8" t="s">
        <v>2224</v>
      </c>
      <c r="O8" t="s">
        <v>2224</v>
      </c>
      <c r="P8" t="s">
        <v>2224</v>
      </c>
      <c r="Q8" t="s">
        <v>342</v>
      </c>
      <c r="R8" t="s">
        <v>2224</v>
      </c>
    </row>
    <row r="9" spans="1:18" x14ac:dyDescent="0.4">
      <c r="A9" s="1" t="s">
        <v>6</v>
      </c>
      <c r="B9" s="3" t="s">
        <v>7</v>
      </c>
      <c r="C9">
        <v>1585143</v>
      </c>
      <c r="D9">
        <v>2040313</v>
      </c>
      <c r="E9">
        <v>15172770</v>
      </c>
      <c r="F9">
        <v>482072</v>
      </c>
      <c r="G9">
        <v>2763915</v>
      </c>
      <c r="H9">
        <v>3220204</v>
      </c>
      <c r="I9">
        <v>17654407</v>
      </c>
      <c r="J9">
        <v>458038</v>
      </c>
      <c r="K9">
        <v>235007</v>
      </c>
      <c r="L9">
        <v>236252</v>
      </c>
      <c r="M9">
        <v>1804093</v>
      </c>
      <c r="N9">
        <v>7294</v>
      </c>
      <c r="O9">
        <v>3484167</v>
      </c>
      <c r="P9">
        <v>3598293</v>
      </c>
      <c r="Q9">
        <v>12135508</v>
      </c>
      <c r="R9">
        <v>220313</v>
      </c>
    </row>
    <row r="10" spans="1:18" x14ac:dyDescent="0.4">
      <c r="A10" s="1" t="s">
        <v>8</v>
      </c>
      <c r="B10" s="3" t="s">
        <v>9</v>
      </c>
      <c r="C10">
        <v>1676397</v>
      </c>
      <c r="D10">
        <v>2130448</v>
      </c>
      <c r="E10">
        <v>16483836</v>
      </c>
      <c r="F10">
        <v>456610</v>
      </c>
      <c r="G10">
        <v>2854764</v>
      </c>
      <c r="H10">
        <v>3402527</v>
      </c>
      <c r="I10">
        <v>19114506</v>
      </c>
      <c r="J10">
        <v>441098</v>
      </c>
      <c r="K10">
        <v>267282</v>
      </c>
      <c r="L10">
        <v>261746</v>
      </c>
      <c r="M10">
        <v>1945376</v>
      </c>
      <c r="N10">
        <v>12540</v>
      </c>
      <c r="O10">
        <v>3704935</v>
      </c>
      <c r="P10">
        <v>3758186</v>
      </c>
      <c r="Q10">
        <v>12636249</v>
      </c>
      <c r="R10">
        <v>166836</v>
      </c>
    </row>
    <row r="11" spans="1:18" x14ac:dyDescent="0.4">
      <c r="A11" s="1" t="s">
        <v>10</v>
      </c>
      <c r="B11" s="3" t="s">
        <v>11</v>
      </c>
      <c r="C11">
        <v>1585202</v>
      </c>
      <c r="D11">
        <v>2055095</v>
      </c>
      <c r="E11">
        <v>17305203</v>
      </c>
      <c r="F11">
        <v>441881</v>
      </c>
      <c r="G11">
        <v>2736444</v>
      </c>
      <c r="H11">
        <v>3288446</v>
      </c>
      <c r="I11">
        <v>19383062</v>
      </c>
      <c r="J11">
        <v>423777</v>
      </c>
      <c r="K11">
        <v>323996</v>
      </c>
      <c r="L11">
        <v>320143</v>
      </c>
      <c r="M11">
        <v>3066798</v>
      </c>
      <c r="N11">
        <v>11116</v>
      </c>
      <c r="O11">
        <v>3529129</v>
      </c>
      <c r="P11">
        <v>3524668</v>
      </c>
      <c r="Q11">
        <v>12237346</v>
      </c>
      <c r="R11">
        <v>183574</v>
      </c>
    </row>
    <row r="12" spans="1:18" x14ac:dyDescent="0.4">
      <c r="A12" s="1" t="s">
        <v>12</v>
      </c>
      <c r="B12" s="3" t="s">
        <v>13</v>
      </c>
      <c r="C12">
        <v>1472998</v>
      </c>
      <c r="D12">
        <v>1970831</v>
      </c>
      <c r="E12">
        <v>17225981</v>
      </c>
      <c r="F12">
        <v>425464</v>
      </c>
      <c r="G12">
        <v>2467047</v>
      </c>
      <c r="H12">
        <v>3045545</v>
      </c>
      <c r="I12">
        <v>17797562</v>
      </c>
      <c r="J12">
        <v>389982</v>
      </c>
      <c r="K12">
        <v>347775</v>
      </c>
      <c r="L12">
        <v>330435</v>
      </c>
      <c r="M12">
        <v>3321886</v>
      </c>
      <c r="N12">
        <v>28165</v>
      </c>
      <c r="O12">
        <v>3360673</v>
      </c>
      <c r="P12">
        <v>3401090</v>
      </c>
      <c r="Q12">
        <v>12899265</v>
      </c>
      <c r="R12">
        <v>176142</v>
      </c>
    </row>
    <row r="13" spans="1:18" x14ac:dyDescent="0.4">
      <c r="A13" s="1" t="s">
        <v>14</v>
      </c>
      <c r="B13" s="3" t="s">
        <v>15</v>
      </c>
      <c r="C13">
        <v>1257270</v>
      </c>
      <c r="D13">
        <v>1649399</v>
      </c>
      <c r="E13">
        <v>16531488</v>
      </c>
      <c r="F13">
        <v>248656</v>
      </c>
      <c r="G13">
        <v>2212129</v>
      </c>
      <c r="H13">
        <v>2892238</v>
      </c>
      <c r="I13">
        <v>16607366</v>
      </c>
      <c r="J13">
        <v>302220</v>
      </c>
      <c r="K13">
        <v>435877</v>
      </c>
      <c r="L13">
        <v>453812</v>
      </c>
      <c r="M13">
        <v>4664417</v>
      </c>
      <c r="N13">
        <v>6776</v>
      </c>
      <c r="O13">
        <v>3422761</v>
      </c>
      <c r="P13">
        <v>3361412</v>
      </c>
      <c r="Q13">
        <v>12727257</v>
      </c>
      <c r="R13">
        <v>201987</v>
      </c>
    </row>
    <row r="14" spans="1:18" x14ac:dyDescent="0.4">
      <c r="A14" s="1" t="s">
        <v>16</v>
      </c>
      <c r="B14" s="1" t="s">
        <v>17</v>
      </c>
      <c r="C14">
        <v>124832</v>
      </c>
      <c r="D14">
        <v>211432</v>
      </c>
      <c r="E14">
        <v>1623117</v>
      </c>
      <c r="F14">
        <v>374912</v>
      </c>
      <c r="G14">
        <v>221867</v>
      </c>
      <c r="H14">
        <v>413428</v>
      </c>
      <c r="I14">
        <v>2048592</v>
      </c>
      <c r="J14">
        <v>309127</v>
      </c>
      <c r="K14">
        <v>27489</v>
      </c>
      <c r="L14">
        <v>19616</v>
      </c>
      <c r="M14">
        <v>191146</v>
      </c>
      <c r="N14">
        <v>21083</v>
      </c>
      <c r="O14">
        <v>269904</v>
      </c>
      <c r="P14">
        <v>331161</v>
      </c>
      <c r="Q14">
        <v>1510536</v>
      </c>
      <c r="R14">
        <v>130091</v>
      </c>
    </row>
    <row r="15" spans="1:18" x14ac:dyDescent="0.4">
      <c r="A15" s="1" t="s">
        <v>18</v>
      </c>
      <c r="B15" s="1" t="s">
        <v>19</v>
      </c>
      <c r="C15">
        <v>132041</v>
      </c>
      <c r="D15">
        <v>159607</v>
      </c>
      <c r="E15">
        <v>1472557</v>
      </c>
      <c r="F15">
        <v>378997</v>
      </c>
      <c r="G15">
        <v>223943</v>
      </c>
      <c r="H15">
        <v>274532</v>
      </c>
      <c r="I15">
        <v>1597922</v>
      </c>
      <c r="J15">
        <v>310729</v>
      </c>
      <c r="K15">
        <v>31314</v>
      </c>
      <c r="L15">
        <v>33357</v>
      </c>
      <c r="M15">
        <v>330051</v>
      </c>
      <c r="N15">
        <v>19014</v>
      </c>
      <c r="O15">
        <v>295991</v>
      </c>
      <c r="P15">
        <v>319589</v>
      </c>
      <c r="Q15">
        <v>1328657</v>
      </c>
      <c r="R15">
        <v>136290</v>
      </c>
    </row>
    <row r="16" spans="1:18" x14ac:dyDescent="0.4">
      <c r="A16" s="1" t="s">
        <v>20</v>
      </c>
      <c r="B16" s="1" t="s">
        <v>21</v>
      </c>
      <c r="C16">
        <v>123857</v>
      </c>
      <c r="D16">
        <v>148085</v>
      </c>
      <c r="E16">
        <v>1342759</v>
      </c>
      <c r="F16">
        <v>385221</v>
      </c>
      <c r="G16">
        <v>197958</v>
      </c>
      <c r="H16">
        <v>204045</v>
      </c>
      <c r="I16">
        <v>1250962</v>
      </c>
      <c r="J16">
        <v>325436</v>
      </c>
      <c r="K16">
        <v>28200</v>
      </c>
      <c r="L16">
        <v>29648</v>
      </c>
      <c r="M16">
        <v>300749</v>
      </c>
      <c r="N16">
        <v>17542</v>
      </c>
      <c r="O16">
        <v>263715</v>
      </c>
      <c r="P16">
        <v>266206</v>
      </c>
      <c r="Q16">
        <v>908405</v>
      </c>
      <c r="R16">
        <v>133799</v>
      </c>
    </row>
    <row r="17" spans="1:18" x14ac:dyDescent="0.4">
      <c r="A17" s="1" t="s">
        <v>22</v>
      </c>
      <c r="B17" s="1" t="s">
        <v>23</v>
      </c>
      <c r="C17">
        <v>123852</v>
      </c>
      <c r="D17">
        <v>146816</v>
      </c>
      <c r="E17">
        <v>1330159</v>
      </c>
      <c r="F17">
        <v>385716</v>
      </c>
      <c r="G17">
        <v>208531</v>
      </c>
      <c r="H17">
        <v>190408</v>
      </c>
      <c r="I17">
        <v>1174339</v>
      </c>
      <c r="J17">
        <v>362212</v>
      </c>
      <c r="K17">
        <v>32162</v>
      </c>
      <c r="L17">
        <v>28706</v>
      </c>
      <c r="M17">
        <v>286450</v>
      </c>
      <c r="N17">
        <v>20969</v>
      </c>
      <c r="O17">
        <v>314848</v>
      </c>
      <c r="P17">
        <v>304859</v>
      </c>
      <c r="Q17">
        <v>1068795</v>
      </c>
      <c r="R17">
        <v>143788</v>
      </c>
    </row>
    <row r="18" spans="1:18" x14ac:dyDescent="0.4">
      <c r="A18" s="1" t="s">
        <v>24</v>
      </c>
      <c r="B18" s="1" t="s">
        <v>25</v>
      </c>
      <c r="C18">
        <v>130723</v>
      </c>
      <c r="D18">
        <v>159729</v>
      </c>
      <c r="E18">
        <v>1427370</v>
      </c>
      <c r="F18">
        <v>390401</v>
      </c>
      <c r="G18">
        <v>215057</v>
      </c>
      <c r="H18">
        <v>258996</v>
      </c>
      <c r="I18">
        <v>1487571</v>
      </c>
      <c r="J18">
        <v>355940</v>
      </c>
      <c r="K18">
        <v>33193</v>
      </c>
      <c r="L18">
        <v>30643</v>
      </c>
      <c r="M18">
        <v>315031</v>
      </c>
      <c r="N18">
        <v>23487</v>
      </c>
      <c r="O18">
        <v>282930</v>
      </c>
      <c r="P18">
        <v>276217</v>
      </c>
      <c r="Q18">
        <v>964742</v>
      </c>
      <c r="R18">
        <v>153039</v>
      </c>
    </row>
    <row r="19" spans="1:18" x14ac:dyDescent="0.4">
      <c r="A19" s="1" t="s">
        <v>26</v>
      </c>
      <c r="B19" s="1" t="s">
        <v>27</v>
      </c>
      <c r="C19">
        <v>112249</v>
      </c>
      <c r="D19">
        <v>143221</v>
      </c>
      <c r="E19">
        <v>1296453</v>
      </c>
      <c r="F19">
        <v>395259</v>
      </c>
      <c r="G19">
        <v>190329</v>
      </c>
      <c r="H19">
        <v>222636</v>
      </c>
      <c r="I19">
        <v>1430107</v>
      </c>
      <c r="J19">
        <v>354223</v>
      </c>
      <c r="K19">
        <v>26158</v>
      </c>
      <c r="L19">
        <v>26059</v>
      </c>
      <c r="M19">
        <v>262605</v>
      </c>
      <c r="N19">
        <v>23575</v>
      </c>
      <c r="O19">
        <v>258642</v>
      </c>
      <c r="P19">
        <v>242364</v>
      </c>
      <c r="Q19">
        <v>873466</v>
      </c>
      <c r="R19">
        <v>169317</v>
      </c>
    </row>
    <row r="20" spans="1:18" x14ac:dyDescent="0.4">
      <c r="A20" s="1" t="s">
        <v>28</v>
      </c>
      <c r="B20" s="1" t="s">
        <v>29</v>
      </c>
      <c r="C20">
        <v>118870</v>
      </c>
      <c r="D20">
        <v>151681</v>
      </c>
      <c r="E20">
        <v>1372921</v>
      </c>
      <c r="F20">
        <v>402334</v>
      </c>
      <c r="G20">
        <v>191153</v>
      </c>
      <c r="H20">
        <v>232431</v>
      </c>
      <c r="I20">
        <v>1592549</v>
      </c>
      <c r="J20">
        <v>343777</v>
      </c>
      <c r="K20">
        <v>30813</v>
      </c>
      <c r="L20">
        <v>36512</v>
      </c>
      <c r="M20">
        <v>384663</v>
      </c>
      <c r="N20">
        <v>17842</v>
      </c>
      <c r="O20">
        <v>281198</v>
      </c>
      <c r="P20">
        <v>271680</v>
      </c>
      <c r="Q20">
        <v>1021353</v>
      </c>
      <c r="R20">
        <v>178835</v>
      </c>
    </row>
    <row r="21" spans="1:18" x14ac:dyDescent="0.4">
      <c r="A21" s="1" t="s">
        <v>30</v>
      </c>
      <c r="B21" s="1" t="s">
        <v>31</v>
      </c>
      <c r="C21">
        <v>126033</v>
      </c>
      <c r="D21">
        <v>158107</v>
      </c>
      <c r="E21">
        <v>1419583</v>
      </c>
      <c r="F21">
        <v>417455</v>
      </c>
      <c r="G21">
        <v>207798</v>
      </c>
      <c r="H21">
        <v>237289</v>
      </c>
      <c r="I21">
        <v>1571030</v>
      </c>
      <c r="J21">
        <v>344913</v>
      </c>
      <c r="K21">
        <v>30451</v>
      </c>
      <c r="L21">
        <v>21975</v>
      </c>
      <c r="M21">
        <v>232314</v>
      </c>
      <c r="N21">
        <v>26276</v>
      </c>
      <c r="O21">
        <v>268682</v>
      </c>
      <c r="P21">
        <v>272309</v>
      </c>
      <c r="Q21">
        <v>1023942</v>
      </c>
      <c r="R21">
        <v>175208</v>
      </c>
    </row>
    <row r="22" spans="1:18" x14ac:dyDescent="0.4">
      <c r="A22" s="1" t="s">
        <v>32</v>
      </c>
      <c r="B22" s="1" t="s">
        <v>33</v>
      </c>
      <c r="C22">
        <v>117393</v>
      </c>
      <c r="D22">
        <v>157184</v>
      </c>
      <c r="E22">
        <v>1417833</v>
      </c>
      <c r="F22">
        <v>421189</v>
      </c>
      <c r="G22">
        <v>197241</v>
      </c>
      <c r="H22">
        <v>211734</v>
      </c>
      <c r="I22">
        <v>1363266</v>
      </c>
      <c r="J22">
        <v>366362</v>
      </c>
      <c r="K22">
        <v>30684</v>
      </c>
      <c r="L22">
        <v>41864</v>
      </c>
      <c r="M22">
        <v>440028</v>
      </c>
      <c r="N22">
        <v>15077</v>
      </c>
      <c r="O22">
        <v>297704</v>
      </c>
      <c r="P22">
        <v>295503</v>
      </c>
      <c r="Q22">
        <v>1090475</v>
      </c>
      <c r="R22">
        <v>177409</v>
      </c>
    </row>
    <row r="23" spans="1:18" x14ac:dyDescent="0.4">
      <c r="A23" s="1" t="s">
        <v>34</v>
      </c>
      <c r="B23" s="1" t="s">
        <v>35</v>
      </c>
      <c r="C23">
        <v>119311</v>
      </c>
      <c r="D23">
        <v>165036</v>
      </c>
      <c r="E23">
        <v>1511073</v>
      </c>
      <c r="F23">
        <v>425464</v>
      </c>
      <c r="G23">
        <v>190610</v>
      </c>
      <c r="H23">
        <v>206687</v>
      </c>
      <c r="I23">
        <v>1220201</v>
      </c>
      <c r="J23">
        <v>389982</v>
      </c>
      <c r="K23">
        <v>31309</v>
      </c>
      <c r="L23">
        <v>18212</v>
      </c>
      <c r="M23">
        <v>186581</v>
      </c>
      <c r="N23">
        <v>28165</v>
      </c>
      <c r="O23">
        <v>287945</v>
      </c>
      <c r="P23">
        <v>289212</v>
      </c>
      <c r="Q23">
        <v>1169521</v>
      </c>
      <c r="R23">
        <v>176142</v>
      </c>
    </row>
    <row r="24" spans="1:18" x14ac:dyDescent="0.4">
      <c r="A24" s="1" t="s">
        <v>36</v>
      </c>
      <c r="B24" s="1" t="s">
        <v>37</v>
      </c>
      <c r="C24">
        <v>105013</v>
      </c>
      <c r="D24">
        <v>156688</v>
      </c>
      <c r="E24">
        <v>1509469</v>
      </c>
      <c r="F24">
        <v>289753</v>
      </c>
      <c r="G24">
        <v>202268</v>
      </c>
      <c r="H24">
        <v>270888</v>
      </c>
      <c r="I24">
        <v>1486481</v>
      </c>
      <c r="J24">
        <v>375612</v>
      </c>
      <c r="K24">
        <v>29830</v>
      </c>
      <c r="L24">
        <v>36699</v>
      </c>
      <c r="M24">
        <v>396424</v>
      </c>
      <c r="N24">
        <v>21289</v>
      </c>
      <c r="O24">
        <v>248382</v>
      </c>
      <c r="P24">
        <v>248447</v>
      </c>
      <c r="Q24">
        <v>1069499</v>
      </c>
      <c r="R24">
        <v>176077</v>
      </c>
    </row>
    <row r="25" spans="1:18" x14ac:dyDescent="0.4">
      <c r="A25" s="1" t="s">
        <v>38</v>
      </c>
      <c r="B25" s="1" t="s">
        <v>39</v>
      </c>
      <c r="C25">
        <v>105460</v>
      </c>
      <c r="D25">
        <v>157826</v>
      </c>
      <c r="E25">
        <v>1362883</v>
      </c>
      <c r="F25">
        <v>272739</v>
      </c>
      <c r="G25">
        <v>198449</v>
      </c>
      <c r="H25">
        <v>319997</v>
      </c>
      <c r="I25">
        <v>1625715</v>
      </c>
      <c r="J25">
        <v>332997</v>
      </c>
      <c r="K25">
        <v>28005</v>
      </c>
      <c r="L25">
        <v>30493</v>
      </c>
      <c r="M25">
        <v>327013</v>
      </c>
      <c r="N25">
        <v>18772</v>
      </c>
      <c r="O25">
        <v>303560</v>
      </c>
      <c r="P25">
        <v>324244</v>
      </c>
      <c r="Q25">
        <v>1298660</v>
      </c>
      <c r="R25">
        <v>155393</v>
      </c>
    </row>
    <row r="26" spans="1:18" x14ac:dyDescent="0.4">
      <c r="A26" s="1" t="s">
        <v>40</v>
      </c>
      <c r="B26" s="1" t="s">
        <v>41</v>
      </c>
      <c r="C26">
        <v>117716</v>
      </c>
      <c r="D26">
        <v>168598</v>
      </c>
      <c r="E26">
        <v>1526587</v>
      </c>
      <c r="F26">
        <v>255362</v>
      </c>
      <c r="G26">
        <v>204261</v>
      </c>
      <c r="H26">
        <v>407521</v>
      </c>
      <c r="I26">
        <v>1976315</v>
      </c>
      <c r="J26">
        <v>247358</v>
      </c>
      <c r="K26">
        <v>28403</v>
      </c>
      <c r="L26">
        <v>19063</v>
      </c>
      <c r="M26">
        <v>204391</v>
      </c>
      <c r="N26">
        <v>28077</v>
      </c>
      <c r="O26">
        <v>289078</v>
      </c>
      <c r="P26">
        <v>303846</v>
      </c>
      <c r="Q26">
        <v>1247238</v>
      </c>
      <c r="R26">
        <v>140625</v>
      </c>
    </row>
    <row r="27" spans="1:18" x14ac:dyDescent="0.4">
      <c r="A27" s="1" t="s">
        <v>42</v>
      </c>
      <c r="B27" s="1" t="s">
        <v>43</v>
      </c>
      <c r="C27">
        <v>111683</v>
      </c>
      <c r="D27">
        <v>137636</v>
      </c>
      <c r="E27">
        <v>1411262</v>
      </c>
      <c r="F27">
        <v>259601</v>
      </c>
      <c r="G27">
        <v>202407</v>
      </c>
      <c r="H27">
        <v>274432</v>
      </c>
      <c r="I27">
        <v>1580089</v>
      </c>
      <c r="J27">
        <v>230835</v>
      </c>
      <c r="K27">
        <v>37791</v>
      </c>
      <c r="L27">
        <v>41459</v>
      </c>
      <c r="M27">
        <v>430213</v>
      </c>
      <c r="N27">
        <v>24385</v>
      </c>
      <c r="O27">
        <v>295195</v>
      </c>
      <c r="P27">
        <v>302695</v>
      </c>
      <c r="Q27">
        <v>1072317</v>
      </c>
      <c r="R27">
        <v>133125</v>
      </c>
    </row>
    <row r="28" spans="1:18" x14ac:dyDescent="0.4">
      <c r="A28" s="1" t="s">
        <v>44</v>
      </c>
      <c r="B28" s="1" t="s">
        <v>45</v>
      </c>
      <c r="C28">
        <v>102470</v>
      </c>
      <c r="D28">
        <v>126222</v>
      </c>
      <c r="E28">
        <v>1308846</v>
      </c>
      <c r="F28">
        <v>260547</v>
      </c>
      <c r="G28">
        <v>195529</v>
      </c>
      <c r="H28">
        <v>217122</v>
      </c>
      <c r="I28">
        <v>1304894</v>
      </c>
      <c r="J28">
        <v>246481</v>
      </c>
      <c r="K28">
        <v>34892</v>
      </c>
      <c r="L28">
        <v>31211</v>
      </c>
      <c r="M28">
        <v>325573</v>
      </c>
      <c r="N28">
        <v>28053</v>
      </c>
      <c r="O28">
        <v>269233</v>
      </c>
      <c r="P28">
        <v>257523</v>
      </c>
      <c r="Q28">
        <v>946402</v>
      </c>
      <c r="R28">
        <v>144835</v>
      </c>
    </row>
    <row r="29" spans="1:18" x14ac:dyDescent="0.4">
      <c r="A29" s="1" t="s">
        <v>46</v>
      </c>
      <c r="B29" s="1" t="s">
        <v>47</v>
      </c>
      <c r="C29">
        <v>109832</v>
      </c>
      <c r="D29">
        <v>123507</v>
      </c>
      <c r="E29">
        <v>1313112</v>
      </c>
      <c r="F29">
        <v>260332</v>
      </c>
      <c r="G29">
        <v>182105</v>
      </c>
      <c r="H29">
        <v>175577</v>
      </c>
      <c r="I29">
        <v>1046553</v>
      </c>
      <c r="J29">
        <v>284447</v>
      </c>
      <c r="K29">
        <v>38677</v>
      </c>
      <c r="L29">
        <v>50683</v>
      </c>
      <c r="M29">
        <v>508321</v>
      </c>
      <c r="N29">
        <v>16026</v>
      </c>
      <c r="O29">
        <v>308588</v>
      </c>
      <c r="P29">
        <v>295758</v>
      </c>
      <c r="Q29">
        <v>1064044</v>
      </c>
      <c r="R29">
        <v>157665</v>
      </c>
    </row>
    <row r="30" spans="1:18" x14ac:dyDescent="0.4">
      <c r="A30" s="1" t="s">
        <v>48</v>
      </c>
      <c r="B30" s="1" t="s">
        <v>49</v>
      </c>
      <c r="C30">
        <v>107674</v>
      </c>
      <c r="D30">
        <v>127009</v>
      </c>
      <c r="E30">
        <v>1359398</v>
      </c>
      <c r="F30">
        <v>259092</v>
      </c>
      <c r="G30">
        <v>193518</v>
      </c>
      <c r="H30">
        <v>213694</v>
      </c>
      <c r="I30">
        <v>1295975</v>
      </c>
      <c r="J30">
        <v>289620</v>
      </c>
      <c r="K30">
        <v>40343</v>
      </c>
      <c r="L30">
        <v>40773</v>
      </c>
      <c r="M30">
        <v>420806</v>
      </c>
      <c r="N30">
        <v>15578</v>
      </c>
      <c r="O30">
        <v>294051</v>
      </c>
      <c r="P30">
        <v>273395</v>
      </c>
      <c r="Q30">
        <v>952832</v>
      </c>
      <c r="R30">
        <v>178321</v>
      </c>
    </row>
    <row r="31" spans="1:18" x14ac:dyDescent="0.4">
      <c r="A31" s="1" t="s">
        <v>50</v>
      </c>
      <c r="B31" s="1" t="s">
        <v>51</v>
      </c>
      <c r="C31">
        <v>85526</v>
      </c>
      <c r="D31">
        <v>114891</v>
      </c>
      <c r="E31">
        <v>1204147</v>
      </c>
      <c r="F31">
        <v>258651</v>
      </c>
      <c r="G31">
        <v>166134</v>
      </c>
      <c r="H31">
        <v>218609</v>
      </c>
      <c r="I31">
        <v>1352868</v>
      </c>
      <c r="J31">
        <v>270256</v>
      </c>
      <c r="K31">
        <v>28839</v>
      </c>
      <c r="L31">
        <v>33498</v>
      </c>
      <c r="M31">
        <v>343585</v>
      </c>
      <c r="N31">
        <v>10912</v>
      </c>
      <c r="O31">
        <v>266125</v>
      </c>
      <c r="P31">
        <v>251109</v>
      </c>
      <c r="Q31">
        <v>909130</v>
      </c>
      <c r="R31">
        <v>193337</v>
      </c>
    </row>
    <row r="32" spans="1:18" x14ac:dyDescent="0.4">
      <c r="A32" s="1" t="s">
        <v>52</v>
      </c>
      <c r="B32" s="1" t="s">
        <v>53</v>
      </c>
      <c r="C32">
        <v>102407</v>
      </c>
      <c r="D32">
        <v>129603</v>
      </c>
      <c r="E32">
        <v>1312416</v>
      </c>
      <c r="F32">
        <v>257863</v>
      </c>
      <c r="G32">
        <v>175584</v>
      </c>
      <c r="H32">
        <v>202149</v>
      </c>
      <c r="I32">
        <v>1295800</v>
      </c>
      <c r="J32">
        <v>275531</v>
      </c>
      <c r="K32">
        <v>40290</v>
      </c>
      <c r="L32">
        <v>40153</v>
      </c>
      <c r="M32">
        <v>398157</v>
      </c>
      <c r="N32">
        <v>11015</v>
      </c>
      <c r="O32">
        <v>294117</v>
      </c>
      <c r="P32">
        <v>281925</v>
      </c>
      <c r="Q32">
        <v>1034092</v>
      </c>
      <c r="R32">
        <v>172671</v>
      </c>
    </row>
    <row r="33" spans="1:18" x14ac:dyDescent="0.4">
      <c r="A33" s="1" t="s">
        <v>54</v>
      </c>
      <c r="B33" s="1" t="s">
        <v>55</v>
      </c>
      <c r="C33">
        <v>110895</v>
      </c>
      <c r="D33">
        <v>139394</v>
      </c>
      <c r="E33">
        <v>1430533</v>
      </c>
      <c r="F33">
        <v>261857</v>
      </c>
      <c r="G33">
        <v>176178</v>
      </c>
      <c r="H33">
        <v>228869</v>
      </c>
      <c r="I33">
        <v>1442143</v>
      </c>
      <c r="J33">
        <v>271837</v>
      </c>
      <c r="K33">
        <v>42691</v>
      </c>
      <c r="L33">
        <v>41058</v>
      </c>
      <c r="M33">
        <v>415989</v>
      </c>
      <c r="N33">
        <v>9402</v>
      </c>
      <c r="O33">
        <v>285824</v>
      </c>
      <c r="P33">
        <v>267673</v>
      </c>
      <c r="Q33">
        <v>1018830</v>
      </c>
      <c r="R33">
        <v>189940</v>
      </c>
    </row>
    <row r="34" spans="1:18" x14ac:dyDescent="0.4">
      <c r="A34" s="1" t="s">
        <v>56</v>
      </c>
      <c r="B34" s="1" t="s">
        <v>57</v>
      </c>
      <c r="C34">
        <v>94272</v>
      </c>
      <c r="D34">
        <v>122041</v>
      </c>
      <c r="E34">
        <v>1296713</v>
      </c>
      <c r="F34">
        <v>257480</v>
      </c>
      <c r="G34">
        <v>151558</v>
      </c>
      <c r="H34">
        <v>165569</v>
      </c>
      <c r="I34">
        <v>1067615</v>
      </c>
      <c r="J34">
        <v>289028</v>
      </c>
      <c r="K34">
        <v>41321</v>
      </c>
      <c r="L34">
        <v>44438</v>
      </c>
      <c r="M34">
        <v>447047</v>
      </c>
      <c r="N34">
        <v>6274</v>
      </c>
      <c r="O34">
        <v>294094</v>
      </c>
      <c r="P34">
        <v>289342</v>
      </c>
      <c r="Q34">
        <v>1080662</v>
      </c>
      <c r="R34">
        <v>193810</v>
      </c>
    </row>
    <row r="35" spans="1:18" x14ac:dyDescent="0.4">
      <c r="A35" s="1" t="s">
        <v>58</v>
      </c>
      <c r="B35" s="1" t="s">
        <v>59</v>
      </c>
      <c r="C35">
        <v>104322</v>
      </c>
      <c r="D35">
        <v>145984</v>
      </c>
      <c r="E35">
        <v>1496122</v>
      </c>
      <c r="F35">
        <v>248656</v>
      </c>
      <c r="G35">
        <v>164138</v>
      </c>
      <c r="H35">
        <v>197811</v>
      </c>
      <c r="I35">
        <v>1132918</v>
      </c>
      <c r="J35">
        <v>302220</v>
      </c>
      <c r="K35">
        <v>44795</v>
      </c>
      <c r="L35">
        <v>44284</v>
      </c>
      <c r="M35">
        <v>446898</v>
      </c>
      <c r="N35">
        <v>6776</v>
      </c>
      <c r="O35">
        <v>274514</v>
      </c>
      <c r="P35">
        <v>265455</v>
      </c>
      <c r="Q35">
        <v>1033551</v>
      </c>
      <c r="R35">
        <v>201987</v>
      </c>
    </row>
    <row r="36" spans="1:18" x14ac:dyDescent="0.4">
      <c r="A36" s="1" t="s">
        <v>60</v>
      </c>
      <c r="B36" s="1" t="s">
        <v>61</v>
      </c>
      <c r="C36">
        <v>96248</v>
      </c>
      <c r="D36">
        <v>130714</v>
      </c>
      <c r="E36">
        <v>1426235</v>
      </c>
      <c r="F36">
        <v>260144</v>
      </c>
      <c r="G36">
        <v>162574</v>
      </c>
      <c r="H36">
        <v>239447</v>
      </c>
      <c r="I36">
        <v>1248715</v>
      </c>
      <c r="J36">
        <v>290582</v>
      </c>
      <c r="K36">
        <v>43845</v>
      </c>
      <c r="L36">
        <v>39340</v>
      </c>
      <c r="M36">
        <v>379383</v>
      </c>
      <c r="N36">
        <v>11273</v>
      </c>
      <c r="O36">
        <v>253576</v>
      </c>
      <c r="P36">
        <v>285155</v>
      </c>
      <c r="Q36">
        <v>1014241</v>
      </c>
      <c r="R36">
        <v>206786</v>
      </c>
    </row>
    <row r="37" spans="1:18" x14ac:dyDescent="0.4">
      <c r="A37" s="1" t="s">
        <v>62</v>
      </c>
      <c r="B37" s="1" t="s">
        <v>63</v>
      </c>
      <c r="C37">
        <v>95147</v>
      </c>
      <c r="D37">
        <v>134564</v>
      </c>
      <c r="E37">
        <v>1262538</v>
      </c>
      <c r="F37">
        <v>257506</v>
      </c>
      <c r="G37">
        <v>158058</v>
      </c>
      <c r="H37">
        <v>276343</v>
      </c>
      <c r="I37">
        <v>1322821</v>
      </c>
      <c r="J37">
        <v>251016</v>
      </c>
      <c r="K37">
        <v>37647</v>
      </c>
      <c r="L37">
        <v>39587</v>
      </c>
      <c r="M37">
        <v>383629</v>
      </c>
      <c r="N37">
        <v>9327</v>
      </c>
      <c r="O37">
        <v>264299</v>
      </c>
      <c r="P37">
        <v>277408</v>
      </c>
      <c r="Q37">
        <v>1158455</v>
      </c>
      <c r="R37">
        <v>200527</v>
      </c>
    </row>
    <row r="38" spans="1:18" x14ac:dyDescent="0.4">
      <c r="A38" s="1" t="s">
        <v>64</v>
      </c>
      <c r="B38" s="1" t="s">
        <v>65</v>
      </c>
      <c r="C38">
        <v>99967</v>
      </c>
      <c r="D38">
        <v>163226</v>
      </c>
      <c r="E38">
        <v>1542919</v>
      </c>
      <c r="F38">
        <v>234000</v>
      </c>
      <c r="G38">
        <v>173466</v>
      </c>
      <c r="H38">
        <v>323649</v>
      </c>
      <c r="I38">
        <v>1586420</v>
      </c>
      <c r="J38">
        <v>183117</v>
      </c>
      <c r="K38">
        <v>56184</v>
      </c>
      <c r="L38">
        <v>47257</v>
      </c>
      <c r="M38">
        <v>512758</v>
      </c>
      <c r="N38">
        <v>18225</v>
      </c>
      <c r="O38">
        <v>270887</v>
      </c>
      <c r="P38">
        <v>333711</v>
      </c>
      <c r="Q38">
        <v>1405386</v>
      </c>
      <c r="R38">
        <v>146238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CE3B3-8AB4-45A9-B851-6038DD8AF9B1}">
  <dimension ref="A1:L40"/>
  <sheetViews>
    <sheetView workbookViewId="0">
      <selection activeCell="C9" sqref="C9"/>
    </sheetView>
  </sheetViews>
  <sheetFormatPr defaultColWidth="15.625" defaultRowHeight="18.75" x14ac:dyDescent="0.4"/>
  <sheetData>
    <row r="1" spans="1:12" x14ac:dyDescent="0.4">
      <c r="A1" s="1" t="s">
        <v>66</v>
      </c>
      <c r="B1" s="1"/>
    </row>
    <row r="2" spans="1:12" x14ac:dyDescent="0.4">
      <c r="A2" s="4" t="str">
        <f>HYPERLINK("#'目次(Contents)'!A3","目次に戻る(Return to Contents)")</f>
        <v>目次に戻る(Return to Contents)</v>
      </c>
      <c r="B2" s="1"/>
    </row>
    <row r="3" spans="1:12" x14ac:dyDescent="0.4">
      <c r="A3" s="1"/>
      <c r="B3" s="2" t="s">
        <v>0</v>
      </c>
      <c r="C3" t="s">
        <v>2231</v>
      </c>
      <c r="D3" t="s">
        <v>2231</v>
      </c>
      <c r="E3" t="s">
        <v>2231</v>
      </c>
      <c r="F3" t="s">
        <v>2231</v>
      </c>
      <c r="G3" t="s">
        <v>2231</v>
      </c>
      <c r="H3" t="s">
        <v>2239</v>
      </c>
      <c r="I3" t="s">
        <v>2239</v>
      </c>
      <c r="J3" t="s">
        <v>2239</v>
      </c>
      <c r="K3" t="s">
        <v>2239</v>
      </c>
      <c r="L3" t="s">
        <v>2239</v>
      </c>
    </row>
    <row r="4" spans="1:12" x14ac:dyDescent="0.4">
      <c r="A4" s="1"/>
      <c r="B4" s="2" t="s">
        <v>1</v>
      </c>
      <c r="C4" t="s">
        <v>2233</v>
      </c>
      <c r="D4" t="s">
        <v>2233</v>
      </c>
      <c r="E4" t="s">
        <v>2233</v>
      </c>
      <c r="F4" t="s">
        <v>2233</v>
      </c>
      <c r="G4" t="s">
        <v>2233</v>
      </c>
      <c r="H4" t="s">
        <v>2240</v>
      </c>
      <c r="I4" t="s">
        <v>2240</v>
      </c>
      <c r="J4" t="s">
        <v>2240</v>
      </c>
      <c r="K4" t="s">
        <v>2240</v>
      </c>
      <c r="L4" t="s">
        <v>2240</v>
      </c>
    </row>
    <row r="5" spans="1:12" x14ac:dyDescent="0.4">
      <c r="A5" s="1"/>
      <c r="B5" s="2" t="s">
        <v>2</v>
      </c>
      <c r="C5" t="s">
        <v>69</v>
      </c>
      <c r="D5" t="s">
        <v>74</v>
      </c>
      <c r="E5" t="s">
        <v>2235</v>
      </c>
      <c r="F5" t="s">
        <v>263</v>
      </c>
      <c r="G5" t="s">
        <v>76</v>
      </c>
      <c r="H5" t="s">
        <v>69</v>
      </c>
      <c r="I5" t="s">
        <v>74</v>
      </c>
      <c r="J5" t="s">
        <v>2235</v>
      </c>
      <c r="K5" t="s">
        <v>263</v>
      </c>
      <c r="L5" t="s">
        <v>76</v>
      </c>
    </row>
    <row r="6" spans="1:12" x14ac:dyDescent="0.4">
      <c r="A6" s="1"/>
      <c r="B6" s="2" t="s">
        <v>3</v>
      </c>
      <c r="C6" t="s">
        <v>72</v>
      </c>
      <c r="D6" t="s">
        <v>75</v>
      </c>
      <c r="E6" t="s">
        <v>2237</v>
      </c>
      <c r="F6" t="s">
        <v>264</v>
      </c>
      <c r="G6" t="s">
        <v>77</v>
      </c>
      <c r="H6" t="s">
        <v>72</v>
      </c>
      <c r="I6" t="s">
        <v>75</v>
      </c>
      <c r="J6" t="s">
        <v>2237</v>
      </c>
      <c r="K6" t="s">
        <v>264</v>
      </c>
      <c r="L6" t="s">
        <v>77</v>
      </c>
    </row>
    <row r="7" spans="1:12" x14ac:dyDescent="0.4">
      <c r="A7" s="1"/>
      <c r="B7" s="2" t="s">
        <v>4</v>
      </c>
      <c r="C7" t="s">
        <v>2232</v>
      </c>
      <c r="D7" t="s">
        <v>2232</v>
      </c>
      <c r="E7" t="s">
        <v>2236</v>
      </c>
      <c r="F7" t="s">
        <v>258</v>
      </c>
      <c r="G7" t="s">
        <v>2232</v>
      </c>
      <c r="H7" t="s">
        <v>2232</v>
      </c>
      <c r="I7" t="s">
        <v>2232</v>
      </c>
      <c r="J7" t="s">
        <v>2236</v>
      </c>
      <c r="K7" t="s">
        <v>258</v>
      </c>
      <c r="L7" t="s">
        <v>2232</v>
      </c>
    </row>
    <row r="8" spans="1:12" x14ac:dyDescent="0.4">
      <c r="A8" s="1" t="s">
        <v>67</v>
      </c>
      <c r="B8" s="2" t="s">
        <v>5</v>
      </c>
      <c r="C8" t="s">
        <v>2234</v>
      </c>
      <c r="D8" t="s">
        <v>2234</v>
      </c>
      <c r="E8" t="s">
        <v>2238</v>
      </c>
      <c r="F8" t="s">
        <v>260</v>
      </c>
      <c r="G8" t="s">
        <v>2234</v>
      </c>
      <c r="H8" t="s">
        <v>2234</v>
      </c>
      <c r="I8" t="s">
        <v>2234</v>
      </c>
      <c r="J8" t="s">
        <v>2238</v>
      </c>
      <c r="K8" t="s">
        <v>260</v>
      </c>
      <c r="L8" t="s">
        <v>2234</v>
      </c>
    </row>
    <row r="9" spans="1:12" x14ac:dyDescent="0.4">
      <c r="A9" s="1" t="s">
        <v>6</v>
      </c>
      <c r="B9" s="3" t="s">
        <v>7</v>
      </c>
      <c r="C9">
        <v>784136</v>
      </c>
      <c r="D9">
        <v>781739</v>
      </c>
      <c r="E9">
        <v>335482</v>
      </c>
      <c r="F9">
        <v>14551</v>
      </c>
      <c r="G9">
        <v>92122</v>
      </c>
      <c r="H9">
        <v>57778</v>
      </c>
      <c r="I9">
        <v>68414</v>
      </c>
      <c r="J9">
        <v>10831</v>
      </c>
      <c r="K9">
        <v>637</v>
      </c>
      <c r="L9">
        <v>29888</v>
      </c>
    </row>
    <row r="10" spans="1:12" x14ac:dyDescent="0.4">
      <c r="A10" s="1" t="s">
        <v>8</v>
      </c>
      <c r="B10" s="3" t="s">
        <v>9</v>
      </c>
      <c r="C10">
        <v>756904</v>
      </c>
      <c r="D10">
        <v>756938</v>
      </c>
      <c r="E10">
        <v>340208</v>
      </c>
      <c r="F10">
        <v>15499</v>
      </c>
      <c r="G10">
        <v>95154</v>
      </c>
      <c r="H10">
        <v>82777</v>
      </c>
      <c r="I10">
        <v>85599</v>
      </c>
      <c r="J10">
        <v>14610</v>
      </c>
      <c r="K10">
        <v>876</v>
      </c>
      <c r="L10">
        <v>27354</v>
      </c>
    </row>
    <row r="11" spans="1:12" x14ac:dyDescent="0.4">
      <c r="A11" s="1" t="s">
        <v>10</v>
      </c>
      <c r="B11" s="3" t="s">
        <v>11</v>
      </c>
      <c r="C11">
        <v>852578</v>
      </c>
      <c r="D11">
        <v>856801</v>
      </c>
      <c r="E11">
        <v>384324</v>
      </c>
      <c r="F11">
        <v>17850</v>
      </c>
      <c r="G11">
        <v>88810</v>
      </c>
      <c r="H11">
        <v>33743</v>
      </c>
      <c r="I11">
        <v>33466</v>
      </c>
      <c r="J11">
        <v>6654</v>
      </c>
      <c r="K11">
        <v>677</v>
      </c>
      <c r="L11">
        <v>13923</v>
      </c>
    </row>
    <row r="12" spans="1:12" x14ac:dyDescent="0.4">
      <c r="A12" s="1" t="s">
        <v>12</v>
      </c>
      <c r="B12" s="3" t="s">
        <v>13</v>
      </c>
      <c r="C12">
        <v>837032</v>
      </c>
      <c r="D12">
        <v>836505</v>
      </c>
      <c r="E12">
        <v>366810</v>
      </c>
      <c r="F12">
        <v>17605</v>
      </c>
      <c r="G12">
        <v>91743</v>
      </c>
      <c r="H12">
        <v>23833</v>
      </c>
      <c r="I12">
        <v>25072</v>
      </c>
      <c r="J12">
        <v>5453</v>
      </c>
      <c r="K12">
        <v>544</v>
      </c>
      <c r="L12">
        <v>12684</v>
      </c>
    </row>
    <row r="13" spans="1:12" x14ac:dyDescent="0.4">
      <c r="A13" s="1" t="s">
        <v>14</v>
      </c>
      <c r="B13" s="3" t="s">
        <v>15</v>
      </c>
      <c r="C13">
        <v>858807</v>
      </c>
      <c r="D13">
        <v>860902</v>
      </c>
      <c r="E13">
        <v>370251</v>
      </c>
      <c r="F13">
        <v>18135</v>
      </c>
      <c r="G13">
        <v>93883</v>
      </c>
      <c r="H13">
        <v>25181</v>
      </c>
      <c r="I13">
        <v>26700</v>
      </c>
      <c r="J13">
        <v>6452</v>
      </c>
      <c r="K13">
        <v>628</v>
      </c>
      <c r="L13">
        <v>12059</v>
      </c>
    </row>
    <row r="14" spans="1:12" x14ac:dyDescent="0.4">
      <c r="A14" s="1" t="s">
        <v>16</v>
      </c>
      <c r="B14" s="1" t="s">
        <v>17</v>
      </c>
      <c r="C14">
        <v>66765</v>
      </c>
      <c r="D14">
        <v>66415</v>
      </c>
      <c r="E14">
        <v>29656</v>
      </c>
      <c r="F14">
        <v>1363</v>
      </c>
      <c r="G14">
        <v>89273</v>
      </c>
      <c r="H14">
        <v>2014</v>
      </c>
      <c r="I14">
        <v>2116</v>
      </c>
      <c r="J14">
        <v>456</v>
      </c>
      <c r="K14">
        <v>48</v>
      </c>
      <c r="L14">
        <v>13611</v>
      </c>
    </row>
    <row r="15" spans="1:12" x14ac:dyDescent="0.4">
      <c r="A15" s="1" t="s">
        <v>18</v>
      </c>
      <c r="B15" s="1" t="s">
        <v>19</v>
      </c>
      <c r="C15">
        <v>69958</v>
      </c>
      <c r="D15">
        <v>69851</v>
      </c>
      <c r="E15">
        <v>28844</v>
      </c>
      <c r="F15">
        <v>1345</v>
      </c>
      <c r="G15">
        <v>89653</v>
      </c>
      <c r="H15">
        <v>2326</v>
      </c>
      <c r="I15">
        <v>2395</v>
      </c>
      <c r="J15">
        <v>510</v>
      </c>
      <c r="K15">
        <v>50</v>
      </c>
      <c r="L15">
        <v>13542</v>
      </c>
    </row>
    <row r="16" spans="1:12" x14ac:dyDescent="0.4">
      <c r="A16" s="1" t="s">
        <v>20</v>
      </c>
      <c r="B16" s="1" t="s">
        <v>21</v>
      </c>
      <c r="C16">
        <v>64726</v>
      </c>
      <c r="D16">
        <v>64190</v>
      </c>
      <c r="E16">
        <v>27060</v>
      </c>
      <c r="F16">
        <v>1320</v>
      </c>
      <c r="G16">
        <v>90432</v>
      </c>
      <c r="H16">
        <v>1872</v>
      </c>
      <c r="I16">
        <v>1941</v>
      </c>
      <c r="J16">
        <v>399</v>
      </c>
      <c r="K16">
        <v>44</v>
      </c>
      <c r="L16">
        <v>13473</v>
      </c>
    </row>
    <row r="17" spans="1:12" x14ac:dyDescent="0.4">
      <c r="A17" s="1" t="s">
        <v>22</v>
      </c>
      <c r="B17" s="1" t="s">
        <v>23</v>
      </c>
      <c r="C17">
        <v>64388</v>
      </c>
      <c r="D17">
        <v>64773</v>
      </c>
      <c r="E17">
        <v>31008</v>
      </c>
      <c r="F17">
        <v>1473</v>
      </c>
      <c r="G17">
        <v>90210</v>
      </c>
      <c r="H17">
        <v>1317</v>
      </c>
      <c r="I17">
        <v>1947</v>
      </c>
      <c r="J17">
        <v>450</v>
      </c>
      <c r="K17">
        <v>46</v>
      </c>
      <c r="L17">
        <v>12843</v>
      </c>
    </row>
    <row r="18" spans="1:12" x14ac:dyDescent="0.4">
      <c r="A18" s="1" t="s">
        <v>24</v>
      </c>
      <c r="B18" s="1" t="s">
        <v>25</v>
      </c>
      <c r="C18">
        <v>73954</v>
      </c>
      <c r="D18">
        <v>74210</v>
      </c>
      <c r="E18">
        <v>35608</v>
      </c>
      <c r="F18">
        <v>1693</v>
      </c>
      <c r="G18">
        <v>90239</v>
      </c>
      <c r="H18">
        <v>2011</v>
      </c>
      <c r="I18">
        <v>2238</v>
      </c>
      <c r="J18">
        <v>503</v>
      </c>
      <c r="K18">
        <v>51</v>
      </c>
      <c r="L18">
        <v>12616</v>
      </c>
    </row>
    <row r="19" spans="1:12" x14ac:dyDescent="0.4">
      <c r="A19" s="1" t="s">
        <v>26</v>
      </c>
      <c r="B19" s="1" t="s">
        <v>27</v>
      </c>
      <c r="C19">
        <v>60989</v>
      </c>
      <c r="D19">
        <v>61355</v>
      </c>
      <c r="E19">
        <v>28066</v>
      </c>
      <c r="F19">
        <v>1393</v>
      </c>
      <c r="G19">
        <v>89965</v>
      </c>
      <c r="H19">
        <v>1547</v>
      </c>
      <c r="I19">
        <v>1623</v>
      </c>
      <c r="J19">
        <v>367</v>
      </c>
      <c r="K19">
        <v>32</v>
      </c>
      <c r="L19">
        <v>12540</v>
      </c>
    </row>
    <row r="20" spans="1:12" x14ac:dyDescent="0.4">
      <c r="A20" s="1" t="s">
        <v>28</v>
      </c>
      <c r="B20" s="1" t="s">
        <v>29</v>
      </c>
      <c r="C20">
        <v>76916</v>
      </c>
      <c r="D20">
        <v>76554</v>
      </c>
      <c r="E20">
        <v>32006</v>
      </c>
      <c r="F20">
        <v>1549</v>
      </c>
      <c r="G20">
        <v>90584</v>
      </c>
      <c r="H20">
        <v>2402</v>
      </c>
      <c r="I20">
        <v>2112</v>
      </c>
      <c r="J20">
        <v>392</v>
      </c>
      <c r="K20">
        <v>43</v>
      </c>
      <c r="L20">
        <v>12830</v>
      </c>
    </row>
    <row r="21" spans="1:12" x14ac:dyDescent="0.4">
      <c r="A21" s="1" t="s">
        <v>30</v>
      </c>
      <c r="B21" s="1" t="s">
        <v>31</v>
      </c>
      <c r="C21">
        <v>78515</v>
      </c>
      <c r="D21">
        <v>77454</v>
      </c>
      <c r="E21">
        <v>35622</v>
      </c>
      <c r="F21">
        <v>1686</v>
      </c>
      <c r="G21">
        <v>91836</v>
      </c>
      <c r="H21">
        <v>2065</v>
      </c>
      <c r="I21">
        <v>1885</v>
      </c>
      <c r="J21">
        <v>437</v>
      </c>
      <c r="K21">
        <v>41</v>
      </c>
      <c r="L21">
        <v>13010</v>
      </c>
    </row>
    <row r="22" spans="1:12" x14ac:dyDescent="0.4">
      <c r="A22" s="1" t="s">
        <v>32</v>
      </c>
      <c r="B22" s="1" t="s">
        <v>33</v>
      </c>
      <c r="C22">
        <v>76085</v>
      </c>
      <c r="D22">
        <v>76724</v>
      </c>
      <c r="E22">
        <v>32993</v>
      </c>
      <c r="F22">
        <v>1550</v>
      </c>
      <c r="G22">
        <v>91681</v>
      </c>
      <c r="H22">
        <v>1729</v>
      </c>
      <c r="I22">
        <v>1940</v>
      </c>
      <c r="J22">
        <v>429</v>
      </c>
      <c r="K22">
        <v>44</v>
      </c>
      <c r="L22">
        <v>12799</v>
      </c>
    </row>
    <row r="23" spans="1:12" x14ac:dyDescent="0.4">
      <c r="A23" s="1" t="s">
        <v>34</v>
      </c>
      <c r="B23" s="1" t="s">
        <v>35</v>
      </c>
      <c r="C23">
        <v>68889</v>
      </c>
      <c r="D23">
        <v>69072</v>
      </c>
      <c r="E23">
        <v>29989</v>
      </c>
      <c r="F23">
        <v>1493</v>
      </c>
      <c r="G23">
        <v>91743</v>
      </c>
      <c r="H23">
        <v>2017</v>
      </c>
      <c r="I23">
        <v>2132</v>
      </c>
      <c r="J23">
        <v>489</v>
      </c>
      <c r="K23">
        <v>46</v>
      </c>
      <c r="L23">
        <v>12684</v>
      </c>
    </row>
    <row r="24" spans="1:12" x14ac:dyDescent="0.4">
      <c r="A24" s="1" t="s">
        <v>36</v>
      </c>
      <c r="B24" s="1" t="s">
        <v>37</v>
      </c>
      <c r="C24">
        <v>71159</v>
      </c>
      <c r="D24">
        <v>72096</v>
      </c>
      <c r="E24">
        <v>30992</v>
      </c>
      <c r="F24">
        <v>1567</v>
      </c>
      <c r="G24">
        <v>91904</v>
      </c>
      <c r="H24">
        <v>2010</v>
      </c>
      <c r="I24">
        <v>2288</v>
      </c>
      <c r="J24">
        <v>580</v>
      </c>
      <c r="K24">
        <v>56</v>
      </c>
      <c r="L24">
        <v>13300</v>
      </c>
    </row>
    <row r="25" spans="1:12" x14ac:dyDescent="0.4">
      <c r="A25" s="1" t="s">
        <v>38</v>
      </c>
      <c r="B25" s="1" t="s">
        <v>39</v>
      </c>
      <c r="C25">
        <v>72265</v>
      </c>
      <c r="D25">
        <v>72230</v>
      </c>
      <c r="E25">
        <v>30395</v>
      </c>
      <c r="F25">
        <v>1445</v>
      </c>
      <c r="G25">
        <v>91969</v>
      </c>
      <c r="H25">
        <v>2139</v>
      </c>
      <c r="I25">
        <v>1995</v>
      </c>
      <c r="J25">
        <v>488</v>
      </c>
      <c r="K25">
        <v>45</v>
      </c>
      <c r="L25">
        <v>13444</v>
      </c>
    </row>
    <row r="26" spans="1:12" x14ac:dyDescent="0.4">
      <c r="A26" s="1" t="s">
        <v>40</v>
      </c>
      <c r="B26" s="1" t="s">
        <v>41</v>
      </c>
      <c r="C26">
        <v>71667</v>
      </c>
      <c r="D26">
        <v>71034</v>
      </c>
      <c r="E26">
        <v>30022</v>
      </c>
      <c r="F26">
        <v>1472</v>
      </c>
      <c r="G26">
        <v>92890</v>
      </c>
      <c r="H26">
        <v>2336</v>
      </c>
      <c r="I26">
        <v>2480</v>
      </c>
      <c r="J26">
        <v>529</v>
      </c>
      <c r="K26">
        <v>55</v>
      </c>
      <c r="L26">
        <v>13299</v>
      </c>
    </row>
    <row r="27" spans="1:12" x14ac:dyDescent="0.4">
      <c r="A27" s="1" t="s">
        <v>42</v>
      </c>
      <c r="B27" s="1" t="s">
        <v>43</v>
      </c>
      <c r="C27">
        <v>70387</v>
      </c>
      <c r="D27">
        <v>71438</v>
      </c>
      <c r="E27">
        <v>29974</v>
      </c>
      <c r="F27">
        <v>1404</v>
      </c>
      <c r="G27">
        <v>92207</v>
      </c>
      <c r="H27">
        <v>2526</v>
      </c>
      <c r="I27">
        <v>2452</v>
      </c>
      <c r="J27">
        <v>557</v>
      </c>
      <c r="K27">
        <v>58</v>
      </c>
      <c r="L27">
        <v>13373</v>
      </c>
    </row>
    <row r="28" spans="1:12" x14ac:dyDescent="0.4">
      <c r="A28" s="1" t="s">
        <v>44</v>
      </c>
      <c r="B28" s="1" t="s">
        <v>45</v>
      </c>
      <c r="C28">
        <v>62495</v>
      </c>
      <c r="D28">
        <v>63271</v>
      </c>
      <c r="E28">
        <v>28557</v>
      </c>
      <c r="F28">
        <v>1436</v>
      </c>
      <c r="G28">
        <v>91909</v>
      </c>
      <c r="H28">
        <v>1818</v>
      </c>
      <c r="I28">
        <v>1797</v>
      </c>
      <c r="J28">
        <v>434</v>
      </c>
      <c r="K28">
        <v>43</v>
      </c>
      <c r="L28">
        <v>13394</v>
      </c>
    </row>
    <row r="29" spans="1:12" x14ac:dyDescent="0.4">
      <c r="A29" s="1" t="s">
        <v>46</v>
      </c>
      <c r="B29" s="1" t="s">
        <v>47</v>
      </c>
      <c r="C29">
        <v>74851</v>
      </c>
      <c r="D29">
        <v>75161</v>
      </c>
      <c r="E29">
        <v>31584</v>
      </c>
      <c r="F29">
        <v>1554</v>
      </c>
      <c r="G29">
        <v>91843</v>
      </c>
      <c r="H29">
        <v>2544</v>
      </c>
      <c r="I29">
        <v>2503</v>
      </c>
      <c r="J29">
        <v>571</v>
      </c>
      <c r="K29">
        <v>56</v>
      </c>
      <c r="L29">
        <v>13435</v>
      </c>
    </row>
    <row r="30" spans="1:12" x14ac:dyDescent="0.4">
      <c r="A30" s="1" t="s">
        <v>48</v>
      </c>
      <c r="B30" s="1" t="s">
        <v>49</v>
      </c>
      <c r="C30">
        <v>77430</v>
      </c>
      <c r="D30">
        <v>77752</v>
      </c>
      <c r="E30">
        <v>32556</v>
      </c>
      <c r="F30">
        <v>1622</v>
      </c>
      <c r="G30">
        <v>91953</v>
      </c>
      <c r="H30">
        <v>2482</v>
      </c>
      <c r="I30">
        <v>2870</v>
      </c>
      <c r="J30">
        <v>676</v>
      </c>
      <c r="K30">
        <v>65</v>
      </c>
      <c r="L30">
        <v>13047</v>
      </c>
    </row>
    <row r="31" spans="1:12" x14ac:dyDescent="0.4">
      <c r="A31" s="1" t="s">
        <v>50</v>
      </c>
      <c r="B31" s="1" t="s">
        <v>51</v>
      </c>
      <c r="C31">
        <v>62275</v>
      </c>
      <c r="D31">
        <v>62133</v>
      </c>
      <c r="E31">
        <v>26211</v>
      </c>
      <c r="F31">
        <v>1271</v>
      </c>
      <c r="G31">
        <v>92287</v>
      </c>
      <c r="H31">
        <v>2034</v>
      </c>
      <c r="I31">
        <v>2114</v>
      </c>
      <c r="J31">
        <v>551</v>
      </c>
      <c r="K31">
        <v>51</v>
      </c>
      <c r="L31">
        <v>12967</v>
      </c>
    </row>
    <row r="32" spans="1:12" x14ac:dyDescent="0.4">
      <c r="A32" s="1" t="s">
        <v>52</v>
      </c>
      <c r="B32" s="1" t="s">
        <v>53</v>
      </c>
      <c r="C32">
        <v>76903</v>
      </c>
      <c r="D32">
        <v>77340</v>
      </c>
      <c r="E32">
        <v>32696</v>
      </c>
      <c r="F32">
        <v>1597</v>
      </c>
      <c r="G32">
        <v>92149</v>
      </c>
      <c r="H32">
        <v>1696</v>
      </c>
      <c r="I32">
        <v>2027</v>
      </c>
      <c r="J32">
        <v>491</v>
      </c>
      <c r="K32">
        <v>49</v>
      </c>
      <c r="L32">
        <v>12635</v>
      </c>
    </row>
    <row r="33" spans="1:12" x14ac:dyDescent="0.4">
      <c r="A33" s="1" t="s">
        <v>54</v>
      </c>
      <c r="B33" s="1" t="s">
        <v>55</v>
      </c>
      <c r="C33">
        <v>80625</v>
      </c>
      <c r="D33">
        <v>81760</v>
      </c>
      <c r="E33">
        <v>36319</v>
      </c>
      <c r="F33">
        <v>1813</v>
      </c>
      <c r="G33">
        <v>91372</v>
      </c>
      <c r="H33">
        <v>1984</v>
      </c>
      <c r="I33">
        <v>2355</v>
      </c>
      <c r="J33">
        <v>595</v>
      </c>
      <c r="K33">
        <v>56</v>
      </c>
      <c r="L33">
        <v>12265</v>
      </c>
    </row>
    <row r="34" spans="1:12" x14ac:dyDescent="0.4">
      <c r="A34" s="1" t="s">
        <v>56</v>
      </c>
      <c r="B34" s="1" t="s">
        <v>57</v>
      </c>
      <c r="C34">
        <v>72243</v>
      </c>
      <c r="D34">
        <v>70797</v>
      </c>
      <c r="E34">
        <v>32855</v>
      </c>
      <c r="F34">
        <v>1567</v>
      </c>
      <c r="G34">
        <v>93077</v>
      </c>
      <c r="H34">
        <v>1774</v>
      </c>
      <c r="I34">
        <v>1959</v>
      </c>
      <c r="J34">
        <v>457</v>
      </c>
      <c r="K34">
        <v>47</v>
      </c>
      <c r="L34">
        <v>12081</v>
      </c>
    </row>
    <row r="35" spans="1:12" x14ac:dyDescent="0.4">
      <c r="A35" s="1" t="s">
        <v>58</v>
      </c>
      <c r="B35" s="1" t="s">
        <v>59</v>
      </c>
      <c r="C35">
        <v>66507</v>
      </c>
      <c r="D35">
        <v>65890</v>
      </c>
      <c r="E35">
        <v>28090</v>
      </c>
      <c r="F35">
        <v>1387</v>
      </c>
      <c r="G35">
        <v>93883</v>
      </c>
      <c r="H35">
        <v>1838</v>
      </c>
      <c r="I35">
        <v>1860</v>
      </c>
      <c r="J35">
        <v>523</v>
      </c>
      <c r="K35">
        <v>47</v>
      </c>
      <c r="L35">
        <v>12059</v>
      </c>
    </row>
    <row r="36" spans="1:12" x14ac:dyDescent="0.4">
      <c r="A36" s="1" t="s">
        <v>60</v>
      </c>
      <c r="B36" s="1" t="s">
        <v>61</v>
      </c>
      <c r="C36">
        <v>65613</v>
      </c>
      <c r="D36">
        <v>65749</v>
      </c>
      <c r="E36">
        <v>29714</v>
      </c>
      <c r="F36">
        <v>1516</v>
      </c>
      <c r="G36">
        <v>93858</v>
      </c>
      <c r="H36">
        <v>2292</v>
      </c>
      <c r="I36">
        <v>2253</v>
      </c>
      <c r="J36">
        <v>593</v>
      </c>
      <c r="K36">
        <v>62</v>
      </c>
      <c r="L36">
        <v>12098</v>
      </c>
    </row>
    <row r="37" spans="1:12" x14ac:dyDescent="0.4">
      <c r="A37" s="1" t="s">
        <v>62</v>
      </c>
      <c r="B37" s="1" t="s">
        <v>63</v>
      </c>
      <c r="C37">
        <v>67514</v>
      </c>
      <c r="D37">
        <v>67226</v>
      </c>
      <c r="E37">
        <v>31211</v>
      </c>
      <c r="F37">
        <v>1501</v>
      </c>
      <c r="G37">
        <v>94362</v>
      </c>
      <c r="H37">
        <v>2486</v>
      </c>
      <c r="I37">
        <v>2465</v>
      </c>
      <c r="J37">
        <v>638</v>
      </c>
      <c r="K37">
        <v>59</v>
      </c>
      <c r="L37">
        <v>12119</v>
      </c>
    </row>
    <row r="38" spans="1:12" x14ac:dyDescent="0.4">
      <c r="A38" s="1" t="s">
        <v>64</v>
      </c>
      <c r="B38" s="1" t="s">
        <v>65</v>
      </c>
      <c r="C38">
        <v>70512</v>
      </c>
      <c r="D38">
        <v>70413</v>
      </c>
      <c r="E38">
        <v>31665</v>
      </c>
      <c r="F38">
        <v>1605</v>
      </c>
      <c r="G38">
        <v>94850</v>
      </c>
      <c r="H38">
        <v>2237</v>
      </c>
      <c r="I38">
        <v>2111</v>
      </c>
      <c r="J38">
        <v>503</v>
      </c>
      <c r="K38">
        <v>48</v>
      </c>
      <c r="L38">
        <v>12279</v>
      </c>
    </row>
    <row r="39" spans="1:12" x14ac:dyDescent="0.4">
      <c r="A39" s="1"/>
      <c r="B39" s="1"/>
    </row>
    <row r="40" spans="1:12" x14ac:dyDescent="0.4">
      <c r="A40" s="1"/>
      <c r="B40" s="1"/>
    </row>
  </sheetData>
  <phoneticPr fontId="2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560CF-4F04-49CC-83C8-DD842AC64DF2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2241</v>
      </c>
      <c r="D3" t="s">
        <v>2241</v>
      </c>
      <c r="E3" t="s">
        <v>2241</v>
      </c>
      <c r="F3" t="s">
        <v>2241</v>
      </c>
      <c r="G3" t="s">
        <v>2243</v>
      </c>
      <c r="H3" t="s">
        <v>2243</v>
      </c>
      <c r="I3" t="s">
        <v>2243</v>
      </c>
      <c r="J3" t="s">
        <v>2243</v>
      </c>
      <c r="K3" t="s">
        <v>2245</v>
      </c>
      <c r="L3" t="s">
        <v>2245</v>
      </c>
      <c r="M3" t="s">
        <v>2245</v>
      </c>
      <c r="N3" t="s">
        <v>2245</v>
      </c>
      <c r="O3" t="s">
        <v>2247</v>
      </c>
      <c r="P3" t="s">
        <v>2247</v>
      </c>
      <c r="Q3" t="s">
        <v>2247</v>
      </c>
      <c r="R3" t="s">
        <v>2247</v>
      </c>
      <c r="S3" t="s">
        <v>2249</v>
      </c>
      <c r="T3" t="s">
        <v>2249</v>
      </c>
      <c r="U3" t="s">
        <v>2249</v>
      </c>
      <c r="V3" t="s">
        <v>2249</v>
      </c>
      <c r="W3" t="s">
        <v>2251</v>
      </c>
      <c r="X3" t="s">
        <v>2251</v>
      </c>
      <c r="Y3" t="s">
        <v>2251</v>
      </c>
      <c r="Z3" t="s">
        <v>2251</v>
      </c>
      <c r="AA3" t="s">
        <v>2253</v>
      </c>
      <c r="AB3" t="s">
        <v>2253</v>
      </c>
      <c r="AC3" t="s">
        <v>2253</v>
      </c>
      <c r="AD3" t="s">
        <v>2253</v>
      </c>
      <c r="AE3" t="s">
        <v>2255</v>
      </c>
      <c r="AF3" t="s">
        <v>2255</v>
      </c>
      <c r="AG3" t="s">
        <v>2255</v>
      </c>
      <c r="AH3" t="s">
        <v>2255</v>
      </c>
      <c r="AI3" t="s">
        <v>2257</v>
      </c>
      <c r="AJ3" t="s">
        <v>2257</v>
      </c>
      <c r="AK3" t="s">
        <v>2257</v>
      </c>
      <c r="AL3" t="s">
        <v>2257</v>
      </c>
      <c r="AM3" t="s">
        <v>2259</v>
      </c>
      <c r="AN3" t="s">
        <v>2259</v>
      </c>
      <c r="AO3" t="s">
        <v>2259</v>
      </c>
      <c r="AP3" t="s">
        <v>2259</v>
      </c>
      <c r="AQ3" t="s">
        <v>2261</v>
      </c>
      <c r="AR3" t="s">
        <v>2261</v>
      </c>
      <c r="AS3" t="s">
        <v>2261</v>
      </c>
      <c r="AT3" t="s">
        <v>2261</v>
      </c>
      <c r="AU3" t="s">
        <v>2263</v>
      </c>
      <c r="AV3" t="s">
        <v>2263</v>
      </c>
      <c r="AW3" t="s">
        <v>2263</v>
      </c>
      <c r="AX3" t="s">
        <v>2263</v>
      </c>
      <c r="AY3" t="s">
        <v>2265</v>
      </c>
      <c r="AZ3" t="s">
        <v>2265</v>
      </c>
      <c r="BA3" t="s">
        <v>2265</v>
      </c>
      <c r="BB3" t="s">
        <v>2265</v>
      </c>
      <c r="BC3" t="s">
        <v>2267</v>
      </c>
      <c r="BD3" t="s">
        <v>2267</v>
      </c>
      <c r="BE3" t="s">
        <v>2267</v>
      </c>
      <c r="BF3" t="s">
        <v>2267</v>
      </c>
    </row>
    <row r="4" spans="1:58" x14ac:dyDescent="0.4">
      <c r="A4" s="1"/>
      <c r="B4" s="2" t="s">
        <v>1</v>
      </c>
      <c r="C4" t="s">
        <v>2242</v>
      </c>
      <c r="D4" t="s">
        <v>2242</v>
      </c>
      <c r="E4" t="s">
        <v>2242</v>
      </c>
      <c r="F4" t="s">
        <v>2242</v>
      </c>
      <c r="G4" t="s">
        <v>2244</v>
      </c>
      <c r="H4" t="s">
        <v>2244</v>
      </c>
      <c r="I4" t="s">
        <v>2244</v>
      </c>
      <c r="J4" t="s">
        <v>2244</v>
      </c>
      <c r="K4" t="s">
        <v>2246</v>
      </c>
      <c r="L4" t="s">
        <v>2246</v>
      </c>
      <c r="M4" t="s">
        <v>2246</v>
      </c>
      <c r="N4" t="s">
        <v>2246</v>
      </c>
      <c r="O4" t="s">
        <v>2248</v>
      </c>
      <c r="P4" t="s">
        <v>2248</v>
      </c>
      <c r="Q4" t="s">
        <v>2248</v>
      </c>
      <c r="R4" t="s">
        <v>2248</v>
      </c>
      <c r="S4" t="s">
        <v>2250</v>
      </c>
      <c r="T4" t="s">
        <v>2250</v>
      </c>
      <c r="U4" t="s">
        <v>2250</v>
      </c>
      <c r="V4" t="s">
        <v>2250</v>
      </c>
      <c r="W4" t="s">
        <v>2252</v>
      </c>
      <c r="X4" t="s">
        <v>2252</v>
      </c>
      <c r="Y4" t="s">
        <v>2252</v>
      </c>
      <c r="Z4" t="s">
        <v>2252</v>
      </c>
      <c r="AA4" t="s">
        <v>2254</v>
      </c>
      <c r="AB4" t="s">
        <v>2254</v>
      </c>
      <c r="AC4" t="s">
        <v>2254</v>
      </c>
      <c r="AD4" t="s">
        <v>2254</v>
      </c>
      <c r="AE4" t="s">
        <v>2256</v>
      </c>
      <c r="AF4" t="s">
        <v>2256</v>
      </c>
      <c r="AG4" t="s">
        <v>2256</v>
      </c>
      <c r="AH4" t="s">
        <v>2256</v>
      </c>
      <c r="AI4" t="s">
        <v>2258</v>
      </c>
      <c r="AJ4" t="s">
        <v>2258</v>
      </c>
      <c r="AK4" t="s">
        <v>2258</v>
      </c>
      <c r="AL4" t="s">
        <v>2258</v>
      </c>
      <c r="AM4" t="s">
        <v>2260</v>
      </c>
      <c r="AN4" t="s">
        <v>2260</v>
      </c>
      <c r="AO4" t="s">
        <v>2260</v>
      </c>
      <c r="AP4" t="s">
        <v>2260</v>
      </c>
      <c r="AQ4" t="s">
        <v>2262</v>
      </c>
      <c r="AR4" t="s">
        <v>2262</v>
      </c>
      <c r="AS4" t="s">
        <v>2262</v>
      </c>
      <c r="AT4" t="s">
        <v>2262</v>
      </c>
      <c r="AU4" t="s">
        <v>2264</v>
      </c>
      <c r="AV4" t="s">
        <v>2264</v>
      </c>
      <c r="AW4" t="s">
        <v>2264</v>
      </c>
      <c r="AX4" t="s">
        <v>2264</v>
      </c>
      <c r="AY4" t="s">
        <v>2266</v>
      </c>
      <c r="AZ4" t="s">
        <v>2266</v>
      </c>
      <c r="BA4" t="s">
        <v>2266</v>
      </c>
      <c r="BB4" t="s">
        <v>2266</v>
      </c>
      <c r="BC4" t="s">
        <v>2268</v>
      </c>
      <c r="BD4" t="s">
        <v>2268</v>
      </c>
      <c r="BE4" t="s">
        <v>2268</v>
      </c>
      <c r="BF4" t="s">
        <v>2268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1892</v>
      </c>
      <c r="P7" t="s">
        <v>1892</v>
      </c>
      <c r="Q7" t="s">
        <v>341</v>
      </c>
      <c r="R7" t="s">
        <v>1892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1895</v>
      </c>
      <c r="P8" t="s">
        <v>1895</v>
      </c>
      <c r="Q8" t="s">
        <v>342</v>
      </c>
      <c r="R8" t="s">
        <v>1895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12152</v>
      </c>
      <c r="D9">
        <v>20914</v>
      </c>
      <c r="E9">
        <v>5994098</v>
      </c>
      <c r="F9">
        <v>2823</v>
      </c>
      <c r="G9">
        <v>2845</v>
      </c>
      <c r="H9">
        <v>2652</v>
      </c>
      <c r="I9">
        <v>11443886</v>
      </c>
      <c r="J9">
        <v>615</v>
      </c>
      <c r="K9">
        <v>516</v>
      </c>
      <c r="L9">
        <v>773</v>
      </c>
      <c r="M9">
        <v>1829719</v>
      </c>
      <c r="N9">
        <v>1011</v>
      </c>
      <c r="O9">
        <v>29072</v>
      </c>
      <c r="P9">
        <v>39363</v>
      </c>
      <c r="Q9">
        <v>56756531</v>
      </c>
      <c r="R9">
        <v>6672</v>
      </c>
      <c r="S9">
        <v>296550</v>
      </c>
      <c r="T9">
        <v>290998</v>
      </c>
      <c r="U9">
        <v>33824126</v>
      </c>
      <c r="V9">
        <v>77248</v>
      </c>
      <c r="W9">
        <v>128245</v>
      </c>
      <c r="X9">
        <v>120128</v>
      </c>
      <c r="Y9">
        <v>10349569</v>
      </c>
      <c r="Z9">
        <v>33860</v>
      </c>
      <c r="AA9">
        <v>81362</v>
      </c>
      <c r="AB9">
        <v>80872</v>
      </c>
      <c r="AC9">
        <v>7564105</v>
      </c>
      <c r="AD9">
        <v>28676</v>
      </c>
      <c r="AE9">
        <v>266177</v>
      </c>
      <c r="AF9">
        <v>262181</v>
      </c>
      <c r="AG9">
        <v>26888353</v>
      </c>
      <c r="AH9">
        <v>53552</v>
      </c>
      <c r="AI9">
        <v>20085</v>
      </c>
      <c r="AJ9">
        <v>18848</v>
      </c>
      <c r="AK9">
        <v>9573305</v>
      </c>
      <c r="AL9">
        <v>8579</v>
      </c>
      <c r="AM9">
        <v>207675</v>
      </c>
      <c r="AN9">
        <v>207947</v>
      </c>
      <c r="AO9">
        <v>19981107</v>
      </c>
      <c r="AP9">
        <v>44176</v>
      </c>
      <c r="AQ9">
        <v>9104</v>
      </c>
      <c r="AR9">
        <v>10426</v>
      </c>
      <c r="AS9">
        <v>7525306</v>
      </c>
      <c r="AT9">
        <v>7021</v>
      </c>
      <c r="AU9">
        <v>10305</v>
      </c>
      <c r="AV9">
        <v>9893</v>
      </c>
      <c r="AW9">
        <v>9941207</v>
      </c>
      <c r="AX9">
        <v>6908</v>
      </c>
      <c r="AY9">
        <v>44507</v>
      </c>
      <c r="AZ9">
        <v>38003</v>
      </c>
      <c r="BA9">
        <v>42887811</v>
      </c>
      <c r="BB9">
        <v>9764</v>
      </c>
      <c r="BC9">
        <v>39090</v>
      </c>
      <c r="BD9">
        <v>13016</v>
      </c>
      <c r="BE9">
        <v>14112734</v>
      </c>
      <c r="BF9">
        <v>783</v>
      </c>
    </row>
    <row r="10" spans="1:58" x14ac:dyDescent="0.4">
      <c r="A10" s="1" t="s">
        <v>8</v>
      </c>
      <c r="B10" s="3" t="s">
        <v>9</v>
      </c>
      <c r="C10">
        <v>10564</v>
      </c>
      <c r="D10">
        <v>17246</v>
      </c>
      <c r="E10">
        <v>5195420</v>
      </c>
      <c r="F10">
        <v>2719</v>
      </c>
      <c r="G10">
        <v>2174</v>
      </c>
      <c r="H10">
        <v>1970</v>
      </c>
      <c r="I10">
        <v>9585264</v>
      </c>
      <c r="J10">
        <v>734</v>
      </c>
      <c r="K10">
        <v>527</v>
      </c>
      <c r="L10">
        <v>850</v>
      </c>
      <c r="M10">
        <v>2153819</v>
      </c>
      <c r="N10">
        <v>921</v>
      </c>
      <c r="O10">
        <v>21915</v>
      </c>
      <c r="P10">
        <v>27418</v>
      </c>
      <c r="Q10">
        <v>39148663</v>
      </c>
      <c r="R10">
        <v>9255</v>
      </c>
      <c r="S10">
        <v>322617</v>
      </c>
      <c r="T10">
        <v>325017</v>
      </c>
      <c r="U10">
        <v>38677574</v>
      </c>
      <c r="V10">
        <v>76635</v>
      </c>
      <c r="W10">
        <v>136773</v>
      </c>
      <c r="X10">
        <v>130899</v>
      </c>
      <c r="Y10">
        <v>11800427</v>
      </c>
      <c r="Z10">
        <v>34673</v>
      </c>
      <c r="AA10">
        <v>74914</v>
      </c>
      <c r="AB10">
        <v>83155</v>
      </c>
      <c r="AC10">
        <v>7747280</v>
      </c>
      <c r="AD10">
        <v>24292</v>
      </c>
      <c r="AE10">
        <v>244384</v>
      </c>
      <c r="AF10">
        <v>252352</v>
      </c>
      <c r="AG10">
        <v>26768034</v>
      </c>
      <c r="AH10">
        <v>46509</v>
      </c>
      <c r="AI10">
        <v>19679</v>
      </c>
      <c r="AJ10">
        <v>19163</v>
      </c>
      <c r="AK10">
        <v>10220545</v>
      </c>
      <c r="AL10">
        <v>9245</v>
      </c>
      <c r="AM10">
        <v>219860</v>
      </c>
      <c r="AN10">
        <v>215648</v>
      </c>
      <c r="AO10">
        <v>21246700</v>
      </c>
      <c r="AP10">
        <v>47367</v>
      </c>
      <c r="AQ10">
        <v>12067</v>
      </c>
      <c r="AR10">
        <v>11437</v>
      </c>
      <c r="AS10">
        <v>8919068</v>
      </c>
      <c r="AT10">
        <v>7441</v>
      </c>
      <c r="AU10">
        <v>10314</v>
      </c>
      <c r="AV10">
        <v>10451</v>
      </c>
      <c r="AW10">
        <v>9326290</v>
      </c>
      <c r="AX10">
        <v>6596</v>
      </c>
      <c r="AY10">
        <v>56770</v>
      </c>
      <c r="AZ10">
        <v>39279</v>
      </c>
      <c r="BA10">
        <v>52029388</v>
      </c>
      <c r="BB10">
        <v>12435</v>
      </c>
      <c r="BC10">
        <v>38310</v>
      </c>
      <c r="BD10">
        <v>11474</v>
      </c>
      <c r="BE10">
        <v>14767431</v>
      </c>
      <c r="BF10">
        <v>766</v>
      </c>
    </row>
    <row r="11" spans="1:58" x14ac:dyDescent="0.4">
      <c r="A11" s="1" t="s">
        <v>10</v>
      </c>
      <c r="B11" s="3" t="s">
        <v>11</v>
      </c>
      <c r="C11">
        <v>8299</v>
      </c>
      <c r="D11">
        <v>13254</v>
      </c>
      <c r="E11">
        <v>4373652</v>
      </c>
      <c r="F11">
        <v>2800</v>
      </c>
      <c r="G11">
        <v>1802</v>
      </c>
      <c r="H11">
        <v>1511</v>
      </c>
      <c r="I11">
        <v>8649769</v>
      </c>
      <c r="J11">
        <v>719</v>
      </c>
      <c r="K11">
        <v>409</v>
      </c>
      <c r="L11">
        <v>682</v>
      </c>
      <c r="M11">
        <v>1706393</v>
      </c>
      <c r="N11">
        <v>875</v>
      </c>
      <c r="O11">
        <v>18631</v>
      </c>
      <c r="P11">
        <v>27360</v>
      </c>
      <c r="Q11">
        <v>43952805</v>
      </c>
      <c r="R11">
        <v>5432</v>
      </c>
      <c r="S11">
        <v>313943</v>
      </c>
      <c r="T11">
        <v>315125</v>
      </c>
      <c r="U11">
        <v>42922314</v>
      </c>
      <c r="V11">
        <v>77441</v>
      </c>
      <c r="W11">
        <v>146089</v>
      </c>
      <c r="X11">
        <v>139332</v>
      </c>
      <c r="Y11">
        <v>14581409</v>
      </c>
      <c r="Z11">
        <v>36048</v>
      </c>
      <c r="AA11">
        <v>76821</v>
      </c>
      <c r="AB11">
        <v>79582</v>
      </c>
      <c r="AC11">
        <v>7942980</v>
      </c>
      <c r="AD11">
        <v>24785</v>
      </c>
      <c r="AE11">
        <v>226717</v>
      </c>
      <c r="AF11">
        <v>229469</v>
      </c>
      <c r="AG11">
        <v>27405962</v>
      </c>
      <c r="AH11">
        <v>44454</v>
      </c>
      <c r="AI11">
        <v>17853</v>
      </c>
      <c r="AJ11">
        <v>17021</v>
      </c>
      <c r="AK11">
        <v>10104473</v>
      </c>
      <c r="AL11">
        <v>10195</v>
      </c>
      <c r="AM11">
        <v>198737</v>
      </c>
      <c r="AN11">
        <v>206020</v>
      </c>
      <c r="AO11">
        <v>22982832</v>
      </c>
      <c r="AP11">
        <v>38335</v>
      </c>
      <c r="AQ11">
        <v>10073</v>
      </c>
      <c r="AR11">
        <v>10612</v>
      </c>
      <c r="AS11">
        <v>9224770</v>
      </c>
      <c r="AT11">
        <v>6673</v>
      </c>
      <c r="AU11">
        <v>11304</v>
      </c>
      <c r="AV11">
        <v>10328</v>
      </c>
      <c r="AW11">
        <v>9601756</v>
      </c>
      <c r="AX11">
        <v>7293</v>
      </c>
      <c r="AY11">
        <v>41590</v>
      </c>
      <c r="AZ11">
        <v>29813</v>
      </c>
      <c r="BA11">
        <v>51301667</v>
      </c>
      <c r="BB11">
        <v>12419</v>
      </c>
      <c r="BC11">
        <v>35145</v>
      </c>
      <c r="BD11">
        <v>10702</v>
      </c>
      <c r="BE11">
        <v>15264575</v>
      </c>
      <c r="BF11">
        <v>618</v>
      </c>
    </row>
    <row r="12" spans="1:58" x14ac:dyDescent="0.4">
      <c r="A12" s="1" t="s">
        <v>12</v>
      </c>
      <c r="B12" s="3" t="s">
        <v>13</v>
      </c>
      <c r="C12">
        <v>7163</v>
      </c>
      <c r="D12">
        <v>13255</v>
      </c>
      <c r="E12">
        <v>4433045</v>
      </c>
      <c r="F12">
        <v>1490</v>
      </c>
      <c r="G12">
        <v>1736</v>
      </c>
      <c r="H12">
        <v>1589</v>
      </c>
      <c r="I12">
        <v>9522415</v>
      </c>
      <c r="J12">
        <v>613</v>
      </c>
      <c r="K12">
        <v>405</v>
      </c>
      <c r="L12">
        <v>847</v>
      </c>
      <c r="M12">
        <v>2120763</v>
      </c>
      <c r="N12">
        <v>719</v>
      </c>
      <c r="O12" t="s">
        <v>73</v>
      </c>
      <c r="P12" t="s">
        <v>73</v>
      </c>
      <c r="Q12" t="s">
        <v>73</v>
      </c>
      <c r="R12" t="s">
        <v>73</v>
      </c>
      <c r="S12">
        <v>288589</v>
      </c>
      <c r="T12">
        <v>292511</v>
      </c>
      <c r="U12">
        <v>41021626</v>
      </c>
      <c r="V12">
        <v>73693</v>
      </c>
      <c r="W12">
        <v>142007</v>
      </c>
      <c r="X12">
        <v>136877</v>
      </c>
      <c r="Y12">
        <v>15565751</v>
      </c>
      <c r="Z12">
        <v>35757</v>
      </c>
      <c r="AA12">
        <v>68793</v>
      </c>
      <c r="AB12">
        <v>70930</v>
      </c>
      <c r="AC12">
        <v>7006358</v>
      </c>
      <c r="AD12">
        <v>26739</v>
      </c>
      <c r="AE12">
        <v>207606</v>
      </c>
      <c r="AF12">
        <v>208530</v>
      </c>
      <c r="AG12">
        <v>26067692</v>
      </c>
      <c r="AH12">
        <v>43959</v>
      </c>
      <c r="AI12">
        <v>16501</v>
      </c>
      <c r="AJ12">
        <v>14881</v>
      </c>
      <c r="AK12">
        <v>9789532</v>
      </c>
      <c r="AL12">
        <v>11959</v>
      </c>
      <c r="AM12">
        <v>196516</v>
      </c>
      <c r="AN12">
        <v>198915</v>
      </c>
      <c r="AO12">
        <v>23567104</v>
      </c>
      <c r="AP12">
        <v>34363</v>
      </c>
      <c r="AQ12">
        <v>9290</v>
      </c>
      <c r="AR12">
        <v>9407</v>
      </c>
      <c r="AS12">
        <v>8955638</v>
      </c>
      <c r="AT12">
        <v>6315</v>
      </c>
      <c r="AU12">
        <v>10505</v>
      </c>
      <c r="AV12">
        <v>11739</v>
      </c>
      <c r="AW12">
        <v>10438418</v>
      </c>
      <c r="AX12">
        <v>5843</v>
      </c>
      <c r="AY12">
        <v>27250</v>
      </c>
      <c r="AZ12">
        <v>28596</v>
      </c>
      <c r="BA12">
        <v>53497876</v>
      </c>
      <c r="BB12">
        <v>6910</v>
      </c>
      <c r="BC12">
        <v>31125</v>
      </c>
      <c r="BD12">
        <v>10567</v>
      </c>
      <c r="BE12">
        <v>16687151</v>
      </c>
      <c r="BF12">
        <v>674</v>
      </c>
    </row>
    <row r="13" spans="1:58" x14ac:dyDescent="0.4">
      <c r="A13" s="1" t="s">
        <v>14</v>
      </c>
      <c r="B13" s="3" t="s">
        <v>15</v>
      </c>
      <c r="C13">
        <v>6819</v>
      </c>
      <c r="D13">
        <v>10145</v>
      </c>
      <c r="E13">
        <v>3675342</v>
      </c>
      <c r="F13">
        <v>2119</v>
      </c>
      <c r="G13">
        <v>1427</v>
      </c>
      <c r="H13">
        <v>1551</v>
      </c>
      <c r="I13">
        <v>10283983</v>
      </c>
      <c r="J13">
        <v>592</v>
      </c>
      <c r="K13">
        <v>340</v>
      </c>
      <c r="L13">
        <v>777</v>
      </c>
      <c r="M13">
        <v>1880239</v>
      </c>
      <c r="N13">
        <v>565</v>
      </c>
      <c r="O13" t="s">
        <v>73</v>
      </c>
      <c r="P13" t="s">
        <v>73</v>
      </c>
      <c r="Q13" t="s">
        <v>73</v>
      </c>
      <c r="R13" t="s">
        <v>73</v>
      </c>
      <c r="S13">
        <v>291821</v>
      </c>
      <c r="T13">
        <v>283083</v>
      </c>
      <c r="U13">
        <v>42253230</v>
      </c>
      <c r="V13">
        <v>78582</v>
      </c>
      <c r="W13">
        <v>128231</v>
      </c>
      <c r="X13">
        <v>120182</v>
      </c>
      <c r="Y13">
        <v>14316402</v>
      </c>
      <c r="Z13">
        <v>38595</v>
      </c>
      <c r="AA13">
        <v>77359</v>
      </c>
      <c r="AB13">
        <v>73906</v>
      </c>
      <c r="AC13">
        <v>7478519</v>
      </c>
      <c r="AD13">
        <v>30303</v>
      </c>
      <c r="AE13">
        <v>203416</v>
      </c>
      <c r="AF13">
        <v>191907</v>
      </c>
      <c r="AG13">
        <v>25223730</v>
      </c>
      <c r="AH13">
        <v>54343</v>
      </c>
      <c r="AI13">
        <v>16417</v>
      </c>
      <c r="AJ13">
        <v>15964</v>
      </c>
      <c r="AK13">
        <v>10270181</v>
      </c>
      <c r="AL13">
        <v>12604</v>
      </c>
      <c r="AM13">
        <v>193325</v>
      </c>
      <c r="AN13">
        <v>190810</v>
      </c>
      <c r="AO13">
        <v>23193297</v>
      </c>
      <c r="AP13">
        <v>35960</v>
      </c>
      <c r="AQ13">
        <v>9141</v>
      </c>
      <c r="AR13">
        <v>8792</v>
      </c>
      <c r="AS13">
        <v>9077723</v>
      </c>
      <c r="AT13">
        <v>6441</v>
      </c>
      <c r="AU13">
        <v>10799</v>
      </c>
      <c r="AV13">
        <v>10559</v>
      </c>
      <c r="AW13">
        <v>10284976</v>
      </c>
      <c r="AX13">
        <v>5830</v>
      </c>
      <c r="AY13">
        <v>30567</v>
      </c>
      <c r="AZ13">
        <v>28841</v>
      </c>
      <c r="BA13">
        <v>54334225</v>
      </c>
      <c r="BB13">
        <v>5766</v>
      </c>
      <c r="BC13">
        <v>31484</v>
      </c>
      <c r="BD13">
        <v>10092</v>
      </c>
      <c r="BE13">
        <v>14659073</v>
      </c>
      <c r="BF13">
        <v>698</v>
      </c>
    </row>
    <row r="14" spans="1:58" x14ac:dyDescent="0.4">
      <c r="A14" s="1" t="s">
        <v>16</v>
      </c>
      <c r="B14" s="1" t="s">
        <v>17</v>
      </c>
      <c r="C14">
        <v>509</v>
      </c>
      <c r="D14">
        <v>1196</v>
      </c>
      <c r="E14">
        <v>381817</v>
      </c>
      <c r="F14">
        <v>2578</v>
      </c>
      <c r="G14">
        <v>148</v>
      </c>
      <c r="H14">
        <v>127</v>
      </c>
      <c r="I14">
        <v>750916</v>
      </c>
      <c r="J14">
        <v>599</v>
      </c>
      <c r="K14">
        <v>42</v>
      </c>
      <c r="L14">
        <v>89</v>
      </c>
      <c r="M14">
        <v>251424</v>
      </c>
      <c r="N14">
        <v>848</v>
      </c>
      <c r="O14">
        <v>2173</v>
      </c>
      <c r="P14">
        <v>2407</v>
      </c>
      <c r="Q14">
        <v>4275074</v>
      </c>
      <c r="R14">
        <v>6474</v>
      </c>
      <c r="S14">
        <v>25714</v>
      </c>
      <c r="T14">
        <v>25432</v>
      </c>
      <c r="U14">
        <v>3616900</v>
      </c>
      <c r="V14">
        <v>73296</v>
      </c>
      <c r="W14">
        <v>14256</v>
      </c>
      <c r="X14">
        <v>11637</v>
      </c>
      <c r="Y14">
        <v>1316647</v>
      </c>
      <c r="Z14">
        <v>35343</v>
      </c>
      <c r="AA14">
        <v>7183</v>
      </c>
      <c r="AB14">
        <v>6381</v>
      </c>
      <c r="AC14">
        <v>630072</v>
      </c>
      <c r="AD14">
        <v>26473</v>
      </c>
      <c r="AE14">
        <v>16412</v>
      </c>
      <c r="AF14">
        <v>16946</v>
      </c>
      <c r="AG14">
        <v>2100158</v>
      </c>
      <c r="AH14">
        <v>48066</v>
      </c>
      <c r="AI14">
        <v>1880</v>
      </c>
      <c r="AJ14">
        <v>1339</v>
      </c>
      <c r="AK14">
        <v>934259</v>
      </c>
      <c r="AL14">
        <v>10794</v>
      </c>
      <c r="AM14">
        <v>16976</v>
      </c>
      <c r="AN14">
        <v>17267</v>
      </c>
      <c r="AO14">
        <v>2085582</v>
      </c>
      <c r="AP14">
        <v>37164</v>
      </c>
      <c r="AQ14">
        <v>896</v>
      </c>
      <c r="AR14">
        <v>873</v>
      </c>
      <c r="AS14">
        <v>783186</v>
      </c>
      <c r="AT14">
        <v>6776</v>
      </c>
      <c r="AU14">
        <v>1028</v>
      </c>
      <c r="AV14">
        <v>958</v>
      </c>
      <c r="AW14">
        <v>915323</v>
      </c>
      <c r="AX14">
        <v>7722</v>
      </c>
      <c r="AY14">
        <v>2369</v>
      </c>
      <c r="AZ14">
        <v>2570</v>
      </c>
      <c r="BA14">
        <v>5263404</v>
      </c>
      <c r="BB14">
        <v>9565</v>
      </c>
      <c r="BC14">
        <v>2744</v>
      </c>
      <c r="BD14">
        <v>1093</v>
      </c>
      <c r="BE14">
        <v>2058713</v>
      </c>
      <c r="BF14">
        <v>691</v>
      </c>
    </row>
    <row r="15" spans="1:58" x14ac:dyDescent="0.4">
      <c r="A15" s="1" t="s">
        <v>18</v>
      </c>
      <c r="B15" s="1" t="s">
        <v>19</v>
      </c>
      <c r="C15">
        <v>417</v>
      </c>
      <c r="D15">
        <v>1249</v>
      </c>
      <c r="E15">
        <v>394589</v>
      </c>
      <c r="F15">
        <v>2180</v>
      </c>
      <c r="G15">
        <v>136</v>
      </c>
      <c r="H15">
        <v>125</v>
      </c>
      <c r="I15">
        <v>810802</v>
      </c>
      <c r="J15">
        <v>593</v>
      </c>
      <c r="K15">
        <v>49</v>
      </c>
      <c r="L15">
        <v>49</v>
      </c>
      <c r="M15">
        <v>137367</v>
      </c>
      <c r="N15">
        <v>866</v>
      </c>
      <c r="O15">
        <v>1688</v>
      </c>
      <c r="P15">
        <v>2741</v>
      </c>
      <c r="Q15">
        <v>4915435</v>
      </c>
      <c r="R15">
        <v>6071</v>
      </c>
      <c r="S15">
        <v>25152</v>
      </c>
      <c r="T15">
        <v>26346</v>
      </c>
      <c r="U15">
        <v>3754941</v>
      </c>
      <c r="V15">
        <v>71957</v>
      </c>
      <c r="W15">
        <v>12680</v>
      </c>
      <c r="X15">
        <v>13107</v>
      </c>
      <c r="Y15">
        <v>1510096</v>
      </c>
      <c r="Z15">
        <v>34326</v>
      </c>
      <c r="AA15">
        <v>5638</v>
      </c>
      <c r="AB15">
        <v>6600</v>
      </c>
      <c r="AC15">
        <v>658594</v>
      </c>
      <c r="AD15">
        <v>26170</v>
      </c>
      <c r="AE15">
        <v>17513</v>
      </c>
      <c r="AF15">
        <v>19171</v>
      </c>
      <c r="AG15">
        <v>2388874</v>
      </c>
      <c r="AH15">
        <v>46259</v>
      </c>
      <c r="AI15">
        <v>1199</v>
      </c>
      <c r="AJ15">
        <v>1369</v>
      </c>
      <c r="AK15">
        <v>886182</v>
      </c>
      <c r="AL15">
        <v>10608</v>
      </c>
      <c r="AM15">
        <v>18695</v>
      </c>
      <c r="AN15">
        <v>18341</v>
      </c>
      <c r="AO15">
        <v>2145133</v>
      </c>
      <c r="AP15">
        <v>37071</v>
      </c>
      <c r="AQ15">
        <v>726</v>
      </c>
      <c r="AR15">
        <v>865</v>
      </c>
      <c r="AS15">
        <v>889801</v>
      </c>
      <c r="AT15">
        <v>6624</v>
      </c>
      <c r="AU15">
        <v>1054</v>
      </c>
      <c r="AV15">
        <v>1116</v>
      </c>
      <c r="AW15">
        <v>984027</v>
      </c>
      <c r="AX15">
        <v>7645</v>
      </c>
      <c r="AY15">
        <v>2249</v>
      </c>
      <c r="AZ15">
        <v>2202</v>
      </c>
      <c r="BA15">
        <v>4271005</v>
      </c>
      <c r="BB15">
        <v>9303</v>
      </c>
      <c r="BC15">
        <v>2651</v>
      </c>
      <c r="BD15">
        <v>981</v>
      </c>
      <c r="BE15">
        <v>1383254</v>
      </c>
      <c r="BF15">
        <v>634</v>
      </c>
    </row>
    <row r="16" spans="1:58" x14ac:dyDescent="0.4">
      <c r="A16" s="1" t="s">
        <v>20</v>
      </c>
      <c r="B16" s="1" t="s">
        <v>21</v>
      </c>
      <c r="C16">
        <v>777</v>
      </c>
      <c r="D16">
        <v>1066</v>
      </c>
      <c r="E16">
        <v>340663</v>
      </c>
      <c r="F16">
        <v>2311</v>
      </c>
      <c r="G16">
        <v>144</v>
      </c>
      <c r="H16">
        <v>147</v>
      </c>
      <c r="I16">
        <v>731760</v>
      </c>
      <c r="J16">
        <v>576</v>
      </c>
      <c r="K16">
        <v>26</v>
      </c>
      <c r="L16">
        <v>63</v>
      </c>
      <c r="M16">
        <v>159519</v>
      </c>
      <c r="N16">
        <v>850</v>
      </c>
      <c r="O16">
        <v>1542</v>
      </c>
      <c r="P16">
        <v>2378</v>
      </c>
      <c r="Q16">
        <v>4240108</v>
      </c>
      <c r="R16">
        <v>5731</v>
      </c>
      <c r="S16">
        <v>23978</v>
      </c>
      <c r="T16">
        <v>23422</v>
      </c>
      <c r="U16">
        <v>3245616</v>
      </c>
      <c r="V16">
        <v>72621</v>
      </c>
      <c r="W16">
        <v>15750</v>
      </c>
      <c r="X16">
        <v>12214</v>
      </c>
      <c r="Y16">
        <v>1364148</v>
      </c>
      <c r="Z16">
        <v>37436</v>
      </c>
      <c r="AA16">
        <v>5704</v>
      </c>
      <c r="AB16">
        <v>5834</v>
      </c>
      <c r="AC16">
        <v>580970</v>
      </c>
      <c r="AD16">
        <v>26369</v>
      </c>
      <c r="AE16">
        <v>17494</v>
      </c>
      <c r="AF16">
        <v>17656</v>
      </c>
      <c r="AG16">
        <v>2202514</v>
      </c>
      <c r="AH16">
        <v>46225</v>
      </c>
      <c r="AI16">
        <v>1140</v>
      </c>
      <c r="AJ16">
        <v>1065</v>
      </c>
      <c r="AK16">
        <v>730142</v>
      </c>
      <c r="AL16">
        <v>10690</v>
      </c>
      <c r="AM16">
        <v>18055</v>
      </c>
      <c r="AN16">
        <v>16934</v>
      </c>
      <c r="AO16">
        <v>2008725</v>
      </c>
      <c r="AP16">
        <v>38016</v>
      </c>
      <c r="AQ16">
        <v>796</v>
      </c>
      <c r="AR16">
        <v>851</v>
      </c>
      <c r="AS16">
        <v>838244</v>
      </c>
      <c r="AT16">
        <v>6537</v>
      </c>
      <c r="AU16">
        <v>1070</v>
      </c>
      <c r="AV16">
        <v>869</v>
      </c>
      <c r="AW16">
        <v>847267</v>
      </c>
      <c r="AX16">
        <v>7834</v>
      </c>
      <c r="AY16">
        <v>2028</v>
      </c>
      <c r="AZ16">
        <v>2230</v>
      </c>
      <c r="BA16">
        <v>4412423</v>
      </c>
      <c r="BB16">
        <v>8883</v>
      </c>
      <c r="BC16">
        <v>2542</v>
      </c>
      <c r="BD16">
        <v>791</v>
      </c>
      <c r="BE16">
        <v>1324184</v>
      </c>
      <c r="BF16">
        <v>675</v>
      </c>
    </row>
    <row r="17" spans="1:58" x14ac:dyDescent="0.4">
      <c r="A17" s="1" t="s">
        <v>22</v>
      </c>
      <c r="B17" s="1" t="s">
        <v>23</v>
      </c>
      <c r="C17">
        <v>856</v>
      </c>
      <c r="D17">
        <v>1088</v>
      </c>
      <c r="E17">
        <v>365574</v>
      </c>
      <c r="F17">
        <v>2509</v>
      </c>
      <c r="G17">
        <v>139</v>
      </c>
      <c r="H17">
        <v>123</v>
      </c>
      <c r="I17">
        <v>784717</v>
      </c>
      <c r="J17">
        <v>564</v>
      </c>
      <c r="K17">
        <v>27</v>
      </c>
      <c r="L17">
        <v>73</v>
      </c>
      <c r="M17">
        <v>158989</v>
      </c>
      <c r="N17">
        <v>827</v>
      </c>
      <c r="O17">
        <v>1390</v>
      </c>
      <c r="P17">
        <v>1956</v>
      </c>
      <c r="Q17">
        <v>5640859</v>
      </c>
      <c r="R17">
        <v>5683</v>
      </c>
      <c r="S17">
        <v>25455</v>
      </c>
      <c r="T17">
        <v>22582</v>
      </c>
      <c r="U17">
        <v>3255110</v>
      </c>
      <c r="V17">
        <v>75518</v>
      </c>
      <c r="W17">
        <v>14029</v>
      </c>
      <c r="X17">
        <v>11942</v>
      </c>
      <c r="Y17">
        <v>1317524</v>
      </c>
      <c r="Z17">
        <v>39045</v>
      </c>
      <c r="AA17">
        <v>6075</v>
      </c>
      <c r="AB17">
        <v>5486</v>
      </c>
      <c r="AC17">
        <v>521794</v>
      </c>
      <c r="AD17">
        <v>27358</v>
      </c>
      <c r="AE17">
        <v>17517</v>
      </c>
      <c r="AF17">
        <v>17658</v>
      </c>
      <c r="AG17">
        <v>2206896</v>
      </c>
      <c r="AH17">
        <v>46210</v>
      </c>
      <c r="AI17">
        <v>1306</v>
      </c>
      <c r="AJ17">
        <v>1106</v>
      </c>
      <c r="AK17">
        <v>824487</v>
      </c>
      <c r="AL17">
        <v>10885</v>
      </c>
      <c r="AM17">
        <v>19387</v>
      </c>
      <c r="AN17">
        <v>17214</v>
      </c>
      <c r="AO17">
        <v>2016776</v>
      </c>
      <c r="AP17">
        <v>40008</v>
      </c>
      <c r="AQ17">
        <v>837</v>
      </c>
      <c r="AR17">
        <v>723</v>
      </c>
      <c r="AS17">
        <v>718233</v>
      </c>
      <c r="AT17">
        <v>6619</v>
      </c>
      <c r="AU17">
        <v>1068</v>
      </c>
      <c r="AV17">
        <v>1541</v>
      </c>
      <c r="AW17">
        <v>1074415</v>
      </c>
      <c r="AX17">
        <v>7340</v>
      </c>
      <c r="AY17">
        <v>2345</v>
      </c>
      <c r="AZ17">
        <v>2108</v>
      </c>
      <c r="BA17">
        <v>4379658</v>
      </c>
      <c r="BB17">
        <v>8927</v>
      </c>
      <c r="BC17">
        <v>2499</v>
      </c>
      <c r="BD17">
        <v>802</v>
      </c>
      <c r="BE17">
        <v>1065789</v>
      </c>
      <c r="BF17">
        <v>650</v>
      </c>
    </row>
    <row r="18" spans="1:58" x14ac:dyDescent="0.4">
      <c r="A18" s="1" t="s">
        <v>24</v>
      </c>
      <c r="B18" s="1" t="s">
        <v>25</v>
      </c>
      <c r="C18">
        <v>949</v>
      </c>
      <c r="D18">
        <v>1325</v>
      </c>
      <c r="E18">
        <v>414198</v>
      </c>
      <c r="F18">
        <v>2634</v>
      </c>
      <c r="G18">
        <v>179</v>
      </c>
      <c r="H18">
        <v>152</v>
      </c>
      <c r="I18">
        <v>875847</v>
      </c>
      <c r="J18">
        <v>583</v>
      </c>
      <c r="K18">
        <v>35</v>
      </c>
      <c r="L18">
        <v>108</v>
      </c>
      <c r="M18">
        <v>222852</v>
      </c>
      <c r="N18">
        <v>783</v>
      </c>
      <c r="O18">
        <v>1216</v>
      </c>
      <c r="P18">
        <v>2073</v>
      </c>
      <c r="Q18">
        <v>4525429</v>
      </c>
      <c r="R18">
        <v>5312</v>
      </c>
      <c r="S18">
        <v>25570</v>
      </c>
      <c r="T18">
        <v>22965</v>
      </c>
      <c r="U18">
        <v>3205295</v>
      </c>
      <c r="V18">
        <v>78040</v>
      </c>
      <c r="W18">
        <v>15373</v>
      </c>
      <c r="X18">
        <v>12457</v>
      </c>
      <c r="Y18">
        <v>1410435</v>
      </c>
      <c r="Z18">
        <v>41539</v>
      </c>
      <c r="AA18">
        <v>5840</v>
      </c>
      <c r="AB18">
        <v>6371</v>
      </c>
      <c r="AC18">
        <v>618441</v>
      </c>
      <c r="AD18">
        <v>27036</v>
      </c>
      <c r="AE18">
        <v>17092</v>
      </c>
      <c r="AF18">
        <v>18192</v>
      </c>
      <c r="AG18">
        <v>2309444</v>
      </c>
      <c r="AH18">
        <v>45137</v>
      </c>
      <c r="AI18">
        <v>1825</v>
      </c>
      <c r="AJ18">
        <v>1089</v>
      </c>
      <c r="AK18">
        <v>730131</v>
      </c>
      <c r="AL18">
        <v>11651</v>
      </c>
      <c r="AM18">
        <v>16331</v>
      </c>
      <c r="AN18">
        <v>17888</v>
      </c>
      <c r="AO18">
        <v>2072343</v>
      </c>
      <c r="AP18">
        <v>38386</v>
      </c>
      <c r="AQ18">
        <v>836</v>
      </c>
      <c r="AR18">
        <v>981</v>
      </c>
      <c r="AS18">
        <v>854170</v>
      </c>
      <c r="AT18">
        <v>6444</v>
      </c>
      <c r="AU18">
        <v>970</v>
      </c>
      <c r="AV18">
        <v>1199</v>
      </c>
      <c r="AW18">
        <v>1006973</v>
      </c>
      <c r="AX18">
        <v>7086</v>
      </c>
      <c r="AY18">
        <v>2587</v>
      </c>
      <c r="AZ18">
        <v>2506</v>
      </c>
      <c r="BA18">
        <v>4633719</v>
      </c>
      <c r="BB18">
        <v>8855</v>
      </c>
      <c r="BC18">
        <v>2727</v>
      </c>
      <c r="BD18">
        <v>892</v>
      </c>
      <c r="BE18">
        <v>1451676</v>
      </c>
      <c r="BF18">
        <v>591</v>
      </c>
    </row>
    <row r="19" spans="1:58" x14ac:dyDescent="0.4">
      <c r="A19" s="1" t="s">
        <v>26</v>
      </c>
      <c r="B19" s="1" t="s">
        <v>27</v>
      </c>
      <c r="C19">
        <v>875</v>
      </c>
      <c r="D19">
        <v>727</v>
      </c>
      <c r="E19">
        <v>277913</v>
      </c>
      <c r="F19">
        <v>2990</v>
      </c>
      <c r="G19">
        <v>126</v>
      </c>
      <c r="H19">
        <v>119</v>
      </c>
      <c r="I19">
        <v>747033</v>
      </c>
      <c r="J19">
        <v>578</v>
      </c>
      <c r="K19">
        <v>31</v>
      </c>
      <c r="L19">
        <v>76</v>
      </c>
      <c r="M19">
        <v>165854</v>
      </c>
      <c r="N19">
        <v>761</v>
      </c>
      <c r="O19">
        <v>603</v>
      </c>
      <c r="P19">
        <v>995</v>
      </c>
      <c r="Q19">
        <v>1473297</v>
      </c>
      <c r="R19">
        <v>5417</v>
      </c>
      <c r="S19">
        <v>19485</v>
      </c>
      <c r="T19">
        <v>21516</v>
      </c>
      <c r="U19">
        <v>2996252</v>
      </c>
      <c r="V19">
        <v>76125</v>
      </c>
      <c r="W19">
        <v>8957</v>
      </c>
      <c r="X19">
        <v>11751</v>
      </c>
      <c r="Y19">
        <v>1299879</v>
      </c>
      <c r="Z19">
        <v>38267</v>
      </c>
      <c r="AA19">
        <v>5874</v>
      </c>
      <c r="AB19">
        <v>5407</v>
      </c>
      <c r="AC19">
        <v>526754</v>
      </c>
      <c r="AD19">
        <v>27835</v>
      </c>
      <c r="AE19">
        <v>19071</v>
      </c>
      <c r="AF19">
        <v>16412</v>
      </c>
      <c r="AG19">
        <v>2034545</v>
      </c>
      <c r="AH19">
        <v>47698</v>
      </c>
      <c r="AI19">
        <v>844</v>
      </c>
      <c r="AJ19">
        <v>1182</v>
      </c>
      <c r="AK19">
        <v>829702</v>
      </c>
      <c r="AL19">
        <v>11332</v>
      </c>
      <c r="AM19">
        <v>16585</v>
      </c>
      <c r="AN19">
        <v>18301</v>
      </c>
      <c r="AO19">
        <v>2110606</v>
      </c>
      <c r="AP19">
        <v>36636</v>
      </c>
      <c r="AQ19">
        <v>821</v>
      </c>
      <c r="AR19">
        <v>676</v>
      </c>
      <c r="AS19">
        <v>617739</v>
      </c>
      <c r="AT19">
        <v>6564</v>
      </c>
      <c r="AU19">
        <v>593</v>
      </c>
      <c r="AV19">
        <v>923</v>
      </c>
      <c r="AW19">
        <v>729511</v>
      </c>
      <c r="AX19">
        <v>6744</v>
      </c>
      <c r="AY19">
        <v>2197</v>
      </c>
      <c r="AZ19">
        <v>2033</v>
      </c>
      <c r="BA19">
        <v>4269849</v>
      </c>
      <c r="BB19">
        <v>8762</v>
      </c>
      <c r="BC19">
        <v>2247</v>
      </c>
      <c r="BD19">
        <v>840</v>
      </c>
      <c r="BE19">
        <v>1359833</v>
      </c>
      <c r="BF19">
        <v>549</v>
      </c>
    </row>
    <row r="20" spans="1:58" x14ac:dyDescent="0.4">
      <c r="A20" s="1" t="s">
        <v>28</v>
      </c>
      <c r="B20" s="1" t="s">
        <v>29</v>
      </c>
      <c r="C20">
        <v>563</v>
      </c>
      <c r="D20">
        <v>1016</v>
      </c>
      <c r="E20">
        <v>343139</v>
      </c>
      <c r="F20">
        <v>2963</v>
      </c>
      <c r="G20">
        <v>124</v>
      </c>
      <c r="H20">
        <v>124</v>
      </c>
      <c r="I20">
        <v>797305</v>
      </c>
      <c r="J20">
        <v>563</v>
      </c>
      <c r="K20">
        <v>51</v>
      </c>
      <c r="L20">
        <v>110</v>
      </c>
      <c r="M20">
        <v>308375</v>
      </c>
      <c r="N20">
        <v>738</v>
      </c>
      <c r="O20" t="s">
        <v>73</v>
      </c>
      <c r="P20" t="s">
        <v>73</v>
      </c>
      <c r="Q20" t="s">
        <v>73</v>
      </c>
      <c r="R20" t="s">
        <v>73</v>
      </c>
      <c r="S20">
        <v>21371</v>
      </c>
      <c r="T20">
        <v>21974</v>
      </c>
      <c r="U20">
        <v>3090584</v>
      </c>
      <c r="V20">
        <v>75491</v>
      </c>
      <c r="W20">
        <v>13337</v>
      </c>
      <c r="X20">
        <v>12750</v>
      </c>
      <c r="Y20">
        <v>1487132</v>
      </c>
      <c r="Z20">
        <v>38395</v>
      </c>
      <c r="AA20">
        <v>6107</v>
      </c>
      <c r="AB20">
        <v>5947</v>
      </c>
      <c r="AC20">
        <v>569559</v>
      </c>
      <c r="AD20">
        <v>28283</v>
      </c>
      <c r="AE20">
        <v>17377</v>
      </c>
      <c r="AF20">
        <v>17019</v>
      </c>
      <c r="AG20">
        <v>2100679</v>
      </c>
      <c r="AH20">
        <v>48154</v>
      </c>
      <c r="AI20">
        <v>1443</v>
      </c>
      <c r="AJ20">
        <v>1285</v>
      </c>
      <c r="AK20">
        <v>979350</v>
      </c>
      <c r="AL20">
        <v>11528</v>
      </c>
      <c r="AM20">
        <v>17514</v>
      </c>
      <c r="AN20">
        <v>17103</v>
      </c>
      <c r="AO20">
        <v>2052880</v>
      </c>
      <c r="AP20">
        <v>37039</v>
      </c>
      <c r="AQ20">
        <v>739</v>
      </c>
      <c r="AR20">
        <v>686</v>
      </c>
      <c r="AS20">
        <v>685426</v>
      </c>
      <c r="AT20">
        <v>6582</v>
      </c>
      <c r="AU20">
        <v>533</v>
      </c>
      <c r="AV20">
        <v>857</v>
      </c>
      <c r="AW20">
        <v>940563</v>
      </c>
      <c r="AX20">
        <v>6395</v>
      </c>
      <c r="AY20">
        <v>3000</v>
      </c>
      <c r="AZ20">
        <v>2549</v>
      </c>
      <c r="BA20">
        <v>4949574</v>
      </c>
      <c r="BB20">
        <v>8754</v>
      </c>
      <c r="BC20">
        <v>2497</v>
      </c>
      <c r="BD20">
        <v>898</v>
      </c>
      <c r="BE20">
        <v>1737415</v>
      </c>
      <c r="BF20">
        <v>545</v>
      </c>
    </row>
    <row r="21" spans="1:58" x14ac:dyDescent="0.4">
      <c r="A21" s="1" t="s">
        <v>30</v>
      </c>
      <c r="B21" s="1" t="s">
        <v>31</v>
      </c>
      <c r="C21">
        <v>308</v>
      </c>
      <c r="D21">
        <v>1242</v>
      </c>
      <c r="E21">
        <v>405064</v>
      </c>
      <c r="F21">
        <v>2414</v>
      </c>
      <c r="G21">
        <v>187</v>
      </c>
      <c r="H21">
        <v>131</v>
      </c>
      <c r="I21">
        <v>816027</v>
      </c>
      <c r="J21">
        <v>588</v>
      </c>
      <c r="K21">
        <v>44</v>
      </c>
      <c r="L21">
        <v>58</v>
      </c>
      <c r="M21">
        <v>140193</v>
      </c>
      <c r="N21">
        <v>744</v>
      </c>
      <c r="O21" t="s">
        <v>73</v>
      </c>
      <c r="P21" t="s">
        <v>73</v>
      </c>
      <c r="Q21" t="s">
        <v>73</v>
      </c>
      <c r="R21" t="s">
        <v>73</v>
      </c>
      <c r="S21">
        <v>25736</v>
      </c>
      <c r="T21">
        <v>24215</v>
      </c>
      <c r="U21">
        <v>3382096</v>
      </c>
      <c r="V21">
        <v>77050</v>
      </c>
      <c r="W21">
        <v>10473</v>
      </c>
      <c r="X21">
        <v>11114</v>
      </c>
      <c r="Y21">
        <v>1274833</v>
      </c>
      <c r="Z21">
        <v>37304</v>
      </c>
      <c r="AA21">
        <v>6127</v>
      </c>
      <c r="AB21">
        <v>5703</v>
      </c>
      <c r="AC21">
        <v>549942</v>
      </c>
      <c r="AD21">
        <v>29063</v>
      </c>
      <c r="AE21">
        <v>17259</v>
      </c>
      <c r="AF21">
        <v>17960</v>
      </c>
      <c r="AG21">
        <v>2223797</v>
      </c>
      <c r="AH21">
        <v>47447</v>
      </c>
      <c r="AI21">
        <v>1356</v>
      </c>
      <c r="AJ21">
        <v>1280</v>
      </c>
      <c r="AK21">
        <v>693462</v>
      </c>
      <c r="AL21">
        <v>11621</v>
      </c>
      <c r="AM21">
        <v>18111</v>
      </c>
      <c r="AN21">
        <v>17585</v>
      </c>
      <c r="AO21">
        <v>2059315</v>
      </c>
      <c r="AP21">
        <v>37443</v>
      </c>
      <c r="AQ21">
        <v>786</v>
      </c>
      <c r="AR21">
        <v>769</v>
      </c>
      <c r="AS21">
        <v>759049</v>
      </c>
      <c r="AT21">
        <v>6588</v>
      </c>
      <c r="AU21">
        <v>601</v>
      </c>
      <c r="AV21">
        <v>699</v>
      </c>
      <c r="AW21">
        <v>705052</v>
      </c>
      <c r="AX21">
        <v>6254</v>
      </c>
      <c r="AY21">
        <v>3240</v>
      </c>
      <c r="AZ21">
        <v>2608</v>
      </c>
      <c r="BA21">
        <v>4452183</v>
      </c>
      <c r="BB21">
        <v>8977</v>
      </c>
      <c r="BC21">
        <v>2866</v>
      </c>
      <c r="BD21">
        <v>844</v>
      </c>
      <c r="BE21">
        <v>1271411</v>
      </c>
      <c r="BF21">
        <v>657</v>
      </c>
    </row>
    <row r="22" spans="1:58" x14ac:dyDescent="0.4">
      <c r="A22" s="1" t="s">
        <v>32</v>
      </c>
      <c r="B22" s="1" t="s">
        <v>33</v>
      </c>
      <c r="C22">
        <v>312</v>
      </c>
      <c r="D22">
        <v>1213</v>
      </c>
      <c r="E22">
        <v>413539</v>
      </c>
      <c r="F22">
        <v>1908</v>
      </c>
      <c r="G22">
        <v>193</v>
      </c>
      <c r="H22">
        <v>168</v>
      </c>
      <c r="I22">
        <v>928017</v>
      </c>
      <c r="J22">
        <v>609</v>
      </c>
      <c r="K22">
        <v>27</v>
      </c>
      <c r="L22">
        <v>71</v>
      </c>
      <c r="M22">
        <v>179813</v>
      </c>
      <c r="N22">
        <v>725</v>
      </c>
      <c r="O22" t="s">
        <v>73</v>
      </c>
      <c r="P22" t="s">
        <v>73</v>
      </c>
      <c r="Q22" t="s">
        <v>73</v>
      </c>
      <c r="R22" t="s">
        <v>73</v>
      </c>
      <c r="S22">
        <v>26608</v>
      </c>
      <c r="T22">
        <v>28403</v>
      </c>
      <c r="U22">
        <v>3961045</v>
      </c>
      <c r="V22">
        <v>75385</v>
      </c>
      <c r="W22">
        <v>10255</v>
      </c>
      <c r="X22">
        <v>9665</v>
      </c>
      <c r="Y22">
        <v>1113465</v>
      </c>
      <c r="Z22">
        <v>37443</v>
      </c>
      <c r="AA22">
        <v>5032</v>
      </c>
      <c r="AB22">
        <v>6075</v>
      </c>
      <c r="AC22">
        <v>585665</v>
      </c>
      <c r="AD22">
        <v>28312</v>
      </c>
      <c r="AE22">
        <v>17111</v>
      </c>
      <c r="AF22">
        <v>17954</v>
      </c>
      <c r="AG22">
        <v>2275997</v>
      </c>
      <c r="AH22">
        <v>46697</v>
      </c>
      <c r="AI22">
        <v>1447</v>
      </c>
      <c r="AJ22">
        <v>1285</v>
      </c>
      <c r="AK22">
        <v>789895</v>
      </c>
      <c r="AL22">
        <v>11773</v>
      </c>
      <c r="AM22">
        <v>15092</v>
      </c>
      <c r="AN22">
        <v>17472</v>
      </c>
      <c r="AO22">
        <v>2042036</v>
      </c>
      <c r="AP22">
        <v>34861</v>
      </c>
      <c r="AQ22">
        <v>748</v>
      </c>
      <c r="AR22">
        <v>801</v>
      </c>
      <c r="AS22">
        <v>746114</v>
      </c>
      <c r="AT22">
        <v>6521</v>
      </c>
      <c r="AU22">
        <v>711</v>
      </c>
      <c r="AV22">
        <v>934</v>
      </c>
      <c r="AW22">
        <v>823994</v>
      </c>
      <c r="AX22">
        <v>6010</v>
      </c>
      <c r="AY22">
        <v>2350</v>
      </c>
      <c r="AZ22">
        <v>2681</v>
      </c>
      <c r="BA22">
        <v>4582215</v>
      </c>
      <c r="BB22">
        <v>8077</v>
      </c>
      <c r="BC22">
        <v>2739</v>
      </c>
      <c r="BD22">
        <v>781</v>
      </c>
      <c r="BE22">
        <v>1076737</v>
      </c>
      <c r="BF22">
        <v>680</v>
      </c>
    </row>
    <row r="23" spans="1:58" x14ac:dyDescent="0.4">
      <c r="A23" s="1" t="s">
        <v>34</v>
      </c>
      <c r="B23" s="1" t="s">
        <v>35</v>
      </c>
      <c r="C23">
        <v>352</v>
      </c>
      <c r="D23">
        <v>1101</v>
      </c>
      <c r="E23">
        <v>400021</v>
      </c>
      <c r="F23">
        <v>1490</v>
      </c>
      <c r="G23">
        <v>165</v>
      </c>
      <c r="H23">
        <v>143</v>
      </c>
      <c r="I23">
        <v>897860</v>
      </c>
      <c r="J23">
        <v>613</v>
      </c>
      <c r="K23">
        <v>18</v>
      </c>
      <c r="L23">
        <v>41</v>
      </c>
      <c r="M23">
        <v>110110</v>
      </c>
      <c r="N23">
        <v>719</v>
      </c>
      <c r="O23" t="s">
        <v>73</v>
      </c>
      <c r="P23" t="s">
        <v>73</v>
      </c>
      <c r="Q23" t="s">
        <v>73</v>
      </c>
      <c r="R23" t="s">
        <v>73</v>
      </c>
      <c r="S23">
        <v>26444</v>
      </c>
      <c r="T23">
        <v>28167</v>
      </c>
      <c r="U23">
        <v>3890030</v>
      </c>
      <c r="V23">
        <v>73693</v>
      </c>
      <c r="W23">
        <v>7423</v>
      </c>
      <c r="X23">
        <v>8644</v>
      </c>
      <c r="Y23">
        <v>1031142</v>
      </c>
      <c r="Z23">
        <v>35757</v>
      </c>
      <c r="AA23">
        <v>4572</v>
      </c>
      <c r="AB23">
        <v>6464</v>
      </c>
      <c r="AC23">
        <v>664964</v>
      </c>
      <c r="AD23">
        <v>26739</v>
      </c>
      <c r="AE23">
        <v>14428</v>
      </c>
      <c r="AF23">
        <v>17288</v>
      </c>
      <c r="AG23">
        <v>2161605</v>
      </c>
      <c r="AH23">
        <v>43959</v>
      </c>
      <c r="AI23">
        <v>1407</v>
      </c>
      <c r="AJ23">
        <v>1277</v>
      </c>
      <c r="AK23">
        <v>714027</v>
      </c>
      <c r="AL23">
        <v>11959</v>
      </c>
      <c r="AM23">
        <v>13478</v>
      </c>
      <c r="AN23">
        <v>13935</v>
      </c>
      <c r="AO23">
        <v>1685916</v>
      </c>
      <c r="AP23">
        <v>34363</v>
      </c>
      <c r="AQ23">
        <v>689</v>
      </c>
      <c r="AR23">
        <v>872</v>
      </c>
      <c r="AS23">
        <v>824885</v>
      </c>
      <c r="AT23">
        <v>6315</v>
      </c>
      <c r="AU23">
        <v>887</v>
      </c>
      <c r="AV23">
        <v>1034</v>
      </c>
      <c r="AW23">
        <v>955076</v>
      </c>
      <c r="AX23">
        <v>5843</v>
      </c>
      <c r="AY23">
        <v>1719</v>
      </c>
      <c r="AZ23">
        <v>2729</v>
      </c>
      <c r="BA23">
        <v>4413820</v>
      </c>
      <c r="BB23">
        <v>6910</v>
      </c>
      <c r="BC23">
        <v>2597</v>
      </c>
      <c r="BD23">
        <v>861</v>
      </c>
      <c r="BE23">
        <v>1315421</v>
      </c>
      <c r="BF23">
        <v>674</v>
      </c>
    </row>
    <row r="24" spans="1:58" x14ac:dyDescent="0.4">
      <c r="A24" s="1" t="s">
        <v>36</v>
      </c>
      <c r="B24" s="1" t="s">
        <v>37</v>
      </c>
      <c r="C24">
        <v>345</v>
      </c>
      <c r="D24">
        <v>856</v>
      </c>
      <c r="E24">
        <v>291929</v>
      </c>
      <c r="F24">
        <v>1323</v>
      </c>
      <c r="G24">
        <v>115</v>
      </c>
      <c r="H24">
        <v>119</v>
      </c>
      <c r="I24">
        <v>613964</v>
      </c>
      <c r="J24">
        <v>614</v>
      </c>
      <c r="K24">
        <v>30</v>
      </c>
      <c r="L24">
        <v>45</v>
      </c>
      <c r="M24">
        <v>122652</v>
      </c>
      <c r="N24">
        <v>723</v>
      </c>
      <c r="O24" t="s">
        <v>73</v>
      </c>
      <c r="P24" t="s">
        <v>73</v>
      </c>
      <c r="Q24" t="s">
        <v>73</v>
      </c>
      <c r="R24" t="s">
        <v>73</v>
      </c>
      <c r="S24">
        <v>21969</v>
      </c>
      <c r="T24">
        <v>24384</v>
      </c>
      <c r="U24">
        <v>3472411</v>
      </c>
      <c r="V24">
        <v>71928</v>
      </c>
      <c r="W24">
        <v>9152</v>
      </c>
      <c r="X24">
        <v>8328</v>
      </c>
      <c r="Y24">
        <v>965015</v>
      </c>
      <c r="Z24">
        <v>33476</v>
      </c>
      <c r="AA24">
        <v>6210</v>
      </c>
      <c r="AB24">
        <v>4311</v>
      </c>
      <c r="AC24">
        <v>486809</v>
      </c>
      <c r="AD24">
        <v>29280</v>
      </c>
      <c r="AE24">
        <v>14581</v>
      </c>
      <c r="AF24">
        <v>14936</v>
      </c>
      <c r="AG24">
        <v>1922335</v>
      </c>
      <c r="AH24">
        <v>44544</v>
      </c>
      <c r="AI24">
        <v>872</v>
      </c>
      <c r="AJ24">
        <v>1227</v>
      </c>
      <c r="AK24">
        <v>813536</v>
      </c>
      <c r="AL24">
        <v>11903</v>
      </c>
      <c r="AM24">
        <v>14346</v>
      </c>
      <c r="AN24">
        <v>12967</v>
      </c>
      <c r="AO24">
        <v>1557606</v>
      </c>
      <c r="AP24">
        <v>35605</v>
      </c>
      <c r="AQ24">
        <v>536</v>
      </c>
      <c r="AR24">
        <v>554</v>
      </c>
      <c r="AS24">
        <v>578642</v>
      </c>
      <c r="AT24">
        <v>6263</v>
      </c>
      <c r="AU24">
        <v>878</v>
      </c>
      <c r="AV24">
        <v>832</v>
      </c>
      <c r="AW24">
        <v>815808</v>
      </c>
      <c r="AX24">
        <v>5857</v>
      </c>
      <c r="AY24">
        <v>2140</v>
      </c>
      <c r="AZ24">
        <v>2478</v>
      </c>
      <c r="BA24">
        <v>4888746</v>
      </c>
      <c r="BB24">
        <v>5614</v>
      </c>
      <c r="BC24">
        <v>2421</v>
      </c>
      <c r="BD24">
        <v>730</v>
      </c>
      <c r="BE24">
        <v>972208</v>
      </c>
      <c r="BF24">
        <v>678</v>
      </c>
    </row>
    <row r="25" spans="1:58" x14ac:dyDescent="0.4">
      <c r="A25" s="1" t="s">
        <v>38</v>
      </c>
      <c r="B25" s="1" t="s">
        <v>39</v>
      </c>
      <c r="C25">
        <v>702</v>
      </c>
      <c r="D25">
        <v>665</v>
      </c>
      <c r="E25">
        <v>255323</v>
      </c>
      <c r="F25">
        <v>1630</v>
      </c>
      <c r="G25">
        <v>129</v>
      </c>
      <c r="H25">
        <v>123</v>
      </c>
      <c r="I25">
        <v>799707</v>
      </c>
      <c r="J25">
        <v>622</v>
      </c>
      <c r="K25">
        <v>22</v>
      </c>
      <c r="L25">
        <v>61</v>
      </c>
      <c r="M25">
        <v>157464</v>
      </c>
      <c r="N25">
        <v>708</v>
      </c>
      <c r="O25" t="s">
        <v>73</v>
      </c>
      <c r="P25" t="s">
        <v>73</v>
      </c>
      <c r="Q25" t="s">
        <v>73</v>
      </c>
      <c r="R25" t="s">
        <v>73</v>
      </c>
      <c r="S25">
        <v>23171</v>
      </c>
      <c r="T25">
        <v>21845</v>
      </c>
      <c r="U25">
        <v>3253008</v>
      </c>
      <c r="V25">
        <v>72950</v>
      </c>
      <c r="W25">
        <v>7791</v>
      </c>
      <c r="X25">
        <v>8602</v>
      </c>
      <c r="Y25">
        <v>1010257</v>
      </c>
      <c r="Z25">
        <v>32629</v>
      </c>
      <c r="AA25">
        <v>5929</v>
      </c>
      <c r="AB25">
        <v>5111</v>
      </c>
      <c r="AC25">
        <v>510985</v>
      </c>
      <c r="AD25">
        <v>30084</v>
      </c>
      <c r="AE25">
        <v>15580</v>
      </c>
      <c r="AF25">
        <v>14412</v>
      </c>
      <c r="AG25">
        <v>1887800</v>
      </c>
      <c r="AH25">
        <v>45585</v>
      </c>
      <c r="AI25">
        <v>1140</v>
      </c>
      <c r="AJ25">
        <v>1232</v>
      </c>
      <c r="AK25">
        <v>828539</v>
      </c>
      <c r="AL25">
        <v>11797</v>
      </c>
      <c r="AM25">
        <v>17382</v>
      </c>
      <c r="AN25">
        <v>14817</v>
      </c>
      <c r="AO25">
        <v>1823641</v>
      </c>
      <c r="AP25">
        <v>38141</v>
      </c>
      <c r="AQ25">
        <v>845</v>
      </c>
      <c r="AR25">
        <v>583</v>
      </c>
      <c r="AS25">
        <v>601640</v>
      </c>
      <c r="AT25">
        <v>6502</v>
      </c>
      <c r="AU25">
        <v>904</v>
      </c>
      <c r="AV25">
        <v>701</v>
      </c>
      <c r="AW25">
        <v>756863</v>
      </c>
      <c r="AX25">
        <v>6039</v>
      </c>
      <c r="AY25">
        <v>2585</v>
      </c>
      <c r="AZ25">
        <v>2557</v>
      </c>
      <c r="BA25">
        <v>4469243</v>
      </c>
      <c r="BB25">
        <v>5569</v>
      </c>
      <c r="BC25">
        <v>2468</v>
      </c>
      <c r="BD25">
        <v>749</v>
      </c>
      <c r="BE25">
        <v>1122704</v>
      </c>
      <c r="BF25">
        <v>749</v>
      </c>
    </row>
    <row r="26" spans="1:58" x14ac:dyDescent="0.4">
      <c r="A26" s="1" t="s">
        <v>40</v>
      </c>
      <c r="B26" s="1" t="s">
        <v>41</v>
      </c>
      <c r="C26">
        <v>870</v>
      </c>
      <c r="D26">
        <v>867</v>
      </c>
      <c r="E26">
        <v>296891</v>
      </c>
      <c r="F26">
        <v>1987</v>
      </c>
      <c r="G26">
        <v>152</v>
      </c>
      <c r="H26">
        <v>151</v>
      </c>
      <c r="I26">
        <v>881037</v>
      </c>
      <c r="J26">
        <v>633</v>
      </c>
      <c r="K26">
        <v>28</v>
      </c>
      <c r="L26">
        <v>80</v>
      </c>
      <c r="M26">
        <v>189917</v>
      </c>
      <c r="N26">
        <v>684</v>
      </c>
      <c r="O26" t="s">
        <v>73</v>
      </c>
      <c r="P26" t="s">
        <v>73</v>
      </c>
      <c r="Q26" t="s">
        <v>73</v>
      </c>
      <c r="R26" t="s">
        <v>73</v>
      </c>
      <c r="S26">
        <v>21770</v>
      </c>
      <c r="T26">
        <v>27040</v>
      </c>
      <c r="U26">
        <v>3928572</v>
      </c>
      <c r="V26">
        <v>67267</v>
      </c>
      <c r="W26">
        <v>12865</v>
      </c>
      <c r="X26">
        <v>10060</v>
      </c>
      <c r="Y26">
        <v>1178544</v>
      </c>
      <c r="Z26">
        <v>34176</v>
      </c>
      <c r="AA26">
        <v>6482</v>
      </c>
      <c r="AB26">
        <v>7011</v>
      </c>
      <c r="AC26">
        <v>722118</v>
      </c>
      <c r="AD26">
        <v>29456</v>
      </c>
      <c r="AE26">
        <v>15953</v>
      </c>
      <c r="AF26">
        <v>16486</v>
      </c>
      <c r="AG26">
        <v>2091920</v>
      </c>
      <c r="AH26">
        <v>44892</v>
      </c>
      <c r="AI26">
        <v>1431</v>
      </c>
      <c r="AJ26">
        <v>1340</v>
      </c>
      <c r="AK26">
        <v>859222</v>
      </c>
      <c r="AL26">
        <v>11880</v>
      </c>
      <c r="AM26">
        <v>17819</v>
      </c>
      <c r="AN26">
        <v>17103</v>
      </c>
      <c r="AO26">
        <v>2040276</v>
      </c>
      <c r="AP26">
        <v>38763</v>
      </c>
      <c r="AQ26">
        <v>704</v>
      </c>
      <c r="AR26">
        <v>705</v>
      </c>
      <c r="AS26">
        <v>815067</v>
      </c>
      <c r="AT26">
        <v>6478</v>
      </c>
      <c r="AU26">
        <v>969</v>
      </c>
      <c r="AV26">
        <v>810</v>
      </c>
      <c r="AW26">
        <v>822370</v>
      </c>
      <c r="AX26">
        <v>6179</v>
      </c>
      <c r="AY26">
        <v>2903</v>
      </c>
      <c r="AZ26">
        <v>2929</v>
      </c>
      <c r="BA26">
        <v>5097241</v>
      </c>
      <c r="BB26">
        <v>5288</v>
      </c>
      <c r="BC26">
        <v>2671</v>
      </c>
      <c r="BD26">
        <v>1230</v>
      </c>
      <c r="BE26">
        <v>1808137</v>
      </c>
      <c r="BF26">
        <v>563</v>
      </c>
    </row>
    <row r="27" spans="1:58" x14ac:dyDescent="0.4">
      <c r="A27" s="1" t="s">
        <v>42</v>
      </c>
      <c r="B27" s="1" t="s">
        <v>43</v>
      </c>
      <c r="C27">
        <v>679</v>
      </c>
      <c r="D27">
        <v>888</v>
      </c>
      <c r="E27">
        <v>301388</v>
      </c>
      <c r="F27">
        <v>2161</v>
      </c>
      <c r="G27">
        <v>142</v>
      </c>
      <c r="H27">
        <v>117</v>
      </c>
      <c r="I27">
        <v>826371</v>
      </c>
      <c r="J27">
        <v>677</v>
      </c>
      <c r="K27">
        <v>23</v>
      </c>
      <c r="L27">
        <v>64</v>
      </c>
      <c r="M27">
        <v>140546</v>
      </c>
      <c r="N27">
        <v>665</v>
      </c>
      <c r="O27" t="s">
        <v>73</v>
      </c>
      <c r="P27" t="s">
        <v>73</v>
      </c>
      <c r="Q27" t="s">
        <v>73</v>
      </c>
      <c r="R27" t="s">
        <v>73</v>
      </c>
      <c r="S27">
        <v>24304</v>
      </c>
      <c r="T27">
        <v>24807</v>
      </c>
      <c r="U27">
        <v>3654486</v>
      </c>
      <c r="V27">
        <v>66227</v>
      </c>
      <c r="W27">
        <v>11569</v>
      </c>
      <c r="X27">
        <v>10726</v>
      </c>
      <c r="Y27">
        <v>1294652</v>
      </c>
      <c r="Z27">
        <v>35025</v>
      </c>
      <c r="AA27">
        <v>6370</v>
      </c>
      <c r="AB27">
        <v>6619</v>
      </c>
      <c r="AC27">
        <v>678740</v>
      </c>
      <c r="AD27">
        <v>29015</v>
      </c>
      <c r="AE27">
        <v>18838</v>
      </c>
      <c r="AF27">
        <v>17673</v>
      </c>
      <c r="AG27">
        <v>2295642</v>
      </c>
      <c r="AH27">
        <v>45605</v>
      </c>
      <c r="AI27">
        <v>1363</v>
      </c>
      <c r="AJ27">
        <v>1370</v>
      </c>
      <c r="AK27">
        <v>874796</v>
      </c>
      <c r="AL27">
        <v>11859</v>
      </c>
      <c r="AM27">
        <v>20653</v>
      </c>
      <c r="AN27">
        <v>19038</v>
      </c>
      <c r="AO27">
        <v>2241394</v>
      </c>
      <c r="AP27">
        <v>40224</v>
      </c>
      <c r="AQ27">
        <v>881</v>
      </c>
      <c r="AR27">
        <v>816</v>
      </c>
      <c r="AS27">
        <v>824044</v>
      </c>
      <c r="AT27">
        <v>6526</v>
      </c>
      <c r="AU27">
        <v>895</v>
      </c>
      <c r="AV27">
        <v>940</v>
      </c>
      <c r="AW27">
        <v>927202</v>
      </c>
      <c r="AX27">
        <v>6111</v>
      </c>
      <c r="AY27">
        <v>2298</v>
      </c>
      <c r="AZ27">
        <v>2384</v>
      </c>
      <c r="BA27">
        <v>4490693</v>
      </c>
      <c r="BB27">
        <v>5156</v>
      </c>
      <c r="BC27">
        <v>2936</v>
      </c>
      <c r="BD27">
        <v>656</v>
      </c>
      <c r="BE27">
        <v>1014261</v>
      </c>
      <c r="BF27">
        <v>783</v>
      </c>
    </row>
    <row r="28" spans="1:58" x14ac:dyDescent="0.4">
      <c r="A28" s="1" t="s">
        <v>44</v>
      </c>
      <c r="B28" s="1" t="s">
        <v>45</v>
      </c>
      <c r="C28">
        <v>437</v>
      </c>
      <c r="D28">
        <v>741</v>
      </c>
      <c r="E28">
        <v>257197</v>
      </c>
      <c r="F28">
        <v>2162</v>
      </c>
      <c r="G28">
        <v>132</v>
      </c>
      <c r="H28">
        <v>140</v>
      </c>
      <c r="I28">
        <v>763422</v>
      </c>
      <c r="J28">
        <v>679</v>
      </c>
      <c r="K28">
        <v>34</v>
      </c>
      <c r="L28">
        <v>54</v>
      </c>
      <c r="M28">
        <v>139300</v>
      </c>
      <c r="N28">
        <v>668</v>
      </c>
      <c r="O28" t="s">
        <v>73</v>
      </c>
      <c r="P28" t="s">
        <v>73</v>
      </c>
      <c r="Q28" t="s">
        <v>73</v>
      </c>
      <c r="R28" t="s">
        <v>73</v>
      </c>
      <c r="S28">
        <v>25595</v>
      </c>
      <c r="T28">
        <v>22074</v>
      </c>
      <c r="U28">
        <v>3338363</v>
      </c>
      <c r="V28">
        <v>69410</v>
      </c>
      <c r="W28">
        <v>11661</v>
      </c>
      <c r="X28">
        <v>10854</v>
      </c>
      <c r="Y28">
        <v>1282104</v>
      </c>
      <c r="Z28">
        <v>35769</v>
      </c>
      <c r="AA28">
        <v>5658</v>
      </c>
      <c r="AB28">
        <v>6571</v>
      </c>
      <c r="AC28">
        <v>659166</v>
      </c>
      <c r="AD28">
        <v>27895</v>
      </c>
      <c r="AE28">
        <v>17698</v>
      </c>
      <c r="AF28">
        <v>16287</v>
      </c>
      <c r="AG28">
        <v>2114969</v>
      </c>
      <c r="AH28">
        <v>46928</v>
      </c>
      <c r="AI28">
        <v>1210</v>
      </c>
      <c r="AJ28">
        <v>1359</v>
      </c>
      <c r="AK28">
        <v>799410</v>
      </c>
      <c r="AL28">
        <v>11725</v>
      </c>
      <c r="AM28">
        <v>18243</v>
      </c>
      <c r="AN28">
        <v>17759</v>
      </c>
      <c r="AO28">
        <v>2098475</v>
      </c>
      <c r="AP28">
        <v>40608</v>
      </c>
      <c r="AQ28">
        <v>736</v>
      </c>
      <c r="AR28">
        <v>778</v>
      </c>
      <c r="AS28">
        <v>803275</v>
      </c>
      <c r="AT28">
        <v>6470</v>
      </c>
      <c r="AU28">
        <v>1125</v>
      </c>
      <c r="AV28">
        <v>913</v>
      </c>
      <c r="AW28">
        <v>884002</v>
      </c>
      <c r="AX28">
        <v>6306</v>
      </c>
      <c r="AY28">
        <v>2561</v>
      </c>
      <c r="AZ28">
        <v>2219</v>
      </c>
      <c r="BA28">
        <v>4712460</v>
      </c>
      <c r="BB28">
        <v>5323</v>
      </c>
      <c r="BC28">
        <v>2671</v>
      </c>
      <c r="BD28">
        <v>845</v>
      </c>
      <c r="BE28">
        <v>1164780</v>
      </c>
      <c r="BF28">
        <v>802</v>
      </c>
    </row>
    <row r="29" spans="1:58" x14ac:dyDescent="0.4">
      <c r="A29" s="1" t="s">
        <v>46</v>
      </c>
      <c r="B29" s="1" t="s">
        <v>47</v>
      </c>
      <c r="C29">
        <v>437</v>
      </c>
      <c r="D29">
        <v>856</v>
      </c>
      <c r="E29">
        <v>306537</v>
      </c>
      <c r="F29">
        <v>2114</v>
      </c>
      <c r="G29">
        <v>107</v>
      </c>
      <c r="H29">
        <v>131</v>
      </c>
      <c r="I29">
        <v>875172</v>
      </c>
      <c r="J29">
        <v>658</v>
      </c>
      <c r="K29">
        <v>21</v>
      </c>
      <c r="L29">
        <v>73</v>
      </c>
      <c r="M29">
        <v>143646</v>
      </c>
      <c r="N29">
        <v>638</v>
      </c>
      <c r="O29" t="s">
        <v>73</v>
      </c>
      <c r="P29" t="s">
        <v>73</v>
      </c>
      <c r="Q29" t="s">
        <v>73</v>
      </c>
      <c r="R29" t="s">
        <v>73</v>
      </c>
      <c r="S29">
        <v>20152</v>
      </c>
      <c r="T29">
        <v>21919</v>
      </c>
      <c r="U29">
        <v>3435684</v>
      </c>
      <c r="V29">
        <v>67328</v>
      </c>
      <c r="W29">
        <v>15050</v>
      </c>
      <c r="X29">
        <v>12402</v>
      </c>
      <c r="Y29">
        <v>1474006</v>
      </c>
      <c r="Z29">
        <v>38270</v>
      </c>
      <c r="AA29">
        <v>7583</v>
      </c>
      <c r="AB29">
        <v>7165</v>
      </c>
      <c r="AC29">
        <v>751397</v>
      </c>
      <c r="AD29">
        <v>28267</v>
      </c>
      <c r="AE29">
        <v>18644</v>
      </c>
      <c r="AF29">
        <v>16779</v>
      </c>
      <c r="AG29">
        <v>2211422</v>
      </c>
      <c r="AH29">
        <v>48870</v>
      </c>
      <c r="AI29">
        <v>1619</v>
      </c>
      <c r="AJ29">
        <v>1345</v>
      </c>
      <c r="AK29">
        <v>853966</v>
      </c>
      <c r="AL29">
        <v>11980</v>
      </c>
      <c r="AM29">
        <v>14681</v>
      </c>
      <c r="AN29">
        <v>18052</v>
      </c>
      <c r="AO29">
        <v>2158633</v>
      </c>
      <c r="AP29">
        <v>37215</v>
      </c>
      <c r="AQ29">
        <v>875</v>
      </c>
      <c r="AR29">
        <v>804</v>
      </c>
      <c r="AS29">
        <v>815461</v>
      </c>
      <c r="AT29">
        <v>6531</v>
      </c>
      <c r="AU29">
        <v>916</v>
      </c>
      <c r="AV29">
        <v>1081</v>
      </c>
      <c r="AW29">
        <v>896414</v>
      </c>
      <c r="AX29">
        <v>6116</v>
      </c>
      <c r="AY29">
        <v>2827</v>
      </c>
      <c r="AZ29">
        <v>2158</v>
      </c>
      <c r="BA29">
        <v>4422273</v>
      </c>
      <c r="BB29">
        <v>5749</v>
      </c>
      <c r="BC29">
        <v>2765</v>
      </c>
      <c r="BD29">
        <v>782</v>
      </c>
      <c r="BE29">
        <v>1056695</v>
      </c>
      <c r="BF29">
        <v>790</v>
      </c>
    </row>
    <row r="30" spans="1:58" x14ac:dyDescent="0.4">
      <c r="A30" s="1" t="s">
        <v>48</v>
      </c>
      <c r="B30" s="1" t="s">
        <v>49</v>
      </c>
      <c r="C30">
        <v>576</v>
      </c>
      <c r="D30">
        <v>1050</v>
      </c>
      <c r="E30">
        <v>349668</v>
      </c>
      <c r="F30">
        <v>2108</v>
      </c>
      <c r="G30">
        <v>120</v>
      </c>
      <c r="H30">
        <v>150</v>
      </c>
      <c r="I30">
        <v>983740</v>
      </c>
      <c r="J30">
        <v>644</v>
      </c>
      <c r="K30">
        <v>20</v>
      </c>
      <c r="L30">
        <v>60</v>
      </c>
      <c r="M30">
        <v>136315</v>
      </c>
      <c r="N30">
        <v>619</v>
      </c>
      <c r="O30" t="s">
        <v>73</v>
      </c>
      <c r="P30" t="s">
        <v>73</v>
      </c>
      <c r="Q30" t="s">
        <v>73</v>
      </c>
      <c r="R30" t="s">
        <v>73</v>
      </c>
      <c r="S30">
        <v>25840</v>
      </c>
      <c r="T30">
        <v>22009</v>
      </c>
      <c r="U30">
        <v>3348675</v>
      </c>
      <c r="V30">
        <v>70766</v>
      </c>
      <c r="W30">
        <v>13516</v>
      </c>
      <c r="X30">
        <v>11131</v>
      </c>
      <c r="Y30">
        <v>1301479</v>
      </c>
      <c r="Z30">
        <v>40578</v>
      </c>
      <c r="AA30">
        <v>7192</v>
      </c>
      <c r="AB30">
        <v>7002</v>
      </c>
      <c r="AC30">
        <v>694426</v>
      </c>
      <c r="AD30">
        <v>28422</v>
      </c>
      <c r="AE30">
        <v>17255</v>
      </c>
      <c r="AF30">
        <v>16987</v>
      </c>
      <c r="AG30">
        <v>2242077</v>
      </c>
      <c r="AH30">
        <v>48854</v>
      </c>
      <c r="AI30">
        <v>1556</v>
      </c>
      <c r="AJ30">
        <v>1380</v>
      </c>
      <c r="AK30">
        <v>1013290</v>
      </c>
      <c r="AL30">
        <v>12139</v>
      </c>
      <c r="AM30">
        <v>17895</v>
      </c>
      <c r="AN30">
        <v>17382</v>
      </c>
      <c r="AO30">
        <v>2112989</v>
      </c>
      <c r="AP30">
        <v>37636</v>
      </c>
      <c r="AQ30">
        <v>737</v>
      </c>
      <c r="AR30">
        <v>809</v>
      </c>
      <c r="AS30">
        <v>862713</v>
      </c>
      <c r="AT30">
        <v>6447</v>
      </c>
      <c r="AU30">
        <v>974</v>
      </c>
      <c r="AV30">
        <v>1032</v>
      </c>
      <c r="AW30">
        <v>960027</v>
      </c>
      <c r="AX30">
        <v>6045</v>
      </c>
      <c r="AY30">
        <v>2702</v>
      </c>
      <c r="AZ30">
        <v>2396</v>
      </c>
      <c r="BA30">
        <v>4814174</v>
      </c>
      <c r="BB30">
        <v>5810</v>
      </c>
      <c r="BC30">
        <v>2860</v>
      </c>
      <c r="BD30">
        <v>874</v>
      </c>
      <c r="BE30">
        <v>1211784</v>
      </c>
      <c r="BF30">
        <v>778</v>
      </c>
    </row>
    <row r="31" spans="1:58" x14ac:dyDescent="0.4">
      <c r="A31" s="1" t="s">
        <v>50</v>
      </c>
      <c r="B31" s="1" t="s">
        <v>51</v>
      </c>
      <c r="C31">
        <v>635</v>
      </c>
      <c r="D31">
        <v>615</v>
      </c>
      <c r="E31">
        <v>238316</v>
      </c>
      <c r="F31">
        <v>2380</v>
      </c>
      <c r="G31">
        <v>92</v>
      </c>
      <c r="H31">
        <v>124</v>
      </c>
      <c r="I31">
        <v>954165</v>
      </c>
      <c r="J31">
        <v>622</v>
      </c>
      <c r="K31">
        <v>24</v>
      </c>
      <c r="L31">
        <v>70</v>
      </c>
      <c r="M31">
        <v>169801</v>
      </c>
      <c r="N31">
        <v>598</v>
      </c>
      <c r="O31" t="s">
        <v>73</v>
      </c>
      <c r="P31" t="s">
        <v>73</v>
      </c>
      <c r="Q31" t="s">
        <v>73</v>
      </c>
      <c r="R31" t="s">
        <v>73</v>
      </c>
      <c r="S31">
        <v>25770</v>
      </c>
      <c r="T31">
        <v>19305</v>
      </c>
      <c r="U31">
        <v>2955724</v>
      </c>
      <c r="V31">
        <v>76840</v>
      </c>
      <c r="W31">
        <v>9208</v>
      </c>
      <c r="X31">
        <v>9892</v>
      </c>
      <c r="Y31">
        <v>1141555</v>
      </c>
      <c r="Z31">
        <v>39810</v>
      </c>
      <c r="AA31">
        <v>6311</v>
      </c>
      <c r="AB31">
        <v>4910</v>
      </c>
      <c r="AC31">
        <v>509477</v>
      </c>
      <c r="AD31">
        <v>29845</v>
      </c>
      <c r="AE31">
        <v>15101</v>
      </c>
      <c r="AF31">
        <v>14392</v>
      </c>
      <c r="AG31">
        <v>1911911</v>
      </c>
      <c r="AH31">
        <v>49259</v>
      </c>
      <c r="AI31">
        <v>1245</v>
      </c>
      <c r="AJ31">
        <v>1249</v>
      </c>
      <c r="AK31">
        <v>708437</v>
      </c>
      <c r="AL31">
        <v>12120</v>
      </c>
      <c r="AM31">
        <v>16031</v>
      </c>
      <c r="AN31">
        <v>17198</v>
      </c>
      <c r="AO31">
        <v>2076639</v>
      </c>
      <c r="AP31">
        <v>36325</v>
      </c>
      <c r="AQ31">
        <v>748</v>
      </c>
      <c r="AR31">
        <v>700</v>
      </c>
      <c r="AS31">
        <v>655437</v>
      </c>
      <c r="AT31">
        <v>6487</v>
      </c>
      <c r="AU31">
        <v>714</v>
      </c>
      <c r="AV31">
        <v>790</v>
      </c>
      <c r="AW31">
        <v>708207</v>
      </c>
      <c r="AX31">
        <v>5947</v>
      </c>
      <c r="AY31">
        <v>2161</v>
      </c>
      <c r="AZ31">
        <v>1934</v>
      </c>
      <c r="BA31">
        <v>3905662</v>
      </c>
      <c r="BB31">
        <v>5748</v>
      </c>
      <c r="BC31">
        <v>2260</v>
      </c>
      <c r="BD31">
        <v>726</v>
      </c>
      <c r="BE31">
        <v>1265820</v>
      </c>
      <c r="BF31">
        <v>780</v>
      </c>
    </row>
    <row r="32" spans="1:58" x14ac:dyDescent="0.4">
      <c r="A32" s="1" t="s">
        <v>52</v>
      </c>
      <c r="B32" s="1" t="s">
        <v>53</v>
      </c>
      <c r="C32">
        <v>661</v>
      </c>
      <c r="D32">
        <v>932</v>
      </c>
      <c r="E32">
        <v>321555</v>
      </c>
      <c r="F32">
        <v>2395</v>
      </c>
      <c r="G32">
        <v>108</v>
      </c>
      <c r="H32">
        <v>126</v>
      </c>
      <c r="I32">
        <v>952213</v>
      </c>
      <c r="J32">
        <v>607</v>
      </c>
      <c r="K32">
        <v>31</v>
      </c>
      <c r="L32">
        <v>79</v>
      </c>
      <c r="M32">
        <v>207089</v>
      </c>
      <c r="N32">
        <v>579</v>
      </c>
      <c r="O32" t="s">
        <v>73</v>
      </c>
      <c r="P32" t="s">
        <v>73</v>
      </c>
      <c r="Q32" t="s">
        <v>73</v>
      </c>
      <c r="R32" t="s">
        <v>73</v>
      </c>
      <c r="S32">
        <v>22525</v>
      </c>
      <c r="T32">
        <v>22603</v>
      </c>
      <c r="U32">
        <v>3328043</v>
      </c>
      <c r="V32">
        <v>76352</v>
      </c>
      <c r="W32">
        <v>10266</v>
      </c>
      <c r="X32">
        <v>10418</v>
      </c>
      <c r="Y32">
        <v>1256480</v>
      </c>
      <c r="Z32">
        <v>39528</v>
      </c>
      <c r="AA32">
        <v>6293</v>
      </c>
      <c r="AB32">
        <v>6483</v>
      </c>
      <c r="AC32">
        <v>614555</v>
      </c>
      <c r="AD32">
        <v>29645</v>
      </c>
      <c r="AE32">
        <v>18313</v>
      </c>
      <c r="AF32">
        <v>14682</v>
      </c>
      <c r="AG32">
        <v>1957332</v>
      </c>
      <c r="AH32">
        <v>52674</v>
      </c>
      <c r="AI32">
        <v>1710</v>
      </c>
      <c r="AJ32">
        <v>1397</v>
      </c>
      <c r="AK32">
        <v>984909</v>
      </c>
      <c r="AL32">
        <v>12439</v>
      </c>
      <c r="AM32">
        <v>16218</v>
      </c>
      <c r="AN32">
        <v>15211</v>
      </c>
      <c r="AO32">
        <v>1917491</v>
      </c>
      <c r="AP32">
        <v>37345</v>
      </c>
      <c r="AQ32">
        <v>831</v>
      </c>
      <c r="AR32">
        <v>725</v>
      </c>
      <c r="AS32">
        <v>791514</v>
      </c>
      <c r="AT32">
        <v>6573</v>
      </c>
      <c r="AU32">
        <v>719</v>
      </c>
      <c r="AV32">
        <v>929</v>
      </c>
      <c r="AW32">
        <v>959871</v>
      </c>
      <c r="AX32">
        <v>5727</v>
      </c>
      <c r="AY32">
        <v>2753</v>
      </c>
      <c r="AZ32">
        <v>2389</v>
      </c>
      <c r="BA32">
        <v>4555869</v>
      </c>
      <c r="BB32">
        <v>5740</v>
      </c>
      <c r="BC32">
        <v>2587</v>
      </c>
      <c r="BD32">
        <v>922</v>
      </c>
      <c r="BE32">
        <v>1213482</v>
      </c>
      <c r="BF32">
        <v>714</v>
      </c>
    </row>
    <row r="33" spans="1:58" x14ac:dyDescent="0.4">
      <c r="A33" s="1" t="s">
        <v>54</v>
      </c>
      <c r="B33" s="1" t="s">
        <v>55</v>
      </c>
      <c r="C33">
        <v>578</v>
      </c>
      <c r="D33">
        <v>1128</v>
      </c>
      <c r="E33">
        <v>387232</v>
      </c>
      <c r="F33">
        <v>2233</v>
      </c>
      <c r="G33">
        <v>112</v>
      </c>
      <c r="H33">
        <v>108</v>
      </c>
      <c r="I33">
        <v>721742</v>
      </c>
      <c r="J33">
        <v>620</v>
      </c>
      <c r="K33">
        <v>37</v>
      </c>
      <c r="L33">
        <v>55</v>
      </c>
      <c r="M33">
        <v>132679</v>
      </c>
      <c r="N33">
        <v>582</v>
      </c>
      <c r="O33" t="s">
        <v>73</v>
      </c>
      <c r="P33" t="s">
        <v>73</v>
      </c>
      <c r="Q33" t="s">
        <v>73</v>
      </c>
      <c r="R33" t="s">
        <v>73</v>
      </c>
      <c r="S33">
        <v>29804</v>
      </c>
      <c r="T33">
        <v>23887</v>
      </c>
      <c r="U33">
        <v>3610522</v>
      </c>
      <c r="V33">
        <v>81534</v>
      </c>
      <c r="W33">
        <v>9005</v>
      </c>
      <c r="X33">
        <v>9836</v>
      </c>
      <c r="Y33">
        <v>1199815</v>
      </c>
      <c r="Z33">
        <v>38661</v>
      </c>
      <c r="AA33">
        <v>6154</v>
      </c>
      <c r="AB33">
        <v>6338</v>
      </c>
      <c r="AC33">
        <v>620027</v>
      </c>
      <c r="AD33">
        <v>29458</v>
      </c>
      <c r="AE33">
        <v>18085</v>
      </c>
      <c r="AF33">
        <v>16627</v>
      </c>
      <c r="AG33">
        <v>2219593</v>
      </c>
      <c r="AH33">
        <v>53913</v>
      </c>
      <c r="AI33">
        <v>1851</v>
      </c>
      <c r="AJ33">
        <v>1467</v>
      </c>
      <c r="AK33">
        <v>832754</v>
      </c>
      <c r="AL33">
        <v>12808</v>
      </c>
      <c r="AM33">
        <v>13674</v>
      </c>
      <c r="AN33">
        <v>15573</v>
      </c>
      <c r="AO33">
        <v>1912136</v>
      </c>
      <c r="AP33">
        <v>35363</v>
      </c>
      <c r="AQ33">
        <v>688</v>
      </c>
      <c r="AR33">
        <v>754</v>
      </c>
      <c r="AS33">
        <v>783423</v>
      </c>
      <c r="AT33">
        <v>6497</v>
      </c>
      <c r="AU33">
        <v>907</v>
      </c>
      <c r="AV33">
        <v>746</v>
      </c>
      <c r="AW33">
        <v>796605</v>
      </c>
      <c r="AX33">
        <v>5878</v>
      </c>
      <c r="AY33">
        <v>2652</v>
      </c>
      <c r="AZ33">
        <v>2614</v>
      </c>
      <c r="BA33">
        <v>4764245</v>
      </c>
      <c r="BB33">
        <v>5651</v>
      </c>
      <c r="BC33">
        <v>2850</v>
      </c>
      <c r="BD33">
        <v>782</v>
      </c>
      <c r="BE33">
        <v>1236309</v>
      </c>
      <c r="BF33">
        <v>757</v>
      </c>
    </row>
    <row r="34" spans="1:58" x14ac:dyDescent="0.4">
      <c r="A34" s="1" t="s">
        <v>56</v>
      </c>
      <c r="B34" s="1" t="s">
        <v>57</v>
      </c>
      <c r="C34">
        <v>602</v>
      </c>
      <c r="D34">
        <v>953</v>
      </c>
      <c r="E34">
        <v>403125</v>
      </c>
      <c r="F34">
        <v>2196</v>
      </c>
      <c r="G34">
        <v>92</v>
      </c>
      <c r="H34">
        <v>126</v>
      </c>
      <c r="I34">
        <v>809239</v>
      </c>
      <c r="J34">
        <v>601</v>
      </c>
      <c r="K34">
        <v>27</v>
      </c>
      <c r="L34">
        <v>75</v>
      </c>
      <c r="M34">
        <v>191649</v>
      </c>
      <c r="N34">
        <v>561</v>
      </c>
      <c r="O34" t="s">
        <v>73</v>
      </c>
      <c r="P34" t="s">
        <v>73</v>
      </c>
      <c r="Q34" t="s">
        <v>73</v>
      </c>
      <c r="R34" t="s">
        <v>73</v>
      </c>
      <c r="S34">
        <v>26391</v>
      </c>
      <c r="T34">
        <v>26931</v>
      </c>
      <c r="U34">
        <v>3999333</v>
      </c>
      <c r="V34">
        <v>80640</v>
      </c>
      <c r="W34">
        <v>8753</v>
      </c>
      <c r="X34">
        <v>9286</v>
      </c>
      <c r="Y34">
        <v>1156414</v>
      </c>
      <c r="Z34">
        <v>38021</v>
      </c>
      <c r="AA34">
        <v>7310</v>
      </c>
      <c r="AB34">
        <v>5902</v>
      </c>
      <c r="AC34">
        <v>582672</v>
      </c>
      <c r="AD34">
        <v>30818</v>
      </c>
      <c r="AE34">
        <v>18168</v>
      </c>
      <c r="AF34">
        <v>16509</v>
      </c>
      <c r="AG34">
        <v>2200416</v>
      </c>
      <c r="AH34">
        <v>55499</v>
      </c>
      <c r="AI34">
        <v>1408</v>
      </c>
      <c r="AJ34">
        <v>1229</v>
      </c>
      <c r="AK34">
        <v>783677</v>
      </c>
      <c r="AL34">
        <v>12981</v>
      </c>
      <c r="AM34">
        <v>14176</v>
      </c>
      <c r="AN34">
        <v>14430</v>
      </c>
      <c r="AO34">
        <v>1831927</v>
      </c>
      <c r="AP34">
        <v>35131</v>
      </c>
      <c r="AQ34">
        <v>804</v>
      </c>
      <c r="AR34">
        <v>811</v>
      </c>
      <c r="AS34">
        <v>772447</v>
      </c>
      <c r="AT34">
        <v>6462</v>
      </c>
      <c r="AU34">
        <v>905</v>
      </c>
      <c r="AV34">
        <v>819</v>
      </c>
      <c r="AW34">
        <v>779978</v>
      </c>
      <c r="AX34">
        <v>5947</v>
      </c>
      <c r="AY34">
        <v>2613</v>
      </c>
      <c r="AZ34">
        <v>2387</v>
      </c>
      <c r="BA34">
        <v>4306128</v>
      </c>
      <c r="BB34">
        <v>5851</v>
      </c>
      <c r="BC34">
        <v>2563</v>
      </c>
      <c r="BD34">
        <v>897</v>
      </c>
      <c r="BE34">
        <v>1126167</v>
      </c>
      <c r="BF34">
        <v>717</v>
      </c>
    </row>
    <row r="35" spans="1:58" x14ac:dyDescent="0.4">
      <c r="A35" s="1" t="s">
        <v>58</v>
      </c>
      <c r="B35" s="1" t="s">
        <v>59</v>
      </c>
      <c r="C35">
        <v>297</v>
      </c>
      <c r="D35">
        <v>594</v>
      </c>
      <c r="E35">
        <v>266181</v>
      </c>
      <c r="F35">
        <v>2119</v>
      </c>
      <c r="G35">
        <v>126</v>
      </c>
      <c r="H35">
        <v>136</v>
      </c>
      <c r="I35">
        <v>1103211</v>
      </c>
      <c r="J35">
        <v>592</v>
      </c>
      <c r="K35">
        <v>43</v>
      </c>
      <c r="L35">
        <v>61</v>
      </c>
      <c r="M35">
        <v>149181</v>
      </c>
      <c r="N35">
        <v>565</v>
      </c>
      <c r="O35" t="s">
        <v>73</v>
      </c>
      <c r="P35" t="s">
        <v>73</v>
      </c>
      <c r="Q35" t="s">
        <v>73</v>
      </c>
      <c r="R35" t="s">
        <v>73</v>
      </c>
      <c r="S35">
        <v>24530</v>
      </c>
      <c r="T35">
        <v>26279</v>
      </c>
      <c r="U35">
        <v>3928409</v>
      </c>
      <c r="V35">
        <v>78582</v>
      </c>
      <c r="W35">
        <v>9395</v>
      </c>
      <c r="X35">
        <v>8647</v>
      </c>
      <c r="Y35">
        <v>1056081</v>
      </c>
      <c r="Z35">
        <v>38595</v>
      </c>
      <c r="AA35">
        <v>5867</v>
      </c>
      <c r="AB35">
        <v>6483</v>
      </c>
      <c r="AC35">
        <v>648147</v>
      </c>
      <c r="AD35">
        <v>30303</v>
      </c>
      <c r="AE35">
        <v>15200</v>
      </c>
      <c r="AF35">
        <v>16137</v>
      </c>
      <c r="AG35">
        <v>2168313</v>
      </c>
      <c r="AH35">
        <v>54343</v>
      </c>
      <c r="AI35">
        <v>1012</v>
      </c>
      <c r="AJ35">
        <v>1369</v>
      </c>
      <c r="AK35">
        <v>917645</v>
      </c>
      <c r="AL35">
        <v>12604</v>
      </c>
      <c r="AM35">
        <v>12207</v>
      </c>
      <c r="AN35">
        <v>11280</v>
      </c>
      <c r="AO35">
        <v>1422090</v>
      </c>
      <c r="AP35">
        <v>35960</v>
      </c>
      <c r="AQ35">
        <v>756</v>
      </c>
      <c r="AR35">
        <v>753</v>
      </c>
      <c r="AS35">
        <v>774060</v>
      </c>
      <c r="AT35">
        <v>6441</v>
      </c>
      <c r="AU35">
        <v>893</v>
      </c>
      <c r="AV35">
        <v>966</v>
      </c>
      <c r="AW35">
        <v>977629</v>
      </c>
      <c r="AX35">
        <v>5830</v>
      </c>
      <c r="AY35">
        <v>2372</v>
      </c>
      <c r="AZ35">
        <v>2396</v>
      </c>
      <c r="BA35">
        <v>3907491</v>
      </c>
      <c r="BB35">
        <v>5766</v>
      </c>
      <c r="BC35">
        <v>2432</v>
      </c>
      <c r="BD35">
        <v>899</v>
      </c>
      <c r="BE35">
        <v>1466726</v>
      </c>
      <c r="BF35">
        <v>698</v>
      </c>
    </row>
    <row r="36" spans="1:58" x14ac:dyDescent="0.4">
      <c r="A36" s="1" t="s">
        <v>60</v>
      </c>
      <c r="B36" s="1" t="s">
        <v>61</v>
      </c>
      <c r="C36">
        <v>287</v>
      </c>
      <c r="D36">
        <v>549</v>
      </c>
      <c r="E36">
        <v>185328</v>
      </c>
      <c r="F36">
        <v>2032</v>
      </c>
      <c r="G36">
        <v>97</v>
      </c>
      <c r="H36">
        <v>104</v>
      </c>
      <c r="I36">
        <v>845593</v>
      </c>
      <c r="J36">
        <v>570</v>
      </c>
      <c r="K36">
        <v>23</v>
      </c>
      <c r="L36">
        <v>67</v>
      </c>
      <c r="M36">
        <v>137460</v>
      </c>
      <c r="N36">
        <v>542</v>
      </c>
      <c r="O36" t="s">
        <v>73</v>
      </c>
      <c r="P36" t="s">
        <v>73</v>
      </c>
      <c r="Q36" t="s">
        <v>73</v>
      </c>
      <c r="R36" t="s">
        <v>73</v>
      </c>
      <c r="S36">
        <v>19020</v>
      </c>
      <c r="T36">
        <v>22449</v>
      </c>
      <c r="U36">
        <v>3418402</v>
      </c>
      <c r="V36">
        <v>74669</v>
      </c>
      <c r="W36">
        <v>7142</v>
      </c>
      <c r="X36">
        <v>9113</v>
      </c>
      <c r="Y36">
        <v>1092691</v>
      </c>
      <c r="Z36">
        <v>36636</v>
      </c>
      <c r="AA36">
        <v>4816</v>
      </c>
      <c r="AB36">
        <v>3843</v>
      </c>
      <c r="AC36">
        <v>414044</v>
      </c>
      <c r="AD36">
        <v>31106</v>
      </c>
      <c r="AE36">
        <v>14817</v>
      </c>
      <c r="AF36">
        <v>14660</v>
      </c>
      <c r="AG36">
        <v>1940193</v>
      </c>
      <c r="AH36">
        <v>54413</v>
      </c>
      <c r="AI36">
        <v>1627</v>
      </c>
      <c r="AJ36">
        <v>1452</v>
      </c>
      <c r="AK36">
        <v>878787</v>
      </c>
      <c r="AL36">
        <v>12758</v>
      </c>
      <c r="AM36">
        <v>14362</v>
      </c>
      <c r="AN36">
        <v>12206</v>
      </c>
      <c r="AO36">
        <v>1559480</v>
      </c>
      <c r="AP36">
        <v>38103</v>
      </c>
      <c r="AQ36">
        <v>702</v>
      </c>
      <c r="AR36">
        <v>661</v>
      </c>
      <c r="AS36">
        <v>709551</v>
      </c>
      <c r="AT36">
        <v>6474</v>
      </c>
      <c r="AU36">
        <v>583</v>
      </c>
      <c r="AV36">
        <v>741</v>
      </c>
      <c r="AW36">
        <v>803219</v>
      </c>
      <c r="AX36">
        <v>5684</v>
      </c>
      <c r="AY36">
        <v>2552</v>
      </c>
      <c r="AZ36">
        <v>2318</v>
      </c>
      <c r="BA36">
        <v>5183240</v>
      </c>
      <c r="BB36">
        <v>5883</v>
      </c>
      <c r="BC36">
        <v>2570</v>
      </c>
      <c r="BD36">
        <v>710</v>
      </c>
      <c r="BE36">
        <v>1040080</v>
      </c>
      <c r="BF36">
        <v>713</v>
      </c>
    </row>
    <row r="37" spans="1:58" x14ac:dyDescent="0.4">
      <c r="A37" s="1" t="s">
        <v>62</v>
      </c>
      <c r="B37" s="1" t="s">
        <v>63</v>
      </c>
      <c r="C37">
        <v>432</v>
      </c>
      <c r="D37">
        <v>628</v>
      </c>
      <c r="E37">
        <v>245551</v>
      </c>
      <c r="F37">
        <v>2054</v>
      </c>
      <c r="G37">
        <v>124</v>
      </c>
      <c r="H37">
        <v>119</v>
      </c>
      <c r="I37">
        <v>647182</v>
      </c>
      <c r="J37">
        <v>599</v>
      </c>
      <c r="K37">
        <v>18</v>
      </c>
      <c r="L37">
        <v>63</v>
      </c>
      <c r="M37">
        <v>98744</v>
      </c>
      <c r="N37">
        <v>514</v>
      </c>
      <c r="O37" t="s">
        <v>73</v>
      </c>
      <c r="P37" t="s">
        <v>73</v>
      </c>
      <c r="Q37" t="s">
        <v>73</v>
      </c>
      <c r="R37" t="s">
        <v>73</v>
      </c>
      <c r="S37">
        <v>20279</v>
      </c>
      <c r="T37">
        <v>22014</v>
      </c>
      <c r="U37">
        <v>3407012</v>
      </c>
      <c r="V37">
        <v>72485</v>
      </c>
      <c r="W37">
        <v>8875</v>
      </c>
      <c r="X37">
        <v>8728</v>
      </c>
      <c r="Y37">
        <v>1025325</v>
      </c>
      <c r="Z37">
        <v>36740</v>
      </c>
      <c r="AA37">
        <v>6428</v>
      </c>
      <c r="AB37">
        <v>4799</v>
      </c>
      <c r="AC37">
        <v>472157</v>
      </c>
      <c r="AD37">
        <v>32659</v>
      </c>
      <c r="AE37">
        <v>13314</v>
      </c>
      <c r="AF37">
        <v>13594</v>
      </c>
      <c r="AG37">
        <v>1804730</v>
      </c>
      <c r="AH37">
        <v>53919</v>
      </c>
      <c r="AI37">
        <v>1259</v>
      </c>
      <c r="AJ37">
        <v>1521</v>
      </c>
      <c r="AK37">
        <v>891175</v>
      </c>
      <c r="AL37">
        <v>12495</v>
      </c>
      <c r="AM37">
        <v>13013</v>
      </c>
      <c r="AN37">
        <v>12011</v>
      </c>
      <c r="AO37">
        <v>1634193</v>
      </c>
      <c r="AP37">
        <v>38940</v>
      </c>
      <c r="AQ37">
        <v>705</v>
      </c>
      <c r="AR37">
        <v>678</v>
      </c>
      <c r="AS37">
        <v>676174</v>
      </c>
      <c r="AT37">
        <v>6480</v>
      </c>
      <c r="AU37">
        <v>866</v>
      </c>
      <c r="AV37">
        <v>736</v>
      </c>
      <c r="AW37">
        <v>768621</v>
      </c>
      <c r="AX37">
        <v>5806</v>
      </c>
      <c r="AY37">
        <v>2677</v>
      </c>
      <c r="AZ37">
        <v>2385</v>
      </c>
      <c r="BA37">
        <v>4783104</v>
      </c>
      <c r="BB37">
        <v>6038</v>
      </c>
      <c r="BC37">
        <v>2608</v>
      </c>
      <c r="BD37">
        <v>1036</v>
      </c>
      <c r="BE37">
        <v>1643564</v>
      </c>
      <c r="BF37">
        <v>656</v>
      </c>
    </row>
    <row r="38" spans="1:58" x14ac:dyDescent="0.4">
      <c r="A38" s="1" t="s">
        <v>64</v>
      </c>
      <c r="B38" s="1" t="s">
        <v>65</v>
      </c>
      <c r="C38">
        <v>420</v>
      </c>
      <c r="D38">
        <v>713</v>
      </c>
      <c r="E38">
        <v>265010</v>
      </c>
      <c r="F38">
        <v>1976</v>
      </c>
      <c r="G38">
        <v>133</v>
      </c>
      <c r="H38">
        <v>184</v>
      </c>
      <c r="I38">
        <v>1071109</v>
      </c>
      <c r="J38">
        <v>550</v>
      </c>
      <c r="K38">
        <v>44</v>
      </c>
      <c r="L38">
        <v>85</v>
      </c>
      <c r="M38">
        <v>233252</v>
      </c>
      <c r="N38">
        <v>503</v>
      </c>
      <c r="O38" t="s">
        <v>73</v>
      </c>
      <c r="P38" t="s">
        <v>73</v>
      </c>
      <c r="Q38" t="s">
        <v>73</v>
      </c>
      <c r="R38" t="s">
        <v>73</v>
      </c>
      <c r="S38">
        <v>21104</v>
      </c>
      <c r="T38">
        <v>23875</v>
      </c>
      <c r="U38">
        <v>3686574</v>
      </c>
      <c r="V38">
        <v>69224</v>
      </c>
      <c r="W38">
        <v>9728</v>
      </c>
      <c r="X38">
        <v>10991</v>
      </c>
      <c r="Y38">
        <v>1294694</v>
      </c>
      <c r="Z38">
        <v>35478</v>
      </c>
      <c r="AA38">
        <v>5051</v>
      </c>
      <c r="AB38">
        <v>5826</v>
      </c>
      <c r="AC38">
        <v>590913</v>
      </c>
      <c r="AD38">
        <v>31665</v>
      </c>
      <c r="AE38">
        <v>15912</v>
      </c>
      <c r="AF38">
        <v>15890</v>
      </c>
      <c r="AG38">
        <v>2094701</v>
      </c>
      <c r="AH38">
        <v>53781</v>
      </c>
      <c r="AI38">
        <v>2053</v>
      </c>
      <c r="AJ38">
        <v>1555</v>
      </c>
      <c r="AK38">
        <v>908506</v>
      </c>
      <c r="AL38">
        <v>13005</v>
      </c>
      <c r="AM38">
        <v>11461</v>
      </c>
      <c r="AN38">
        <v>13099</v>
      </c>
      <c r="AO38">
        <v>1724907</v>
      </c>
      <c r="AP38">
        <v>37139</v>
      </c>
      <c r="AQ38">
        <v>703</v>
      </c>
      <c r="AR38">
        <v>791</v>
      </c>
      <c r="AS38">
        <v>890798</v>
      </c>
      <c r="AT38">
        <v>6378</v>
      </c>
      <c r="AU38">
        <v>864</v>
      </c>
      <c r="AV38">
        <v>986</v>
      </c>
      <c r="AW38">
        <v>951054</v>
      </c>
      <c r="AX38">
        <v>5668</v>
      </c>
      <c r="AY38">
        <v>3183</v>
      </c>
      <c r="AZ38">
        <v>2907</v>
      </c>
      <c r="BA38">
        <v>5792218</v>
      </c>
      <c r="BB38">
        <v>6153</v>
      </c>
      <c r="BC38">
        <v>2630</v>
      </c>
      <c r="BD38">
        <v>1063</v>
      </c>
      <c r="BE38">
        <v>1790074</v>
      </c>
      <c r="BF38">
        <v>527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010CC-A604-4C66-8A0A-817F756E5D29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ht="20.25" x14ac:dyDescent="0.4">
      <c r="A3" s="1"/>
      <c r="B3" s="2" t="s">
        <v>0</v>
      </c>
      <c r="C3" s="5" t="s">
        <v>2269</v>
      </c>
      <c r="D3" s="5" t="s">
        <v>2269</v>
      </c>
      <c r="E3" s="5" t="s">
        <v>2269</v>
      </c>
      <c r="F3" s="5" t="s">
        <v>2269</v>
      </c>
      <c r="G3" s="5" t="s">
        <v>2271</v>
      </c>
      <c r="H3" s="5" t="s">
        <v>2271</v>
      </c>
      <c r="I3" s="5" t="s">
        <v>2271</v>
      </c>
      <c r="J3" s="5" t="s">
        <v>2271</v>
      </c>
      <c r="K3" s="5" t="s">
        <v>2273</v>
      </c>
      <c r="L3" s="5" t="s">
        <v>2273</v>
      </c>
      <c r="M3" s="5" t="s">
        <v>2273</v>
      </c>
      <c r="N3" s="5" t="s">
        <v>2273</v>
      </c>
      <c r="O3" s="5" t="s">
        <v>2275</v>
      </c>
      <c r="P3" s="5" t="s">
        <v>2275</v>
      </c>
      <c r="Q3" s="5" t="s">
        <v>2275</v>
      </c>
      <c r="R3" s="5" t="s">
        <v>2275</v>
      </c>
      <c r="S3" t="s">
        <v>2277</v>
      </c>
      <c r="T3" t="s">
        <v>2277</v>
      </c>
      <c r="U3" t="s">
        <v>2277</v>
      </c>
      <c r="V3" t="s">
        <v>2277</v>
      </c>
      <c r="W3" t="s">
        <v>2279</v>
      </c>
      <c r="X3" t="s">
        <v>2279</v>
      </c>
      <c r="Y3" t="s">
        <v>2279</v>
      </c>
      <c r="Z3" t="s">
        <v>2279</v>
      </c>
      <c r="AA3" t="s">
        <v>2281</v>
      </c>
      <c r="AB3" t="s">
        <v>2281</v>
      </c>
      <c r="AC3" t="s">
        <v>2281</v>
      </c>
      <c r="AD3" t="s">
        <v>2281</v>
      </c>
      <c r="AE3" t="s">
        <v>2283</v>
      </c>
      <c r="AF3" t="s">
        <v>2283</v>
      </c>
      <c r="AG3" t="s">
        <v>2283</v>
      </c>
      <c r="AH3" t="s">
        <v>2283</v>
      </c>
      <c r="AI3" t="s">
        <v>2285</v>
      </c>
      <c r="AJ3" t="s">
        <v>2285</v>
      </c>
      <c r="AK3" t="s">
        <v>2285</v>
      </c>
      <c r="AL3" t="s">
        <v>2285</v>
      </c>
      <c r="AM3" t="s">
        <v>2287</v>
      </c>
      <c r="AN3" t="s">
        <v>2287</v>
      </c>
      <c r="AO3" t="s">
        <v>2287</v>
      </c>
      <c r="AP3" t="s">
        <v>2287</v>
      </c>
      <c r="AQ3" t="s">
        <v>2289</v>
      </c>
      <c r="AR3" t="s">
        <v>2289</v>
      </c>
      <c r="AS3" t="s">
        <v>2289</v>
      </c>
      <c r="AT3" t="s">
        <v>2289</v>
      </c>
      <c r="AU3" t="s">
        <v>2291</v>
      </c>
      <c r="AV3" t="s">
        <v>2291</v>
      </c>
      <c r="AW3" t="s">
        <v>2293</v>
      </c>
      <c r="AX3" t="s">
        <v>2293</v>
      </c>
      <c r="AY3" t="s">
        <v>2295</v>
      </c>
      <c r="AZ3" t="s">
        <v>2295</v>
      </c>
      <c r="BA3" t="s">
        <v>2297</v>
      </c>
      <c r="BB3" t="s">
        <v>2297</v>
      </c>
    </row>
    <row r="4" spans="1:54" x14ac:dyDescent="0.4">
      <c r="A4" s="1"/>
      <c r="B4" s="2" t="s">
        <v>1</v>
      </c>
      <c r="C4" t="s">
        <v>2270</v>
      </c>
      <c r="D4" t="s">
        <v>2270</v>
      </c>
      <c r="E4" t="s">
        <v>2270</v>
      </c>
      <c r="F4" t="s">
        <v>2270</v>
      </c>
      <c r="G4" t="s">
        <v>2272</v>
      </c>
      <c r="H4" t="s">
        <v>2272</v>
      </c>
      <c r="I4" t="s">
        <v>2272</v>
      </c>
      <c r="J4" t="s">
        <v>2272</v>
      </c>
      <c r="K4" t="s">
        <v>2274</v>
      </c>
      <c r="L4" t="s">
        <v>2274</v>
      </c>
      <c r="M4" t="s">
        <v>2274</v>
      </c>
      <c r="N4" t="s">
        <v>2274</v>
      </c>
      <c r="O4" t="s">
        <v>2276</v>
      </c>
      <c r="P4" t="s">
        <v>2276</v>
      </c>
      <c r="Q4" t="s">
        <v>2276</v>
      </c>
      <c r="R4" t="s">
        <v>2276</v>
      </c>
      <c r="S4" t="s">
        <v>2278</v>
      </c>
      <c r="T4" t="s">
        <v>2278</v>
      </c>
      <c r="U4" t="s">
        <v>2278</v>
      </c>
      <c r="V4" t="s">
        <v>2278</v>
      </c>
      <c r="W4" t="s">
        <v>2280</v>
      </c>
      <c r="X4" t="s">
        <v>2280</v>
      </c>
      <c r="Y4" t="s">
        <v>2280</v>
      </c>
      <c r="Z4" t="s">
        <v>2280</v>
      </c>
      <c r="AA4" t="s">
        <v>2282</v>
      </c>
      <c r="AB4" t="s">
        <v>2282</v>
      </c>
      <c r="AC4" t="s">
        <v>2282</v>
      </c>
      <c r="AD4" t="s">
        <v>2282</v>
      </c>
      <c r="AE4" t="s">
        <v>2284</v>
      </c>
      <c r="AF4" t="s">
        <v>2284</v>
      </c>
      <c r="AG4" t="s">
        <v>2284</v>
      </c>
      <c r="AH4" t="s">
        <v>2284</v>
      </c>
      <c r="AI4" t="s">
        <v>2286</v>
      </c>
      <c r="AJ4" t="s">
        <v>2286</v>
      </c>
      <c r="AK4" t="s">
        <v>2286</v>
      </c>
      <c r="AL4" t="s">
        <v>2286</v>
      </c>
      <c r="AM4" t="s">
        <v>2288</v>
      </c>
      <c r="AN4" t="s">
        <v>2288</v>
      </c>
      <c r="AO4" t="s">
        <v>2288</v>
      </c>
      <c r="AP4" t="s">
        <v>2288</v>
      </c>
      <c r="AQ4" t="s">
        <v>2290</v>
      </c>
      <c r="AR4" t="s">
        <v>2290</v>
      </c>
      <c r="AS4" t="s">
        <v>2290</v>
      </c>
      <c r="AT4" t="s">
        <v>2290</v>
      </c>
      <c r="AU4" t="s">
        <v>2292</v>
      </c>
      <c r="AV4" t="s">
        <v>2292</v>
      </c>
      <c r="AW4" t="s">
        <v>2294</v>
      </c>
      <c r="AX4" t="s">
        <v>2294</v>
      </c>
      <c r="AY4" t="s">
        <v>2296</v>
      </c>
      <c r="AZ4" t="s">
        <v>2296</v>
      </c>
      <c r="BA4" t="s">
        <v>2298</v>
      </c>
      <c r="BB4" t="s">
        <v>2298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341</v>
      </c>
      <c r="AW7" t="s">
        <v>339</v>
      </c>
      <c r="AX7" t="s">
        <v>341</v>
      </c>
      <c r="AY7" t="s">
        <v>339</v>
      </c>
      <c r="AZ7" t="s">
        <v>341</v>
      </c>
      <c r="BA7" t="s">
        <v>339</v>
      </c>
      <c r="BB7" t="s">
        <v>341</v>
      </c>
    </row>
    <row r="8" spans="1:5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342</v>
      </c>
      <c r="AW8" t="s">
        <v>339</v>
      </c>
      <c r="AX8" t="s">
        <v>342</v>
      </c>
      <c r="AY8" t="s">
        <v>339</v>
      </c>
      <c r="AZ8" t="s">
        <v>342</v>
      </c>
      <c r="BA8" t="s">
        <v>339</v>
      </c>
      <c r="BB8" t="s">
        <v>342</v>
      </c>
    </row>
    <row r="9" spans="1:54" x14ac:dyDescent="0.4">
      <c r="A9" s="1" t="s">
        <v>6</v>
      </c>
      <c r="B9" s="3" t="s">
        <v>7</v>
      </c>
      <c r="C9">
        <v>3161709</v>
      </c>
      <c r="D9">
        <v>3946377</v>
      </c>
      <c r="E9">
        <v>12175839</v>
      </c>
      <c r="F9">
        <v>2303396</v>
      </c>
      <c r="G9">
        <v>1785665</v>
      </c>
      <c r="H9">
        <v>1251117</v>
      </c>
      <c r="I9">
        <v>5888049</v>
      </c>
      <c r="J9">
        <v>564596</v>
      </c>
      <c r="K9">
        <v>2449965</v>
      </c>
      <c r="L9">
        <v>2102235</v>
      </c>
      <c r="M9">
        <v>6856303</v>
      </c>
      <c r="N9">
        <v>1081979</v>
      </c>
      <c r="O9">
        <v>6119963</v>
      </c>
      <c r="P9">
        <v>5895908</v>
      </c>
      <c r="Q9">
        <v>9233592</v>
      </c>
      <c r="R9">
        <v>1958902</v>
      </c>
      <c r="S9">
        <v>1880090</v>
      </c>
      <c r="T9">
        <v>2647561</v>
      </c>
      <c r="U9">
        <v>37724225</v>
      </c>
      <c r="V9">
        <v>307202</v>
      </c>
      <c r="W9">
        <v>147375</v>
      </c>
      <c r="X9">
        <v>146199</v>
      </c>
      <c r="Y9">
        <v>4022582</v>
      </c>
      <c r="Z9">
        <v>15690</v>
      </c>
      <c r="AA9">
        <v>803316</v>
      </c>
      <c r="AB9">
        <v>863442</v>
      </c>
      <c r="AC9">
        <v>5153494</v>
      </c>
      <c r="AD9">
        <v>140689</v>
      </c>
      <c r="AE9">
        <v>1459535</v>
      </c>
      <c r="AF9">
        <v>1456170</v>
      </c>
      <c r="AG9">
        <v>10122817</v>
      </c>
      <c r="AH9">
        <v>131648</v>
      </c>
      <c r="AI9">
        <v>6397637</v>
      </c>
      <c r="AJ9">
        <v>8438121</v>
      </c>
      <c r="AK9">
        <v>7800655</v>
      </c>
      <c r="AL9">
        <v>2720703</v>
      </c>
      <c r="AM9">
        <v>21594195</v>
      </c>
      <c r="AN9">
        <v>22373045</v>
      </c>
      <c r="AO9">
        <v>11041122</v>
      </c>
      <c r="AP9">
        <v>3383389</v>
      </c>
      <c r="AQ9">
        <v>1476090</v>
      </c>
      <c r="AR9">
        <v>1489566</v>
      </c>
      <c r="AS9">
        <v>4080993</v>
      </c>
      <c r="AT9">
        <v>90872</v>
      </c>
      <c r="AU9">
        <v>37377991</v>
      </c>
      <c r="AV9">
        <v>17966798</v>
      </c>
      <c r="AW9">
        <v>7845423</v>
      </c>
      <c r="AX9">
        <v>4929889</v>
      </c>
      <c r="AY9">
        <v>3578514</v>
      </c>
      <c r="AZ9">
        <v>1654567</v>
      </c>
      <c r="BA9">
        <v>712914</v>
      </c>
      <c r="BB9">
        <v>1629527</v>
      </c>
    </row>
    <row r="10" spans="1:54" x14ac:dyDescent="0.4">
      <c r="A10" s="1" t="s">
        <v>8</v>
      </c>
      <c r="B10" s="3" t="s">
        <v>9</v>
      </c>
      <c r="C10">
        <v>2961009</v>
      </c>
      <c r="D10">
        <v>3893292</v>
      </c>
      <c r="E10">
        <v>12408791</v>
      </c>
      <c r="F10">
        <v>2371849</v>
      </c>
      <c r="G10">
        <v>1668051</v>
      </c>
      <c r="H10">
        <v>1260959</v>
      </c>
      <c r="I10">
        <v>6106912</v>
      </c>
      <c r="J10">
        <v>510753</v>
      </c>
      <c r="K10">
        <v>2512767</v>
      </c>
      <c r="L10">
        <v>2059805</v>
      </c>
      <c r="M10">
        <v>6689582</v>
      </c>
      <c r="N10">
        <v>1003817</v>
      </c>
      <c r="O10">
        <v>6363218</v>
      </c>
      <c r="P10">
        <v>6119258</v>
      </c>
      <c r="Q10">
        <v>9723917</v>
      </c>
      <c r="R10">
        <v>2080142</v>
      </c>
      <c r="S10">
        <v>1813002</v>
      </c>
      <c r="T10">
        <v>2563405</v>
      </c>
      <c r="U10">
        <v>38136257</v>
      </c>
      <c r="V10">
        <v>344083</v>
      </c>
      <c r="W10">
        <v>140640</v>
      </c>
      <c r="X10">
        <v>136677</v>
      </c>
      <c r="Y10">
        <v>3801659</v>
      </c>
      <c r="Z10">
        <v>19867</v>
      </c>
      <c r="AA10">
        <v>766298</v>
      </c>
      <c r="AB10">
        <v>804472</v>
      </c>
      <c r="AC10">
        <v>5053621</v>
      </c>
      <c r="AD10">
        <v>158789</v>
      </c>
      <c r="AE10">
        <v>1355544</v>
      </c>
      <c r="AF10">
        <v>1326534</v>
      </c>
      <c r="AG10">
        <v>9118316</v>
      </c>
      <c r="AH10">
        <v>159814</v>
      </c>
      <c r="AI10">
        <v>7559299</v>
      </c>
      <c r="AJ10">
        <v>6954590</v>
      </c>
      <c r="AK10">
        <v>6788855</v>
      </c>
      <c r="AL10">
        <v>3407827</v>
      </c>
      <c r="AM10">
        <v>23483865</v>
      </c>
      <c r="AN10">
        <v>23190311</v>
      </c>
      <c r="AO10">
        <v>11751424</v>
      </c>
      <c r="AP10">
        <v>4345747</v>
      </c>
      <c r="AQ10">
        <v>1150059</v>
      </c>
      <c r="AR10">
        <v>1183124</v>
      </c>
      <c r="AS10">
        <v>4697321</v>
      </c>
      <c r="AT10">
        <v>83243</v>
      </c>
      <c r="AU10">
        <v>34558770</v>
      </c>
      <c r="AV10">
        <v>18504892</v>
      </c>
      <c r="AW10">
        <v>8894967</v>
      </c>
      <c r="AX10">
        <v>5647918</v>
      </c>
      <c r="AY10">
        <v>3801815</v>
      </c>
      <c r="AZ10">
        <v>1827218</v>
      </c>
      <c r="BA10">
        <v>836533</v>
      </c>
      <c r="BB10">
        <v>1513388</v>
      </c>
    </row>
    <row r="11" spans="1:54" x14ac:dyDescent="0.4">
      <c r="A11" s="1" t="s">
        <v>10</v>
      </c>
      <c r="B11" s="3" t="s">
        <v>11</v>
      </c>
      <c r="C11">
        <v>3087999</v>
      </c>
      <c r="D11">
        <v>3821192</v>
      </c>
      <c r="E11">
        <v>12766745</v>
      </c>
      <c r="F11">
        <v>2433632</v>
      </c>
      <c r="G11">
        <v>1282486</v>
      </c>
      <c r="H11">
        <v>985506</v>
      </c>
      <c r="I11">
        <v>5460169</v>
      </c>
      <c r="J11">
        <v>418953</v>
      </c>
      <c r="K11">
        <v>2207420</v>
      </c>
      <c r="L11">
        <v>1817214</v>
      </c>
      <c r="M11">
        <v>6593912</v>
      </c>
      <c r="N11">
        <v>980932</v>
      </c>
      <c r="O11">
        <v>5640306</v>
      </c>
      <c r="P11">
        <v>5413646</v>
      </c>
      <c r="Q11">
        <v>10271769</v>
      </c>
      <c r="R11">
        <v>2041324</v>
      </c>
      <c r="S11">
        <v>1628603</v>
      </c>
      <c r="T11">
        <v>2401757</v>
      </c>
      <c r="U11">
        <v>37187309</v>
      </c>
      <c r="V11">
        <v>330595</v>
      </c>
      <c r="W11">
        <v>127397</v>
      </c>
      <c r="X11">
        <v>129112</v>
      </c>
      <c r="Y11">
        <v>3862199</v>
      </c>
      <c r="Z11">
        <v>18239</v>
      </c>
      <c r="AA11">
        <v>642749</v>
      </c>
      <c r="AB11">
        <v>717845</v>
      </c>
      <c r="AC11">
        <v>4856574</v>
      </c>
      <c r="AD11">
        <v>133811</v>
      </c>
      <c r="AE11">
        <v>1299458</v>
      </c>
      <c r="AF11">
        <v>1329365</v>
      </c>
      <c r="AG11">
        <v>9699631</v>
      </c>
      <c r="AH11">
        <v>128373</v>
      </c>
      <c r="AI11">
        <v>7424839</v>
      </c>
      <c r="AJ11">
        <v>7078846</v>
      </c>
      <c r="AK11">
        <v>6782539</v>
      </c>
      <c r="AL11">
        <v>3747320</v>
      </c>
      <c r="AM11">
        <v>23693055</v>
      </c>
      <c r="AN11">
        <v>24767348</v>
      </c>
      <c r="AO11">
        <v>12954666</v>
      </c>
      <c r="AP11">
        <v>3989865</v>
      </c>
      <c r="AQ11">
        <v>1182447</v>
      </c>
      <c r="AR11">
        <v>1205843</v>
      </c>
      <c r="AS11">
        <v>5929927</v>
      </c>
      <c r="AT11">
        <v>97952</v>
      </c>
      <c r="AU11">
        <v>35512045</v>
      </c>
      <c r="AV11">
        <v>19456935</v>
      </c>
      <c r="AW11">
        <v>8180500</v>
      </c>
      <c r="AX11">
        <v>5555187</v>
      </c>
      <c r="AY11">
        <v>3155012</v>
      </c>
      <c r="AZ11">
        <v>1718144</v>
      </c>
      <c r="BA11">
        <v>741847</v>
      </c>
      <c r="BB11">
        <v>1619627</v>
      </c>
    </row>
    <row r="12" spans="1:54" x14ac:dyDescent="0.4">
      <c r="A12" s="1" t="s">
        <v>12</v>
      </c>
      <c r="B12" s="3" t="s">
        <v>13</v>
      </c>
      <c r="C12">
        <v>2649108</v>
      </c>
      <c r="D12">
        <v>3305028</v>
      </c>
      <c r="E12">
        <v>11270086</v>
      </c>
      <c r="F12">
        <v>2406138</v>
      </c>
      <c r="G12">
        <v>1302320</v>
      </c>
      <c r="H12">
        <v>900888</v>
      </c>
      <c r="I12">
        <v>5776098</v>
      </c>
      <c r="J12">
        <v>544831</v>
      </c>
      <c r="K12">
        <v>1734135</v>
      </c>
      <c r="L12">
        <v>1593138</v>
      </c>
      <c r="M12">
        <v>6248958</v>
      </c>
      <c r="N12">
        <v>830756</v>
      </c>
      <c r="O12">
        <v>4969439</v>
      </c>
      <c r="P12">
        <v>4669606</v>
      </c>
      <c r="Q12">
        <v>10106803</v>
      </c>
      <c r="R12">
        <v>2114960</v>
      </c>
      <c r="S12">
        <v>1559279</v>
      </c>
      <c r="T12">
        <v>2401656</v>
      </c>
      <c r="U12">
        <v>39619472</v>
      </c>
      <c r="V12">
        <v>275642</v>
      </c>
      <c r="W12">
        <v>124969</v>
      </c>
      <c r="X12">
        <v>126051</v>
      </c>
      <c r="Y12">
        <v>4149368</v>
      </c>
      <c r="Z12">
        <v>16880</v>
      </c>
      <c r="AA12">
        <v>611827</v>
      </c>
      <c r="AB12">
        <v>672011</v>
      </c>
      <c r="AC12">
        <v>4803135</v>
      </c>
      <c r="AD12">
        <v>124003</v>
      </c>
      <c r="AE12">
        <v>1330508</v>
      </c>
      <c r="AF12">
        <v>1315509</v>
      </c>
      <c r="AG12">
        <v>10218952</v>
      </c>
      <c r="AH12">
        <v>143070</v>
      </c>
      <c r="AI12">
        <v>7975045</v>
      </c>
      <c r="AJ12">
        <v>8008541</v>
      </c>
      <c r="AK12">
        <v>8325709</v>
      </c>
      <c r="AL12">
        <v>3801310</v>
      </c>
      <c r="AM12">
        <v>23118304</v>
      </c>
      <c r="AN12">
        <v>24094086</v>
      </c>
      <c r="AO12">
        <v>13334190</v>
      </c>
      <c r="AP12">
        <v>3758315</v>
      </c>
      <c r="AQ12">
        <v>648991</v>
      </c>
      <c r="AR12">
        <v>641078</v>
      </c>
      <c r="AS12">
        <v>389172</v>
      </c>
      <c r="AT12">
        <v>156276</v>
      </c>
      <c r="AU12">
        <v>34650304</v>
      </c>
      <c r="AV12">
        <v>19395504</v>
      </c>
      <c r="AW12">
        <v>7721225</v>
      </c>
      <c r="AX12">
        <v>5357020</v>
      </c>
      <c r="AY12">
        <v>2713893</v>
      </c>
      <c r="AZ12">
        <v>1448711</v>
      </c>
      <c r="BA12">
        <v>589723</v>
      </c>
      <c r="BB12">
        <v>1585233</v>
      </c>
    </row>
    <row r="13" spans="1:54" x14ac:dyDescent="0.4">
      <c r="A13" s="1" t="s">
        <v>14</v>
      </c>
      <c r="B13" s="3" t="s">
        <v>15</v>
      </c>
      <c r="C13">
        <v>2091035</v>
      </c>
      <c r="D13">
        <v>3500051</v>
      </c>
      <c r="E13">
        <v>11460764</v>
      </c>
      <c r="F13">
        <v>2389046</v>
      </c>
      <c r="G13">
        <v>1309554</v>
      </c>
      <c r="H13">
        <v>923305</v>
      </c>
      <c r="I13">
        <v>6005369</v>
      </c>
      <c r="J13">
        <v>547031</v>
      </c>
      <c r="K13">
        <v>1643761</v>
      </c>
      <c r="L13">
        <v>1499857</v>
      </c>
      <c r="M13">
        <v>6633283</v>
      </c>
      <c r="N13">
        <v>809994</v>
      </c>
      <c r="O13">
        <v>4097195</v>
      </c>
      <c r="P13">
        <v>3939467</v>
      </c>
      <c r="Q13">
        <v>8857163</v>
      </c>
      <c r="R13">
        <v>2024723</v>
      </c>
      <c r="S13">
        <v>1467755</v>
      </c>
      <c r="T13">
        <v>2297344</v>
      </c>
      <c r="U13">
        <v>40843991</v>
      </c>
      <c r="V13">
        <v>263642</v>
      </c>
      <c r="W13">
        <v>115531</v>
      </c>
      <c r="X13">
        <v>116354</v>
      </c>
      <c r="Y13">
        <v>3967871</v>
      </c>
      <c r="Z13">
        <v>15325</v>
      </c>
      <c r="AA13">
        <v>586893</v>
      </c>
      <c r="AB13">
        <v>615940</v>
      </c>
      <c r="AC13">
        <v>4670934</v>
      </c>
      <c r="AD13">
        <v>148024</v>
      </c>
      <c r="AE13">
        <v>1281837</v>
      </c>
      <c r="AF13">
        <v>1289295</v>
      </c>
      <c r="AG13">
        <v>10301553</v>
      </c>
      <c r="AH13">
        <v>135281</v>
      </c>
      <c r="AI13">
        <v>6980054</v>
      </c>
      <c r="AJ13">
        <v>7679124</v>
      </c>
      <c r="AK13">
        <v>8274866</v>
      </c>
      <c r="AL13">
        <v>3161601</v>
      </c>
      <c r="AM13">
        <v>21977783</v>
      </c>
      <c r="AN13">
        <v>22512315</v>
      </c>
      <c r="AO13">
        <v>12970220</v>
      </c>
      <c r="AP13">
        <v>4013418</v>
      </c>
      <c r="AQ13">
        <v>613259</v>
      </c>
      <c r="AR13">
        <v>651770</v>
      </c>
      <c r="AS13">
        <v>410803</v>
      </c>
      <c r="AT13">
        <v>165928</v>
      </c>
      <c r="AU13">
        <v>34489462</v>
      </c>
      <c r="AV13">
        <v>19915108</v>
      </c>
      <c r="AW13">
        <v>7780976</v>
      </c>
      <c r="AX13">
        <v>5540863</v>
      </c>
      <c r="AY13">
        <v>2528950</v>
      </c>
      <c r="AZ13">
        <v>1300797</v>
      </c>
      <c r="BA13">
        <v>675856</v>
      </c>
      <c r="BB13">
        <v>1820233</v>
      </c>
    </row>
    <row r="14" spans="1:54" x14ac:dyDescent="0.4">
      <c r="A14" s="1" t="s">
        <v>16</v>
      </c>
      <c r="B14" s="1" t="s">
        <v>17</v>
      </c>
      <c r="C14">
        <v>261456</v>
      </c>
      <c r="D14">
        <v>356720</v>
      </c>
      <c r="E14">
        <v>1123018</v>
      </c>
      <c r="F14">
        <v>2454258</v>
      </c>
      <c r="G14">
        <v>114799</v>
      </c>
      <c r="H14">
        <v>89276</v>
      </c>
      <c r="I14">
        <v>573782</v>
      </c>
      <c r="J14">
        <v>417410</v>
      </c>
      <c r="K14">
        <v>156190</v>
      </c>
      <c r="L14">
        <v>137215</v>
      </c>
      <c r="M14">
        <v>527965</v>
      </c>
      <c r="N14">
        <v>861337</v>
      </c>
      <c r="O14">
        <v>467286</v>
      </c>
      <c r="P14">
        <v>380491</v>
      </c>
      <c r="Q14">
        <v>844032</v>
      </c>
      <c r="R14">
        <v>2123686</v>
      </c>
      <c r="S14">
        <v>141375</v>
      </c>
      <c r="T14">
        <v>193426</v>
      </c>
      <c r="U14">
        <v>3114811</v>
      </c>
      <c r="V14">
        <v>321418</v>
      </c>
      <c r="W14">
        <v>10464</v>
      </c>
      <c r="X14">
        <v>10342</v>
      </c>
      <c r="Y14">
        <v>332104</v>
      </c>
      <c r="Z14">
        <v>16378</v>
      </c>
      <c r="AA14">
        <v>57697</v>
      </c>
      <c r="AB14">
        <v>57238</v>
      </c>
      <c r="AC14">
        <v>393912</v>
      </c>
      <c r="AD14">
        <v>126422</v>
      </c>
      <c r="AE14">
        <v>119508</v>
      </c>
      <c r="AF14">
        <v>101148</v>
      </c>
      <c r="AG14">
        <v>741726</v>
      </c>
      <c r="AH14">
        <v>157950</v>
      </c>
      <c r="AI14">
        <v>751023</v>
      </c>
      <c r="AJ14">
        <v>894007</v>
      </c>
      <c r="AK14">
        <v>897052</v>
      </c>
      <c r="AL14">
        <v>3292569</v>
      </c>
      <c r="AM14">
        <v>1966606</v>
      </c>
      <c r="AN14">
        <v>2062803</v>
      </c>
      <c r="AO14">
        <v>1154595</v>
      </c>
      <c r="AP14">
        <v>3991999</v>
      </c>
      <c r="AQ14">
        <v>53903</v>
      </c>
      <c r="AR14">
        <v>92211</v>
      </c>
      <c r="AS14">
        <v>39502</v>
      </c>
      <c r="AT14">
        <v>114594</v>
      </c>
      <c r="AU14">
        <v>2971440</v>
      </c>
      <c r="AV14">
        <v>1686838</v>
      </c>
      <c r="AW14">
        <v>681536</v>
      </c>
      <c r="AX14">
        <v>459874</v>
      </c>
      <c r="AY14">
        <v>215814</v>
      </c>
      <c r="AZ14">
        <v>111477</v>
      </c>
      <c r="BA14">
        <v>60584</v>
      </c>
      <c r="BB14">
        <v>146135</v>
      </c>
    </row>
    <row r="15" spans="1:54" x14ac:dyDescent="0.4">
      <c r="A15" s="1" t="s">
        <v>18</v>
      </c>
      <c r="B15" s="1" t="s">
        <v>19</v>
      </c>
      <c r="C15">
        <v>280804</v>
      </c>
      <c r="D15">
        <v>302581</v>
      </c>
      <c r="E15">
        <v>1009123</v>
      </c>
      <c r="F15">
        <v>2489637</v>
      </c>
      <c r="G15">
        <v>107556</v>
      </c>
      <c r="H15">
        <v>80817</v>
      </c>
      <c r="I15">
        <v>490229</v>
      </c>
      <c r="J15">
        <v>418880</v>
      </c>
      <c r="K15">
        <v>151296</v>
      </c>
      <c r="L15">
        <v>125450</v>
      </c>
      <c r="M15">
        <v>499144</v>
      </c>
      <c r="N15">
        <v>874151</v>
      </c>
      <c r="O15">
        <v>482880</v>
      </c>
      <c r="P15">
        <v>444784</v>
      </c>
      <c r="Q15">
        <v>956849</v>
      </c>
      <c r="R15">
        <v>2149705</v>
      </c>
      <c r="S15">
        <v>125790</v>
      </c>
      <c r="T15">
        <v>183979</v>
      </c>
      <c r="U15">
        <v>3066606</v>
      </c>
      <c r="V15">
        <v>330032</v>
      </c>
      <c r="W15">
        <v>10255</v>
      </c>
      <c r="X15">
        <v>9431</v>
      </c>
      <c r="Y15">
        <v>322385</v>
      </c>
      <c r="Z15">
        <v>17218</v>
      </c>
      <c r="AA15">
        <v>51215</v>
      </c>
      <c r="AB15">
        <v>56434</v>
      </c>
      <c r="AC15">
        <v>389281</v>
      </c>
      <c r="AD15">
        <v>127486</v>
      </c>
      <c r="AE15">
        <v>99015</v>
      </c>
      <c r="AF15">
        <v>105595</v>
      </c>
      <c r="AG15">
        <v>828571</v>
      </c>
      <c r="AH15">
        <v>151875</v>
      </c>
      <c r="AI15">
        <v>744246</v>
      </c>
      <c r="AJ15">
        <v>532765</v>
      </c>
      <c r="AK15">
        <v>597579</v>
      </c>
      <c r="AL15">
        <v>3481130</v>
      </c>
      <c r="AM15">
        <v>1994516</v>
      </c>
      <c r="AN15">
        <v>2098048</v>
      </c>
      <c r="AO15">
        <v>1123549</v>
      </c>
      <c r="AP15">
        <v>3938577</v>
      </c>
      <c r="AQ15">
        <v>67254</v>
      </c>
      <c r="AR15">
        <v>48185</v>
      </c>
      <c r="AS15">
        <v>29457</v>
      </c>
      <c r="AT15">
        <v>133663</v>
      </c>
      <c r="AU15">
        <v>3054802</v>
      </c>
      <c r="AV15">
        <v>1725099</v>
      </c>
      <c r="AW15">
        <v>657063</v>
      </c>
      <c r="AX15">
        <v>457137</v>
      </c>
      <c r="AY15">
        <v>242901</v>
      </c>
      <c r="AZ15">
        <v>127049</v>
      </c>
      <c r="BA15">
        <v>52318</v>
      </c>
      <c r="BB15">
        <v>168522</v>
      </c>
    </row>
    <row r="16" spans="1:54" x14ac:dyDescent="0.4">
      <c r="A16" s="1" t="s">
        <v>20</v>
      </c>
      <c r="B16" s="1" t="s">
        <v>21</v>
      </c>
      <c r="C16">
        <v>227028</v>
      </c>
      <c r="D16">
        <v>276355</v>
      </c>
      <c r="E16">
        <v>919733</v>
      </c>
      <c r="F16">
        <v>2492011</v>
      </c>
      <c r="G16">
        <v>105928</v>
      </c>
      <c r="H16">
        <v>75267</v>
      </c>
      <c r="I16">
        <v>467173</v>
      </c>
      <c r="J16">
        <v>428744</v>
      </c>
      <c r="K16">
        <v>151413</v>
      </c>
      <c r="L16">
        <v>114616</v>
      </c>
      <c r="M16">
        <v>435341</v>
      </c>
      <c r="N16">
        <v>894838</v>
      </c>
      <c r="O16">
        <v>353984</v>
      </c>
      <c r="P16">
        <v>356554</v>
      </c>
      <c r="Q16">
        <v>819538</v>
      </c>
      <c r="R16">
        <v>2113517</v>
      </c>
      <c r="S16">
        <v>116955</v>
      </c>
      <c r="T16">
        <v>179360</v>
      </c>
      <c r="U16">
        <v>3049131</v>
      </c>
      <c r="V16">
        <v>337431</v>
      </c>
      <c r="W16">
        <v>10104</v>
      </c>
      <c r="X16">
        <v>9629</v>
      </c>
      <c r="Y16">
        <v>325694</v>
      </c>
      <c r="Z16">
        <v>17691</v>
      </c>
      <c r="AA16">
        <v>48103</v>
      </c>
      <c r="AB16">
        <v>52470</v>
      </c>
      <c r="AC16">
        <v>376036</v>
      </c>
      <c r="AD16">
        <v>127027</v>
      </c>
      <c r="AE16">
        <v>104330</v>
      </c>
      <c r="AF16">
        <v>100604</v>
      </c>
      <c r="AG16">
        <v>798725</v>
      </c>
      <c r="AH16">
        <v>155597</v>
      </c>
      <c r="AI16">
        <v>621253</v>
      </c>
      <c r="AJ16">
        <v>469480</v>
      </c>
      <c r="AK16">
        <v>534612</v>
      </c>
      <c r="AL16">
        <v>3642097</v>
      </c>
      <c r="AM16">
        <v>1903857</v>
      </c>
      <c r="AN16">
        <v>1956986</v>
      </c>
      <c r="AO16">
        <v>1140869</v>
      </c>
      <c r="AP16">
        <v>3938668</v>
      </c>
      <c r="AQ16">
        <v>53992</v>
      </c>
      <c r="AR16">
        <v>45700</v>
      </c>
      <c r="AS16">
        <v>29943</v>
      </c>
      <c r="AT16">
        <v>141955</v>
      </c>
      <c r="AU16">
        <v>2794691</v>
      </c>
      <c r="AV16">
        <v>1607157</v>
      </c>
      <c r="AW16">
        <v>616360</v>
      </c>
      <c r="AX16">
        <v>444488</v>
      </c>
      <c r="AY16">
        <v>219667</v>
      </c>
      <c r="AZ16">
        <v>112902</v>
      </c>
      <c r="BA16">
        <v>46736</v>
      </c>
      <c r="BB16">
        <v>157531</v>
      </c>
    </row>
    <row r="17" spans="1:54" x14ac:dyDescent="0.4">
      <c r="A17" s="1" t="s">
        <v>22</v>
      </c>
      <c r="B17" s="1" t="s">
        <v>23</v>
      </c>
      <c r="C17">
        <v>228222</v>
      </c>
      <c r="D17">
        <v>277213</v>
      </c>
      <c r="E17">
        <v>955244</v>
      </c>
      <c r="F17">
        <v>2478610</v>
      </c>
      <c r="G17">
        <v>114469</v>
      </c>
      <c r="H17">
        <v>72632</v>
      </c>
      <c r="I17">
        <v>440285</v>
      </c>
      <c r="J17">
        <v>448026</v>
      </c>
      <c r="K17">
        <v>140960</v>
      </c>
      <c r="L17">
        <v>123138</v>
      </c>
      <c r="M17">
        <v>463624</v>
      </c>
      <c r="N17">
        <v>879439</v>
      </c>
      <c r="O17">
        <v>433575</v>
      </c>
      <c r="P17">
        <v>399664</v>
      </c>
      <c r="Q17">
        <v>882434</v>
      </c>
      <c r="R17">
        <v>2108373</v>
      </c>
      <c r="S17">
        <v>127360</v>
      </c>
      <c r="T17">
        <v>185065</v>
      </c>
      <c r="U17">
        <v>3194900</v>
      </c>
      <c r="V17">
        <v>344075</v>
      </c>
      <c r="W17">
        <v>11027</v>
      </c>
      <c r="X17">
        <v>10014</v>
      </c>
      <c r="Y17">
        <v>349447</v>
      </c>
      <c r="Z17">
        <v>18700</v>
      </c>
      <c r="AA17">
        <v>52348</v>
      </c>
      <c r="AB17">
        <v>51331</v>
      </c>
      <c r="AC17">
        <v>374206</v>
      </c>
      <c r="AD17">
        <v>132377</v>
      </c>
      <c r="AE17">
        <v>119199</v>
      </c>
      <c r="AF17">
        <v>106044</v>
      </c>
      <c r="AG17">
        <v>854085</v>
      </c>
      <c r="AH17">
        <v>168744</v>
      </c>
      <c r="AI17">
        <v>739408</v>
      </c>
      <c r="AJ17">
        <v>492417</v>
      </c>
      <c r="AK17">
        <v>566916</v>
      </c>
      <c r="AL17">
        <v>3909268</v>
      </c>
      <c r="AM17">
        <v>1926662</v>
      </c>
      <c r="AN17">
        <v>2152024</v>
      </c>
      <c r="AO17">
        <v>1078400</v>
      </c>
      <c r="AP17">
        <v>3803464</v>
      </c>
      <c r="AQ17">
        <v>65521</v>
      </c>
      <c r="AR17">
        <v>86736</v>
      </c>
      <c r="AS17">
        <v>37503</v>
      </c>
      <c r="AT17">
        <v>120740</v>
      </c>
      <c r="AU17">
        <v>3099126</v>
      </c>
      <c r="AV17">
        <v>1646538</v>
      </c>
      <c r="AW17">
        <v>666006</v>
      </c>
      <c r="AX17">
        <v>454714</v>
      </c>
      <c r="AY17">
        <v>259646</v>
      </c>
      <c r="AZ17">
        <v>142265</v>
      </c>
      <c r="BA17">
        <v>44479</v>
      </c>
      <c r="BB17">
        <v>136543</v>
      </c>
    </row>
    <row r="18" spans="1:54" x14ac:dyDescent="0.4">
      <c r="A18" s="1" t="s">
        <v>24</v>
      </c>
      <c r="B18" s="1" t="s">
        <v>25</v>
      </c>
      <c r="C18">
        <v>224164</v>
      </c>
      <c r="D18">
        <v>315287</v>
      </c>
      <c r="E18">
        <v>1028554</v>
      </c>
      <c r="F18">
        <v>2451609</v>
      </c>
      <c r="G18">
        <v>119764</v>
      </c>
      <c r="H18">
        <v>77344</v>
      </c>
      <c r="I18">
        <v>476231</v>
      </c>
      <c r="J18">
        <v>462763</v>
      </c>
      <c r="K18">
        <v>154320</v>
      </c>
      <c r="L18">
        <v>131850</v>
      </c>
      <c r="M18">
        <v>506406</v>
      </c>
      <c r="N18">
        <v>889356</v>
      </c>
      <c r="O18">
        <v>498140</v>
      </c>
      <c r="P18">
        <v>403326</v>
      </c>
      <c r="Q18">
        <v>884054</v>
      </c>
      <c r="R18">
        <v>2166953</v>
      </c>
      <c r="S18">
        <v>156146</v>
      </c>
      <c r="T18">
        <v>224081</v>
      </c>
      <c r="U18">
        <v>3774171</v>
      </c>
      <c r="V18">
        <v>343576</v>
      </c>
      <c r="W18">
        <v>13049</v>
      </c>
      <c r="X18">
        <v>12609</v>
      </c>
      <c r="Y18">
        <v>415185</v>
      </c>
      <c r="Z18">
        <v>19062</v>
      </c>
      <c r="AA18">
        <v>59583</v>
      </c>
      <c r="AB18">
        <v>59296</v>
      </c>
      <c r="AC18">
        <v>435341</v>
      </c>
      <c r="AD18">
        <v>136797</v>
      </c>
      <c r="AE18">
        <v>125416</v>
      </c>
      <c r="AF18">
        <v>125031</v>
      </c>
      <c r="AG18">
        <v>992218</v>
      </c>
      <c r="AH18">
        <v>169038</v>
      </c>
      <c r="AI18">
        <v>693431</v>
      </c>
      <c r="AJ18">
        <v>919278</v>
      </c>
      <c r="AK18">
        <v>992070</v>
      </c>
      <c r="AL18">
        <v>3696307</v>
      </c>
      <c r="AM18">
        <v>2059330</v>
      </c>
      <c r="AN18">
        <v>2111037</v>
      </c>
      <c r="AO18">
        <v>1176954</v>
      </c>
      <c r="AP18">
        <v>3706386</v>
      </c>
      <c r="AQ18">
        <v>58374</v>
      </c>
      <c r="AR18">
        <v>48519</v>
      </c>
      <c r="AS18">
        <v>28869</v>
      </c>
      <c r="AT18">
        <v>130595</v>
      </c>
      <c r="AU18">
        <v>2995572</v>
      </c>
      <c r="AV18">
        <v>1631807</v>
      </c>
      <c r="AW18">
        <v>613808</v>
      </c>
      <c r="AX18">
        <v>437186</v>
      </c>
      <c r="AY18">
        <v>235164</v>
      </c>
      <c r="AZ18">
        <v>123727</v>
      </c>
      <c r="BA18">
        <v>48097</v>
      </c>
      <c r="BB18">
        <v>101058</v>
      </c>
    </row>
    <row r="19" spans="1:54" x14ac:dyDescent="0.4">
      <c r="A19" s="1" t="s">
        <v>26</v>
      </c>
      <c r="B19" s="1" t="s">
        <v>27</v>
      </c>
      <c r="C19">
        <v>166138</v>
      </c>
      <c r="D19">
        <v>220393</v>
      </c>
      <c r="E19">
        <v>760390</v>
      </c>
      <c r="F19">
        <v>2420007</v>
      </c>
      <c r="G19">
        <v>77607</v>
      </c>
      <c r="H19">
        <v>61657</v>
      </c>
      <c r="I19">
        <v>407550</v>
      </c>
      <c r="J19">
        <v>497091</v>
      </c>
      <c r="K19">
        <v>118372</v>
      </c>
      <c r="L19">
        <v>116611</v>
      </c>
      <c r="M19">
        <v>439935</v>
      </c>
      <c r="N19">
        <v>878696</v>
      </c>
      <c r="O19">
        <v>360241</v>
      </c>
      <c r="P19">
        <v>335403</v>
      </c>
      <c r="Q19">
        <v>768800</v>
      </c>
      <c r="R19">
        <v>2181787</v>
      </c>
      <c r="S19">
        <v>90895</v>
      </c>
      <c r="T19">
        <v>195606</v>
      </c>
      <c r="U19">
        <v>3284288</v>
      </c>
      <c r="V19">
        <v>293644</v>
      </c>
      <c r="W19">
        <v>7000</v>
      </c>
      <c r="X19">
        <v>8565</v>
      </c>
      <c r="Y19">
        <v>271569</v>
      </c>
      <c r="Z19">
        <v>17390</v>
      </c>
      <c r="AA19">
        <v>34678</v>
      </c>
      <c r="AB19">
        <v>47635</v>
      </c>
      <c r="AC19">
        <v>347807</v>
      </c>
      <c r="AD19">
        <v>127736</v>
      </c>
      <c r="AE19">
        <v>73584</v>
      </c>
      <c r="AF19">
        <v>106616</v>
      </c>
      <c r="AG19">
        <v>832725</v>
      </c>
      <c r="AH19">
        <v>135705</v>
      </c>
      <c r="AI19">
        <v>546462</v>
      </c>
      <c r="AJ19">
        <v>341716</v>
      </c>
      <c r="AK19">
        <v>388891</v>
      </c>
      <c r="AL19">
        <v>3905219</v>
      </c>
      <c r="AM19">
        <v>1739436</v>
      </c>
      <c r="AN19">
        <v>1876981</v>
      </c>
      <c r="AO19">
        <v>1124009</v>
      </c>
      <c r="AP19">
        <v>3634175</v>
      </c>
      <c r="AQ19">
        <v>46124</v>
      </c>
      <c r="AR19">
        <v>43130</v>
      </c>
      <c r="AS19">
        <v>27918</v>
      </c>
      <c r="AT19">
        <v>133589</v>
      </c>
      <c r="AU19">
        <v>2228671</v>
      </c>
      <c r="AV19">
        <v>1293939</v>
      </c>
      <c r="AW19">
        <v>542945</v>
      </c>
      <c r="AX19">
        <v>382063</v>
      </c>
      <c r="AY19">
        <v>181546</v>
      </c>
      <c r="AZ19">
        <v>93204</v>
      </c>
      <c r="BA19">
        <v>44315</v>
      </c>
      <c r="BB19">
        <v>105774</v>
      </c>
    </row>
    <row r="20" spans="1:54" x14ac:dyDescent="0.4">
      <c r="A20" s="1" t="s">
        <v>28</v>
      </c>
      <c r="B20" s="1" t="s">
        <v>29</v>
      </c>
      <c r="C20">
        <v>196839</v>
      </c>
      <c r="D20">
        <v>232506</v>
      </c>
      <c r="E20">
        <v>878552</v>
      </c>
      <c r="F20">
        <v>2425758</v>
      </c>
      <c r="G20">
        <v>110757</v>
      </c>
      <c r="H20">
        <v>70285</v>
      </c>
      <c r="I20">
        <v>466740</v>
      </c>
      <c r="J20">
        <v>517415</v>
      </c>
      <c r="K20">
        <v>133551</v>
      </c>
      <c r="L20">
        <v>137061</v>
      </c>
      <c r="M20">
        <v>507126</v>
      </c>
      <c r="N20">
        <v>849265</v>
      </c>
      <c r="O20">
        <v>415018</v>
      </c>
      <c r="P20">
        <v>409393</v>
      </c>
      <c r="Q20">
        <v>860633</v>
      </c>
      <c r="R20">
        <v>2166505</v>
      </c>
      <c r="S20">
        <v>137701</v>
      </c>
      <c r="T20">
        <v>192525</v>
      </c>
      <c r="U20">
        <v>3192732</v>
      </c>
      <c r="V20">
        <v>299028</v>
      </c>
      <c r="W20">
        <v>11436</v>
      </c>
      <c r="X20">
        <v>10790</v>
      </c>
      <c r="Y20">
        <v>369723</v>
      </c>
      <c r="Z20">
        <v>18025</v>
      </c>
      <c r="AA20">
        <v>51605</v>
      </c>
      <c r="AB20">
        <v>55320</v>
      </c>
      <c r="AC20">
        <v>422140</v>
      </c>
      <c r="AD20">
        <v>128030</v>
      </c>
      <c r="AE20">
        <v>114219</v>
      </c>
      <c r="AF20">
        <v>100710</v>
      </c>
      <c r="AG20">
        <v>798695</v>
      </c>
      <c r="AH20">
        <v>149212</v>
      </c>
      <c r="AI20">
        <v>698846</v>
      </c>
      <c r="AJ20">
        <v>546249</v>
      </c>
      <c r="AK20">
        <v>578362</v>
      </c>
      <c r="AL20">
        <v>4069589</v>
      </c>
      <c r="AM20">
        <v>1926655</v>
      </c>
      <c r="AN20">
        <v>1970171</v>
      </c>
      <c r="AO20">
        <v>1106916</v>
      </c>
      <c r="AP20">
        <v>3651094</v>
      </c>
      <c r="AQ20">
        <v>50478</v>
      </c>
      <c r="AR20">
        <v>38840</v>
      </c>
      <c r="AS20">
        <v>28381</v>
      </c>
      <c r="AT20">
        <v>145227</v>
      </c>
      <c r="AU20">
        <v>3064949</v>
      </c>
      <c r="AV20">
        <v>1656096</v>
      </c>
      <c r="AW20">
        <v>671425</v>
      </c>
      <c r="AX20">
        <v>477375</v>
      </c>
      <c r="AY20">
        <v>246341</v>
      </c>
      <c r="AZ20">
        <v>133461</v>
      </c>
      <c r="BA20">
        <v>46973</v>
      </c>
      <c r="BB20">
        <v>102235</v>
      </c>
    </row>
    <row r="21" spans="1:54" x14ac:dyDescent="0.4">
      <c r="A21" s="1" t="s">
        <v>30</v>
      </c>
      <c r="B21" s="1" t="s">
        <v>31</v>
      </c>
      <c r="C21">
        <v>218589</v>
      </c>
      <c r="D21">
        <v>261266</v>
      </c>
      <c r="E21">
        <v>930099</v>
      </c>
      <c r="F21">
        <v>2417886</v>
      </c>
      <c r="G21">
        <v>122532</v>
      </c>
      <c r="H21">
        <v>74292</v>
      </c>
      <c r="I21">
        <v>503469</v>
      </c>
      <c r="J21">
        <v>539379</v>
      </c>
      <c r="K21">
        <v>149741</v>
      </c>
      <c r="L21">
        <v>148424</v>
      </c>
      <c r="M21">
        <v>593681</v>
      </c>
      <c r="N21">
        <v>848772</v>
      </c>
      <c r="O21">
        <v>468279</v>
      </c>
      <c r="P21">
        <v>423837</v>
      </c>
      <c r="Q21">
        <v>891427</v>
      </c>
      <c r="R21">
        <v>2177989</v>
      </c>
      <c r="S21">
        <v>156006</v>
      </c>
      <c r="T21">
        <v>226758</v>
      </c>
      <c r="U21">
        <v>3736857</v>
      </c>
      <c r="V21">
        <v>300838</v>
      </c>
      <c r="W21">
        <v>12209</v>
      </c>
      <c r="X21">
        <v>12602</v>
      </c>
      <c r="Y21">
        <v>422481</v>
      </c>
      <c r="Z21">
        <v>17638</v>
      </c>
      <c r="AA21">
        <v>57091</v>
      </c>
      <c r="AB21">
        <v>63547</v>
      </c>
      <c r="AC21">
        <v>463902</v>
      </c>
      <c r="AD21">
        <v>125477</v>
      </c>
      <c r="AE21">
        <v>127682</v>
      </c>
      <c r="AF21">
        <v>127437</v>
      </c>
      <c r="AG21">
        <v>1012365</v>
      </c>
      <c r="AH21">
        <v>149674</v>
      </c>
      <c r="AI21">
        <v>795282</v>
      </c>
      <c r="AJ21">
        <v>712062</v>
      </c>
      <c r="AK21">
        <v>901696</v>
      </c>
      <c r="AL21">
        <v>4165162</v>
      </c>
      <c r="AM21">
        <v>2037591</v>
      </c>
      <c r="AN21">
        <v>2129011</v>
      </c>
      <c r="AO21">
        <v>1159338</v>
      </c>
      <c r="AP21">
        <v>3647693</v>
      </c>
      <c r="AQ21">
        <v>44663</v>
      </c>
      <c r="AR21">
        <v>39459</v>
      </c>
      <c r="AS21">
        <v>30627</v>
      </c>
      <c r="AT21">
        <v>150431</v>
      </c>
      <c r="AU21">
        <v>3185383</v>
      </c>
      <c r="AV21">
        <v>1738942</v>
      </c>
      <c r="AW21">
        <v>737641</v>
      </c>
      <c r="AX21">
        <v>504662</v>
      </c>
      <c r="AY21">
        <v>224458</v>
      </c>
      <c r="AZ21">
        <v>123517</v>
      </c>
      <c r="BA21">
        <v>59172</v>
      </c>
      <c r="BB21">
        <v>145917</v>
      </c>
    </row>
    <row r="22" spans="1:54" x14ac:dyDescent="0.4">
      <c r="A22" s="1" t="s">
        <v>32</v>
      </c>
      <c r="B22" s="1" t="s">
        <v>33</v>
      </c>
      <c r="C22">
        <v>190217</v>
      </c>
      <c r="D22">
        <v>251512</v>
      </c>
      <c r="E22">
        <v>899629</v>
      </c>
      <c r="F22">
        <v>2401487</v>
      </c>
      <c r="G22">
        <v>117718</v>
      </c>
      <c r="H22">
        <v>79720</v>
      </c>
      <c r="I22">
        <v>538459</v>
      </c>
      <c r="J22">
        <v>548019</v>
      </c>
      <c r="K22">
        <v>145892</v>
      </c>
      <c r="L22">
        <v>152597</v>
      </c>
      <c r="M22">
        <v>646843</v>
      </c>
      <c r="N22">
        <v>839856</v>
      </c>
      <c r="O22">
        <v>426665</v>
      </c>
      <c r="P22">
        <v>408453</v>
      </c>
      <c r="Q22">
        <v>853237</v>
      </c>
      <c r="R22">
        <v>2178611</v>
      </c>
      <c r="S22">
        <v>137520</v>
      </c>
      <c r="T22">
        <v>209365</v>
      </c>
      <c r="U22">
        <v>3463748</v>
      </c>
      <c r="V22">
        <v>296044</v>
      </c>
      <c r="W22">
        <v>10925</v>
      </c>
      <c r="X22">
        <v>11230</v>
      </c>
      <c r="Y22">
        <v>380291</v>
      </c>
      <c r="Z22">
        <v>17252</v>
      </c>
      <c r="AA22">
        <v>53593</v>
      </c>
      <c r="AB22">
        <v>57249</v>
      </c>
      <c r="AC22">
        <v>412731</v>
      </c>
      <c r="AD22">
        <v>125787</v>
      </c>
      <c r="AE22">
        <v>121072</v>
      </c>
      <c r="AF22">
        <v>118884</v>
      </c>
      <c r="AG22">
        <v>944375</v>
      </c>
      <c r="AH22">
        <v>151344</v>
      </c>
      <c r="AI22">
        <v>647717</v>
      </c>
      <c r="AJ22">
        <v>389923</v>
      </c>
      <c r="AK22">
        <v>505946</v>
      </c>
      <c r="AL22">
        <v>4405891</v>
      </c>
      <c r="AM22">
        <v>1988009</v>
      </c>
      <c r="AN22">
        <v>1972777</v>
      </c>
      <c r="AO22">
        <v>1104274</v>
      </c>
      <c r="AP22">
        <v>3784845</v>
      </c>
      <c r="AQ22">
        <v>49864</v>
      </c>
      <c r="AR22">
        <v>32091</v>
      </c>
      <c r="AS22">
        <v>27553</v>
      </c>
      <c r="AT22">
        <v>168204</v>
      </c>
      <c r="AU22">
        <v>3038208</v>
      </c>
      <c r="AV22">
        <v>1751117</v>
      </c>
      <c r="AW22">
        <v>650192</v>
      </c>
      <c r="AX22">
        <v>458508</v>
      </c>
      <c r="AY22">
        <v>249710</v>
      </c>
      <c r="AZ22">
        <v>143178</v>
      </c>
      <c r="BA22">
        <v>56120</v>
      </c>
      <c r="BB22">
        <v>176934</v>
      </c>
    </row>
    <row r="23" spans="1:54" x14ac:dyDescent="0.4">
      <c r="A23" s="1" t="s">
        <v>34</v>
      </c>
      <c r="B23" s="1" t="s">
        <v>35</v>
      </c>
      <c r="C23">
        <v>199764</v>
      </c>
      <c r="D23">
        <v>249466</v>
      </c>
      <c r="E23">
        <v>890373</v>
      </c>
      <c r="F23">
        <v>2406138</v>
      </c>
      <c r="G23">
        <v>104180</v>
      </c>
      <c r="H23">
        <v>77063</v>
      </c>
      <c r="I23">
        <v>508215</v>
      </c>
      <c r="J23">
        <v>544831</v>
      </c>
      <c r="K23">
        <v>147500</v>
      </c>
      <c r="L23">
        <v>125808</v>
      </c>
      <c r="M23">
        <v>543423</v>
      </c>
      <c r="N23">
        <v>830756</v>
      </c>
      <c r="O23">
        <v>335761</v>
      </c>
      <c r="P23">
        <v>387002</v>
      </c>
      <c r="Q23">
        <v>839016</v>
      </c>
      <c r="R23">
        <v>2114960</v>
      </c>
      <c r="S23">
        <v>112734</v>
      </c>
      <c r="T23">
        <v>202912</v>
      </c>
      <c r="U23">
        <v>3407178</v>
      </c>
      <c r="V23">
        <v>275642</v>
      </c>
      <c r="W23">
        <v>8950</v>
      </c>
      <c r="X23">
        <v>9319</v>
      </c>
      <c r="Y23">
        <v>324390</v>
      </c>
      <c r="Z23">
        <v>16880</v>
      </c>
      <c r="AA23">
        <v>47017</v>
      </c>
      <c r="AB23">
        <v>52656</v>
      </c>
      <c r="AC23">
        <v>369881</v>
      </c>
      <c r="AD23">
        <v>124003</v>
      </c>
      <c r="AE23">
        <v>109582</v>
      </c>
      <c r="AF23">
        <v>117776</v>
      </c>
      <c r="AG23">
        <v>916340</v>
      </c>
      <c r="AH23">
        <v>143070</v>
      </c>
      <c r="AI23">
        <v>568527</v>
      </c>
      <c r="AJ23">
        <v>1193337</v>
      </c>
      <c r="AK23">
        <v>926839</v>
      </c>
      <c r="AL23">
        <v>3801310</v>
      </c>
      <c r="AM23">
        <v>1875900</v>
      </c>
      <c r="AN23">
        <v>1956968</v>
      </c>
      <c r="AO23">
        <v>1071897</v>
      </c>
      <c r="AP23">
        <v>3758315</v>
      </c>
      <c r="AQ23">
        <v>48280</v>
      </c>
      <c r="AR23">
        <v>60208</v>
      </c>
      <c r="AS23">
        <v>39604</v>
      </c>
      <c r="AT23">
        <v>156276</v>
      </c>
      <c r="AU23">
        <v>2806451</v>
      </c>
      <c r="AV23">
        <v>1685907</v>
      </c>
      <c r="AW23">
        <v>639880</v>
      </c>
      <c r="AX23">
        <v>435656</v>
      </c>
      <c r="AY23">
        <v>245385</v>
      </c>
      <c r="AZ23">
        <v>133212</v>
      </c>
      <c r="BA23">
        <v>50201</v>
      </c>
      <c r="BB23">
        <v>126886</v>
      </c>
    </row>
    <row r="24" spans="1:54" x14ac:dyDescent="0.4">
      <c r="A24" s="1" t="s">
        <v>36</v>
      </c>
      <c r="B24" s="1" t="s">
        <v>37</v>
      </c>
      <c r="C24">
        <v>156364</v>
      </c>
      <c r="D24">
        <v>293860</v>
      </c>
      <c r="E24">
        <v>906733</v>
      </c>
      <c r="F24">
        <v>2442815</v>
      </c>
      <c r="G24">
        <v>96982</v>
      </c>
      <c r="H24">
        <v>61801</v>
      </c>
      <c r="I24">
        <v>434407</v>
      </c>
      <c r="J24">
        <v>553033</v>
      </c>
      <c r="K24">
        <v>118846</v>
      </c>
      <c r="L24">
        <v>129303</v>
      </c>
      <c r="M24">
        <v>549616</v>
      </c>
      <c r="N24">
        <v>830380</v>
      </c>
      <c r="O24">
        <v>277908</v>
      </c>
      <c r="P24">
        <v>324289</v>
      </c>
      <c r="Q24">
        <v>692734</v>
      </c>
      <c r="R24">
        <v>2061699</v>
      </c>
      <c r="S24">
        <v>117565</v>
      </c>
      <c r="T24">
        <v>185124</v>
      </c>
      <c r="U24">
        <v>2999232</v>
      </c>
      <c r="V24">
        <v>283443</v>
      </c>
      <c r="W24">
        <v>8534</v>
      </c>
      <c r="X24">
        <v>10040</v>
      </c>
      <c r="Y24">
        <v>348146</v>
      </c>
      <c r="Z24">
        <v>15366</v>
      </c>
      <c r="AA24">
        <v>42802</v>
      </c>
      <c r="AB24">
        <v>53693</v>
      </c>
      <c r="AC24">
        <v>379588</v>
      </c>
      <c r="AD24">
        <v>116515</v>
      </c>
      <c r="AE24">
        <v>104240</v>
      </c>
      <c r="AF24">
        <v>106486</v>
      </c>
      <c r="AG24">
        <v>808894</v>
      </c>
      <c r="AH24">
        <v>140818</v>
      </c>
      <c r="AI24">
        <v>465211</v>
      </c>
      <c r="AJ24">
        <v>821797</v>
      </c>
      <c r="AK24">
        <v>845163</v>
      </c>
      <c r="AL24">
        <v>3453049</v>
      </c>
      <c r="AM24">
        <v>1826488</v>
      </c>
      <c r="AN24">
        <v>1803736</v>
      </c>
      <c r="AO24">
        <v>1008806</v>
      </c>
      <c r="AP24">
        <v>3840106</v>
      </c>
      <c r="AQ24">
        <v>46157</v>
      </c>
      <c r="AR24">
        <v>43211</v>
      </c>
      <c r="AS24">
        <v>31905</v>
      </c>
      <c r="AT24">
        <v>159222</v>
      </c>
      <c r="AU24">
        <v>2551939</v>
      </c>
      <c r="AV24">
        <v>1418289</v>
      </c>
      <c r="AW24">
        <v>553103</v>
      </c>
      <c r="AX24">
        <v>379271</v>
      </c>
      <c r="AY24">
        <v>158123</v>
      </c>
      <c r="AZ24">
        <v>78850</v>
      </c>
      <c r="BA24">
        <v>50256</v>
      </c>
      <c r="BB24">
        <v>142649</v>
      </c>
    </row>
    <row r="25" spans="1:54" x14ac:dyDescent="0.4">
      <c r="A25" s="1" t="s">
        <v>38</v>
      </c>
      <c r="B25" s="1" t="s">
        <v>39</v>
      </c>
      <c r="C25">
        <v>174268</v>
      </c>
      <c r="D25">
        <v>289292</v>
      </c>
      <c r="E25">
        <v>906807</v>
      </c>
      <c r="F25">
        <v>2433719</v>
      </c>
      <c r="G25">
        <v>111992</v>
      </c>
      <c r="H25">
        <v>82217</v>
      </c>
      <c r="I25">
        <v>544039</v>
      </c>
      <c r="J25">
        <v>550851</v>
      </c>
      <c r="K25">
        <v>137711</v>
      </c>
      <c r="L25">
        <v>139699</v>
      </c>
      <c r="M25">
        <v>609711</v>
      </c>
      <c r="N25">
        <v>821210</v>
      </c>
      <c r="O25">
        <v>311917</v>
      </c>
      <c r="P25">
        <v>303561</v>
      </c>
      <c r="Q25">
        <v>694866</v>
      </c>
      <c r="R25">
        <v>2052402</v>
      </c>
      <c r="S25">
        <v>118764</v>
      </c>
      <c r="T25">
        <v>198081</v>
      </c>
      <c r="U25">
        <v>3243507</v>
      </c>
      <c r="V25">
        <v>274629</v>
      </c>
      <c r="W25">
        <v>9191</v>
      </c>
      <c r="X25">
        <v>10266</v>
      </c>
      <c r="Y25">
        <v>335685</v>
      </c>
      <c r="Z25">
        <v>14161</v>
      </c>
      <c r="AA25">
        <v>48529</v>
      </c>
      <c r="AB25">
        <v>56271</v>
      </c>
      <c r="AC25">
        <v>384620</v>
      </c>
      <c r="AD25">
        <v>112903</v>
      </c>
      <c r="AE25">
        <v>108535</v>
      </c>
      <c r="AF25">
        <v>107071</v>
      </c>
      <c r="AG25">
        <v>829420</v>
      </c>
      <c r="AH25">
        <v>142273</v>
      </c>
      <c r="AI25">
        <v>585749</v>
      </c>
      <c r="AJ25">
        <v>573039</v>
      </c>
      <c r="AK25">
        <v>683256</v>
      </c>
      <c r="AL25">
        <v>3472550</v>
      </c>
      <c r="AM25">
        <v>1832063</v>
      </c>
      <c r="AN25">
        <v>1737812</v>
      </c>
      <c r="AO25">
        <v>947898</v>
      </c>
      <c r="AP25">
        <v>3963988</v>
      </c>
      <c r="AQ25">
        <v>56972</v>
      </c>
      <c r="AR25">
        <v>56856</v>
      </c>
      <c r="AS25">
        <v>34034</v>
      </c>
      <c r="AT25">
        <v>159338</v>
      </c>
      <c r="AU25">
        <v>2754413</v>
      </c>
      <c r="AV25">
        <v>1508672</v>
      </c>
      <c r="AW25">
        <v>671496</v>
      </c>
      <c r="AX25">
        <v>431288</v>
      </c>
      <c r="AY25">
        <v>198783</v>
      </c>
      <c r="AZ25">
        <v>101633</v>
      </c>
      <c r="BA25">
        <v>63660</v>
      </c>
      <c r="BB25">
        <v>145168</v>
      </c>
    </row>
    <row r="26" spans="1:54" x14ac:dyDescent="0.4">
      <c r="A26" s="1" t="s">
        <v>40</v>
      </c>
      <c r="B26" s="1" t="s">
        <v>41</v>
      </c>
      <c r="C26">
        <v>177848</v>
      </c>
      <c r="D26">
        <v>327307</v>
      </c>
      <c r="E26">
        <v>1015183</v>
      </c>
      <c r="F26">
        <v>2405825</v>
      </c>
      <c r="G26">
        <v>109607</v>
      </c>
      <c r="H26">
        <v>87581</v>
      </c>
      <c r="I26">
        <v>552424</v>
      </c>
      <c r="J26">
        <v>534595</v>
      </c>
      <c r="K26">
        <v>151014</v>
      </c>
      <c r="L26">
        <v>137952</v>
      </c>
      <c r="M26">
        <v>593118</v>
      </c>
      <c r="N26">
        <v>803722</v>
      </c>
      <c r="O26">
        <v>377381</v>
      </c>
      <c r="P26">
        <v>322004</v>
      </c>
      <c r="Q26">
        <v>746576</v>
      </c>
      <c r="R26">
        <v>2096714</v>
      </c>
      <c r="S26">
        <v>129282</v>
      </c>
      <c r="T26">
        <v>185507</v>
      </c>
      <c r="U26">
        <v>3211329</v>
      </c>
      <c r="V26">
        <v>284032</v>
      </c>
      <c r="W26">
        <v>10123</v>
      </c>
      <c r="X26">
        <v>10079</v>
      </c>
      <c r="Y26">
        <v>341843</v>
      </c>
      <c r="Z26">
        <v>14205</v>
      </c>
      <c r="AA26">
        <v>53159</v>
      </c>
      <c r="AB26">
        <v>52277</v>
      </c>
      <c r="AC26">
        <v>368116</v>
      </c>
      <c r="AD26">
        <v>118046</v>
      </c>
      <c r="AE26">
        <v>117445</v>
      </c>
      <c r="AF26">
        <v>99305</v>
      </c>
      <c r="AG26">
        <v>771533</v>
      </c>
      <c r="AH26">
        <v>160409</v>
      </c>
      <c r="AI26">
        <v>635346</v>
      </c>
      <c r="AJ26">
        <v>811277</v>
      </c>
      <c r="AK26">
        <v>819153</v>
      </c>
      <c r="AL26">
        <v>3301500</v>
      </c>
      <c r="AM26">
        <v>1899483</v>
      </c>
      <c r="AN26">
        <v>1950940</v>
      </c>
      <c r="AO26">
        <v>1092778</v>
      </c>
      <c r="AP26">
        <v>3970534</v>
      </c>
      <c r="AQ26">
        <v>53947</v>
      </c>
      <c r="AR26">
        <v>93809</v>
      </c>
      <c r="AS26">
        <v>42156</v>
      </c>
      <c r="AT26">
        <v>167514</v>
      </c>
      <c r="AU26">
        <v>3060430</v>
      </c>
      <c r="AV26">
        <v>1660755</v>
      </c>
      <c r="AW26">
        <v>673274</v>
      </c>
      <c r="AX26">
        <v>469763</v>
      </c>
      <c r="AY26">
        <v>218207</v>
      </c>
      <c r="AZ26">
        <v>110512</v>
      </c>
      <c r="BA26">
        <v>66524</v>
      </c>
      <c r="BB26">
        <v>156041</v>
      </c>
    </row>
    <row r="27" spans="1:54" x14ac:dyDescent="0.4">
      <c r="A27" s="1" t="s">
        <v>42</v>
      </c>
      <c r="B27" s="1" t="s">
        <v>43</v>
      </c>
      <c r="C27">
        <v>171512</v>
      </c>
      <c r="D27">
        <v>260323</v>
      </c>
      <c r="E27">
        <v>883352</v>
      </c>
      <c r="F27">
        <v>2468344</v>
      </c>
      <c r="G27">
        <v>115771</v>
      </c>
      <c r="H27">
        <v>80139</v>
      </c>
      <c r="I27">
        <v>513900</v>
      </c>
      <c r="J27">
        <v>538664</v>
      </c>
      <c r="K27">
        <v>147628</v>
      </c>
      <c r="L27">
        <v>124096</v>
      </c>
      <c r="M27">
        <v>543175</v>
      </c>
      <c r="N27">
        <v>823308</v>
      </c>
      <c r="O27">
        <v>406883</v>
      </c>
      <c r="P27">
        <v>367295</v>
      </c>
      <c r="Q27">
        <v>809181</v>
      </c>
      <c r="R27">
        <v>2101717</v>
      </c>
      <c r="S27">
        <v>113038</v>
      </c>
      <c r="T27">
        <v>167848</v>
      </c>
      <c r="U27">
        <v>2915584</v>
      </c>
      <c r="V27">
        <v>306508</v>
      </c>
      <c r="W27">
        <v>9874</v>
      </c>
      <c r="X27">
        <v>9191</v>
      </c>
      <c r="Y27">
        <v>325399</v>
      </c>
      <c r="Z27">
        <v>14882</v>
      </c>
      <c r="AA27">
        <v>47039</v>
      </c>
      <c r="AB27">
        <v>50987</v>
      </c>
      <c r="AC27">
        <v>378459</v>
      </c>
      <c r="AD27">
        <v>118392</v>
      </c>
      <c r="AE27">
        <v>101672</v>
      </c>
      <c r="AF27">
        <v>86222</v>
      </c>
      <c r="AG27">
        <v>673694</v>
      </c>
      <c r="AH27">
        <v>175502</v>
      </c>
      <c r="AI27">
        <v>596253</v>
      </c>
      <c r="AJ27">
        <v>800889</v>
      </c>
      <c r="AK27">
        <v>781106</v>
      </c>
      <c r="AL27">
        <v>3054189</v>
      </c>
      <c r="AM27">
        <v>1846962</v>
      </c>
      <c r="AN27">
        <v>1914940</v>
      </c>
      <c r="AO27">
        <v>1129714</v>
      </c>
      <c r="AP27">
        <v>3982916</v>
      </c>
      <c r="AQ27">
        <v>57795</v>
      </c>
      <c r="AR27">
        <v>41777</v>
      </c>
      <c r="AS27">
        <v>30219</v>
      </c>
      <c r="AT27">
        <v>183532</v>
      </c>
      <c r="AU27">
        <v>2954055</v>
      </c>
      <c r="AV27">
        <v>1701317</v>
      </c>
      <c r="AW27">
        <v>696376</v>
      </c>
      <c r="AX27">
        <v>470913</v>
      </c>
      <c r="AY27">
        <v>213087</v>
      </c>
      <c r="AZ27">
        <v>107352</v>
      </c>
      <c r="BA27">
        <v>63455</v>
      </c>
      <c r="BB27">
        <v>187399</v>
      </c>
    </row>
    <row r="28" spans="1:54" x14ac:dyDescent="0.4">
      <c r="A28" s="1" t="s">
        <v>44</v>
      </c>
      <c r="B28" s="1" t="s">
        <v>45</v>
      </c>
      <c r="C28">
        <v>133909</v>
      </c>
      <c r="D28">
        <v>252369</v>
      </c>
      <c r="E28">
        <v>873134</v>
      </c>
      <c r="F28">
        <v>2461406</v>
      </c>
      <c r="G28">
        <v>98179</v>
      </c>
      <c r="H28">
        <v>75721</v>
      </c>
      <c r="I28">
        <v>463913</v>
      </c>
      <c r="J28">
        <v>534290</v>
      </c>
      <c r="K28">
        <v>127367</v>
      </c>
      <c r="L28">
        <v>107756</v>
      </c>
      <c r="M28">
        <v>472024</v>
      </c>
      <c r="N28">
        <v>829204</v>
      </c>
      <c r="O28">
        <v>330728</v>
      </c>
      <c r="P28">
        <v>318371</v>
      </c>
      <c r="Q28">
        <v>715605</v>
      </c>
      <c r="R28">
        <v>2083871</v>
      </c>
      <c r="S28">
        <v>111047</v>
      </c>
      <c r="T28">
        <v>165359</v>
      </c>
      <c r="U28">
        <v>2916072</v>
      </c>
      <c r="V28">
        <v>316704</v>
      </c>
      <c r="W28">
        <v>8941</v>
      </c>
      <c r="X28">
        <v>8999</v>
      </c>
      <c r="Y28">
        <v>311585</v>
      </c>
      <c r="Z28">
        <v>14824</v>
      </c>
      <c r="AA28">
        <v>42797</v>
      </c>
      <c r="AB28">
        <v>47352</v>
      </c>
      <c r="AC28">
        <v>359064</v>
      </c>
      <c r="AD28">
        <v>118995</v>
      </c>
      <c r="AE28">
        <v>90667</v>
      </c>
      <c r="AF28">
        <v>108102</v>
      </c>
      <c r="AG28">
        <v>879912</v>
      </c>
      <c r="AH28">
        <v>158053</v>
      </c>
      <c r="AI28">
        <v>461326</v>
      </c>
      <c r="AJ28">
        <v>374438</v>
      </c>
      <c r="AK28">
        <v>409747</v>
      </c>
      <c r="AL28">
        <v>3158438</v>
      </c>
      <c r="AM28">
        <v>1670946</v>
      </c>
      <c r="AN28">
        <v>1895077</v>
      </c>
      <c r="AO28">
        <v>1164706</v>
      </c>
      <c r="AP28">
        <v>3824894</v>
      </c>
      <c r="AQ28">
        <v>58122</v>
      </c>
      <c r="AR28">
        <v>67162</v>
      </c>
      <c r="AS28">
        <v>39229</v>
      </c>
      <c r="AT28">
        <v>174492</v>
      </c>
      <c r="AU28">
        <v>2644825</v>
      </c>
      <c r="AV28">
        <v>1616981</v>
      </c>
      <c r="AW28">
        <v>596148</v>
      </c>
      <c r="AX28">
        <v>452714</v>
      </c>
      <c r="AY28">
        <v>217430</v>
      </c>
      <c r="AZ28">
        <v>110638</v>
      </c>
      <c r="BA28">
        <v>57153</v>
      </c>
      <c r="BB28">
        <v>222870</v>
      </c>
    </row>
    <row r="29" spans="1:54" x14ac:dyDescent="0.4">
      <c r="A29" s="1" t="s">
        <v>46</v>
      </c>
      <c r="B29" s="1" t="s">
        <v>47</v>
      </c>
      <c r="C29">
        <v>166133</v>
      </c>
      <c r="D29">
        <v>263424</v>
      </c>
      <c r="E29">
        <v>897975</v>
      </c>
      <c r="F29">
        <v>2469350</v>
      </c>
      <c r="G29">
        <v>106654</v>
      </c>
      <c r="H29">
        <v>71364</v>
      </c>
      <c r="I29">
        <v>474344</v>
      </c>
      <c r="J29">
        <v>540918</v>
      </c>
      <c r="K29">
        <v>140912</v>
      </c>
      <c r="L29">
        <v>120679</v>
      </c>
      <c r="M29">
        <v>527611</v>
      </c>
      <c r="N29">
        <v>822258</v>
      </c>
      <c r="O29">
        <v>369826</v>
      </c>
      <c r="P29">
        <v>353561</v>
      </c>
      <c r="Q29">
        <v>782801</v>
      </c>
      <c r="R29">
        <v>2078770</v>
      </c>
      <c r="S29">
        <v>132419</v>
      </c>
      <c r="T29">
        <v>180501</v>
      </c>
      <c r="U29">
        <v>3337848</v>
      </c>
      <c r="V29">
        <v>331742</v>
      </c>
      <c r="W29">
        <v>10590</v>
      </c>
      <c r="X29">
        <v>9807</v>
      </c>
      <c r="Y29">
        <v>345393</v>
      </c>
      <c r="Z29">
        <v>15606</v>
      </c>
      <c r="AA29">
        <v>54088</v>
      </c>
      <c r="AB29">
        <v>52184</v>
      </c>
      <c r="AC29">
        <v>403158</v>
      </c>
      <c r="AD29">
        <v>124413</v>
      </c>
      <c r="AE29">
        <v>121765</v>
      </c>
      <c r="AF29">
        <v>101950</v>
      </c>
      <c r="AG29">
        <v>828384</v>
      </c>
      <c r="AH29">
        <v>177804</v>
      </c>
      <c r="AI29">
        <v>624728</v>
      </c>
      <c r="AJ29">
        <v>447857</v>
      </c>
      <c r="AK29">
        <v>564612</v>
      </c>
      <c r="AL29">
        <v>3339822</v>
      </c>
      <c r="AM29">
        <v>1922050</v>
      </c>
      <c r="AN29">
        <v>1969268</v>
      </c>
      <c r="AO29">
        <v>1110313</v>
      </c>
      <c r="AP29">
        <v>3840436</v>
      </c>
      <c r="AQ29">
        <v>52933</v>
      </c>
      <c r="AR29">
        <v>45438</v>
      </c>
      <c r="AS29">
        <v>30895</v>
      </c>
      <c r="AT29">
        <v>181987</v>
      </c>
      <c r="AU29">
        <v>2990294</v>
      </c>
      <c r="AV29">
        <v>1678422</v>
      </c>
      <c r="AW29">
        <v>669415</v>
      </c>
      <c r="AX29">
        <v>474870</v>
      </c>
      <c r="AY29">
        <v>254402</v>
      </c>
      <c r="AZ29">
        <v>129934</v>
      </c>
      <c r="BA29">
        <v>51496</v>
      </c>
      <c r="BB29">
        <v>121348</v>
      </c>
    </row>
    <row r="30" spans="1:54" x14ac:dyDescent="0.4">
      <c r="A30" s="1" t="s">
        <v>48</v>
      </c>
      <c r="B30" s="1" t="s">
        <v>49</v>
      </c>
      <c r="C30">
        <v>174168</v>
      </c>
      <c r="D30">
        <v>300318</v>
      </c>
      <c r="E30">
        <v>967143</v>
      </c>
      <c r="F30">
        <v>2457240</v>
      </c>
      <c r="G30">
        <v>114460</v>
      </c>
      <c r="H30">
        <v>82159</v>
      </c>
      <c r="I30">
        <v>547515</v>
      </c>
      <c r="J30">
        <v>539131</v>
      </c>
      <c r="K30">
        <v>156074</v>
      </c>
      <c r="L30">
        <v>123324</v>
      </c>
      <c r="M30">
        <v>545729</v>
      </c>
      <c r="N30">
        <v>848125</v>
      </c>
      <c r="O30">
        <v>363112</v>
      </c>
      <c r="P30">
        <v>367619</v>
      </c>
      <c r="Q30">
        <v>826395</v>
      </c>
      <c r="R30">
        <v>2052375</v>
      </c>
      <c r="S30">
        <v>145774</v>
      </c>
      <c r="T30">
        <v>209023</v>
      </c>
      <c r="U30">
        <v>3740913</v>
      </c>
      <c r="V30">
        <v>335206</v>
      </c>
      <c r="W30">
        <v>11419</v>
      </c>
      <c r="X30">
        <v>10540</v>
      </c>
      <c r="Y30">
        <v>358690</v>
      </c>
      <c r="Z30">
        <v>16483</v>
      </c>
      <c r="AA30">
        <v>55788</v>
      </c>
      <c r="AB30">
        <v>54727</v>
      </c>
      <c r="AC30">
        <v>421984</v>
      </c>
      <c r="AD30">
        <v>129567</v>
      </c>
      <c r="AE30">
        <v>128731</v>
      </c>
      <c r="AF30">
        <v>125928</v>
      </c>
      <c r="AG30">
        <v>1031180</v>
      </c>
      <c r="AH30">
        <v>180600</v>
      </c>
      <c r="AI30">
        <v>561343</v>
      </c>
      <c r="AJ30">
        <v>538435</v>
      </c>
      <c r="AK30">
        <v>591171</v>
      </c>
      <c r="AL30">
        <v>3368384</v>
      </c>
      <c r="AM30">
        <v>1949077</v>
      </c>
      <c r="AN30">
        <v>1920719</v>
      </c>
      <c r="AO30">
        <v>1120030</v>
      </c>
      <c r="AP30">
        <v>3972330</v>
      </c>
      <c r="AQ30">
        <v>50480</v>
      </c>
      <c r="AR30">
        <v>52093</v>
      </c>
      <c r="AS30">
        <v>35554</v>
      </c>
      <c r="AT30">
        <v>180373</v>
      </c>
      <c r="AU30">
        <v>3089283</v>
      </c>
      <c r="AV30">
        <v>1738591</v>
      </c>
      <c r="AW30">
        <v>648051</v>
      </c>
      <c r="AX30">
        <v>481195</v>
      </c>
      <c r="AY30">
        <v>214235</v>
      </c>
      <c r="AZ30">
        <v>109065</v>
      </c>
      <c r="BA30">
        <v>52591</v>
      </c>
      <c r="BB30">
        <v>117716</v>
      </c>
    </row>
    <row r="31" spans="1:54" x14ac:dyDescent="0.4">
      <c r="A31" s="1" t="s">
        <v>50</v>
      </c>
      <c r="B31" s="1" t="s">
        <v>51</v>
      </c>
      <c r="C31">
        <v>143616</v>
      </c>
      <c r="D31">
        <v>245556</v>
      </c>
      <c r="E31">
        <v>811552</v>
      </c>
      <c r="F31">
        <v>2457504</v>
      </c>
      <c r="G31">
        <v>85617</v>
      </c>
      <c r="H31">
        <v>60018</v>
      </c>
      <c r="I31">
        <v>424907</v>
      </c>
      <c r="J31">
        <v>540105</v>
      </c>
      <c r="K31">
        <v>111504</v>
      </c>
      <c r="L31">
        <v>113270</v>
      </c>
      <c r="M31">
        <v>498384</v>
      </c>
      <c r="N31">
        <v>834073</v>
      </c>
      <c r="O31">
        <v>299292</v>
      </c>
      <c r="P31">
        <v>267733</v>
      </c>
      <c r="Q31">
        <v>603285</v>
      </c>
      <c r="R31">
        <v>2070637</v>
      </c>
      <c r="S31">
        <v>89590</v>
      </c>
      <c r="T31">
        <v>168973</v>
      </c>
      <c r="U31">
        <v>3091207</v>
      </c>
      <c r="V31">
        <v>314910</v>
      </c>
      <c r="W31">
        <v>7705</v>
      </c>
      <c r="X31">
        <v>8478</v>
      </c>
      <c r="Y31">
        <v>286800</v>
      </c>
      <c r="Z31">
        <v>15708</v>
      </c>
      <c r="AA31">
        <v>32823</v>
      </c>
      <c r="AB31">
        <v>38278</v>
      </c>
      <c r="AC31">
        <v>298123</v>
      </c>
      <c r="AD31">
        <v>129401</v>
      </c>
      <c r="AE31">
        <v>61814</v>
      </c>
      <c r="AF31">
        <v>87792</v>
      </c>
      <c r="AG31">
        <v>691908</v>
      </c>
      <c r="AH31">
        <v>154610</v>
      </c>
      <c r="AI31">
        <v>455747</v>
      </c>
      <c r="AJ31">
        <v>715065</v>
      </c>
      <c r="AK31">
        <v>719942</v>
      </c>
      <c r="AL31">
        <v>3126512</v>
      </c>
      <c r="AM31">
        <v>1545466</v>
      </c>
      <c r="AN31">
        <v>1635518</v>
      </c>
      <c r="AO31">
        <v>938692</v>
      </c>
      <c r="AP31">
        <v>3934544</v>
      </c>
      <c r="AQ31">
        <v>46716</v>
      </c>
      <c r="AR31">
        <v>34506</v>
      </c>
      <c r="AS31">
        <v>27313</v>
      </c>
      <c r="AT31">
        <v>192555</v>
      </c>
      <c r="AU31">
        <v>2223425</v>
      </c>
      <c r="AV31">
        <v>1429128</v>
      </c>
      <c r="AW31">
        <v>528174</v>
      </c>
      <c r="AX31">
        <v>421050</v>
      </c>
      <c r="AY31">
        <v>164078</v>
      </c>
      <c r="AZ31">
        <v>81698</v>
      </c>
      <c r="BA31">
        <v>42406</v>
      </c>
      <c r="BB31">
        <v>121010</v>
      </c>
    </row>
    <row r="32" spans="1:54" x14ac:dyDescent="0.4">
      <c r="A32" s="1" t="s">
        <v>52</v>
      </c>
      <c r="B32" s="1" t="s">
        <v>53</v>
      </c>
      <c r="C32">
        <v>190681</v>
      </c>
      <c r="D32">
        <v>311658</v>
      </c>
      <c r="E32">
        <v>1030873</v>
      </c>
      <c r="F32">
        <v>2474325</v>
      </c>
      <c r="G32">
        <v>115079</v>
      </c>
      <c r="H32">
        <v>78081</v>
      </c>
      <c r="I32">
        <v>508697</v>
      </c>
      <c r="J32">
        <v>544506</v>
      </c>
      <c r="K32">
        <v>152929</v>
      </c>
      <c r="L32">
        <v>122452</v>
      </c>
      <c r="M32">
        <v>544895</v>
      </c>
      <c r="N32">
        <v>840360</v>
      </c>
      <c r="O32">
        <v>374310</v>
      </c>
      <c r="P32">
        <v>332868</v>
      </c>
      <c r="Q32">
        <v>767920</v>
      </c>
      <c r="R32">
        <v>2092646</v>
      </c>
      <c r="S32">
        <v>133920</v>
      </c>
      <c r="T32">
        <v>209022</v>
      </c>
      <c r="U32">
        <v>3857685</v>
      </c>
      <c r="V32">
        <v>307371</v>
      </c>
      <c r="W32">
        <v>9702</v>
      </c>
      <c r="X32">
        <v>9743</v>
      </c>
      <c r="Y32">
        <v>329428</v>
      </c>
      <c r="Z32">
        <v>15666</v>
      </c>
      <c r="AA32">
        <v>56106</v>
      </c>
      <c r="AB32">
        <v>54190</v>
      </c>
      <c r="AC32">
        <v>420848</v>
      </c>
      <c r="AD32">
        <v>136465</v>
      </c>
      <c r="AE32">
        <v>125609</v>
      </c>
      <c r="AF32">
        <v>118510</v>
      </c>
      <c r="AG32">
        <v>972008</v>
      </c>
      <c r="AH32">
        <v>161703</v>
      </c>
      <c r="AI32">
        <v>644657</v>
      </c>
      <c r="AJ32">
        <v>880471</v>
      </c>
      <c r="AK32">
        <v>714843</v>
      </c>
      <c r="AL32">
        <v>2906535</v>
      </c>
      <c r="AM32">
        <v>1940893</v>
      </c>
      <c r="AN32">
        <v>1913320</v>
      </c>
      <c r="AO32">
        <v>1138206</v>
      </c>
      <c r="AP32">
        <v>4045779</v>
      </c>
      <c r="AQ32">
        <v>46263</v>
      </c>
      <c r="AR32">
        <v>44563</v>
      </c>
      <c r="AS32">
        <v>31955</v>
      </c>
      <c r="AT32">
        <v>194423</v>
      </c>
      <c r="AU32">
        <v>3124754</v>
      </c>
      <c r="AV32">
        <v>1776724</v>
      </c>
      <c r="AW32">
        <v>669874</v>
      </c>
      <c r="AX32">
        <v>473768</v>
      </c>
      <c r="AY32">
        <v>216817</v>
      </c>
      <c r="AZ32">
        <v>111293</v>
      </c>
      <c r="BA32">
        <v>50881</v>
      </c>
      <c r="BB32">
        <v>116140</v>
      </c>
    </row>
    <row r="33" spans="1:54" x14ac:dyDescent="0.4">
      <c r="A33" s="1" t="s">
        <v>54</v>
      </c>
      <c r="B33" s="1" t="s">
        <v>55</v>
      </c>
      <c r="C33">
        <v>221431</v>
      </c>
      <c r="D33">
        <v>340106</v>
      </c>
      <c r="E33">
        <v>1067881</v>
      </c>
      <c r="F33">
        <v>2469690</v>
      </c>
      <c r="G33">
        <v>126725</v>
      </c>
      <c r="H33">
        <v>86713</v>
      </c>
      <c r="I33">
        <v>557084</v>
      </c>
      <c r="J33">
        <v>552442</v>
      </c>
      <c r="K33">
        <v>129491</v>
      </c>
      <c r="L33">
        <v>129047</v>
      </c>
      <c r="M33">
        <v>612675</v>
      </c>
      <c r="N33">
        <v>832022</v>
      </c>
      <c r="O33">
        <v>333896</v>
      </c>
      <c r="P33">
        <v>364124</v>
      </c>
      <c r="Q33">
        <v>805108</v>
      </c>
      <c r="R33">
        <v>2037141</v>
      </c>
      <c r="S33">
        <v>140216</v>
      </c>
      <c r="T33">
        <v>239412</v>
      </c>
      <c r="U33">
        <v>4448617</v>
      </c>
      <c r="V33">
        <v>287645</v>
      </c>
      <c r="W33">
        <v>10387</v>
      </c>
      <c r="X33">
        <v>10504</v>
      </c>
      <c r="Y33">
        <v>344997</v>
      </c>
      <c r="Z33">
        <v>14972</v>
      </c>
      <c r="AA33">
        <v>55153</v>
      </c>
      <c r="AB33">
        <v>55438</v>
      </c>
      <c r="AC33">
        <v>446951</v>
      </c>
      <c r="AD33">
        <v>141215</v>
      </c>
      <c r="AE33">
        <v>111738</v>
      </c>
      <c r="AF33">
        <v>133938</v>
      </c>
      <c r="AG33">
        <v>1088538</v>
      </c>
      <c r="AH33">
        <v>139656</v>
      </c>
      <c r="AI33">
        <v>709582</v>
      </c>
      <c r="AJ33">
        <v>594067</v>
      </c>
      <c r="AK33">
        <v>680453</v>
      </c>
      <c r="AL33">
        <v>3028866</v>
      </c>
      <c r="AM33">
        <v>1906171</v>
      </c>
      <c r="AN33">
        <v>1964915</v>
      </c>
      <c r="AO33">
        <v>1188803</v>
      </c>
      <c r="AP33">
        <v>4074848</v>
      </c>
      <c r="AQ33">
        <v>49313</v>
      </c>
      <c r="AR33">
        <v>82599</v>
      </c>
      <c r="AS33">
        <v>42525</v>
      </c>
      <c r="AT33">
        <v>161138</v>
      </c>
      <c r="AU33">
        <v>3247005</v>
      </c>
      <c r="AV33">
        <v>1867836</v>
      </c>
      <c r="AW33">
        <v>734839</v>
      </c>
      <c r="AX33">
        <v>523274</v>
      </c>
      <c r="AY33">
        <v>227789</v>
      </c>
      <c r="AZ33">
        <v>118373</v>
      </c>
      <c r="BA33">
        <v>66289</v>
      </c>
      <c r="BB33">
        <v>159777</v>
      </c>
    </row>
    <row r="34" spans="1:54" x14ac:dyDescent="0.4">
      <c r="A34" s="1" t="s">
        <v>56</v>
      </c>
      <c r="B34" s="1" t="s">
        <v>57</v>
      </c>
      <c r="C34">
        <v>210359</v>
      </c>
      <c r="D34">
        <v>316505</v>
      </c>
      <c r="E34">
        <v>1047786</v>
      </c>
      <c r="F34">
        <v>2446790</v>
      </c>
      <c r="G34">
        <v>115009</v>
      </c>
      <c r="H34">
        <v>80827</v>
      </c>
      <c r="I34">
        <v>503444</v>
      </c>
      <c r="J34">
        <v>553828</v>
      </c>
      <c r="K34">
        <v>130565</v>
      </c>
      <c r="L34">
        <v>124965</v>
      </c>
      <c r="M34">
        <v>553136</v>
      </c>
      <c r="N34">
        <v>828316</v>
      </c>
      <c r="O34">
        <v>315477</v>
      </c>
      <c r="P34">
        <v>306726</v>
      </c>
      <c r="Q34">
        <v>697529</v>
      </c>
      <c r="R34">
        <v>2021391</v>
      </c>
      <c r="S34">
        <v>119386</v>
      </c>
      <c r="T34">
        <v>184373</v>
      </c>
      <c r="U34">
        <v>3373768</v>
      </c>
      <c r="V34">
        <v>278826</v>
      </c>
      <c r="W34">
        <v>9437</v>
      </c>
      <c r="X34">
        <v>9033</v>
      </c>
      <c r="Y34">
        <v>306086</v>
      </c>
      <c r="Z34">
        <v>15373</v>
      </c>
      <c r="AA34">
        <v>50947</v>
      </c>
      <c r="AB34">
        <v>48473</v>
      </c>
      <c r="AC34">
        <v>386367</v>
      </c>
      <c r="AD34">
        <v>147856</v>
      </c>
      <c r="AE34">
        <v>106398</v>
      </c>
      <c r="AF34">
        <v>97163</v>
      </c>
      <c r="AG34">
        <v>775857</v>
      </c>
      <c r="AH34">
        <v>148889</v>
      </c>
      <c r="AI34">
        <v>629410</v>
      </c>
      <c r="AJ34">
        <v>422118</v>
      </c>
      <c r="AK34">
        <v>550141</v>
      </c>
      <c r="AL34">
        <v>3245328</v>
      </c>
      <c r="AM34">
        <v>1762770</v>
      </c>
      <c r="AN34">
        <v>1855153</v>
      </c>
      <c r="AO34">
        <v>1095997</v>
      </c>
      <c r="AP34">
        <v>4036431</v>
      </c>
      <c r="AQ34">
        <v>48704</v>
      </c>
      <c r="AR34">
        <v>37689</v>
      </c>
      <c r="AS34">
        <v>29557</v>
      </c>
      <c r="AT34">
        <v>172152</v>
      </c>
      <c r="AU34">
        <v>3022872</v>
      </c>
      <c r="AV34">
        <v>1759840</v>
      </c>
      <c r="AW34">
        <v>682930</v>
      </c>
      <c r="AX34">
        <v>486499</v>
      </c>
      <c r="AY34">
        <v>218816</v>
      </c>
      <c r="AZ34">
        <v>117136</v>
      </c>
      <c r="BA34">
        <v>53691</v>
      </c>
      <c r="BB34">
        <v>184282</v>
      </c>
    </row>
    <row r="35" spans="1:54" x14ac:dyDescent="0.4">
      <c r="A35" s="1" t="s">
        <v>58</v>
      </c>
      <c r="B35" s="1" t="s">
        <v>59</v>
      </c>
      <c r="C35">
        <v>170746</v>
      </c>
      <c r="D35">
        <v>299333</v>
      </c>
      <c r="E35">
        <v>1052345</v>
      </c>
      <c r="F35">
        <v>2389046</v>
      </c>
      <c r="G35">
        <v>113479</v>
      </c>
      <c r="H35">
        <v>76684</v>
      </c>
      <c r="I35">
        <v>480695</v>
      </c>
      <c r="J35">
        <v>547031</v>
      </c>
      <c r="K35">
        <v>139720</v>
      </c>
      <c r="L35">
        <v>127314</v>
      </c>
      <c r="M35">
        <v>583209</v>
      </c>
      <c r="N35">
        <v>809994</v>
      </c>
      <c r="O35">
        <v>336465</v>
      </c>
      <c r="P35">
        <v>311316</v>
      </c>
      <c r="Q35">
        <v>715163</v>
      </c>
      <c r="R35">
        <v>2024723</v>
      </c>
      <c r="S35">
        <v>116754</v>
      </c>
      <c r="T35">
        <v>204121</v>
      </c>
      <c r="U35">
        <v>3708229</v>
      </c>
      <c r="V35">
        <v>263642</v>
      </c>
      <c r="W35">
        <v>9628</v>
      </c>
      <c r="X35">
        <v>9674</v>
      </c>
      <c r="Y35">
        <v>333819</v>
      </c>
      <c r="Z35">
        <v>15325</v>
      </c>
      <c r="AA35">
        <v>47662</v>
      </c>
      <c r="AB35">
        <v>52070</v>
      </c>
      <c r="AC35">
        <v>423656</v>
      </c>
      <c r="AD35">
        <v>148024</v>
      </c>
      <c r="AE35">
        <v>103223</v>
      </c>
      <c r="AF35">
        <v>116828</v>
      </c>
      <c r="AG35">
        <v>950225</v>
      </c>
      <c r="AH35">
        <v>135281</v>
      </c>
      <c r="AI35">
        <v>610702</v>
      </c>
      <c r="AJ35">
        <v>699671</v>
      </c>
      <c r="AK35">
        <v>915279</v>
      </c>
      <c r="AL35">
        <v>3161601</v>
      </c>
      <c r="AM35">
        <v>1875414</v>
      </c>
      <c r="AN35">
        <v>1950917</v>
      </c>
      <c r="AO35">
        <v>1034277</v>
      </c>
      <c r="AP35">
        <v>4013418</v>
      </c>
      <c r="AQ35">
        <v>45857</v>
      </c>
      <c r="AR35">
        <v>52067</v>
      </c>
      <c r="AS35">
        <v>35461</v>
      </c>
      <c r="AT35">
        <v>165928</v>
      </c>
      <c r="AU35">
        <v>2826167</v>
      </c>
      <c r="AV35">
        <v>1758553</v>
      </c>
      <c r="AW35">
        <v>657296</v>
      </c>
      <c r="AX35">
        <v>476258</v>
      </c>
      <c r="AY35">
        <v>227183</v>
      </c>
      <c r="AZ35">
        <v>124313</v>
      </c>
      <c r="BA35">
        <v>57454</v>
      </c>
      <c r="BB35">
        <v>145833</v>
      </c>
    </row>
    <row r="36" spans="1:54" x14ac:dyDescent="0.4">
      <c r="A36" s="1" t="s">
        <v>60</v>
      </c>
      <c r="B36" s="1" t="s">
        <v>61</v>
      </c>
      <c r="C36">
        <v>145897</v>
      </c>
      <c r="D36">
        <v>284268</v>
      </c>
      <c r="E36">
        <v>1002850</v>
      </c>
      <c r="F36">
        <v>2342834</v>
      </c>
      <c r="G36">
        <v>96899</v>
      </c>
      <c r="H36">
        <v>64499</v>
      </c>
      <c r="I36">
        <v>424517</v>
      </c>
      <c r="J36">
        <v>533226</v>
      </c>
      <c r="K36">
        <v>97827</v>
      </c>
      <c r="L36">
        <v>114414</v>
      </c>
      <c r="M36">
        <v>508592</v>
      </c>
      <c r="N36">
        <v>779907</v>
      </c>
      <c r="O36">
        <v>263177</v>
      </c>
      <c r="P36">
        <v>267900</v>
      </c>
      <c r="Q36">
        <v>596369</v>
      </c>
      <c r="R36">
        <v>2002675</v>
      </c>
      <c r="S36">
        <v>102437</v>
      </c>
      <c r="T36">
        <v>184458</v>
      </c>
      <c r="U36">
        <v>3215862</v>
      </c>
      <c r="V36">
        <v>254031</v>
      </c>
      <c r="W36">
        <v>7304</v>
      </c>
      <c r="X36">
        <v>8727</v>
      </c>
      <c r="Y36">
        <v>295507</v>
      </c>
      <c r="Z36">
        <v>13733</v>
      </c>
      <c r="AA36">
        <v>34984</v>
      </c>
      <c r="AB36">
        <v>46900</v>
      </c>
      <c r="AC36">
        <v>360921</v>
      </c>
      <c r="AD36">
        <v>140547</v>
      </c>
      <c r="AE36">
        <v>78913</v>
      </c>
      <c r="AF36">
        <v>103109</v>
      </c>
      <c r="AG36">
        <v>814697</v>
      </c>
      <c r="AH36">
        <v>110955</v>
      </c>
      <c r="AI36">
        <v>444861</v>
      </c>
      <c r="AJ36">
        <v>621916</v>
      </c>
      <c r="AK36">
        <v>818547</v>
      </c>
      <c r="AL36">
        <v>2987123</v>
      </c>
      <c r="AM36">
        <v>1543000</v>
      </c>
      <c r="AN36">
        <v>1752290</v>
      </c>
      <c r="AO36">
        <v>1052072</v>
      </c>
      <c r="AP36">
        <v>3875972</v>
      </c>
      <c r="AQ36">
        <v>49321</v>
      </c>
      <c r="AR36">
        <v>48446</v>
      </c>
      <c r="AS36">
        <v>32231</v>
      </c>
      <c r="AT36">
        <v>166803</v>
      </c>
      <c r="AU36">
        <v>2514948</v>
      </c>
      <c r="AV36">
        <v>1512544</v>
      </c>
      <c r="AW36">
        <v>588139</v>
      </c>
      <c r="AX36">
        <v>426144</v>
      </c>
      <c r="AY36">
        <v>159075</v>
      </c>
      <c r="AZ36">
        <v>74283</v>
      </c>
      <c r="BA36">
        <v>51840</v>
      </c>
      <c r="BB36">
        <v>131641</v>
      </c>
    </row>
    <row r="37" spans="1:54" x14ac:dyDescent="0.4">
      <c r="A37" s="1" t="s">
        <v>62</v>
      </c>
      <c r="B37" s="1" t="s">
        <v>63</v>
      </c>
      <c r="C37">
        <v>193904</v>
      </c>
      <c r="D37">
        <v>273462</v>
      </c>
      <c r="E37">
        <v>919148</v>
      </c>
      <c r="F37">
        <v>2352732</v>
      </c>
      <c r="G37">
        <v>119400</v>
      </c>
      <c r="H37">
        <v>84309</v>
      </c>
      <c r="I37">
        <v>549677</v>
      </c>
      <c r="J37">
        <v>529922</v>
      </c>
      <c r="K37">
        <v>125709</v>
      </c>
      <c r="L37">
        <v>114672</v>
      </c>
      <c r="M37">
        <v>537562</v>
      </c>
      <c r="N37">
        <v>782639</v>
      </c>
      <c r="O37">
        <v>321570</v>
      </c>
      <c r="P37">
        <v>266183</v>
      </c>
      <c r="Q37">
        <v>642292</v>
      </c>
      <c r="R37">
        <v>2015761</v>
      </c>
      <c r="S37">
        <v>119315</v>
      </c>
      <c r="T37">
        <v>181643</v>
      </c>
      <c r="U37">
        <v>3309117</v>
      </c>
      <c r="V37">
        <v>256244</v>
      </c>
      <c r="W37">
        <v>10103</v>
      </c>
      <c r="X37">
        <v>10120</v>
      </c>
      <c r="Y37">
        <v>345589</v>
      </c>
      <c r="Z37">
        <v>13711</v>
      </c>
      <c r="AA37">
        <v>41836</v>
      </c>
      <c r="AB37">
        <v>47640</v>
      </c>
      <c r="AC37">
        <v>366812</v>
      </c>
      <c r="AD37">
        <v>139549</v>
      </c>
      <c r="AE37">
        <v>107844</v>
      </c>
      <c r="AF37">
        <v>96114</v>
      </c>
      <c r="AG37">
        <v>785281</v>
      </c>
      <c r="AH37">
        <v>122680</v>
      </c>
      <c r="AI37">
        <v>562997</v>
      </c>
      <c r="AJ37">
        <v>741051</v>
      </c>
      <c r="AK37">
        <v>985678</v>
      </c>
      <c r="AL37">
        <v>2821115</v>
      </c>
      <c r="AM37">
        <v>1392433</v>
      </c>
      <c r="AN37">
        <v>1662553</v>
      </c>
      <c r="AO37">
        <v>992688</v>
      </c>
      <c r="AP37">
        <v>3685517</v>
      </c>
      <c r="AQ37">
        <v>54907</v>
      </c>
      <c r="AR37">
        <v>56882</v>
      </c>
      <c r="AS37">
        <v>34356</v>
      </c>
      <c r="AT37">
        <v>164828</v>
      </c>
      <c r="AU37">
        <v>2957425</v>
      </c>
      <c r="AV37">
        <v>1709801</v>
      </c>
      <c r="AW37">
        <v>676348</v>
      </c>
      <c r="AX37">
        <v>464298</v>
      </c>
      <c r="AY37">
        <v>201337</v>
      </c>
      <c r="AZ37">
        <v>95453</v>
      </c>
      <c r="BA37">
        <v>50230</v>
      </c>
      <c r="BB37">
        <v>118236</v>
      </c>
    </row>
    <row r="38" spans="1:54" x14ac:dyDescent="0.4">
      <c r="A38" s="1" t="s">
        <v>64</v>
      </c>
      <c r="B38" s="1" t="s">
        <v>65</v>
      </c>
      <c r="C38">
        <v>179535</v>
      </c>
      <c r="D38">
        <v>294928</v>
      </c>
      <c r="E38">
        <v>1012153</v>
      </c>
      <c r="F38">
        <v>2360871</v>
      </c>
      <c r="G38">
        <v>122188</v>
      </c>
      <c r="H38">
        <v>87785</v>
      </c>
      <c r="I38">
        <v>601737</v>
      </c>
      <c r="J38">
        <v>528082</v>
      </c>
      <c r="K38">
        <v>150871</v>
      </c>
      <c r="L38">
        <v>136344</v>
      </c>
      <c r="M38">
        <v>589073</v>
      </c>
      <c r="N38">
        <v>776991</v>
      </c>
      <c r="O38">
        <v>355080</v>
      </c>
      <c r="P38">
        <v>382053</v>
      </c>
      <c r="Q38">
        <v>783615</v>
      </c>
      <c r="R38">
        <v>1983483</v>
      </c>
      <c r="S38">
        <v>132276</v>
      </c>
      <c r="T38">
        <v>194029</v>
      </c>
      <c r="U38">
        <v>3585224</v>
      </c>
      <c r="V38">
        <v>265882</v>
      </c>
      <c r="W38">
        <v>10965</v>
      </c>
      <c r="X38">
        <v>10956</v>
      </c>
      <c r="Y38">
        <v>382757</v>
      </c>
      <c r="Z38">
        <v>13717</v>
      </c>
      <c r="AA38">
        <v>45457</v>
      </c>
      <c r="AB38">
        <v>51680</v>
      </c>
      <c r="AC38">
        <v>391036</v>
      </c>
      <c r="AD38">
        <v>141112</v>
      </c>
      <c r="AE38">
        <v>124647</v>
      </c>
      <c r="AF38">
        <v>106645</v>
      </c>
      <c r="AG38">
        <v>868445</v>
      </c>
      <c r="AH38">
        <v>140679</v>
      </c>
      <c r="AI38">
        <v>714587</v>
      </c>
      <c r="AJ38">
        <v>768338</v>
      </c>
      <c r="AK38">
        <v>861764</v>
      </c>
      <c r="AL38">
        <v>2770182</v>
      </c>
      <c r="AM38">
        <v>1556629</v>
      </c>
      <c r="AN38">
        <v>1907236</v>
      </c>
      <c r="AO38">
        <v>1076962</v>
      </c>
      <c r="AP38">
        <v>3321813</v>
      </c>
      <c r="AQ38">
        <v>58301</v>
      </c>
      <c r="AR38">
        <v>59189</v>
      </c>
      <c r="AS38">
        <v>38799</v>
      </c>
      <c r="AT38">
        <v>133938</v>
      </c>
      <c r="AU38">
        <v>3032462</v>
      </c>
      <c r="AV38">
        <v>1816479</v>
      </c>
      <c r="AW38">
        <v>731290</v>
      </c>
      <c r="AX38">
        <v>532593</v>
      </c>
      <c r="AY38">
        <v>205568</v>
      </c>
      <c r="AZ38">
        <v>95832</v>
      </c>
      <c r="BA38">
        <v>64804</v>
      </c>
      <c r="BB38">
        <v>185146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5DCFA-70DB-46F8-8A50-2A04240CB05C}">
  <dimension ref="A1:AX40"/>
  <sheetViews>
    <sheetView workbookViewId="0">
      <selection activeCell="C9" sqref="C9"/>
    </sheetView>
  </sheetViews>
  <sheetFormatPr defaultColWidth="15.625" defaultRowHeight="18.75" x14ac:dyDescent="0.4"/>
  <sheetData>
    <row r="1" spans="1:50" x14ac:dyDescent="0.4">
      <c r="A1" s="1" t="s">
        <v>66</v>
      </c>
      <c r="B1" s="1"/>
    </row>
    <row r="2" spans="1:50" x14ac:dyDescent="0.4">
      <c r="A2" s="4" t="str">
        <f>HYPERLINK("#'目次(Contents)'!A3","目次に戻る(Return to Contents)")</f>
        <v>目次に戻る(Return to Contents)</v>
      </c>
      <c r="B2" s="1"/>
    </row>
    <row r="3" spans="1:50" x14ac:dyDescent="0.4">
      <c r="A3" s="1"/>
      <c r="B3" s="2" t="s">
        <v>0</v>
      </c>
      <c r="C3" t="s">
        <v>2299</v>
      </c>
      <c r="D3" t="s">
        <v>2299</v>
      </c>
      <c r="E3" t="s">
        <v>2299</v>
      </c>
      <c r="F3" t="s">
        <v>2299</v>
      </c>
      <c r="G3" t="s">
        <v>2301</v>
      </c>
      <c r="H3" t="s">
        <v>2301</v>
      </c>
      <c r="I3" t="s">
        <v>2301</v>
      </c>
      <c r="J3" t="s">
        <v>2301</v>
      </c>
      <c r="K3" t="s">
        <v>2303</v>
      </c>
      <c r="L3" t="s">
        <v>2303</v>
      </c>
      <c r="M3" t="s">
        <v>2303</v>
      </c>
      <c r="N3" t="s">
        <v>2303</v>
      </c>
      <c r="O3" t="s">
        <v>2305</v>
      </c>
      <c r="P3" t="s">
        <v>2305</v>
      </c>
      <c r="Q3" t="s">
        <v>2305</v>
      </c>
      <c r="R3" t="s">
        <v>2305</v>
      </c>
      <c r="S3" t="s">
        <v>2307</v>
      </c>
      <c r="T3" t="s">
        <v>2307</v>
      </c>
      <c r="U3" t="s">
        <v>2307</v>
      </c>
      <c r="V3" t="s">
        <v>2307</v>
      </c>
      <c r="W3" t="s">
        <v>2309</v>
      </c>
      <c r="X3" t="s">
        <v>2309</v>
      </c>
      <c r="Y3" t="s">
        <v>2309</v>
      </c>
      <c r="Z3" t="s">
        <v>2309</v>
      </c>
      <c r="AA3" t="s">
        <v>2311</v>
      </c>
      <c r="AB3" t="s">
        <v>2311</v>
      </c>
      <c r="AC3" t="s">
        <v>2311</v>
      </c>
      <c r="AD3" t="s">
        <v>2311</v>
      </c>
      <c r="AE3" t="s">
        <v>2313</v>
      </c>
      <c r="AF3" t="s">
        <v>2313</v>
      </c>
      <c r="AG3" t="s">
        <v>2313</v>
      </c>
      <c r="AH3" t="s">
        <v>2313</v>
      </c>
      <c r="AI3" t="s">
        <v>2315</v>
      </c>
      <c r="AJ3" t="s">
        <v>2315</v>
      </c>
      <c r="AK3" t="s">
        <v>2315</v>
      </c>
      <c r="AL3" t="s">
        <v>2315</v>
      </c>
      <c r="AM3" t="s">
        <v>2317</v>
      </c>
      <c r="AN3" t="s">
        <v>2317</v>
      </c>
      <c r="AO3" t="s">
        <v>2317</v>
      </c>
      <c r="AP3" t="s">
        <v>2317</v>
      </c>
      <c r="AQ3" t="s">
        <v>2319</v>
      </c>
      <c r="AR3" t="s">
        <v>2319</v>
      </c>
      <c r="AS3" t="s">
        <v>2319</v>
      </c>
      <c r="AT3" t="s">
        <v>2319</v>
      </c>
      <c r="AU3" t="s">
        <v>2321</v>
      </c>
      <c r="AV3" t="s">
        <v>2321</v>
      </c>
      <c r="AW3" t="s">
        <v>2321</v>
      </c>
      <c r="AX3" t="s">
        <v>2321</v>
      </c>
    </row>
    <row r="4" spans="1:50" x14ac:dyDescent="0.4">
      <c r="A4" s="1"/>
      <c r="B4" s="2" t="s">
        <v>1</v>
      </c>
      <c r="C4" t="s">
        <v>2300</v>
      </c>
      <c r="D4" t="s">
        <v>2300</v>
      </c>
      <c r="E4" t="s">
        <v>2300</v>
      </c>
      <c r="F4" t="s">
        <v>2300</v>
      </c>
      <c r="G4" t="s">
        <v>2302</v>
      </c>
      <c r="H4" t="s">
        <v>2302</v>
      </c>
      <c r="I4" t="s">
        <v>2302</v>
      </c>
      <c r="J4" t="s">
        <v>2302</v>
      </c>
      <c r="K4" t="s">
        <v>2304</v>
      </c>
      <c r="L4" t="s">
        <v>2304</v>
      </c>
      <c r="M4" t="s">
        <v>2304</v>
      </c>
      <c r="N4" t="s">
        <v>2304</v>
      </c>
      <c r="O4" t="s">
        <v>2306</v>
      </c>
      <c r="P4" t="s">
        <v>2306</v>
      </c>
      <c r="Q4" t="s">
        <v>2306</v>
      </c>
      <c r="R4" t="s">
        <v>2306</v>
      </c>
      <c r="S4" t="s">
        <v>2308</v>
      </c>
      <c r="T4" t="s">
        <v>2308</v>
      </c>
      <c r="U4" t="s">
        <v>2308</v>
      </c>
      <c r="V4" t="s">
        <v>2308</v>
      </c>
      <c r="W4" t="s">
        <v>2310</v>
      </c>
      <c r="X4" t="s">
        <v>2310</v>
      </c>
      <c r="Y4" t="s">
        <v>2310</v>
      </c>
      <c r="Z4" t="s">
        <v>2310</v>
      </c>
      <c r="AA4" t="s">
        <v>2312</v>
      </c>
      <c r="AB4" t="s">
        <v>2312</v>
      </c>
      <c r="AC4" t="s">
        <v>2312</v>
      </c>
      <c r="AD4" t="s">
        <v>2312</v>
      </c>
      <c r="AE4" t="s">
        <v>2314</v>
      </c>
      <c r="AF4" t="s">
        <v>2314</v>
      </c>
      <c r="AG4" t="s">
        <v>2314</v>
      </c>
      <c r="AH4" t="s">
        <v>2314</v>
      </c>
      <c r="AI4" t="s">
        <v>2316</v>
      </c>
      <c r="AJ4" t="s">
        <v>2316</v>
      </c>
      <c r="AK4" t="s">
        <v>2316</v>
      </c>
      <c r="AL4" t="s">
        <v>2316</v>
      </c>
      <c r="AM4" t="s">
        <v>2318</v>
      </c>
      <c r="AN4" t="s">
        <v>2318</v>
      </c>
      <c r="AO4" t="s">
        <v>2318</v>
      </c>
      <c r="AP4" t="s">
        <v>2318</v>
      </c>
      <c r="AQ4" t="s">
        <v>2320</v>
      </c>
      <c r="AR4" t="s">
        <v>2320</v>
      </c>
      <c r="AS4" t="s">
        <v>2320</v>
      </c>
      <c r="AT4" t="s">
        <v>2320</v>
      </c>
      <c r="AU4" t="s">
        <v>2322</v>
      </c>
      <c r="AV4" t="s">
        <v>2322</v>
      </c>
      <c r="AW4" t="s">
        <v>2322</v>
      </c>
      <c r="AX4" t="s">
        <v>2322</v>
      </c>
    </row>
    <row r="5" spans="1:5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</row>
    <row r="6" spans="1:5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</row>
    <row r="7" spans="1:50" x14ac:dyDescent="0.4">
      <c r="A7" s="1"/>
      <c r="B7" s="2" t="s">
        <v>4</v>
      </c>
      <c r="C7" t="s">
        <v>743</v>
      </c>
      <c r="D7" t="s">
        <v>743</v>
      </c>
      <c r="E7" t="s">
        <v>258</v>
      </c>
      <c r="F7" t="s">
        <v>743</v>
      </c>
      <c r="G7" t="s">
        <v>743</v>
      </c>
      <c r="H7" t="s">
        <v>743</v>
      </c>
      <c r="I7" t="s">
        <v>258</v>
      </c>
      <c r="J7" t="s">
        <v>743</v>
      </c>
      <c r="K7" t="s">
        <v>743</v>
      </c>
      <c r="L7" t="s">
        <v>743</v>
      </c>
      <c r="M7" t="s">
        <v>258</v>
      </c>
      <c r="N7" t="s">
        <v>743</v>
      </c>
      <c r="O7" t="s">
        <v>743</v>
      </c>
      <c r="P7" t="s">
        <v>743</v>
      </c>
      <c r="Q7" t="s">
        <v>258</v>
      </c>
      <c r="R7" t="s">
        <v>743</v>
      </c>
      <c r="S7" t="s">
        <v>743</v>
      </c>
      <c r="T7" t="s">
        <v>743</v>
      </c>
      <c r="U7" t="s">
        <v>258</v>
      </c>
      <c r="V7" t="s">
        <v>743</v>
      </c>
      <c r="W7" t="s">
        <v>743</v>
      </c>
      <c r="X7" t="s">
        <v>743</v>
      </c>
      <c r="Y7" t="s">
        <v>258</v>
      </c>
      <c r="Z7" t="s">
        <v>743</v>
      </c>
      <c r="AA7" t="s">
        <v>743</v>
      </c>
      <c r="AB7" t="s">
        <v>743</v>
      </c>
      <c r="AC7" t="s">
        <v>258</v>
      </c>
      <c r="AD7" t="s">
        <v>743</v>
      </c>
      <c r="AE7" t="s">
        <v>339</v>
      </c>
      <c r="AF7" t="s">
        <v>339</v>
      </c>
      <c r="AG7" t="s">
        <v>258</v>
      </c>
      <c r="AH7" t="s">
        <v>339</v>
      </c>
      <c r="AI7" t="s">
        <v>743</v>
      </c>
      <c r="AJ7" t="s">
        <v>743</v>
      </c>
      <c r="AK7" t="s">
        <v>258</v>
      </c>
      <c r="AL7" t="s">
        <v>743</v>
      </c>
      <c r="AM7" t="s">
        <v>743</v>
      </c>
      <c r="AN7" t="s">
        <v>743</v>
      </c>
      <c r="AO7" t="s">
        <v>258</v>
      </c>
      <c r="AP7" t="s">
        <v>743</v>
      </c>
      <c r="AQ7" t="s">
        <v>743</v>
      </c>
      <c r="AR7" t="s">
        <v>743</v>
      </c>
      <c r="AS7" t="s">
        <v>258</v>
      </c>
      <c r="AT7" t="s">
        <v>743</v>
      </c>
      <c r="AU7" t="s">
        <v>743</v>
      </c>
      <c r="AV7" t="s">
        <v>743</v>
      </c>
      <c r="AW7" t="s">
        <v>258</v>
      </c>
      <c r="AX7" t="s">
        <v>743</v>
      </c>
    </row>
    <row r="8" spans="1:50" x14ac:dyDescent="0.4">
      <c r="A8" s="1" t="s">
        <v>67</v>
      </c>
      <c r="B8" s="2" t="s">
        <v>5</v>
      </c>
      <c r="C8" t="s">
        <v>745</v>
      </c>
      <c r="D8" t="s">
        <v>745</v>
      </c>
      <c r="E8" t="s">
        <v>260</v>
      </c>
      <c r="F8" t="s">
        <v>745</v>
      </c>
      <c r="G8" t="s">
        <v>745</v>
      </c>
      <c r="H8" t="s">
        <v>745</v>
      </c>
      <c r="I8" t="s">
        <v>260</v>
      </c>
      <c r="J8" t="s">
        <v>745</v>
      </c>
      <c r="K8" t="s">
        <v>745</v>
      </c>
      <c r="L8" t="s">
        <v>745</v>
      </c>
      <c r="M8" t="s">
        <v>260</v>
      </c>
      <c r="N8" t="s">
        <v>745</v>
      </c>
      <c r="O8" t="s">
        <v>745</v>
      </c>
      <c r="P8" t="s">
        <v>745</v>
      </c>
      <c r="Q8" t="s">
        <v>260</v>
      </c>
      <c r="R8" t="s">
        <v>745</v>
      </c>
      <c r="S8" t="s">
        <v>745</v>
      </c>
      <c r="T8" t="s">
        <v>745</v>
      </c>
      <c r="U8" t="s">
        <v>260</v>
      </c>
      <c r="V8" t="s">
        <v>745</v>
      </c>
      <c r="W8" t="s">
        <v>745</v>
      </c>
      <c r="X8" t="s">
        <v>745</v>
      </c>
      <c r="Y8" t="s">
        <v>260</v>
      </c>
      <c r="Z8" t="s">
        <v>745</v>
      </c>
      <c r="AA8" t="s">
        <v>745</v>
      </c>
      <c r="AB8" t="s">
        <v>745</v>
      </c>
      <c r="AC8" t="s">
        <v>260</v>
      </c>
      <c r="AD8" t="s">
        <v>745</v>
      </c>
      <c r="AE8" t="s">
        <v>339</v>
      </c>
      <c r="AF8" t="s">
        <v>339</v>
      </c>
      <c r="AG8" t="s">
        <v>260</v>
      </c>
      <c r="AH8" t="s">
        <v>339</v>
      </c>
      <c r="AI8" t="s">
        <v>745</v>
      </c>
      <c r="AJ8" t="s">
        <v>745</v>
      </c>
      <c r="AK8" t="s">
        <v>260</v>
      </c>
      <c r="AL8" t="s">
        <v>745</v>
      </c>
      <c r="AM8" t="s">
        <v>745</v>
      </c>
      <c r="AN8" t="s">
        <v>745</v>
      </c>
      <c r="AO8" t="s">
        <v>260</v>
      </c>
      <c r="AP8" t="s">
        <v>745</v>
      </c>
      <c r="AQ8" t="s">
        <v>745</v>
      </c>
      <c r="AR8" t="s">
        <v>745</v>
      </c>
      <c r="AS8" t="s">
        <v>260</v>
      </c>
      <c r="AT8" t="s">
        <v>745</v>
      </c>
      <c r="AU8" t="s">
        <v>745</v>
      </c>
      <c r="AV8" t="s">
        <v>745</v>
      </c>
      <c r="AW8" t="s">
        <v>260</v>
      </c>
      <c r="AX8" t="s">
        <v>745</v>
      </c>
    </row>
    <row r="9" spans="1:50" x14ac:dyDescent="0.4">
      <c r="A9" s="1" t="s">
        <v>6</v>
      </c>
      <c r="B9" s="3" t="s">
        <v>7</v>
      </c>
      <c r="C9">
        <v>90450</v>
      </c>
      <c r="D9">
        <v>92059</v>
      </c>
      <c r="E9">
        <v>25616</v>
      </c>
      <c r="F9">
        <v>5242</v>
      </c>
      <c r="G9">
        <v>16092084</v>
      </c>
      <c r="H9">
        <v>16307388</v>
      </c>
      <c r="I9">
        <v>166054</v>
      </c>
      <c r="J9">
        <v>427889</v>
      </c>
      <c r="K9">
        <v>4682194</v>
      </c>
      <c r="L9">
        <v>4719823</v>
      </c>
      <c r="M9">
        <v>28527</v>
      </c>
      <c r="N9">
        <v>192259</v>
      </c>
      <c r="O9">
        <v>18504453</v>
      </c>
      <c r="P9">
        <v>18433416</v>
      </c>
      <c r="Q9">
        <v>163532</v>
      </c>
      <c r="R9">
        <v>258432</v>
      </c>
      <c r="S9">
        <v>412268</v>
      </c>
      <c r="T9">
        <v>469519</v>
      </c>
      <c r="U9">
        <v>150425</v>
      </c>
      <c r="V9">
        <v>17273</v>
      </c>
      <c r="W9">
        <v>241</v>
      </c>
      <c r="X9">
        <v>211</v>
      </c>
      <c r="Y9">
        <v>7536</v>
      </c>
      <c r="Z9">
        <v>143</v>
      </c>
      <c r="AA9">
        <v>383576</v>
      </c>
      <c r="AB9">
        <v>388952</v>
      </c>
      <c r="AC9">
        <v>52950</v>
      </c>
      <c r="AD9">
        <v>19851</v>
      </c>
      <c r="AE9">
        <v>10920868</v>
      </c>
      <c r="AF9">
        <v>11073625</v>
      </c>
      <c r="AG9">
        <v>40218</v>
      </c>
      <c r="AH9">
        <v>987095</v>
      </c>
      <c r="AI9">
        <v>248894</v>
      </c>
      <c r="AJ9">
        <v>247799</v>
      </c>
      <c r="AK9">
        <v>35465</v>
      </c>
      <c r="AL9">
        <v>5283</v>
      </c>
      <c r="AM9">
        <v>108837</v>
      </c>
      <c r="AN9">
        <v>114289</v>
      </c>
      <c r="AO9">
        <v>43293</v>
      </c>
      <c r="AP9">
        <v>15488</v>
      </c>
      <c r="AQ9">
        <v>490135</v>
      </c>
      <c r="AR9">
        <v>510506</v>
      </c>
      <c r="AS9">
        <v>73208</v>
      </c>
      <c r="AT9">
        <v>12672</v>
      </c>
      <c r="AU9">
        <v>517080</v>
      </c>
      <c r="AV9">
        <v>499228</v>
      </c>
      <c r="AW9">
        <v>63034</v>
      </c>
      <c r="AX9">
        <v>56089</v>
      </c>
    </row>
    <row r="10" spans="1:50" x14ac:dyDescent="0.4">
      <c r="A10" s="1" t="s">
        <v>8</v>
      </c>
      <c r="B10" s="3" t="s">
        <v>9</v>
      </c>
      <c r="C10">
        <v>95376</v>
      </c>
      <c r="D10">
        <v>95571</v>
      </c>
      <c r="E10">
        <v>28380</v>
      </c>
      <c r="F10">
        <v>8700</v>
      </c>
      <c r="G10">
        <v>15937307</v>
      </c>
      <c r="H10">
        <v>15967886</v>
      </c>
      <c r="I10">
        <v>169134</v>
      </c>
      <c r="J10">
        <v>601080</v>
      </c>
      <c r="K10">
        <v>4381120</v>
      </c>
      <c r="L10">
        <v>4388311</v>
      </c>
      <c r="M10">
        <v>31960</v>
      </c>
      <c r="N10">
        <v>207339</v>
      </c>
      <c r="O10">
        <v>11033271</v>
      </c>
      <c r="P10">
        <v>11049347</v>
      </c>
      <c r="Q10">
        <v>106061</v>
      </c>
      <c r="R10">
        <v>260586</v>
      </c>
      <c r="S10">
        <v>372661</v>
      </c>
      <c r="T10">
        <v>465164</v>
      </c>
      <c r="U10">
        <v>155456</v>
      </c>
      <c r="V10">
        <v>14950</v>
      </c>
      <c r="W10">
        <v>224</v>
      </c>
      <c r="X10">
        <v>226</v>
      </c>
      <c r="Y10">
        <v>8281</v>
      </c>
      <c r="Z10">
        <v>130</v>
      </c>
      <c r="AA10">
        <v>368742</v>
      </c>
      <c r="AB10">
        <v>356996</v>
      </c>
      <c r="AC10">
        <v>64887</v>
      </c>
      <c r="AD10">
        <v>31562</v>
      </c>
      <c r="AE10">
        <v>9542019</v>
      </c>
      <c r="AF10">
        <v>9373454</v>
      </c>
      <c r="AG10">
        <v>41429</v>
      </c>
      <c r="AH10">
        <v>1086428</v>
      </c>
      <c r="AI10">
        <v>240723</v>
      </c>
      <c r="AJ10">
        <v>240843</v>
      </c>
      <c r="AK10">
        <v>36064</v>
      </c>
      <c r="AL10">
        <v>5049</v>
      </c>
      <c r="AM10">
        <v>112965</v>
      </c>
      <c r="AN10">
        <v>117022</v>
      </c>
      <c r="AO10">
        <v>48542</v>
      </c>
      <c r="AP10">
        <v>12856</v>
      </c>
      <c r="AQ10">
        <v>467647</v>
      </c>
      <c r="AR10">
        <v>505587</v>
      </c>
      <c r="AS10">
        <v>86354</v>
      </c>
      <c r="AT10">
        <v>13704</v>
      </c>
      <c r="AU10">
        <v>443548</v>
      </c>
      <c r="AV10">
        <v>454234</v>
      </c>
      <c r="AW10">
        <v>73427</v>
      </c>
      <c r="AX10">
        <v>45401</v>
      </c>
    </row>
    <row r="11" spans="1:50" x14ac:dyDescent="0.4">
      <c r="A11" s="1" t="s">
        <v>10</v>
      </c>
      <c r="B11" s="3" t="s">
        <v>11</v>
      </c>
      <c r="C11">
        <v>59770</v>
      </c>
      <c r="D11">
        <v>66046</v>
      </c>
      <c r="E11">
        <v>20980</v>
      </c>
      <c r="F11">
        <v>3066</v>
      </c>
      <c r="G11">
        <v>10455564</v>
      </c>
      <c r="H11">
        <v>10559585</v>
      </c>
      <c r="I11">
        <v>145575</v>
      </c>
      <c r="J11">
        <v>552685</v>
      </c>
      <c r="K11">
        <v>3892370</v>
      </c>
      <c r="L11">
        <v>3977344</v>
      </c>
      <c r="M11">
        <v>30927</v>
      </c>
      <c r="N11">
        <v>136610</v>
      </c>
      <c r="O11">
        <v>10041422</v>
      </c>
      <c r="P11">
        <v>10166686</v>
      </c>
      <c r="Q11">
        <v>106474</v>
      </c>
      <c r="R11">
        <v>132969</v>
      </c>
      <c r="S11">
        <v>368588</v>
      </c>
      <c r="T11">
        <v>456487</v>
      </c>
      <c r="U11">
        <v>131777</v>
      </c>
      <c r="V11">
        <v>14937</v>
      </c>
      <c r="W11">
        <v>192</v>
      </c>
      <c r="X11">
        <v>201</v>
      </c>
      <c r="Y11">
        <v>9316</v>
      </c>
      <c r="Z11">
        <v>120</v>
      </c>
      <c r="AA11">
        <v>243946</v>
      </c>
      <c r="AB11">
        <v>250736</v>
      </c>
      <c r="AC11">
        <v>50574</v>
      </c>
      <c r="AD11">
        <v>24857</v>
      </c>
      <c r="AE11">
        <v>9243629</v>
      </c>
      <c r="AF11">
        <v>9365725</v>
      </c>
      <c r="AG11">
        <v>37638</v>
      </c>
      <c r="AH11">
        <v>1102994</v>
      </c>
      <c r="AI11">
        <v>383812</v>
      </c>
      <c r="AJ11">
        <v>382651</v>
      </c>
      <c r="AK11">
        <v>37948</v>
      </c>
      <c r="AL11">
        <v>17431</v>
      </c>
      <c r="AM11">
        <v>93248</v>
      </c>
      <c r="AN11">
        <v>91240</v>
      </c>
      <c r="AO11">
        <v>41931</v>
      </c>
      <c r="AP11">
        <v>17757</v>
      </c>
      <c r="AQ11">
        <v>431873</v>
      </c>
      <c r="AR11">
        <v>467871</v>
      </c>
      <c r="AS11">
        <v>96593</v>
      </c>
      <c r="AT11">
        <v>17678</v>
      </c>
      <c r="AU11">
        <v>373256</v>
      </c>
      <c r="AV11">
        <v>373880</v>
      </c>
      <c r="AW11">
        <v>67146</v>
      </c>
      <c r="AX11">
        <v>44790</v>
      </c>
    </row>
    <row r="12" spans="1:50" x14ac:dyDescent="0.4">
      <c r="A12" s="1" t="s">
        <v>12</v>
      </c>
      <c r="B12" s="3" t="s">
        <v>13</v>
      </c>
      <c r="C12">
        <v>43528</v>
      </c>
      <c r="D12">
        <v>44519</v>
      </c>
      <c r="E12">
        <v>16575</v>
      </c>
      <c r="F12">
        <v>2706</v>
      </c>
      <c r="G12">
        <v>11643093</v>
      </c>
      <c r="H12">
        <v>11794499</v>
      </c>
      <c r="I12">
        <v>148778</v>
      </c>
      <c r="J12">
        <v>444644</v>
      </c>
      <c r="K12">
        <v>3035240</v>
      </c>
      <c r="L12">
        <v>3046512</v>
      </c>
      <c r="M12">
        <v>46208</v>
      </c>
      <c r="N12">
        <v>140334</v>
      </c>
      <c r="O12">
        <v>11151462</v>
      </c>
      <c r="P12">
        <v>11152953</v>
      </c>
      <c r="Q12">
        <v>99663</v>
      </c>
      <c r="R12">
        <v>47146</v>
      </c>
      <c r="S12">
        <v>379473</v>
      </c>
      <c r="T12">
        <v>464532</v>
      </c>
      <c r="U12">
        <v>157847</v>
      </c>
      <c r="V12">
        <v>8245</v>
      </c>
      <c r="W12" t="s">
        <v>73</v>
      </c>
      <c r="X12" t="s">
        <v>73</v>
      </c>
      <c r="Y12" t="s">
        <v>73</v>
      </c>
      <c r="Z12" t="s">
        <v>73</v>
      </c>
      <c r="AA12">
        <v>218100</v>
      </c>
      <c r="AB12">
        <v>225716</v>
      </c>
      <c r="AC12">
        <v>58361</v>
      </c>
      <c r="AD12">
        <v>16683</v>
      </c>
      <c r="AE12">
        <v>7886892</v>
      </c>
      <c r="AF12">
        <v>7962318</v>
      </c>
      <c r="AG12">
        <v>29986</v>
      </c>
      <c r="AH12">
        <v>998332</v>
      </c>
      <c r="AI12">
        <v>410716</v>
      </c>
      <c r="AJ12">
        <v>413961</v>
      </c>
      <c r="AK12">
        <v>40232</v>
      </c>
      <c r="AL12">
        <v>14117</v>
      </c>
      <c r="AM12">
        <v>89877</v>
      </c>
      <c r="AN12">
        <v>90947</v>
      </c>
      <c r="AO12">
        <v>42775</v>
      </c>
      <c r="AP12">
        <v>16135</v>
      </c>
      <c r="AQ12">
        <v>572122</v>
      </c>
      <c r="AR12">
        <v>621012</v>
      </c>
      <c r="AS12">
        <v>94411</v>
      </c>
      <c r="AT12">
        <v>13358</v>
      </c>
      <c r="AU12">
        <v>384391</v>
      </c>
      <c r="AV12">
        <v>393538</v>
      </c>
      <c r="AW12">
        <v>74651</v>
      </c>
      <c r="AX12">
        <v>35576</v>
      </c>
    </row>
    <row r="13" spans="1:50" x14ac:dyDescent="0.4">
      <c r="A13" s="1" t="s">
        <v>14</v>
      </c>
      <c r="B13" s="3" t="s">
        <v>15</v>
      </c>
      <c r="C13">
        <v>67732</v>
      </c>
      <c r="D13">
        <v>68670</v>
      </c>
      <c r="E13">
        <v>18767</v>
      </c>
      <c r="F13">
        <v>3660</v>
      </c>
      <c r="G13">
        <v>12587433</v>
      </c>
      <c r="H13">
        <v>12598126</v>
      </c>
      <c r="I13">
        <v>169096</v>
      </c>
      <c r="J13">
        <v>493207</v>
      </c>
      <c r="K13">
        <v>2525842</v>
      </c>
      <c r="L13">
        <v>2547132</v>
      </c>
      <c r="M13">
        <v>46808</v>
      </c>
      <c r="N13">
        <v>122335</v>
      </c>
      <c r="O13">
        <v>13546286</v>
      </c>
      <c r="P13">
        <v>13536324</v>
      </c>
      <c r="Q13">
        <v>97040</v>
      </c>
      <c r="R13">
        <v>56769</v>
      </c>
      <c r="S13">
        <v>434635</v>
      </c>
      <c r="T13">
        <v>527154</v>
      </c>
      <c r="U13">
        <v>172344</v>
      </c>
      <c r="V13">
        <v>8182</v>
      </c>
      <c r="W13" t="s">
        <v>73</v>
      </c>
      <c r="X13" t="s">
        <v>73</v>
      </c>
      <c r="Y13" t="s">
        <v>73</v>
      </c>
      <c r="Z13" t="s">
        <v>73</v>
      </c>
      <c r="AA13">
        <v>282090</v>
      </c>
      <c r="AB13">
        <v>284867</v>
      </c>
      <c r="AC13">
        <v>72513</v>
      </c>
      <c r="AD13">
        <v>13789</v>
      </c>
      <c r="AE13">
        <v>7250935</v>
      </c>
      <c r="AF13">
        <v>7139275</v>
      </c>
      <c r="AG13">
        <v>33001</v>
      </c>
      <c r="AH13">
        <v>1077157</v>
      </c>
      <c r="AI13">
        <v>380893</v>
      </c>
      <c r="AJ13">
        <v>379729</v>
      </c>
      <c r="AK13">
        <v>43162</v>
      </c>
      <c r="AL13">
        <v>15215</v>
      </c>
      <c r="AM13">
        <v>90508</v>
      </c>
      <c r="AN13">
        <v>91961</v>
      </c>
      <c r="AO13">
        <v>43988</v>
      </c>
      <c r="AP13">
        <v>14475</v>
      </c>
      <c r="AQ13">
        <v>348992</v>
      </c>
      <c r="AR13">
        <v>395959</v>
      </c>
      <c r="AS13">
        <v>93107</v>
      </c>
      <c r="AT13">
        <v>10956</v>
      </c>
      <c r="AU13">
        <v>389781</v>
      </c>
      <c r="AV13">
        <v>385309</v>
      </c>
      <c r="AW13">
        <v>101298</v>
      </c>
      <c r="AX13">
        <v>40057</v>
      </c>
    </row>
    <row r="14" spans="1:50" x14ac:dyDescent="0.4">
      <c r="A14" s="1" t="s">
        <v>16</v>
      </c>
      <c r="B14" s="1" t="s">
        <v>17</v>
      </c>
      <c r="C14">
        <v>2851</v>
      </c>
      <c r="D14">
        <v>3068</v>
      </c>
      <c r="E14">
        <v>1716</v>
      </c>
      <c r="F14">
        <v>2125</v>
      </c>
      <c r="G14">
        <v>965577</v>
      </c>
      <c r="H14">
        <v>851139</v>
      </c>
      <c r="I14">
        <v>12200</v>
      </c>
      <c r="J14">
        <v>642825</v>
      </c>
      <c r="K14">
        <v>239476</v>
      </c>
      <c r="L14">
        <v>236743</v>
      </c>
      <c r="M14">
        <v>3810</v>
      </c>
      <c r="N14">
        <v>187977</v>
      </c>
      <c r="O14">
        <v>919549</v>
      </c>
      <c r="P14">
        <v>907463</v>
      </c>
      <c r="Q14">
        <v>9354</v>
      </c>
      <c r="R14">
        <v>61388</v>
      </c>
      <c r="S14">
        <v>33567</v>
      </c>
      <c r="T14">
        <v>40972</v>
      </c>
      <c r="U14">
        <v>13274</v>
      </c>
      <c r="V14">
        <v>11199</v>
      </c>
      <c r="W14">
        <v>19</v>
      </c>
      <c r="X14">
        <v>18</v>
      </c>
      <c r="Y14">
        <v>571</v>
      </c>
      <c r="Z14">
        <v>114</v>
      </c>
      <c r="AA14">
        <v>19798</v>
      </c>
      <c r="AB14">
        <v>21825</v>
      </c>
      <c r="AC14">
        <v>6113</v>
      </c>
      <c r="AD14">
        <v>22309</v>
      </c>
      <c r="AE14">
        <v>835837</v>
      </c>
      <c r="AF14">
        <v>727014</v>
      </c>
      <c r="AG14">
        <v>3254</v>
      </c>
      <c r="AH14">
        <v>1197250</v>
      </c>
      <c r="AI14">
        <v>33117</v>
      </c>
      <c r="AJ14">
        <v>31657</v>
      </c>
      <c r="AK14">
        <v>2979</v>
      </c>
      <c r="AL14">
        <v>17916</v>
      </c>
      <c r="AM14">
        <v>7662</v>
      </c>
      <c r="AN14">
        <v>8229</v>
      </c>
      <c r="AO14">
        <v>3804</v>
      </c>
      <c r="AP14">
        <v>17367</v>
      </c>
      <c r="AQ14">
        <v>63598</v>
      </c>
      <c r="AR14">
        <v>71962</v>
      </c>
      <c r="AS14">
        <v>8552</v>
      </c>
      <c r="AT14">
        <v>12472</v>
      </c>
      <c r="AU14">
        <v>28709</v>
      </c>
      <c r="AV14">
        <v>28774</v>
      </c>
      <c r="AW14">
        <v>5514</v>
      </c>
      <c r="AX14">
        <v>41977</v>
      </c>
    </row>
    <row r="15" spans="1:50" x14ac:dyDescent="0.4">
      <c r="A15" s="1" t="s">
        <v>18</v>
      </c>
      <c r="B15" s="1" t="s">
        <v>19</v>
      </c>
      <c r="C15">
        <v>4072</v>
      </c>
      <c r="D15">
        <v>3357</v>
      </c>
      <c r="E15">
        <v>1449</v>
      </c>
      <c r="F15">
        <v>2862</v>
      </c>
      <c r="G15">
        <v>888297</v>
      </c>
      <c r="H15">
        <v>925796</v>
      </c>
      <c r="I15">
        <v>11785</v>
      </c>
      <c r="J15">
        <v>609070</v>
      </c>
      <c r="K15">
        <v>347753</v>
      </c>
      <c r="L15">
        <v>330437</v>
      </c>
      <c r="M15">
        <v>4021</v>
      </c>
      <c r="N15">
        <v>206621</v>
      </c>
      <c r="O15">
        <v>955025</v>
      </c>
      <c r="P15">
        <v>951404</v>
      </c>
      <c r="Q15">
        <v>9506</v>
      </c>
      <c r="R15">
        <v>64974</v>
      </c>
      <c r="S15">
        <v>31476</v>
      </c>
      <c r="T15">
        <v>37440</v>
      </c>
      <c r="U15">
        <v>12457</v>
      </c>
      <c r="V15">
        <v>11738</v>
      </c>
      <c r="W15">
        <v>13</v>
      </c>
      <c r="X15">
        <v>16</v>
      </c>
      <c r="Y15">
        <v>541</v>
      </c>
      <c r="Z15">
        <v>112</v>
      </c>
      <c r="AA15">
        <v>21212</v>
      </c>
      <c r="AB15">
        <v>21452</v>
      </c>
      <c r="AC15">
        <v>3255</v>
      </c>
      <c r="AD15">
        <v>22063</v>
      </c>
      <c r="AE15">
        <v>641451</v>
      </c>
      <c r="AF15">
        <v>657855</v>
      </c>
      <c r="AG15">
        <v>2424</v>
      </c>
      <c r="AH15">
        <v>1180101</v>
      </c>
      <c r="AI15">
        <v>35232</v>
      </c>
      <c r="AJ15">
        <v>34735</v>
      </c>
      <c r="AK15">
        <v>3452</v>
      </c>
      <c r="AL15">
        <v>18408</v>
      </c>
      <c r="AM15">
        <v>6944</v>
      </c>
      <c r="AN15">
        <v>7441</v>
      </c>
      <c r="AO15">
        <v>3298</v>
      </c>
      <c r="AP15">
        <v>16773</v>
      </c>
      <c r="AQ15">
        <v>53101</v>
      </c>
      <c r="AR15">
        <v>56933</v>
      </c>
      <c r="AS15">
        <v>7635</v>
      </c>
      <c r="AT15">
        <v>12410</v>
      </c>
      <c r="AU15">
        <v>34744</v>
      </c>
      <c r="AV15">
        <v>34019</v>
      </c>
      <c r="AW15">
        <v>6400</v>
      </c>
      <c r="AX15">
        <v>42705</v>
      </c>
    </row>
    <row r="16" spans="1:50" x14ac:dyDescent="0.4">
      <c r="A16" s="1" t="s">
        <v>20</v>
      </c>
      <c r="B16" s="1" t="s">
        <v>21</v>
      </c>
      <c r="C16">
        <v>3490</v>
      </c>
      <c r="D16">
        <v>3618</v>
      </c>
      <c r="E16">
        <v>1333</v>
      </c>
      <c r="F16">
        <v>2805</v>
      </c>
      <c r="G16">
        <v>923384</v>
      </c>
      <c r="H16">
        <v>992167</v>
      </c>
      <c r="I16">
        <v>11083</v>
      </c>
      <c r="J16">
        <v>542995</v>
      </c>
      <c r="K16">
        <v>304851</v>
      </c>
      <c r="L16">
        <v>251638</v>
      </c>
      <c r="M16">
        <v>3820</v>
      </c>
      <c r="N16">
        <v>260603</v>
      </c>
      <c r="O16">
        <v>795613</v>
      </c>
      <c r="P16">
        <v>805462</v>
      </c>
      <c r="Q16">
        <v>8017</v>
      </c>
      <c r="R16">
        <v>55098</v>
      </c>
      <c r="S16">
        <v>30311</v>
      </c>
      <c r="T16">
        <v>39258</v>
      </c>
      <c r="U16">
        <v>13638</v>
      </c>
      <c r="V16">
        <v>9757</v>
      </c>
      <c r="W16">
        <v>20</v>
      </c>
      <c r="X16">
        <v>19</v>
      </c>
      <c r="Y16">
        <v>707</v>
      </c>
      <c r="Z16">
        <v>112</v>
      </c>
      <c r="AA16">
        <v>17402</v>
      </c>
      <c r="AB16">
        <v>16880</v>
      </c>
      <c r="AC16">
        <v>4106</v>
      </c>
      <c r="AD16">
        <v>22572</v>
      </c>
      <c r="AE16">
        <v>679846</v>
      </c>
      <c r="AF16">
        <v>710355</v>
      </c>
      <c r="AG16">
        <v>2601</v>
      </c>
      <c r="AH16">
        <v>1148775</v>
      </c>
      <c r="AI16">
        <v>32241</v>
      </c>
      <c r="AJ16">
        <v>34112</v>
      </c>
      <c r="AK16">
        <v>3308</v>
      </c>
      <c r="AL16">
        <v>16531</v>
      </c>
      <c r="AM16">
        <v>7468</v>
      </c>
      <c r="AN16">
        <v>7768</v>
      </c>
      <c r="AO16">
        <v>3768</v>
      </c>
      <c r="AP16">
        <v>16278</v>
      </c>
      <c r="AQ16">
        <v>43880</v>
      </c>
      <c r="AR16">
        <v>43968</v>
      </c>
      <c r="AS16">
        <v>7810</v>
      </c>
      <c r="AT16">
        <v>15929</v>
      </c>
      <c r="AU16">
        <v>28290</v>
      </c>
      <c r="AV16">
        <v>28390</v>
      </c>
      <c r="AW16">
        <v>6060</v>
      </c>
      <c r="AX16">
        <v>42604</v>
      </c>
    </row>
    <row r="17" spans="1:50" x14ac:dyDescent="0.4">
      <c r="A17" s="1" t="s">
        <v>22</v>
      </c>
      <c r="B17" s="1" t="s">
        <v>23</v>
      </c>
      <c r="C17">
        <v>3831</v>
      </c>
      <c r="D17">
        <v>3915</v>
      </c>
      <c r="E17">
        <v>1339</v>
      </c>
      <c r="F17">
        <v>2819</v>
      </c>
      <c r="G17">
        <v>968138</v>
      </c>
      <c r="H17">
        <v>934866</v>
      </c>
      <c r="I17">
        <v>12219</v>
      </c>
      <c r="J17">
        <v>577998</v>
      </c>
      <c r="K17">
        <v>215528</v>
      </c>
      <c r="L17">
        <v>224623</v>
      </c>
      <c r="M17">
        <v>3810</v>
      </c>
      <c r="N17">
        <v>252853</v>
      </c>
      <c r="O17">
        <v>836569</v>
      </c>
      <c r="P17">
        <v>842167</v>
      </c>
      <c r="Q17">
        <v>7863</v>
      </c>
      <c r="R17">
        <v>49473</v>
      </c>
      <c r="S17">
        <v>32380</v>
      </c>
      <c r="T17">
        <v>39551</v>
      </c>
      <c r="U17">
        <v>14175</v>
      </c>
      <c r="V17">
        <v>10160</v>
      </c>
      <c r="W17">
        <v>17</v>
      </c>
      <c r="X17">
        <v>15</v>
      </c>
      <c r="Y17">
        <v>761</v>
      </c>
      <c r="Z17">
        <v>113</v>
      </c>
      <c r="AA17">
        <v>12920</v>
      </c>
      <c r="AB17">
        <v>16059</v>
      </c>
      <c r="AC17">
        <v>4783</v>
      </c>
      <c r="AD17">
        <v>19426</v>
      </c>
      <c r="AE17">
        <v>827106</v>
      </c>
      <c r="AF17">
        <v>739901</v>
      </c>
      <c r="AG17">
        <v>2759</v>
      </c>
      <c r="AH17">
        <v>1233184</v>
      </c>
      <c r="AI17">
        <v>33813</v>
      </c>
      <c r="AJ17">
        <v>34447</v>
      </c>
      <c r="AK17">
        <v>3492</v>
      </c>
      <c r="AL17">
        <v>15892</v>
      </c>
      <c r="AM17">
        <v>7813</v>
      </c>
      <c r="AN17">
        <v>8398</v>
      </c>
      <c r="AO17">
        <v>4068</v>
      </c>
      <c r="AP17">
        <v>15925</v>
      </c>
      <c r="AQ17">
        <v>44476</v>
      </c>
      <c r="AR17">
        <v>50579</v>
      </c>
      <c r="AS17">
        <v>7657</v>
      </c>
      <c r="AT17">
        <v>13223</v>
      </c>
      <c r="AU17">
        <v>31958</v>
      </c>
      <c r="AV17">
        <v>36524</v>
      </c>
      <c r="AW17">
        <v>6212</v>
      </c>
      <c r="AX17">
        <v>38038</v>
      </c>
    </row>
    <row r="18" spans="1:50" x14ac:dyDescent="0.4">
      <c r="A18" s="1" t="s">
        <v>24</v>
      </c>
      <c r="B18" s="1" t="s">
        <v>25</v>
      </c>
      <c r="C18">
        <v>4353</v>
      </c>
      <c r="D18">
        <v>4142</v>
      </c>
      <c r="E18">
        <v>1302</v>
      </c>
      <c r="F18">
        <v>3077</v>
      </c>
      <c r="G18">
        <v>983353</v>
      </c>
      <c r="H18">
        <v>1032534</v>
      </c>
      <c r="I18">
        <v>13490</v>
      </c>
      <c r="J18">
        <v>532773</v>
      </c>
      <c r="K18">
        <v>227212</v>
      </c>
      <c r="L18">
        <v>276115</v>
      </c>
      <c r="M18">
        <v>3984</v>
      </c>
      <c r="N18">
        <v>204808</v>
      </c>
      <c r="O18">
        <v>1012086</v>
      </c>
      <c r="P18">
        <v>1018926</v>
      </c>
      <c r="Q18">
        <v>8729</v>
      </c>
      <c r="R18">
        <v>42599</v>
      </c>
      <c r="S18">
        <v>33408</v>
      </c>
      <c r="T18">
        <v>39162</v>
      </c>
      <c r="U18">
        <v>13676</v>
      </c>
      <c r="V18">
        <v>11801</v>
      </c>
      <c r="W18">
        <v>19</v>
      </c>
      <c r="X18">
        <v>17</v>
      </c>
      <c r="Y18">
        <v>708</v>
      </c>
      <c r="Z18">
        <v>115</v>
      </c>
      <c r="AA18">
        <v>21024</v>
      </c>
      <c r="AB18">
        <v>18601</v>
      </c>
      <c r="AC18">
        <v>4445</v>
      </c>
      <c r="AD18">
        <v>21845</v>
      </c>
      <c r="AE18">
        <v>783565</v>
      </c>
      <c r="AF18">
        <v>865105</v>
      </c>
      <c r="AG18">
        <v>2491</v>
      </c>
      <c r="AH18">
        <v>1149636</v>
      </c>
      <c r="AI18">
        <v>38505</v>
      </c>
      <c r="AJ18">
        <v>33899</v>
      </c>
      <c r="AK18">
        <v>3431</v>
      </c>
      <c r="AL18">
        <v>20492</v>
      </c>
      <c r="AM18">
        <v>8237</v>
      </c>
      <c r="AN18">
        <v>8245</v>
      </c>
      <c r="AO18">
        <v>3928</v>
      </c>
      <c r="AP18">
        <v>15612</v>
      </c>
      <c r="AQ18">
        <v>44635</v>
      </c>
      <c r="AR18">
        <v>48609</v>
      </c>
      <c r="AS18">
        <v>8159</v>
      </c>
      <c r="AT18">
        <v>12474</v>
      </c>
      <c r="AU18">
        <v>35209</v>
      </c>
      <c r="AV18">
        <v>35889</v>
      </c>
      <c r="AW18">
        <v>7189</v>
      </c>
      <c r="AX18">
        <v>37359</v>
      </c>
    </row>
    <row r="19" spans="1:50" x14ac:dyDescent="0.4">
      <c r="A19" s="1" t="s">
        <v>26</v>
      </c>
      <c r="B19" s="1" t="s">
        <v>27</v>
      </c>
      <c r="C19">
        <v>3448</v>
      </c>
      <c r="D19">
        <v>3896</v>
      </c>
      <c r="E19">
        <v>1343</v>
      </c>
      <c r="F19">
        <v>2701</v>
      </c>
      <c r="G19">
        <v>1024528</v>
      </c>
      <c r="H19">
        <v>1032254</v>
      </c>
      <c r="I19">
        <v>13830</v>
      </c>
      <c r="J19">
        <v>530128</v>
      </c>
      <c r="K19">
        <v>239433</v>
      </c>
      <c r="L19">
        <v>283554</v>
      </c>
      <c r="M19">
        <v>3494</v>
      </c>
      <c r="N19">
        <v>161953</v>
      </c>
      <c r="O19">
        <v>924663</v>
      </c>
      <c r="P19">
        <v>922173</v>
      </c>
      <c r="Q19">
        <v>7601</v>
      </c>
      <c r="R19">
        <v>45061</v>
      </c>
      <c r="S19">
        <v>27544</v>
      </c>
      <c r="T19">
        <v>34554</v>
      </c>
      <c r="U19">
        <v>11399</v>
      </c>
      <c r="V19">
        <v>11379</v>
      </c>
      <c r="W19">
        <v>18</v>
      </c>
      <c r="X19">
        <v>20</v>
      </c>
      <c r="Y19">
        <v>700</v>
      </c>
      <c r="Z19">
        <v>113</v>
      </c>
      <c r="AA19">
        <v>13877</v>
      </c>
      <c r="AB19">
        <v>15626</v>
      </c>
      <c r="AC19">
        <v>4475</v>
      </c>
      <c r="AD19">
        <v>19867</v>
      </c>
      <c r="AE19">
        <v>438712</v>
      </c>
      <c r="AF19">
        <v>528227</v>
      </c>
      <c r="AG19">
        <v>2064</v>
      </c>
      <c r="AH19">
        <v>1059099</v>
      </c>
      <c r="AI19">
        <v>31939</v>
      </c>
      <c r="AJ19">
        <v>34948</v>
      </c>
      <c r="AK19">
        <v>3111</v>
      </c>
      <c r="AL19">
        <v>17478</v>
      </c>
      <c r="AM19">
        <v>6643</v>
      </c>
      <c r="AN19">
        <v>7361</v>
      </c>
      <c r="AO19">
        <v>3521</v>
      </c>
      <c r="AP19">
        <v>14998</v>
      </c>
      <c r="AQ19">
        <v>45968</v>
      </c>
      <c r="AR19">
        <v>48537</v>
      </c>
      <c r="AS19">
        <v>7073</v>
      </c>
      <c r="AT19">
        <v>12810</v>
      </c>
      <c r="AU19">
        <v>34760</v>
      </c>
      <c r="AV19">
        <v>32086</v>
      </c>
      <c r="AW19">
        <v>5650</v>
      </c>
      <c r="AX19">
        <v>40033</v>
      </c>
    </row>
    <row r="20" spans="1:50" x14ac:dyDescent="0.4">
      <c r="A20" s="1" t="s">
        <v>28</v>
      </c>
      <c r="B20" s="1" t="s">
        <v>29</v>
      </c>
      <c r="C20">
        <v>4159</v>
      </c>
      <c r="D20">
        <v>4273</v>
      </c>
      <c r="E20">
        <v>1348</v>
      </c>
      <c r="F20">
        <v>3154</v>
      </c>
      <c r="G20">
        <v>1026331</v>
      </c>
      <c r="H20">
        <v>1011026</v>
      </c>
      <c r="I20">
        <v>13306</v>
      </c>
      <c r="J20">
        <v>550993</v>
      </c>
      <c r="K20">
        <v>252260</v>
      </c>
      <c r="L20">
        <v>272922</v>
      </c>
      <c r="M20">
        <v>3796</v>
      </c>
      <c r="N20">
        <v>142686</v>
      </c>
      <c r="O20">
        <v>1020891</v>
      </c>
      <c r="P20">
        <v>1024878</v>
      </c>
      <c r="Q20">
        <v>7983</v>
      </c>
      <c r="R20">
        <v>41040</v>
      </c>
      <c r="S20">
        <v>32618</v>
      </c>
      <c r="T20">
        <v>40330</v>
      </c>
      <c r="U20">
        <v>14849</v>
      </c>
      <c r="V20">
        <v>10566</v>
      </c>
      <c r="W20">
        <v>25</v>
      </c>
      <c r="X20">
        <v>20</v>
      </c>
      <c r="Y20">
        <v>287</v>
      </c>
      <c r="Z20">
        <v>117</v>
      </c>
      <c r="AA20">
        <v>19545</v>
      </c>
      <c r="AB20">
        <v>19163</v>
      </c>
      <c r="AC20">
        <v>5356</v>
      </c>
      <c r="AD20">
        <v>20216</v>
      </c>
      <c r="AE20">
        <v>690802</v>
      </c>
      <c r="AF20">
        <v>579905</v>
      </c>
      <c r="AG20">
        <v>2416</v>
      </c>
      <c r="AH20">
        <v>1169326</v>
      </c>
      <c r="AI20">
        <v>37041</v>
      </c>
      <c r="AJ20">
        <v>36095</v>
      </c>
      <c r="AK20">
        <v>3502</v>
      </c>
      <c r="AL20">
        <v>18418</v>
      </c>
      <c r="AM20">
        <v>7655</v>
      </c>
      <c r="AN20">
        <v>7216</v>
      </c>
      <c r="AO20">
        <v>3334</v>
      </c>
      <c r="AP20">
        <v>15433</v>
      </c>
      <c r="AQ20">
        <v>37891</v>
      </c>
      <c r="AR20">
        <v>41833</v>
      </c>
      <c r="AS20">
        <v>7790</v>
      </c>
      <c r="AT20">
        <v>12004</v>
      </c>
      <c r="AU20">
        <v>33977</v>
      </c>
      <c r="AV20">
        <v>35078</v>
      </c>
      <c r="AW20">
        <v>5072</v>
      </c>
      <c r="AX20">
        <v>38933</v>
      </c>
    </row>
    <row r="21" spans="1:50" x14ac:dyDescent="0.4">
      <c r="A21" s="1" t="s">
        <v>30</v>
      </c>
      <c r="B21" s="1" t="s">
        <v>31</v>
      </c>
      <c r="C21">
        <v>3996</v>
      </c>
      <c r="D21">
        <v>4288</v>
      </c>
      <c r="E21">
        <v>1290</v>
      </c>
      <c r="F21">
        <v>2890</v>
      </c>
      <c r="G21">
        <v>1039802</v>
      </c>
      <c r="H21">
        <v>1068525</v>
      </c>
      <c r="I21">
        <v>13515</v>
      </c>
      <c r="J21">
        <v>526998</v>
      </c>
      <c r="K21">
        <v>237168</v>
      </c>
      <c r="L21">
        <v>237418</v>
      </c>
      <c r="M21">
        <v>3997</v>
      </c>
      <c r="N21">
        <v>144183</v>
      </c>
      <c r="O21">
        <v>1073023</v>
      </c>
      <c r="P21">
        <v>1070308</v>
      </c>
      <c r="Q21">
        <v>8358</v>
      </c>
      <c r="R21">
        <v>43732</v>
      </c>
      <c r="S21">
        <v>36053</v>
      </c>
      <c r="T21">
        <v>44380</v>
      </c>
      <c r="U21">
        <v>14854</v>
      </c>
      <c r="V21">
        <v>9467</v>
      </c>
      <c r="W21">
        <v>19</v>
      </c>
      <c r="X21">
        <v>18</v>
      </c>
      <c r="Y21">
        <v>265</v>
      </c>
      <c r="Z21">
        <v>116</v>
      </c>
      <c r="AA21">
        <v>18126</v>
      </c>
      <c r="AB21">
        <v>17760</v>
      </c>
      <c r="AC21">
        <v>4981</v>
      </c>
      <c r="AD21">
        <v>20582</v>
      </c>
      <c r="AE21">
        <v>680589</v>
      </c>
      <c r="AF21">
        <v>744228</v>
      </c>
      <c r="AG21">
        <v>2580</v>
      </c>
      <c r="AH21">
        <v>1102516</v>
      </c>
      <c r="AI21">
        <v>37336</v>
      </c>
      <c r="AJ21">
        <v>38796</v>
      </c>
      <c r="AK21">
        <v>3564</v>
      </c>
      <c r="AL21">
        <v>16953</v>
      </c>
      <c r="AM21">
        <v>7969</v>
      </c>
      <c r="AN21">
        <v>7489</v>
      </c>
      <c r="AO21">
        <v>3695</v>
      </c>
      <c r="AP21">
        <v>15860</v>
      </c>
      <c r="AQ21">
        <v>39010</v>
      </c>
      <c r="AR21">
        <v>41826</v>
      </c>
      <c r="AS21">
        <v>8351</v>
      </c>
      <c r="AT21">
        <v>12048</v>
      </c>
      <c r="AU21">
        <v>35205</v>
      </c>
      <c r="AV21">
        <v>38539</v>
      </c>
      <c r="AW21">
        <v>7134</v>
      </c>
      <c r="AX21">
        <v>35600</v>
      </c>
    </row>
    <row r="22" spans="1:50" x14ac:dyDescent="0.4">
      <c r="A22" s="1" t="s">
        <v>32</v>
      </c>
      <c r="B22" s="1" t="s">
        <v>33</v>
      </c>
      <c r="C22">
        <v>3736</v>
      </c>
      <c r="D22">
        <v>3754</v>
      </c>
      <c r="E22">
        <v>1233</v>
      </c>
      <c r="F22">
        <v>2928</v>
      </c>
      <c r="G22">
        <v>986048</v>
      </c>
      <c r="H22">
        <v>996727</v>
      </c>
      <c r="I22">
        <v>11768</v>
      </c>
      <c r="J22">
        <v>520920</v>
      </c>
      <c r="K22">
        <v>232710</v>
      </c>
      <c r="L22">
        <v>213970</v>
      </c>
      <c r="M22">
        <v>4135</v>
      </c>
      <c r="N22">
        <v>164119</v>
      </c>
      <c r="O22">
        <v>956706</v>
      </c>
      <c r="P22">
        <v>958223</v>
      </c>
      <c r="Q22">
        <v>7740</v>
      </c>
      <c r="R22">
        <v>42180</v>
      </c>
      <c r="S22">
        <v>36649</v>
      </c>
      <c r="T22">
        <v>43351</v>
      </c>
      <c r="U22">
        <v>14281</v>
      </c>
      <c r="V22">
        <v>11784</v>
      </c>
      <c r="W22" t="s">
        <v>73</v>
      </c>
      <c r="X22" t="s">
        <v>73</v>
      </c>
      <c r="Y22" t="s">
        <v>73</v>
      </c>
      <c r="Z22" t="s">
        <v>73</v>
      </c>
      <c r="AA22">
        <v>19773</v>
      </c>
      <c r="AB22">
        <v>23515</v>
      </c>
      <c r="AC22">
        <v>6091</v>
      </c>
      <c r="AD22">
        <v>16839</v>
      </c>
      <c r="AE22">
        <v>647335</v>
      </c>
      <c r="AF22">
        <v>591099</v>
      </c>
      <c r="AG22">
        <v>2381</v>
      </c>
      <c r="AH22">
        <v>1152517</v>
      </c>
      <c r="AI22">
        <v>34413</v>
      </c>
      <c r="AJ22">
        <v>33168</v>
      </c>
      <c r="AK22">
        <v>3551</v>
      </c>
      <c r="AL22">
        <v>18192</v>
      </c>
      <c r="AM22">
        <v>7579</v>
      </c>
      <c r="AN22">
        <v>7362</v>
      </c>
      <c r="AO22">
        <v>3440</v>
      </c>
      <c r="AP22">
        <v>16208</v>
      </c>
      <c r="AQ22">
        <v>50599</v>
      </c>
      <c r="AR22">
        <v>53990</v>
      </c>
      <c r="AS22">
        <v>8231</v>
      </c>
      <c r="AT22">
        <v>12845</v>
      </c>
      <c r="AU22">
        <v>35869</v>
      </c>
      <c r="AV22">
        <v>34913</v>
      </c>
      <c r="AW22">
        <v>7275</v>
      </c>
      <c r="AX22">
        <v>36555</v>
      </c>
    </row>
    <row r="23" spans="1:50" x14ac:dyDescent="0.4">
      <c r="A23" s="1" t="s">
        <v>34</v>
      </c>
      <c r="B23" s="1" t="s">
        <v>35</v>
      </c>
      <c r="C23">
        <v>3973</v>
      </c>
      <c r="D23">
        <v>4256</v>
      </c>
      <c r="E23">
        <v>1233</v>
      </c>
      <c r="F23">
        <v>2706</v>
      </c>
      <c r="G23">
        <v>972933</v>
      </c>
      <c r="H23">
        <v>1051951</v>
      </c>
      <c r="I23">
        <v>12356</v>
      </c>
      <c r="J23">
        <v>444644</v>
      </c>
      <c r="K23">
        <v>204580</v>
      </c>
      <c r="L23">
        <v>229982</v>
      </c>
      <c r="M23">
        <v>3908</v>
      </c>
      <c r="N23">
        <v>140334</v>
      </c>
      <c r="O23">
        <v>976656</v>
      </c>
      <c r="P23">
        <v>971656</v>
      </c>
      <c r="Q23">
        <v>7806</v>
      </c>
      <c r="R23">
        <v>47146</v>
      </c>
      <c r="S23">
        <v>34423</v>
      </c>
      <c r="T23">
        <v>43430</v>
      </c>
      <c r="U23">
        <v>15801</v>
      </c>
      <c r="V23">
        <v>8245</v>
      </c>
      <c r="W23" t="s">
        <v>73</v>
      </c>
      <c r="X23" t="s">
        <v>73</v>
      </c>
      <c r="Y23" t="s">
        <v>73</v>
      </c>
      <c r="Z23" t="s">
        <v>73</v>
      </c>
      <c r="AA23">
        <v>15430</v>
      </c>
      <c r="AB23">
        <v>15582</v>
      </c>
      <c r="AC23">
        <v>6055</v>
      </c>
      <c r="AD23">
        <v>16683</v>
      </c>
      <c r="AE23">
        <v>568562</v>
      </c>
      <c r="AF23">
        <v>721430</v>
      </c>
      <c r="AG23">
        <v>2682</v>
      </c>
      <c r="AH23">
        <v>998332</v>
      </c>
      <c r="AI23">
        <v>34634</v>
      </c>
      <c r="AJ23">
        <v>38700</v>
      </c>
      <c r="AK23">
        <v>3847</v>
      </c>
      <c r="AL23">
        <v>14117</v>
      </c>
      <c r="AM23">
        <v>7307</v>
      </c>
      <c r="AN23">
        <v>7401</v>
      </c>
      <c r="AO23">
        <v>3245</v>
      </c>
      <c r="AP23">
        <v>16135</v>
      </c>
      <c r="AQ23">
        <v>41114</v>
      </c>
      <c r="AR23">
        <v>45118</v>
      </c>
      <c r="AS23">
        <v>8100</v>
      </c>
      <c r="AT23">
        <v>13358</v>
      </c>
      <c r="AU23">
        <v>31977</v>
      </c>
      <c r="AV23">
        <v>32957</v>
      </c>
      <c r="AW23">
        <v>7096</v>
      </c>
      <c r="AX23">
        <v>35576</v>
      </c>
    </row>
    <row r="24" spans="1:50" x14ac:dyDescent="0.4">
      <c r="A24" s="1" t="s">
        <v>36</v>
      </c>
      <c r="B24" s="1" t="s">
        <v>37</v>
      </c>
      <c r="C24">
        <v>4173</v>
      </c>
      <c r="D24">
        <v>3891</v>
      </c>
      <c r="E24">
        <v>1190</v>
      </c>
      <c r="F24">
        <v>3027</v>
      </c>
      <c r="G24">
        <v>1012256</v>
      </c>
      <c r="H24">
        <v>965130</v>
      </c>
      <c r="I24">
        <v>11762</v>
      </c>
      <c r="J24">
        <v>495444</v>
      </c>
      <c r="K24">
        <v>220217</v>
      </c>
      <c r="L24">
        <v>197322</v>
      </c>
      <c r="M24">
        <v>3745</v>
      </c>
      <c r="N24">
        <v>164278</v>
      </c>
      <c r="O24">
        <v>864566</v>
      </c>
      <c r="P24">
        <v>865570</v>
      </c>
      <c r="Q24">
        <v>6750</v>
      </c>
      <c r="R24">
        <v>46109</v>
      </c>
      <c r="S24">
        <v>32266</v>
      </c>
      <c r="T24">
        <v>38570</v>
      </c>
      <c r="U24">
        <v>12059</v>
      </c>
      <c r="V24">
        <v>10355</v>
      </c>
      <c r="W24" t="s">
        <v>73</v>
      </c>
      <c r="X24" t="s">
        <v>73</v>
      </c>
      <c r="Y24" t="s">
        <v>73</v>
      </c>
      <c r="Z24" t="s">
        <v>73</v>
      </c>
      <c r="AA24">
        <v>16112</v>
      </c>
      <c r="AB24">
        <v>20226</v>
      </c>
      <c r="AC24">
        <v>5083</v>
      </c>
      <c r="AD24">
        <v>12566</v>
      </c>
      <c r="AE24">
        <v>539690</v>
      </c>
      <c r="AF24">
        <v>500427</v>
      </c>
      <c r="AG24">
        <v>2213</v>
      </c>
      <c r="AH24">
        <v>1033179</v>
      </c>
      <c r="AI24">
        <v>31054</v>
      </c>
      <c r="AJ24">
        <v>27146</v>
      </c>
      <c r="AK24">
        <v>3169</v>
      </c>
      <c r="AL24">
        <v>18019</v>
      </c>
      <c r="AM24">
        <v>7130</v>
      </c>
      <c r="AN24">
        <v>6741</v>
      </c>
      <c r="AO24">
        <v>3344</v>
      </c>
      <c r="AP24">
        <v>16432</v>
      </c>
      <c r="AQ24">
        <v>39037</v>
      </c>
      <c r="AR24">
        <v>44511</v>
      </c>
      <c r="AS24">
        <v>8351</v>
      </c>
      <c r="AT24">
        <v>11840</v>
      </c>
      <c r="AU24">
        <v>33157</v>
      </c>
      <c r="AV24">
        <v>33904</v>
      </c>
      <c r="AW24">
        <v>7894</v>
      </c>
      <c r="AX24">
        <v>34829</v>
      </c>
    </row>
    <row r="25" spans="1:50" x14ac:dyDescent="0.4">
      <c r="A25" s="1" t="s">
        <v>38</v>
      </c>
      <c r="B25" s="1" t="s">
        <v>39</v>
      </c>
      <c r="C25">
        <v>4266</v>
      </c>
      <c r="D25">
        <v>4365</v>
      </c>
      <c r="E25">
        <v>1391</v>
      </c>
      <c r="F25">
        <v>2978</v>
      </c>
      <c r="G25">
        <v>910119</v>
      </c>
      <c r="H25">
        <v>929365</v>
      </c>
      <c r="I25">
        <v>12336</v>
      </c>
      <c r="J25">
        <v>478308</v>
      </c>
      <c r="K25">
        <v>198512</v>
      </c>
      <c r="L25">
        <v>164031</v>
      </c>
      <c r="M25">
        <v>3797</v>
      </c>
      <c r="N25">
        <v>199001</v>
      </c>
      <c r="O25">
        <v>1000200</v>
      </c>
      <c r="P25">
        <v>1001728</v>
      </c>
      <c r="Q25">
        <v>7474</v>
      </c>
      <c r="R25">
        <v>44556</v>
      </c>
      <c r="S25">
        <v>33037</v>
      </c>
      <c r="T25">
        <v>40622</v>
      </c>
      <c r="U25">
        <v>14142</v>
      </c>
      <c r="V25">
        <v>9914</v>
      </c>
      <c r="W25" t="s">
        <v>73</v>
      </c>
      <c r="X25" t="s">
        <v>73</v>
      </c>
      <c r="Y25" t="s">
        <v>73</v>
      </c>
      <c r="Z25" t="s">
        <v>73</v>
      </c>
      <c r="AA25">
        <v>23495</v>
      </c>
      <c r="AB25">
        <v>23736</v>
      </c>
      <c r="AC25">
        <v>5152</v>
      </c>
      <c r="AD25">
        <v>12322</v>
      </c>
      <c r="AE25">
        <v>633474</v>
      </c>
      <c r="AF25">
        <v>594427</v>
      </c>
      <c r="AG25">
        <v>2565</v>
      </c>
      <c r="AH25">
        <v>1067347</v>
      </c>
      <c r="AI25">
        <v>31380</v>
      </c>
      <c r="AJ25">
        <v>31950</v>
      </c>
      <c r="AK25">
        <v>3098</v>
      </c>
      <c r="AL25">
        <v>17443</v>
      </c>
      <c r="AM25">
        <v>7141</v>
      </c>
      <c r="AN25">
        <v>6784</v>
      </c>
      <c r="AO25">
        <v>3317</v>
      </c>
      <c r="AP25">
        <v>16540</v>
      </c>
      <c r="AQ25">
        <v>27805</v>
      </c>
      <c r="AR25">
        <v>31434</v>
      </c>
      <c r="AS25">
        <v>8009</v>
      </c>
      <c r="AT25">
        <v>11866</v>
      </c>
      <c r="AU25">
        <v>32325</v>
      </c>
      <c r="AV25">
        <v>34607</v>
      </c>
      <c r="AW25">
        <v>7680</v>
      </c>
      <c r="AX25">
        <v>32548</v>
      </c>
    </row>
    <row r="26" spans="1:50" x14ac:dyDescent="0.4">
      <c r="A26" s="1" t="s">
        <v>40</v>
      </c>
      <c r="B26" s="1" t="s">
        <v>41</v>
      </c>
      <c r="C26">
        <v>4539</v>
      </c>
      <c r="D26">
        <v>4524</v>
      </c>
      <c r="E26">
        <v>1633</v>
      </c>
      <c r="F26">
        <v>2748</v>
      </c>
      <c r="G26">
        <v>1022935</v>
      </c>
      <c r="H26">
        <v>938155</v>
      </c>
      <c r="I26">
        <v>12731</v>
      </c>
      <c r="J26">
        <v>566257</v>
      </c>
      <c r="K26">
        <v>206063</v>
      </c>
      <c r="L26">
        <v>195136</v>
      </c>
      <c r="M26">
        <v>3957</v>
      </c>
      <c r="N26">
        <v>210157</v>
      </c>
      <c r="O26">
        <v>1078349</v>
      </c>
      <c r="P26">
        <v>1075661</v>
      </c>
      <c r="Q26">
        <v>8129</v>
      </c>
      <c r="R26">
        <v>47212</v>
      </c>
      <c r="S26">
        <v>36156</v>
      </c>
      <c r="T26">
        <v>43601</v>
      </c>
      <c r="U26">
        <v>14719</v>
      </c>
      <c r="V26">
        <v>10272</v>
      </c>
      <c r="W26" t="s">
        <v>73</v>
      </c>
      <c r="X26" t="s">
        <v>73</v>
      </c>
      <c r="Y26" t="s">
        <v>73</v>
      </c>
      <c r="Z26" t="s">
        <v>73</v>
      </c>
      <c r="AA26">
        <v>21826</v>
      </c>
      <c r="AB26">
        <v>23821</v>
      </c>
      <c r="AC26">
        <v>6756</v>
      </c>
      <c r="AD26">
        <v>10274</v>
      </c>
      <c r="AE26">
        <v>681786</v>
      </c>
      <c r="AF26">
        <v>600893</v>
      </c>
      <c r="AG26">
        <v>2294</v>
      </c>
      <c r="AH26">
        <v>1144281</v>
      </c>
      <c r="AI26">
        <v>32701</v>
      </c>
      <c r="AJ26">
        <v>32248</v>
      </c>
      <c r="AK26">
        <v>3757</v>
      </c>
      <c r="AL26">
        <v>17891</v>
      </c>
      <c r="AM26">
        <v>7303</v>
      </c>
      <c r="AN26">
        <v>7880</v>
      </c>
      <c r="AO26">
        <v>3758</v>
      </c>
      <c r="AP26">
        <v>16323</v>
      </c>
      <c r="AQ26">
        <v>27595</v>
      </c>
      <c r="AR26">
        <v>33033</v>
      </c>
      <c r="AS26">
        <v>8759</v>
      </c>
      <c r="AT26">
        <v>11634</v>
      </c>
      <c r="AU26">
        <v>33585</v>
      </c>
      <c r="AV26">
        <v>32426</v>
      </c>
      <c r="AW26">
        <v>8289</v>
      </c>
      <c r="AX26">
        <v>33707</v>
      </c>
    </row>
    <row r="27" spans="1:50" x14ac:dyDescent="0.4">
      <c r="A27" s="1" t="s">
        <v>42</v>
      </c>
      <c r="B27" s="1" t="s">
        <v>43</v>
      </c>
      <c r="C27">
        <v>6709</v>
      </c>
      <c r="D27">
        <v>5724</v>
      </c>
      <c r="E27">
        <v>1495</v>
      </c>
      <c r="F27">
        <v>3792</v>
      </c>
      <c r="G27">
        <v>963040</v>
      </c>
      <c r="H27">
        <v>1048926</v>
      </c>
      <c r="I27">
        <v>12968</v>
      </c>
      <c r="J27">
        <v>481910</v>
      </c>
      <c r="K27">
        <v>195633</v>
      </c>
      <c r="L27">
        <v>194670</v>
      </c>
      <c r="M27">
        <v>3807</v>
      </c>
      <c r="N27">
        <v>211434</v>
      </c>
      <c r="O27">
        <v>1120618</v>
      </c>
      <c r="P27">
        <v>1114575</v>
      </c>
      <c r="Q27">
        <v>8022</v>
      </c>
      <c r="R27">
        <v>53223</v>
      </c>
      <c r="S27">
        <v>37333</v>
      </c>
      <c r="T27">
        <v>45979</v>
      </c>
      <c r="U27">
        <v>15346</v>
      </c>
      <c r="V27">
        <v>9174</v>
      </c>
      <c r="W27" t="s">
        <v>73</v>
      </c>
      <c r="X27" t="s">
        <v>73</v>
      </c>
      <c r="Y27" t="s">
        <v>73</v>
      </c>
      <c r="Z27" t="s">
        <v>73</v>
      </c>
      <c r="AA27">
        <v>25536</v>
      </c>
      <c r="AB27">
        <v>23482</v>
      </c>
      <c r="AC27">
        <v>5870</v>
      </c>
      <c r="AD27">
        <v>12322</v>
      </c>
      <c r="AE27">
        <v>457517</v>
      </c>
      <c r="AF27">
        <v>520739</v>
      </c>
      <c r="AG27">
        <v>2337</v>
      </c>
      <c r="AH27">
        <v>1079183</v>
      </c>
      <c r="AI27">
        <v>33980</v>
      </c>
      <c r="AJ27">
        <v>37380</v>
      </c>
      <c r="AK27">
        <v>3966</v>
      </c>
      <c r="AL27">
        <v>14485</v>
      </c>
      <c r="AM27">
        <v>6913</v>
      </c>
      <c r="AN27">
        <v>7747</v>
      </c>
      <c r="AO27">
        <v>3790</v>
      </c>
      <c r="AP27">
        <v>15925</v>
      </c>
      <c r="AQ27">
        <v>23329</v>
      </c>
      <c r="AR27">
        <v>25578</v>
      </c>
      <c r="AS27">
        <v>7477</v>
      </c>
      <c r="AT27">
        <v>11871</v>
      </c>
      <c r="AU27">
        <v>31924</v>
      </c>
      <c r="AV27">
        <v>32606</v>
      </c>
      <c r="AW27">
        <v>8562</v>
      </c>
      <c r="AX27">
        <v>33026</v>
      </c>
    </row>
    <row r="28" spans="1:50" x14ac:dyDescent="0.4">
      <c r="A28" s="1" t="s">
        <v>44</v>
      </c>
      <c r="B28" s="1" t="s">
        <v>45</v>
      </c>
      <c r="C28">
        <v>5758</v>
      </c>
      <c r="D28">
        <v>5829</v>
      </c>
      <c r="E28">
        <v>1413</v>
      </c>
      <c r="F28">
        <v>3833</v>
      </c>
      <c r="G28">
        <v>1003090</v>
      </c>
      <c r="H28">
        <v>1044071</v>
      </c>
      <c r="I28">
        <v>12501</v>
      </c>
      <c r="J28">
        <v>446081</v>
      </c>
      <c r="K28">
        <v>186418</v>
      </c>
      <c r="L28">
        <v>227645</v>
      </c>
      <c r="M28">
        <v>3698</v>
      </c>
      <c r="N28">
        <v>170390</v>
      </c>
      <c r="O28">
        <v>1031845</v>
      </c>
      <c r="P28">
        <v>1041341</v>
      </c>
      <c r="Q28">
        <v>7275</v>
      </c>
      <c r="R28">
        <v>43700</v>
      </c>
      <c r="S28">
        <v>33938</v>
      </c>
      <c r="T28">
        <v>41234</v>
      </c>
      <c r="U28">
        <v>13718</v>
      </c>
      <c r="V28">
        <v>9553</v>
      </c>
      <c r="W28" t="s">
        <v>73</v>
      </c>
      <c r="X28" t="s">
        <v>73</v>
      </c>
      <c r="Y28" t="s">
        <v>73</v>
      </c>
      <c r="Z28" t="s">
        <v>73</v>
      </c>
      <c r="AA28">
        <v>19494</v>
      </c>
      <c r="AB28">
        <v>20012</v>
      </c>
      <c r="AC28">
        <v>5732</v>
      </c>
      <c r="AD28">
        <v>11802</v>
      </c>
      <c r="AE28">
        <v>511188</v>
      </c>
      <c r="AF28">
        <v>482566</v>
      </c>
      <c r="AG28">
        <v>2034</v>
      </c>
      <c r="AH28">
        <v>1107107</v>
      </c>
      <c r="AI28">
        <v>31293</v>
      </c>
      <c r="AJ28">
        <v>31835</v>
      </c>
      <c r="AK28">
        <v>3562</v>
      </c>
      <c r="AL28">
        <v>13938</v>
      </c>
      <c r="AM28">
        <v>7045</v>
      </c>
      <c r="AN28">
        <v>7102</v>
      </c>
      <c r="AO28">
        <v>3474</v>
      </c>
      <c r="AP28">
        <v>15385</v>
      </c>
      <c r="AQ28">
        <v>25579</v>
      </c>
      <c r="AR28">
        <v>29512</v>
      </c>
      <c r="AS28">
        <v>7393</v>
      </c>
      <c r="AT28">
        <v>12005</v>
      </c>
      <c r="AU28">
        <v>31486</v>
      </c>
      <c r="AV28">
        <v>29789</v>
      </c>
      <c r="AW28">
        <v>8477</v>
      </c>
      <c r="AX28">
        <v>34723</v>
      </c>
    </row>
    <row r="29" spans="1:50" x14ac:dyDescent="0.4">
      <c r="A29" s="1" t="s">
        <v>46</v>
      </c>
      <c r="B29" s="1" t="s">
        <v>47</v>
      </c>
      <c r="C29">
        <v>5935</v>
      </c>
      <c r="D29">
        <v>6508</v>
      </c>
      <c r="E29">
        <v>1698</v>
      </c>
      <c r="F29">
        <v>4214</v>
      </c>
      <c r="G29">
        <v>1006900</v>
      </c>
      <c r="H29">
        <v>1041814</v>
      </c>
      <c r="I29">
        <v>13933</v>
      </c>
      <c r="J29">
        <v>417728</v>
      </c>
      <c r="K29">
        <v>179678</v>
      </c>
      <c r="L29">
        <v>235272</v>
      </c>
      <c r="M29">
        <v>4128</v>
      </c>
      <c r="N29">
        <v>115139</v>
      </c>
      <c r="O29">
        <v>1148329</v>
      </c>
      <c r="P29">
        <v>1139905</v>
      </c>
      <c r="Q29">
        <v>8025</v>
      </c>
      <c r="R29">
        <v>52097</v>
      </c>
      <c r="S29">
        <v>38217</v>
      </c>
      <c r="T29">
        <v>47968</v>
      </c>
      <c r="U29">
        <v>15700</v>
      </c>
      <c r="V29">
        <v>6021</v>
      </c>
      <c r="W29" t="s">
        <v>73</v>
      </c>
      <c r="X29" t="s">
        <v>73</v>
      </c>
      <c r="Y29" t="s">
        <v>73</v>
      </c>
      <c r="Z29" t="s">
        <v>73</v>
      </c>
      <c r="AA29">
        <v>22522</v>
      </c>
      <c r="AB29">
        <v>21238</v>
      </c>
      <c r="AC29">
        <v>6480</v>
      </c>
      <c r="AD29">
        <v>13081</v>
      </c>
      <c r="AE29">
        <v>673824</v>
      </c>
      <c r="AF29">
        <v>598955</v>
      </c>
      <c r="AG29">
        <v>3449</v>
      </c>
      <c r="AH29">
        <v>1176259</v>
      </c>
      <c r="AI29">
        <v>30353</v>
      </c>
      <c r="AJ29">
        <v>29257</v>
      </c>
      <c r="AK29">
        <v>3704</v>
      </c>
      <c r="AL29">
        <v>15029</v>
      </c>
      <c r="AM29">
        <v>7637</v>
      </c>
      <c r="AN29">
        <v>7626</v>
      </c>
      <c r="AO29">
        <v>3600</v>
      </c>
      <c r="AP29">
        <v>15209</v>
      </c>
      <c r="AQ29">
        <v>26739</v>
      </c>
      <c r="AR29">
        <v>31187</v>
      </c>
      <c r="AS29">
        <v>7694</v>
      </c>
      <c r="AT29">
        <v>17371</v>
      </c>
      <c r="AU29">
        <v>28905</v>
      </c>
      <c r="AV29">
        <v>30835</v>
      </c>
      <c r="AW29">
        <v>8004</v>
      </c>
      <c r="AX29">
        <v>32792</v>
      </c>
    </row>
    <row r="30" spans="1:50" x14ac:dyDescent="0.4">
      <c r="A30" s="1" t="s">
        <v>48</v>
      </c>
      <c r="B30" s="1" t="s">
        <v>49</v>
      </c>
      <c r="C30">
        <v>6694</v>
      </c>
      <c r="D30">
        <v>6718</v>
      </c>
      <c r="E30">
        <v>1550</v>
      </c>
      <c r="F30">
        <v>4340</v>
      </c>
      <c r="G30">
        <v>1060469</v>
      </c>
      <c r="H30">
        <v>1073741</v>
      </c>
      <c r="I30">
        <v>15883</v>
      </c>
      <c r="J30">
        <v>413780</v>
      </c>
      <c r="K30">
        <v>194833</v>
      </c>
      <c r="L30">
        <v>231517</v>
      </c>
      <c r="M30">
        <v>4188</v>
      </c>
      <c r="N30">
        <v>78594</v>
      </c>
      <c r="O30">
        <v>1271705</v>
      </c>
      <c r="P30">
        <v>1282592</v>
      </c>
      <c r="Q30">
        <v>8880</v>
      </c>
      <c r="R30">
        <v>41187</v>
      </c>
      <c r="S30">
        <v>37169</v>
      </c>
      <c r="T30">
        <v>44189</v>
      </c>
      <c r="U30">
        <v>13680</v>
      </c>
      <c r="V30">
        <v>9069</v>
      </c>
      <c r="W30" t="s">
        <v>73</v>
      </c>
      <c r="X30" t="s">
        <v>73</v>
      </c>
      <c r="Y30" t="s">
        <v>73</v>
      </c>
      <c r="Z30" t="s">
        <v>73</v>
      </c>
      <c r="AA30">
        <v>28211</v>
      </c>
      <c r="AB30">
        <v>26114</v>
      </c>
      <c r="AC30">
        <v>6397</v>
      </c>
      <c r="AD30">
        <v>15167</v>
      </c>
      <c r="AE30">
        <v>596081</v>
      </c>
      <c r="AF30">
        <v>667062</v>
      </c>
      <c r="AG30">
        <v>2843</v>
      </c>
      <c r="AH30">
        <v>1103361</v>
      </c>
      <c r="AI30">
        <v>31162</v>
      </c>
      <c r="AJ30">
        <v>29829</v>
      </c>
      <c r="AK30">
        <v>3727</v>
      </c>
      <c r="AL30">
        <v>16356</v>
      </c>
      <c r="AM30">
        <v>7883</v>
      </c>
      <c r="AN30">
        <v>7822</v>
      </c>
      <c r="AO30">
        <v>3757</v>
      </c>
      <c r="AP30">
        <v>14950</v>
      </c>
      <c r="AQ30">
        <v>35274</v>
      </c>
      <c r="AR30">
        <v>39808</v>
      </c>
      <c r="AS30">
        <v>7853</v>
      </c>
      <c r="AT30">
        <v>15589</v>
      </c>
      <c r="AU30">
        <v>35012</v>
      </c>
      <c r="AV30">
        <v>34024</v>
      </c>
      <c r="AW30">
        <v>9921</v>
      </c>
      <c r="AX30">
        <v>33781</v>
      </c>
    </row>
    <row r="31" spans="1:50" x14ac:dyDescent="0.4">
      <c r="A31" s="1" t="s">
        <v>50</v>
      </c>
      <c r="B31" s="1" t="s">
        <v>51</v>
      </c>
      <c r="C31">
        <v>6048</v>
      </c>
      <c r="D31">
        <v>5868</v>
      </c>
      <c r="E31">
        <v>1598</v>
      </c>
      <c r="F31">
        <v>4660</v>
      </c>
      <c r="G31">
        <v>1058770</v>
      </c>
      <c r="H31">
        <v>1064619</v>
      </c>
      <c r="I31">
        <v>14215</v>
      </c>
      <c r="J31">
        <v>414963</v>
      </c>
      <c r="K31">
        <v>220110</v>
      </c>
      <c r="L31">
        <v>209693</v>
      </c>
      <c r="M31">
        <v>3612</v>
      </c>
      <c r="N31">
        <v>89104</v>
      </c>
      <c r="O31">
        <v>1082233</v>
      </c>
      <c r="P31">
        <v>1076174</v>
      </c>
      <c r="Q31">
        <v>7899</v>
      </c>
      <c r="R31">
        <v>47230</v>
      </c>
      <c r="S31">
        <v>34701</v>
      </c>
      <c r="T31">
        <v>41895</v>
      </c>
      <c r="U31">
        <v>13481</v>
      </c>
      <c r="V31">
        <v>9027</v>
      </c>
      <c r="W31" t="s">
        <v>73</v>
      </c>
      <c r="X31" t="s">
        <v>73</v>
      </c>
      <c r="Y31" t="s">
        <v>73</v>
      </c>
      <c r="Z31" t="s">
        <v>73</v>
      </c>
      <c r="AA31">
        <v>21134</v>
      </c>
      <c r="AB31">
        <v>24883</v>
      </c>
      <c r="AC31">
        <v>5184</v>
      </c>
      <c r="AD31">
        <v>11418</v>
      </c>
      <c r="AE31">
        <v>425411</v>
      </c>
      <c r="AF31">
        <v>503349</v>
      </c>
      <c r="AG31">
        <v>2602</v>
      </c>
      <c r="AH31">
        <v>1023648</v>
      </c>
      <c r="AI31">
        <v>26799</v>
      </c>
      <c r="AJ31">
        <v>28663</v>
      </c>
      <c r="AK31">
        <v>3413</v>
      </c>
      <c r="AL31">
        <v>14487</v>
      </c>
      <c r="AM31">
        <v>6462</v>
      </c>
      <c r="AN31">
        <v>6992</v>
      </c>
      <c r="AO31">
        <v>3265</v>
      </c>
      <c r="AP31">
        <v>14926</v>
      </c>
      <c r="AQ31">
        <v>22737</v>
      </c>
      <c r="AR31">
        <v>26247</v>
      </c>
      <c r="AS31">
        <v>7388</v>
      </c>
      <c r="AT31">
        <v>14000</v>
      </c>
      <c r="AU31">
        <v>33375</v>
      </c>
      <c r="AV31">
        <v>30830</v>
      </c>
      <c r="AW31">
        <v>8875</v>
      </c>
      <c r="AX31">
        <v>36327</v>
      </c>
    </row>
    <row r="32" spans="1:50" x14ac:dyDescent="0.4">
      <c r="A32" s="1" t="s">
        <v>52</v>
      </c>
      <c r="B32" s="1" t="s">
        <v>53</v>
      </c>
      <c r="C32">
        <v>6487</v>
      </c>
      <c r="D32">
        <v>7107</v>
      </c>
      <c r="E32">
        <v>1823</v>
      </c>
      <c r="F32">
        <v>4554</v>
      </c>
      <c r="G32">
        <v>1172355</v>
      </c>
      <c r="H32">
        <v>1145414</v>
      </c>
      <c r="I32">
        <v>16452</v>
      </c>
      <c r="J32">
        <v>448384</v>
      </c>
      <c r="K32">
        <v>206917</v>
      </c>
      <c r="L32">
        <v>205848</v>
      </c>
      <c r="M32">
        <v>4002</v>
      </c>
      <c r="N32">
        <v>90482</v>
      </c>
      <c r="O32">
        <v>1392810</v>
      </c>
      <c r="P32">
        <v>1382565</v>
      </c>
      <c r="Q32">
        <v>9398</v>
      </c>
      <c r="R32">
        <v>57441</v>
      </c>
      <c r="S32">
        <v>39826</v>
      </c>
      <c r="T32">
        <v>47106</v>
      </c>
      <c r="U32">
        <v>14485</v>
      </c>
      <c r="V32">
        <v>9615</v>
      </c>
      <c r="W32" t="s">
        <v>73</v>
      </c>
      <c r="X32" t="s">
        <v>73</v>
      </c>
      <c r="Y32" t="s">
        <v>73</v>
      </c>
      <c r="Z32" t="s">
        <v>73</v>
      </c>
      <c r="AA32">
        <v>23559</v>
      </c>
      <c r="AB32">
        <v>21570</v>
      </c>
      <c r="AC32">
        <v>6250</v>
      </c>
      <c r="AD32">
        <v>13397</v>
      </c>
      <c r="AE32">
        <v>700791</v>
      </c>
      <c r="AF32">
        <v>598415</v>
      </c>
      <c r="AG32">
        <v>2505</v>
      </c>
      <c r="AH32">
        <v>1126054</v>
      </c>
      <c r="AI32">
        <v>33811</v>
      </c>
      <c r="AJ32">
        <v>30243</v>
      </c>
      <c r="AK32">
        <v>3653</v>
      </c>
      <c r="AL32">
        <v>18049</v>
      </c>
      <c r="AM32">
        <v>8252</v>
      </c>
      <c r="AN32">
        <v>7472</v>
      </c>
      <c r="AO32">
        <v>3554</v>
      </c>
      <c r="AP32">
        <v>15283</v>
      </c>
      <c r="AQ32">
        <v>31755</v>
      </c>
      <c r="AR32">
        <v>37025</v>
      </c>
      <c r="AS32">
        <v>7681</v>
      </c>
      <c r="AT32">
        <v>10833</v>
      </c>
      <c r="AU32">
        <v>30657</v>
      </c>
      <c r="AV32">
        <v>28147</v>
      </c>
      <c r="AW32">
        <v>8244</v>
      </c>
      <c r="AX32">
        <v>38838</v>
      </c>
    </row>
    <row r="33" spans="1:50" x14ac:dyDescent="0.4">
      <c r="A33" s="1" t="s">
        <v>54</v>
      </c>
      <c r="B33" s="1" t="s">
        <v>55</v>
      </c>
      <c r="C33">
        <v>5886</v>
      </c>
      <c r="D33">
        <v>6674</v>
      </c>
      <c r="E33">
        <v>1838</v>
      </c>
      <c r="F33">
        <v>3920</v>
      </c>
      <c r="G33">
        <v>1183134</v>
      </c>
      <c r="H33">
        <v>1238399</v>
      </c>
      <c r="I33">
        <v>16809</v>
      </c>
      <c r="J33">
        <v>397152</v>
      </c>
      <c r="K33">
        <v>245973</v>
      </c>
      <c r="L33">
        <v>251178</v>
      </c>
      <c r="M33">
        <v>4116</v>
      </c>
      <c r="N33">
        <v>85386</v>
      </c>
      <c r="O33">
        <v>1307543</v>
      </c>
      <c r="P33">
        <v>1323135</v>
      </c>
      <c r="Q33">
        <v>9089</v>
      </c>
      <c r="R33">
        <v>41825</v>
      </c>
      <c r="S33">
        <v>39909</v>
      </c>
      <c r="T33">
        <v>47690</v>
      </c>
      <c r="U33">
        <v>16218</v>
      </c>
      <c r="V33">
        <v>9987</v>
      </c>
      <c r="W33" t="s">
        <v>73</v>
      </c>
      <c r="X33" t="s">
        <v>73</v>
      </c>
      <c r="Y33" t="s">
        <v>73</v>
      </c>
      <c r="Z33" t="s">
        <v>73</v>
      </c>
      <c r="AA33">
        <v>27902</v>
      </c>
      <c r="AB33">
        <v>28809</v>
      </c>
      <c r="AC33">
        <v>5952</v>
      </c>
      <c r="AD33">
        <v>12476</v>
      </c>
      <c r="AE33">
        <v>731193</v>
      </c>
      <c r="AF33">
        <v>694688</v>
      </c>
      <c r="AG33">
        <v>3256</v>
      </c>
      <c r="AH33">
        <v>1159220</v>
      </c>
      <c r="AI33">
        <v>31953</v>
      </c>
      <c r="AJ33">
        <v>34526</v>
      </c>
      <c r="AK33">
        <v>3655</v>
      </c>
      <c r="AL33">
        <v>15471</v>
      </c>
      <c r="AM33">
        <v>8665</v>
      </c>
      <c r="AN33">
        <v>8525</v>
      </c>
      <c r="AO33">
        <v>3961</v>
      </c>
      <c r="AP33">
        <v>15101</v>
      </c>
      <c r="AQ33">
        <v>30564</v>
      </c>
      <c r="AR33">
        <v>33961</v>
      </c>
      <c r="AS33">
        <v>7522</v>
      </c>
      <c r="AT33">
        <v>10487</v>
      </c>
      <c r="AU33">
        <v>34756</v>
      </c>
      <c r="AV33">
        <v>32412</v>
      </c>
      <c r="AW33">
        <v>9662</v>
      </c>
      <c r="AX33">
        <v>41183</v>
      </c>
    </row>
    <row r="34" spans="1:50" x14ac:dyDescent="0.4">
      <c r="A34" s="1" t="s">
        <v>56</v>
      </c>
      <c r="B34" s="1" t="s">
        <v>57</v>
      </c>
      <c r="C34">
        <v>5262</v>
      </c>
      <c r="D34">
        <v>5405</v>
      </c>
      <c r="E34">
        <v>1566</v>
      </c>
      <c r="F34">
        <v>3930</v>
      </c>
      <c r="G34">
        <v>1111737</v>
      </c>
      <c r="H34">
        <v>1081787</v>
      </c>
      <c r="I34">
        <v>14037</v>
      </c>
      <c r="J34">
        <v>435508</v>
      </c>
      <c r="K34">
        <v>237902</v>
      </c>
      <c r="L34">
        <v>216389</v>
      </c>
      <c r="M34">
        <v>3836</v>
      </c>
      <c r="N34">
        <v>107183</v>
      </c>
      <c r="O34">
        <v>1090646</v>
      </c>
      <c r="P34">
        <v>1089994</v>
      </c>
      <c r="Q34">
        <v>7682</v>
      </c>
      <c r="R34">
        <v>42446</v>
      </c>
      <c r="S34">
        <v>34587</v>
      </c>
      <c r="T34">
        <v>42239</v>
      </c>
      <c r="U34">
        <v>13766</v>
      </c>
      <c r="V34">
        <v>9364</v>
      </c>
      <c r="W34" t="s">
        <v>73</v>
      </c>
      <c r="X34" t="s">
        <v>73</v>
      </c>
      <c r="Y34" t="s">
        <v>73</v>
      </c>
      <c r="Z34" t="s">
        <v>73</v>
      </c>
      <c r="AA34">
        <v>26074</v>
      </c>
      <c r="AB34">
        <v>26548</v>
      </c>
      <c r="AC34">
        <v>6695</v>
      </c>
      <c r="AD34">
        <v>12004</v>
      </c>
      <c r="AE34">
        <v>681013</v>
      </c>
      <c r="AF34">
        <v>622452</v>
      </c>
      <c r="AG34">
        <v>3251</v>
      </c>
      <c r="AH34">
        <v>1214748</v>
      </c>
      <c r="AI34">
        <v>32423</v>
      </c>
      <c r="AJ34">
        <v>31687</v>
      </c>
      <c r="AK34">
        <v>3553</v>
      </c>
      <c r="AL34">
        <v>16201</v>
      </c>
      <c r="AM34">
        <v>7942</v>
      </c>
      <c r="AN34">
        <v>8487</v>
      </c>
      <c r="AO34">
        <v>4019</v>
      </c>
      <c r="AP34">
        <v>15161</v>
      </c>
      <c r="AQ34">
        <v>29708</v>
      </c>
      <c r="AR34">
        <v>32191</v>
      </c>
      <c r="AS34">
        <v>7517</v>
      </c>
      <c r="AT34">
        <v>10694</v>
      </c>
      <c r="AU34">
        <v>34214</v>
      </c>
      <c r="AV34">
        <v>32019</v>
      </c>
      <c r="AW34">
        <v>8370</v>
      </c>
      <c r="AX34">
        <v>43380</v>
      </c>
    </row>
    <row r="35" spans="1:50" x14ac:dyDescent="0.4">
      <c r="A35" s="1" t="s">
        <v>58</v>
      </c>
      <c r="B35" s="1" t="s">
        <v>59</v>
      </c>
      <c r="C35">
        <v>5975</v>
      </c>
      <c r="D35">
        <v>6057</v>
      </c>
      <c r="E35">
        <v>1572</v>
      </c>
      <c r="F35">
        <v>3660</v>
      </c>
      <c r="G35">
        <v>1082628</v>
      </c>
      <c r="H35">
        <v>1026705</v>
      </c>
      <c r="I35">
        <v>15469</v>
      </c>
      <c r="J35">
        <v>493207</v>
      </c>
      <c r="K35">
        <v>233586</v>
      </c>
      <c r="L35">
        <v>218431</v>
      </c>
      <c r="M35">
        <v>3922</v>
      </c>
      <c r="N35">
        <v>122335</v>
      </c>
      <c r="O35">
        <v>1157442</v>
      </c>
      <c r="P35">
        <v>1143084</v>
      </c>
      <c r="Q35">
        <v>8417</v>
      </c>
      <c r="R35">
        <v>56769</v>
      </c>
      <c r="S35">
        <v>37496</v>
      </c>
      <c r="T35">
        <v>46061</v>
      </c>
      <c r="U35">
        <v>15030</v>
      </c>
      <c r="V35">
        <v>8182</v>
      </c>
      <c r="W35" t="s">
        <v>73</v>
      </c>
      <c r="X35" t="s">
        <v>73</v>
      </c>
      <c r="Y35" t="s">
        <v>73</v>
      </c>
      <c r="Z35" t="s">
        <v>73</v>
      </c>
      <c r="AA35">
        <v>26225</v>
      </c>
      <c r="AB35">
        <v>24428</v>
      </c>
      <c r="AC35">
        <v>6962</v>
      </c>
      <c r="AD35">
        <v>13789</v>
      </c>
      <c r="AE35">
        <v>618967</v>
      </c>
      <c r="AF35">
        <v>755302</v>
      </c>
      <c r="AG35">
        <v>3652</v>
      </c>
      <c r="AH35">
        <v>1077157</v>
      </c>
      <c r="AI35">
        <v>33984</v>
      </c>
      <c r="AJ35">
        <v>34965</v>
      </c>
      <c r="AK35">
        <v>3905</v>
      </c>
      <c r="AL35">
        <v>15215</v>
      </c>
      <c r="AM35">
        <v>8135</v>
      </c>
      <c r="AN35">
        <v>8783</v>
      </c>
      <c r="AO35">
        <v>4149</v>
      </c>
      <c r="AP35">
        <v>14475</v>
      </c>
      <c r="AQ35">
        <v>28870</v>
      </c>
      <c r="AR35">
        <v>31472</v>
      </c>
      <c r="AS35">
        <v>7463</v>
      </c>
      <c r="AT35">
        <v>10956</v>
      </c>
      <c r="AU35">
        <v>30385</v>
      </c>
      <c r="AV35">
        <v>33710</v>
      </c>
      <c r="AW35">
        <v>7320</v>
      </c>
      <c r="AX35">
        <v>40057</v>
      </c>
    </row>
    <row r="36" spans="1:50" x14ac:dyDescent="0.4">
      <c r="A36" s="1" t="s">
        <v>60</v>
      </c>
      <c r="B36" s="1" t="s">
        <v>61</v>
      </c>
      <c r="C36">
        <v>5606</v>
      </c>
      <c r="D36">
        <v>5818</v>
      </c>
      <c r="E36">
        <v>1623</v>
      </c>
      <c r="F36">
        <v>3591</v>
      </c>
      <c r="G36">
        <v>1052200</v>
      </c>
      <c r="H36">
        <v>1042143</v>
      </c>
      <c r="I36">
        <v>15651</v>
      </c>
      <c r="J36">
        <v>508485</v>
      </c>
      <c r="K36">
        <v>212599</v>
      </c>
      <c r="L36">
        <v>209085</v>
      </c>
      <c r="M36">
        <v>3917</v>
      </c>
      <c r="N36">
        <v>126087</v>
      </c>
      <c r="O36">
        <v>1119840</v>
      </c>
      <c r="P36">
        <v>1126543</v>
      </c>
      <c r="Q36">
        <v>8389</v>
      </c>
      <c r="R36">
        <v>50036</v>
      </c>
      <c r="S36">
        <v>34042</v>
      </c>
      <c r="T36">
        <v>40700</v>
      </c>
      <c r="U36">
        <v>12996</v>
      </c>
      <c r="V36">
        <v>8671</v>
      </c>
      <c r="W36" t="s">
        <v>73</v>
      </c>
      <c r="X36" t="s">
        <v>73</v>
      </c>
      <c r="Y36" t="s">
        <v>73</v>
      </c>
      <c r="Z36" t="s">
        <v>73</v>
      </c>
      <c r="AA36">
        <v>26508</v>
      </c>
      <c r="AB36">
        <v>28682</v>
      </c>
      <c r="AC36">
        <v>6492</v>
      </c>
      <c r="AD36">
        <v>11613</v>
      </c>
      <c r="AE36">
        <v>541541</v>
      </c>
      <c r="AF36">
        <v>477382</v>
      </c>
      <c r="AG36">
        <v>2282</v>
      </c>
      <c r="AH36">
        <v>1137149</v>
      </c>
      <c r="AI36">
        <v>30243</v>
      </c>
      <c r="AJ36">
        <v>29788</v>
      </c>
      <c r="AK36">
        <v>3760</v>
      </c>
      <c r="AL36">
        <v>15664</v>
      </c>
      <c r="AM36">
        <v>8010</v>
      </c>
      <c r="AN36">
        <v>7233</v>
      </c>
      <c r="AO36">
        <v>3617</v>
      </c>
      <c r="AP36">
        <v>14987</v>
      </c>
      <c r="AQ36">
        <v>36520</v>
      </c>
      <c r="AR36">
        <v>38025</v>
      </c>
      <c r="AS36">
        <v>7771</v>
      </c>
      <c r="AT36">
        <v>11863</v>
      </c>
      <c r="AU36">
        <v>30515</v>
      </c>
      <c r="AV36">
        <v>33949</v>
      </c>
      <c r="AW36">
        <v>8036</v>
      </c>
      <c r="AX36">
        <v>36626</v>
      </c>
    </row>
    <row r="37" spans="1:50" x14ac:dyDescent="0.4">
      <c r="A37" s="1" t="s">
        <v>62</v>
      </c>
      <c r="B37" s="1" t="s">
        <v>63</v>
      </c>
      <c r="C37">
        <v>5562</v>
      </c>
      <c r="D37">
        <v>5359</v>
      </c>
      <c r="E37">
        <v>1603</v>
      </c>
      <c r="F37">
        <v>3950</v>
      </c>
      <c r="G37">
        <v>1009491</v>
      </c>
      <c r="H37">
        <v>893244</v>
      </c>
      <c r="I37">
        <v>13975</v>
      </c>
      <c r="J37">
        <v>626924</v>
      </c>
      <c r="K37">
        <v>215314</v>
      </c>
      <c r="L37">
        <v>228554</v>
      </c>
      <c r="M37">
        <v>4208</v>
      </c>
      <c r="N37">
        <v>113338</v>
      </c>
      <c r="O37">
        <v>1062705</v>
      </c>
      <c r="P37">
        <v>1069117</v>
      </c>
      <c r="Q37">
        <v>7383</v>
      </c>
      <c r="R37">
        <v>43588</v>
      </c>
      <c r="S37">
        <v>32399</v>
      </c>
      <c r="T37">
        <v>39557</v>
      </c>
      <c r="U37">
        <v>13208</v>
      </c>
      <c r="V37">
        <v>8668</v>
      </c>
      <c r="W37" t="s">
        <v>73</v>
      </c>
      <c r="X37" t="s">
        <v>73</v>
      </c>
      <c r="Y37" t="s">
        <v>73</v>
      </c>
      <c r="Z37" t="s">
        <v>73</v>
      </c>
      <c r="AA37">
        <v>23881</v>
      </c>
      <c r="AB37">
        <v>24934</v>
      </c>
      <c r="AC37">
        <v>6001</v>
      </c>
      <c r="AD37">
        <v>10560</v>
      </c>
      <c r="AE37">
        <v>632346</v>
      </c>
      <c r="AF37">
        <v>638019</v>
      </c>
      <c r="AG37">
        <v>3193</v>
      </c>
      <c r="AH37">
        <v>1127666</v>
      </c>
      <c r="AI37">
        <v>28070</v>
      </c>
      <c r="AJ37">
        <v>28063</v>
      </c>
      <c r="AK37">
        <v>3784</v>
      </c>
      <c r="AL37">
        <v>15665</v>
      </c>
      <c r="AM37">
        <v>8008</v>
      </c>
      <c r="AN37">
        <v>7976</v>
      </c>
      <c r="AO37">
        <v>3814</v>
      </c>
      <c r="AP37">
        <v>14986</v>
      </c>
      <c r="AQ37">
        <v>37880</v>
      </c>
      <c r="AR37">
        <v>38604</v>
      </c>
      <c r="AS37">
        <v>7765</v>
      </c>
      <c r="AT37">
        <v>13564</v>
      </c>
      <c r="AU37">
        <v>29624</v>
      </c>
      <c r="AV37">
        <v>32489</v>
      </c>
      <c r="AW37">
        <v>8433</v>
      </c>
      <c r="AX37">
        <v>33762</v>
      </c>
    </row>
    <row r="38" spans="1:50" x14ac:dyDescent="0.4">
      <c r="A38" s="1" t="s">
        <v>64</v>
      </c>
      <c r="B38" s="1" t="s">
        <v>65</v>
      </c>
      <c r="C38">
        <v>5980</v>
      </c>
      <c r="D38">
        <v>6409</v>
      </c>
      <c r="E38">
        <v>1953</v>
      </c>
      <c r="F38">
        <v>3264</v>
      </c>
      <c r="G38">
        <v>1031702</v>
      </c>
      <c r="H38">
        <v>1009097</v>
      </c>
      <c r="I38">
        <v>15808</v>
      </c>
      <c r="J38">
        <v>655220</v>
      </c>
      <c r="K38">
        <v>212042</v>
      </c>
      <c r="L38">
        <v>211666</v>
      </c>
      <c r="M38">
        <v>4280</v>
      </c>
      <c r="N38">
        <v>114121</v>
      </c>
      <c r="O38">
        <v>1274345</v>
      </c>
      <c r="P38">
        <v>1274267</v>
      </c>
      <c r="Q38">
        <v>9309</v>
      </c>
      <c r="R38">
        <v>43632</v>
      </c>
      <c r="S38">
        <v>36926</v>
      </c>
      <c r="T38">
        <v>44641</v>
      </c>
      <c r="U38">
        <v>14545</v>
      </c>
      <c r="V38">
        <v>8196</v>
      </c>
      <c r="W38" t="s">
        <v>73</v>
      </c>
      <c r="X38" t="s">
        <v>73</v>
      </c>
      <c r="Y38" t="s">
        <v>73</v>
      </c>
      <c r="Z38" t="s">
        <v>73</v>
      </c>
      <c r="AA38">
        <v>29525</v>
      </c>
      <c r="AB38">
        <v>25944</v>
      </c>
      <c r="AC38">
        <v>8165</v>
      </c>
      <c r="AD38">
        <v>14130</v>
      </c>
      <c r="AE38">
        <v>726341</v>
      </c>
      <c r="AF38">
        <v>734006</v>
      </c>
      <c r="AG38">
        <v>3261</v>
      </c>
      <c r="AH38">
        <v>1117130</v>
      </c>
      <c r="AI38">
        <v>30657</v>
      </c>
      <c r="AJ38">
        <v>29060</v>
      </c>
      <c r="AK38">
        <v>4036</v>
      </c>
      <c r="AL38">
        <v>17257</v>
      </c>
      <c r="AM38">
        <v>8770</v>
      </c>
      <c r="AN38">
        <v>9864</v>
      </c>
      <c r="AO38">
        <v>4870</v>
      </c>
      <c r="AP38">
        <v>13852</v>
      </c>
      <c r="AQ38">
        <v>40891</v>
      </c>
      <c r="AR38">
        <v>42570</v>
      </c>
      <c r="AS38">
        <v>9059</v>
      </c>
      <c r="AT38">
        <v>14569</v>
      </c>
      <c r="AU38">
        <v>27312</v>
      </c>
      <c r="AV38">
        <v>30196</v>
      </c>
      <c r="AW38">
        <v>10383</v>
      </c>
      <c r="AX38">
        <v>30880</v>
      </c>
    </row>
    <row r="39" spans="1:50" x14ac:dyDescent="0.4">
      <c r="A39" s="1"/>
      <c r="B39" s="1"/>
    </row>
    <row r="40" spans="1:50" x14ac:dyDescent="0.4">
      <c r="A40" s="1"/>
      <c r="B40" s="1"/>
    </row>
  </sheetData>
  <phoneticPr fontId="2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FA4F6-A4B8-411F-BBE1-D546BB09E274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ht="20.25" x14ac:dyDescent="0.4">
      <c r="A3" s="1"/>
      <c r="B3" s="2" t="s">
        <v>0</v>
      </c>
      <c r="C3" s="5" t="s">
        <v>2323</v>
      </c>
      <c r="D3" s="5" t="s">
        <v>2323</v>
      </c>
      <c r="E3" s="5" t="s">
        <v>2323</v>
      </c>
      <c r="F3" s="5" t="s">
        <v>2323</v>
      </c>
      <c r="G3" t="s">
        <v>2325</v>
      </c>
      <c r="H3" t="s">
        <v>2325</v>
      </c>
      <c r="I3" t="s">
        <v>2325</v>
      </c>
      <c r="J3" t="s">
        <v>2325</v>
      </c>
      <c r="K3" t="s">
        <v>2327</v>
      </c>
      <c r="L3" t="s">
        <v>2327</v>
      </c>
      <c r="M3" t="s">
        <v>2327</v>
      </c>
      <c r="N3" t="s">
        <v>2327</v>
      </c>
      <c r="O3" t="s">
        <v>2329</v>
      </c>
      <c r="P3" t="s">
        <v>2329</v>
      </c>
      <c r="Q3" t="s">
        <v>2329</v>
      </c>
      <c r="R3" t="s">
        <v>2329</v>
      </c>
      <c r="S3" t="s">
        <v>2331</v>
      </c>
      <c r="T3" t="s">
        <v>2331</v>
      </c>
      <c r="U3" t="s">
        <v>2331</v>
      </c>
      <c r="V3" t="s">
        <v>2331</v>
      </c>
      <c r="W3" t="s">
        <v>2333</v>
      </c>
      <c r="X3" t="s">
        <v>2333</v>
      </c>
      <c r="Y3" t="s">
        <v>2333</v>
      </c>
      <c r="Z3" t="s">
        <v>2333</v>
      </c>
      <c r="AA3" t="s">
        <v>2335</v>
      </c>
      <c r="AB3" t="s">
        <v>2335</v>
      </c>
      <c r="AC3" t="s">
        <v>2335</v>
      </c>
      <c r="AD3" t="s">
        <v>2335</v>
      </c>
      <c r="AE3" t="s">
        <v>2337</v>
      </c>
      <c r="AF3" t="s">
        <v>2337</v>
      </c>
      <c r="AG3" t="s">
        <v>2337</v>
      </c>
      <c r="AH3" t="s">
        <v>2337</v>
      </c>
      <c r="AI3" t="s">
        <v>2339</v>
      </c>
      <c r="AJ3" t="s">
        <v>2339</v>
      </c>
      <c r="AK3" t="s">
        <v>2339</v>
      </c>
      <c r="AL3" t="s">
        <v>2339</v>
      </c>
      <c r="AM3" t="s">
        <v>2341</v>
      </c>
      <c r="AN3" t="s">
        <v>2341</v>
      </c>
      <c r="AO3" t="s">
        <v>2341</v>
      </c>
      <c r="AP3" t="s">
        <v>2341</v>
      </c>
      <c r="AQ3" t="s">
        <v>2343</v>
      </c>
      <c r="AR3" t="s">
        <v>2343</v>
      </c>
      <c r="AS3" t="s">
        <v>2343</v>
      </c>
      <c r="AT3" t="s">
        <v>2343</v>
      </c>
      <c r="AU3" t="s">
        <v>2345</v>
      </c>
      <c r="AV3" t="s">
        <v>2345</v>
      </c>
      <c r="AW3" t="s">
        <v>2345</v>
      </c>
      <c r="AX3" t="s">
        <v>2345</v>
      </c>
      <c r="AY3" t="s">
        <v>2347</v>
      </c>
      <c r="AZ3" t="s">
        <v>2347</v>
      </c>
      <c r="BA3" t="s">
        <v>2347</v>
      </c>
      <c r="BB3" t="s">
        <v>2347</v>
      </c>
      <c r="BC3" t="s">
        <v>2349</v>
      </c>
      <c r="BD3" t="s">
        <v>2349</v>
      </c>
      <c r="BE3" t="s">
        <v>2349</v>
      </c>
      <c r="BF3" t="s">
        <v>2349</v>
      </c>
    </row>
    <row r="4" spans="1:58" x14ac:dyDescent="0.4">
      <c r="A4" s="1"/>
      <c r="B4" s="2" t="s">
        <v>1</v>
      </c>
      <c r="C4" t="s">
        <v>2324</v>
      </c>
      <c r="D4" t="s">
        <v>2324</v>
      </c>
      <c r="E4" t="s">
        <v>2324</v>
      </c>
      <c r="F4" t="s">
        <v>2324</v>
      </c>
      <c r="G4" t="s">
        <v>2326</v>
      </c>
      <c r="H4" t="s">
        <v>2326</v>
      </c>
      <c r="I4" t="s">
        <v>2326</v>
      </c>
      <c r="J4" t="s">
        <v>2326</v>
      </c>
      <c r="K4" t="s">
        <v>2328</v>
      </c>
      <c r="L4" t="s">
        <v>2328</v>
      </c>
      <c r="M4" t="s">
        <v>2328</v>
      </c>
      <c r="N4" t="s">
        <v>2328</v>
      </c>
      <c r="O4" t="s">
        <v>2330</v>
      </c>
      <c r="P4" t="s">
        <v>2330</v>
      </c>
      <c r="Q4" t="s">
        <v>2330</v>
      </c>
      <c r="R4" t="s">
        <v>2330</v>
      </c>
      <c r="S4" t="s">
        <v>2332</v>
      </c>
      <c r="T4" t="s">
        <v>2332</v>
      </c>
      <c r="U4" t="s">
        <v>2332</v>
      </c>
      <c r="V4" t="s">
        <v>2332</v>
      </c>
      <c r="W4" t="s">
        <v>2334</v>
      </c>
      <c r="X4" t="s">
        <v>2334</v>
      </c>
      <c r="Y4" t="s">
        <v>2334</v>
      </c>
      <c r="Z4" t="s">
        <v>2334</v>
      </c>
      <c r="AA4" t="s">
        <v>2336</v>
      </c>
      <c r="AB4" t="s">
        <v>2336</v>
      </c>
      <c r="AC4" t="s">
        <v>2336</v>
      </c>
      <c r="AD4" t="s">
        <v>2336</v>
      </c>
      <c r="AE4" t="s">
        <v>2338</v>
      </c>
      <c r="AF4" t="s">
        <v>2338</v>
      </c>
      <c r="AG4" t="s">
        <v>2338</v>
      </c>
      <c r="AH4" t="s">
        <v>2338</v>
      </c>
      <c r="AI4" t="s">
        <v>2340</v>
      </c>
      <c r="AJ4" t="s">
        <v>2340</v>
      </c>
      <c r="AK4" t="s">
        <v>2340</v>
      </c>
      <c r="AL4" t="s">
        <v>2340</v>
      </c>
      <c r="AM4" t="s">
        <v>2342</v>
      </c>
      <c r="AN4" t="s">
        <v>2342</v>
      </c>
      <c r="AO4" t="s">
        <v>2342</v>
      </c>
      <c r="AP4" t="s">
        <v>2342</v>
      </c>
      <c r="AQ4" t="s">
        <v>2344</v>
      </c>
      <c r="AR4" t="s">
        <v>2344</v>
      </c>
      <c r="AS4" t="s">
        <v>2344</v>
      </c>
      <c r="AT4" t="s">
        <v>2344</v>
      </c>
      <c r="AU4" t="s">
        <v>2346</v>
      </c>
      <c r="AV4" t="s">
        <v>2346</v>
      </c>
      <c r="AW4" t="s">
        <v>2346</v>
      </c>
      <c r="AX4" t="s">
        <v>2346</v>
      </c>
      <c r="AY4" t="s">
        <v>2348</v>
      </c>
      <c r="AZ4" t="s">
        <v>2348</v>
      </c>
      <c r="BA4" t="s">
        <v>2348</v>
      </c>
      <c r="BB4" t="s">
        <v>2348</v>
      </c>
      <c r="BC4" t="s">
        <v>2350</v>
      </c>
      <c r="BD4" t="s">
        <v>2350</v>
      </c>
      <c r="BE4" t="s">
        <v>2350</v>
      </c>
      <c r="BF4" t="s">
        <v>2350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842931</v>
      </c>
      <c r="D9">
        <v>275745</v>
      </c>
      <c r="E9">
        <v>21426079</v>
      </c>
      <c r="F9">
        <v>10891</v>
      </c>
      <c r="G9">
        <v>295959</v>
      </c>
      <c r="H9">
        <v>119238</v>
      </c>
      <c r="I9">
        <v>6178705</v>
      </c>
      <c r="J9">
        <v>9596</v>
      </c>
      <c r="K9">
        <v>688143</v>
      </c>
      <c r="L9">
        <v>664091</v>
      </c>
      <c r="M9">
        <v>10102278</v>
      </c>
      <c r="N9">
        <v>42350</v>
      </c>
      <c r="O9">
        <v>729508</v>
      </c>
      <c r="P9">
        <v>677319</v>
      </c>
      <c r="Q9">
        <v>58392953</v>
      </c>
      <c r="R9">
        <v>196832</v>
      </c>
      <c r="S9">
        <v>174052</v>
      </c>
      <c r="T9">
        <v>170105</v>
      </c>
      <c r="U9">
        <v>13153348</v>
      </c>
      <c r="V9">
        <v>70378</v>
      </c>
      <c r="W9">
        <v>6653202</v>
      </c>
      <c r="X9">
        <v>6217602</v>
      </c>
      <c r="Y9">
        <v>85591616</v>
      </c>
      <c r="Z9">
        <v>101465</v>
      </c>
      <c r="AA9">
        <v>1291227</v>
      </c>
      <c r="AB9">
        <v>841214</v>
      </c>
      <c r="AC9">
        <v>14741412</v>
      </c>
      <c r="AD9">
        <v>19281</v>
      </c>
      <c r="AE9">
        <v>212613</v>
      </c>
      <c r="AF9">
        <v>213423</v>
      </c>
      <c r="AG9">
        <v>11380030</v>
      </c>
      <c r="AH9">
        <v>13139</v>
      </c>
      <c r="AI9">
        <v>4163118</v>
      </c>
      <c r="AJ9">
        <v>2943493</v>
      </c>
      <c r="AK9">
        <v>168379146</v>
      </c>
      <c r="AL9">
        <v>102241</v>
      </c>
      <c r="AM9">
        <v>3694047</v>
      </c>
      <c r="AN9">
        <v>281486</v>
      </c>
      <c r="AO9">
        <v>12297980</v>
      </c>
      <c r="AP9">
        <v>0</v>
      </c>
      <c r="AQ9">
        <v>480406</v>
      </c>
      <c r="AR9">
        <v>182181</v>
      </c>
      <c r="AS9">
        <v>7600220</v>
      </c>
      <c r="AT9">
        <v>4229</v>
      </c>
      <c r="AU9">
        <v>755460</v>
      </c>
      <c r="AV9">
        <v>522627</v>
      </c>
      <c r="AW9">
        <v>8004255</v>
      </c>
      <c r="AX9">
        <v>21253</v>
      </c>
      <c r="AY9">
        <v>875889</v>
      </c>
      <c r="AZ9">
        <v>641459</v>
      </c>
      <c r="BA9">
        <v>8634928</v>
      </c>
      <c r="BB9">
        <v>18595</v>
      </c>
      <c r="BC9">
        <v>858804</v>
      </c>
      <c r="BD9">
        <v>854956</v>
      </c>
      <c r="BE9">
        <v>18678227</v>
      </c>
      <c r="BF9">
        <v>12964</v>
      </c>
    </row>
    <row r="10" spans="1:58" x14ac:dyDescent="0.4">
      <c r="A10" s="1" t="s">
        <v>8</v>
      </c>
      <c r="B10" s="3" t="s">
        <v>9</v>
      </c>
      <c r="C10">
        <v>818342</v>
      </c>
      <c r="D10">
        <v>256248</v>
      </c>
      <c r="E10">
        <v>31359927</v>
      </c>
      <c r="F10">
        <v>30582</v>
      </c>
      <c r="G10">
        <v>266490</v>
      </c>
      <c r="H10">
        <v>106010</v>
      </c>
      <c r="I10">
        <v>6045212</v>
      </c>
      <c r="J10">
        <v>9802</v>
      </c>
      <c r="K10">
        <v>628013</v>
      </c>
      <c r="L10">
        <v>609704</v>
      </c>
      <c r="M10">
        <v>15661931</v>
      </c>
      <c r="N10">
        <v>32497</v>
      </c>
      <c r="O10">
        <v>718448</v>
      </c>
      <c r="P10">
        <v>632033</v>
      </c>
      <c r="Q10">
        <v>67788325</v>
      </c>
      <c r="R10">
        <v>198858</v>
      </c>
      <c r="S10">
        <v>162377</v>
      </c>
      <c r="T10">
        <v>153205</v>
      </c>
      <c r="U10">
        <v>13986215</v>
      </c>
      <c r="V10">
        <v>61985</v>
      </c>
      <c r="W10">
        <v>6234706</v>
      </c>
      <c r="X10">
        <v>5760439</v>
      </c>
      <c r="Y10">
        <v>88591173</v>
      </c>
      <c r="Z10">
        <v>110396</v>
      </c>
      <c r="AA10">
        <v>1295299</v>
      </c>
      <c r="AB10">
        <v>815786</v>
      </c>
      <c r="AC10">
        <v>14810347</v>
      </c>
      <c r="AD10">
        <v>19462</v>
      </c>
      <c r="AE10">
        <v>205866</v>
      </c>
      <c r="AF10">
        <v>206269</v>
      </c>
      <c r="AG10">
        <v>11798965</v>
      </c>
      <c r="AH10">
        <v>12885</v>
      </c>
      <c r="AI10">
        <v>4125124</v>
      </c>
      <c r="AJ10">
        <v>2936269</v>
      </c>
      <c r="AK10">
        <v>197516846</v>
      </c>
      <c r="AL10">
        <v>107860</v>
      </c>
      <c r="AM10">
        <v>3654030</v>
      </c>
      <c r="AN10">
        <v>259742</v>
      </c>
      <c r="AO10">
        <v>12065289</v>
      </c>
      <c r="AP10">
        <v>0</v>
      </c>
      <c r="AQ10">
        <v>475132</v>
      </c>
      <c r="AR10">
        <v>174938</v>
      </c>
      <c r="AS10">
        <v>7871171</v>
      </c>
      <c r="AT10">
        <v>3852</v>
      </c>
      <c r="AU10">
        <v>751808</v>
      </c>
      <c r="AV10">
        <v>533548</v>
      </c>
      <c r="AW10">
        <v>9112311</v>
      </c>
      <c r="AX10">
        <v>20726</v>
      </c>
      <c r="AY10">
        <v>862434</v>
      </c>
      <c r="AZ10">
        <v>603203</v>
      </c>
      <c r="BA10">
        <v>9659497</v>
      </c>
      <c r="BB10">
        <v>18148</v>
      </c>
      <c r="BC10">
        <v>850279</v>
      </c>
      <c r="BD10">
        <v>843534</v>
      </c>
      <c r="BE10">
        <v>19457590</v>
      </c>
      <c r="BF10">
        <v>13106</v>
      </c>
    </row>
    <row r="11" spans="1:58" x14ac:dyDescent="0.4">
      <c r="A11" s="1" t="s">
        <v>10</v>
      </c>
      <c r="B11" s="3" t="s">
        <v>11</v>
      </c>
      <c r="C11">
        <v>738542</v>
      </c>
      <c r="D11">
        <v>232709</v>
      </c>
      <c r="E11">
        <v>29036391</v>
      </c>
      <c r="F11">
        <v>33605</v>
      </c>
      <c r="G11">
        <v>194698</v>
      </c>
      <c r="H11">
        <v>84119</v>
      </c>
      <c r="I11">
        <v>5383446</v>
      </c>
      <c r="J11">
        <v>9233</v>
      </c>
      <c r="K11">
        <v>557194</v>
      </c>
      <c r="L11">
        <v>515070</v>
      </c>
      <c r="M11">
        <v>14190883</v>
      </c>
      <c r="N11">
        <v>54015</v>
      </c>
      <c r="O11">
        <v>535045</v>
      </c>
      <c r="P11">
        <v>438787</v>
      </c>
      <c r="Q11">
        <v>54573657</v>
      </c>
      <c r="R11">
        <v>233587</v>
      </c>
      <c r="S11">
        <v>151458</v>
      </c>
      <c r="T11">
        <v>118367</v>
      </c>
      <c r="U11">
        <v>12522173</v>
      </c>
      <c r="V11">
        <v>79758</v>
      </c>
      <c r="W11">
        <v>6011822</v>
      </c>
      <c r="X11">
        <v>5505558</v>
      </c>
      <c r="Y11">
        <v>98164596</v>
      </c>
      <c r="Z11">
        <v>110811</v>
      </c>
      <c r="AA11">
        <v>1200964</v>
      </c>
      <c r="AB11">
        <v>785998</v>
      </c>
      <c r="AC11">
        <v>15081365</v>
      </c>
      <c r="AD11">
        <v>20446</v>
      </c>
      <c r="AE11">
        <v>206117</v>
      </c>
      <c r="AF11">
        <v>207016</v>
      </c>
      <c r="AG11">
        <v>12051102</v>
      </c>
      <c r="AH11">
        <v>12384</v>
      </c>
      <c r="AI11">
        <v>3774780</v>
      </c>
      <c r="AJ11">
        <v>2633047</v>
      </c>
      <c r="AK11">
        <v>225168854</v>
      </c>
      <c r="AL11">
        <v>116092</v>
      </c>
      <c r="AM11">
        <v>3325527</v>
      </c>
      <c r="AN11">
        <v>145904</v>
      </c>
      <c r="AO11">
        <v>7167481</v>
      </c>
      <c r="AP11">
        <v>0</v>
      </c>
      <c r="AQ11">
        <v>440456</v>
      </c>
      <c r="AR11">
        <v>154594</v>
      </c>
      <c r="AS11">
        <v>7575500</v>
      </c>
      <c r="AT11">
        <v>3729</v>
      </c>
      <c r="AU11">
        <v>762611</v>
      </c>
      <c r="AV11">
        <v>542367</v>
      </c>
      <c r="AW11">
        <v>10607389</v>
      </c>
      <c r="AX11">
        <v>19953</v>
      </c>
      <c r="AY11">
        <v>799932</v>
      </c>
      <c r="AZ11">
        <v>555909</v>
      </c>
      <c r="BA11">
        <v>8905481</v>
      </c>
      <c r="BB11">
        <v>18042</v>
      </c>
      <c r="BC11">
        <v>829800</v>
      </c>
      <c r="BD11">
        <v>820570</v>
      </c>
      <c r="BE11">
        <v>22345101</v>
      </c>
      <c r="BF11">
        <v>12018</v>
      </c>
    </row>
    <row r="12" spans="1:58" x14ac:dyDescent="0.4">
      <c r="A12" s="1" t="s">
        <v>12</v>
      </c>
      <c r="B12" s="3" t="s">
        <v>13</v>
      </c>
      <c r="C12">
        <v>724926</v>
      </c>
      <c r="D12">
        <v>225280</v>
      </c>
      <c r="E12">
        <v>25011467</v>
      </c>
      <c r="F12">
        <v>30270</v>
      </c>
      <c r="G12">
        <v>201709</v>
      </c>
      <c r="H12">
        <v>79529</v>
      </c>
      <c r="I12">
        <v>5163048</v>
      </c>
      <c r="J12">
        <v>12768</v>
      </c>
      <c r="K12">
        <v>538837</v>
      </c>
      <c r="L12">
        <v>529042</v>
      </c>
      <c r="M12">
        <v>11628411</v>
      </c>
      <c r="N12">
        <v>50927</v>
      </c>
      <c r="O12">
        <v>520626</v>
      </c>
      <c r="P12">
        <v>462840</v>
      </c>
      <c r="Q12">
        <v>58248502</v>
      </c>
      <c r="R12">
        <v>223751</v>
      </c>
      <c r="S12">
        <v>140770</v>
      </c>
      <c r="T12">
        <v>128200</v>
      </c>
      <c r="U12">
        <v>13410788</v>
      </c>
      <c r="V12">
        <v>78544</v>
      </c>
      <c r="W12">
        <v>5869447</v>
      </c>
      <c r="X12">
        <v>5371231</v>
      </c>
      <c r="Y12">
        <v>97754050</v>
      </c>
      <c r="Z12">
        <v>106258</v>
      </c>
      <c r="AA12">
        <v>1174597</v>
      </c>
      <c r="AB12">
        <v>765886</v>
      </c>
      <c r="AC12">
        <v>15419447</v>
      </c>
      <c r="AD12">
        <v>19253</v>
      </c>
      <c r="AE12">
        <v>207230</v>
      </c>
      <c r="AF12">
        <v>207308</v>
      </c>
      <c r="AG12">
        <v>12576767</v>
      </c>
      <c r="AH12">
        <v>12462</v>
      </c>
      <c r="AI12">
        <v>3777213</v>
      </c>
      <c r="AJ12">
        <v>2706101</v>
      </c>
      <c r="AK12">
        <v>228447471</v>
      </c>
      <c r="AL12">
        <v>113687</v>
      </c>
      <c r="AM12">
        <v>3329456</v>
      </c>
      <c r="AN12">
        <v>114900</v>
      </c>
      <c r="AO12">
        <v>5750447</v>
      </c>
      <c r="AP12">
        <v>0</v>
      </c>
      <c r="AQ12">
        <v>420193</v>
      </c>
      <c r="AR12">
        <v>150735</v>
      </c>
      <c r="AS12">
        <v>7619532</v>
      </c>
      <c r="AT12">
        <v>3767</v>
      </c>
      <c r="AU12">
        <v>762094</v>
      </c>
      <c r="AV12">
        <v>536164</v>
      </c>
      <c r="AW12">
        <v>11049090</v>
      </c>
      <c r="AX12">
        <v>18436</v>
      </c>
      <c r="AY12">
        <v>803387</v>
      </c>
      <c r="AZ12">
        <v>571214</v>
      </c>
      <c r="BA12">
        <v>9885194</v>
      </c>
      <c r="BB12">
        <v>15856</v>
      </c>
      <c r="BC12">
        <v>844557</v>
      </c>
      <c r="BD12">
        <v>833309</v>
      </c>
      <c r="BE12">
        <v>23656018</v>
      </c>
      <c r="BF12">
        <v>12862</v>
      </c>
    </row>
    <row r="13" spans="1:58" x14ac:dyDescent="0.4">
      <c r="A13" s="1" t="s">
        <v>14</v>
      </c>
      <c r="B13" s="3" t="s">
        <v>15</v>
      </c>
      <c r="C13">
        <v>718929</v>
      </c>
      <c r="D13">
        <v>218747</v>
      </c>
      <c r="E13">
        <v>22610938</v>
      </c>
      <c r="F13">
        <v>29430</v>
      </c>
      <c r="G13">
        <v>188043</v>
      </c>
      <c r="H13">
        <v>73431</v>
      </c>
      <c r="I13">
        <v>4895645</v>
      </c>
      <c r="J13">
        <v>11150</v>
      </c>
      <c r="K13">
        <v>437937</v>
      </c>
      <c r="L13">
        <v>432656</v>
      </c>
      <c r="M13">
        <v>11595658</v>
      </c>
      <c r="N13">
        <v>44236</v>
      </c>
      <c r="O13">
        <v>517528</v>
      </c>
      <c r="P13">
        <v>460476</v>
      </c>
      <c r="Q13">
        <v>59124017</v>
      </c>
      <c r="R13">
        <v>212028</v>
      </c>
      <c r="S13">
        <v>125941</v>
      </c>
      <c r="T13">
        <v>123383</v>
      </c>
      <c r="U13">
        <v>13174259</v>
      </c>
      <c r="V13">
        <v>65645</v>
      </c>
      <c r="W13">
        <v>5630979</v>
      </c>
      <c r="X13">
        <v>5145187</v>
      </c>
      <c r="Y13">
        <v>95318186</v>
      </c>
      <c r="Z13">
        <v>114623</v>
      </c>
      <c r="AA13">
        <v>1161163</v>
      </c>
      <c r="AB13">
        <v>728526</v>
      </c>
      <c r="AC13">
        <v>15691124</v>
      </c>
      <c r="AD13">
        <v>16010</v>
      </c>
      <c r="AE13">
        <v>196725</v>
      </c>
      <c r="AF13">
        <v>195774</v>
      </c>
      <c r="AG13">
        <v>12532386</v>
      </c>
      <c r="AH13">
        <v>13565</v>
      </c>
      <c r="AI13">
        <v>3766797</v>
      </c>
      <c r="AJ13">
        <v>2654483</v>
      </c>
      <c r="AK13">
        <v>225606721</v>
      </c>
      <c r="AL13">
        <v>125154</v>
      </c>
      <c r="AM13">
        <v>3273103</v>
      </c>
      <c r="AN13">
        <v>115520</v>
      </c>
      <c r="AO13">
        <v>5827433</v>
      </c>
      <c r="AP13">
        <v>0</v>
      </c>
      <c r="AQ13">
        <v>417753</v>
      </c>
      <c r="AR13">
        <v>153494</v>
      </c>
      <c r="AS13">
        <v>7765275</v>
      </c>
      <c r="AT13">
        <v>3620</v>
      </c>
      <c r="AU13">
        <v>755737</v>
      </c>
      <c r="AV13">
        <v>525839</v>
      </c>
      <c r="AW13">
        <v>11442261</v>
      </c>
      <c r="AX13">
        <v>19722</v>
      </c>
      <c r="AY13">
        <v>802942</v>
      </c>
      <c r="AZ13">
        <v>544532</v>
      </c>
      <c r="BA13">
        <v>10241050</v>
      </c>
      <c r="BB13">
        <v>17668</v>
      </c>
      <c r="BC13">
        <v>851935</v>
      </c>
      <c r="BD13">
        <v>843381</v>
      </c>
      <c r="BE13">
        <v>24699165</v>
      </c>
      <c r="BF13">
        <v>13945</v>
      </c>
    </row>
    <row r="14" spans="1:58" x14ac:dyDescent="0.4">
      <c r="A14" s="1" t="s">
        <v>16</v>
      </c>
      <c r="B14" s="1" t="s">
        <v>17</v>
      </c>
      <c r="C14">
        <v>69182</v>
      </c>
      <c r="D14">
        <v>18939</v>
      </c>
      <c r="E14">
        <v>2388227</v>
      </c>
      <c r="F14">
        <v>39276</v>
      </c>
      <c r="G14">
        <v>20525</v>
      </c>
      <c r="H14">
        <v>7485</v>
      </c>
      <c r="I14">
        <v>501600</v>
      </c>
      <c r="J14">
        <v>10927</v>
      </c>
      <c r="K14">
        <v>51562</v>
      </c>
      <c r="L14">
        <v>46526</v>
      </c>
      <c r="M14">
        <v>1038073</v>
      </c>
      <c r="N14">
        <v>68965</v>
      </c>
      <c r="O14">
        <v>46944</v>
      </c>
      <c r="P14">
        <v>60113</v>
      </c>
      <c r="Q14">
        <v>7453816</v>
      </c>
      <c r="R14">
        <v>214503</v>
      </c>
      <c r="S14">
        <v>14855</v>
      </c>
      <c r="T14">
        <v>17163</v>
      </c>
      <c r="U14">
        <v>1805031</v>
      </c>
      <c r="V14">
        <v>73362</v>
      </c>
      <c r="W14">
        <v>511671</v>
      </c>
      <c r="X14">
        <v>465153</v>
      </c>
      <c r="Y14">
        <v>8396769</v>
      </c>
      <c r="Z14">
        <v>109291</v>
      </c>
      <c r="AA14">
        <v>106133</v>
      </c>
      <c r="AB14">
        <v>64849</v>
      </c>
      <c r="AC14">
        <v>1276073</v>
      </c>
      <c r="AD14">
        <v>20094</v>
      </c>
      <c r="AE14">
        <v>17063</v>
      </c>
      <c r="AF14">
        <v>17474</v>
      </c>
      <c r="AG14">
        <v>1053497</v>
      </c>
      <c r="AH14">
        <v>13529</v>
      </c>
      <c r="AI14">
        <v>320111</v>
      </c>
      <c r="AJ14">
        <v>221257</v>
      </c>
      <c r="AK14">
        <v>18385720</v>
      </c>
      <c r="AL14">
        <v>125523</v>
      </c>
      <c r="AM14">
        <v>280978</v>
      </c>
      <c r="AN14">
        <v>10487</v>
      </c>
      <c r="AO14">
        <v>527326</v>
      </c>
      <c r="AP14">
        <v>0</v>
      </c>
      <c r="AQ14">
        <v>38128</v>
      </c>
      <c r="AR14">
        <v>13651</v>
      </c>
      <c r="AS14">
        <v>685468</v>
      </c>
      <c r="AT14">
        <v>3847</v>
      </c>
      <c r="AU14">
        <v>70069</v>
      </c>
      <c r="AV14">
        <v>49440</v>
      </c>
      <c r="AW14">
        <v>1012376</v>
      </c>
      <c r="AX14">
        <v>21549</v>
      </c>
      <c r="AY14">
        <v>65062</v>
      </c>
      <c r="AZ14">
        <v>47471</v>
      </c>
      <c r="BA14">
        <v>725037</v>
      </c>
      <c r="BB14">
        <v>15965</v>
      </c>
      <c r="BC14">
        <v>66919</v>
      </c>
      <c r="BD14">
        <v>64859</v>
      </c>
      <c r="BE14">
        <v>1834538</v>
      </c>
      <c r="BF14">
        <v>14785</v>
      </c>
    </row>
    <row r="15" spans="1:58" x14ac:dyDescent="0.4">
      <c r="A15" s="1" t="s">
        <v>18</v>
      </c>
      <c r="B15" s="1" t="s">
        <v>19</v>
      </c>
      <c r="C15">
        <v>65882</v>
      </c>
      <c r="D15">
        <v>16108</v>
      </c>
      <c r="E15">
        <v>2026029</v>
      </c>
      <c r="F15">
        <v>35971</v>
      </c>
      <c r="G15">
        <v>14719</v>
      </c>
      <c r="H15">
        <v>7389</v>
      </c>
      <c r="I15">
        <v>458243</v>
      </c>
      <c r="J15">
        <v>8842</v>
      </c>
      <c r="K15">
        <v>54876</v>
      </c>
      <c r="L15">
        <v>59788</v>
      </c>
      <c r="M15">
        <v>1251958</v>
      </c>
      <c r="N15">
        <v>62434</v>
      </c>
      <c r="O15">
        <v>49144</v>
      </c>
      <c r="P15">
        <v>41762</v>
      </c>
      <c r="Q15">
        <v>5084940</v>
      </c>
      <c r="R15">
        <v>216371</v>
      </c>
      <c r="S15">
        <v>13573</v>
      </c>
      <c r="T15">
        <v>13055</v>
      </c>
      <c r="U15">
        <v>1338258</v>
      </c>
      <c r="V15">
        <v>72512</v>
      </c>
      <c r="W15">
        <v>494193</v>
      </c>
      <c r="X15">
        <v>453585</v>
      </c>
      <c r="Y15">
        <v>8292634</v>
      </c>
      <c r="Z15">
        <v>98449</v>
      </c>
      <c r="AA15">
        <v>102323</v>
      </c>
      <c r="AB15">
        <v>66330</v>
      </c>
      <c r="AC15">
        <v>1335803</v>
      </c>
      <c r="AD15">
        <v>19560</v>
      </c>
      <c r="AE15">
        <v>18039</v>
      </c>
      <c r="AF15">
        <v>17353</v>
      </c>
      <c r="AG15">
        <v>1075252</v>
      </c>
      <c r="AH15">
        <v>14229</v>
      </c>
      <c r="AI15">
        <v>309965</v>
      </c>
      <c r="AJ15">
        <v>267292</v>
      </c>
      <c r="AK15">
        <v>21681181</v>
      </c>
      <c r="AL15">
        <v>82711</v>
      </c>
      <c r="AM15">
        <v>272592</v>
      </c>
      <c r="AN15">
        <v>11047</v>
      </c>
      <c r="AO15">
        <v>540716</v>
      </c>
      <c r="AP15">
        <v>0</v>
      </c>
      <c r="AQ15">
        <v>39671</v>
      </c>
      <c r="AR15">
        <v>14392</v>
      </c>
      <c r="AS15">
        <v>735815</v>
      </c>
      <c r="AT15">
        <v>3348</v>
      </c>
      <c r="AU15">
        <v>62987</v>
      </c>
      <c r="AV15">
        <v>47384</v>
      </c>
      <c r="AW15">
        <v>1002519</v>
      </c>
      <c r="AX15">
        <v>21702</v>
      </c>
      <c r="AY15">
        <v>62393</v>
      </c>
      <c r="AZ15">
        <v>46853</v>
      </c>
      <c r="BA15">
        <v>795365</v>
      </c>
      <c r="BB15">
        <v>16144</v>
      </c>
      <c r="BC15">
        <v>66004</v>
      </c>
      <c r="BD15">
        <v>67374</v>
      </c>
      <c r="BE15">
        <v>1871001</v>
      </c>
      <c r="BF15">
        <v>13020</v>
      </c>
    </row>
    <row r="16" spans="1:58" x14ac:dyDescent="0.4">
      <c r="A16" s="1" t="s">
        <v>20</v>
      </c>
      <c r="B16" s="1" t="s">
        <v>21</v>
      </c>
      <c r="C16">
        <v>45382</v>
      </c>
      <c r="D16">
        <v>19152</v>
      </c>
      <c r="E16">
        <v>2058119</v>
      </c>
      <c r="F16">
        <v>32760</v>
      </c>
      <c r="G16">
        <v>11607</v>
      </c>
      <c r="H16">
        <v>6051</v>
      </c>
      <c r="I16">
        <v>400681</v>
      </c>
      <c r="J16">
        <v>11331</v>
      </c>
      <c r="K16">
        <v>30392</v>
      </c>
      <c r="L16">
        <v>40735</v>
      </c>
      <c r="M16">
        <v>982891</v>
      </c>
      <c r="N16">
        <v>50273</v>
      </c>
      <c r="O16">
        <v>52124</v>
      </c>
      <c r="P16">
        <v>49630</v>
      </c>
      <c r="Q16">
        <v>6100786</v>
      </c>
      <c r="R16">
        <v>214864</v>
      </c>
      <c r="S16">
        <v>13707</v>
      </c>
      <c r="T16">
        <v>15640</v>
      </c>
      <c r="U16">
        <v>1564385</v>
      </c>
      <c r="V16">
        <v>69470</v>
      </c>
      <c r="W16">
        <v>500329</v>
      </c>
      <c r="X16">
        <v>442108</v>
      </c>
      <c r="Y16">
        <v>7919841</v>
      </c>
      <c r="Z16">
        <v>105001</v>
      </c>
      <c r="AA16">
        <v>102280</v>
      </c>
      <c r="AB16">
        <v>64868</v>
      </c>
      <c r="AC16">
        <v>1330471</v>
      </c>
      <c r="AD16">
        <v>19646</v>
      </c>
      <c r="AE16">
        <v>16483</v>
      </c>
      <c r="AF16">
        <v>17026</v>
      </c>
      <c r="AG16">
        <v>1076903</v>
      </c>
      <c r="AH16">
        <v>13700</v>
      </c>
      <c r="AI16">
        <v>280739</v>
      </c>
      <c r="AJ16">
        <v>202701</v>
      </c>
      <c r="AK16">
        <v>17156723</v>
      </c>
      <c r="AL16">
        <v>88344</v>
      </c>
      <c r="AM16">
        <v>247810</v>
      </c>
      <c r="AN16">
        <v>6792</v>
      </c>
      <c r="AO16">
        <v>318948</v>
      </c>
      <c r="AP16">
        <v>0</v>
      </c>
      <c r="AQ16">
        <v>31540</v>
      </c>
      <c r="AR16">
        <v>10163</v>
      </c>
      <c r="AS16">
        <v>514598</v>
      </c>
      <c r="AT16">
        <v>3636</v>
      </c>
      <c r="AU16">
        <v>64201</v>
      </c>
      <c r="AV16">
        <v>46994</v>
      </c>
      <c r="AW16">
        <v>947365</v>
      </c>
      <c r="AX16">
        <v>20977</v>
      </c>
      <c r="AY16">
        <v>58706</v>
      </c>
      <c r="AZ16">
        <v>43955</v>
      </c>
      <c r="BA16">
        <v>830385</v>
      </c>
      <c r="BB16">
        <v>18931</v>
      </c>
      <c r="BC16">
        <v>67894</v>
      </c>
      <c r="BD16">
        <v>68707</v>
      </c>
      <c r="BE16">
        <v>1928375</v>
      </c>
      <c r="BF16">
        <v>12154</v>
      </c>
    </row>
    <row r="17" spans="1:58" x14ac:dyDescent="0.4">
      <c r="A17" s="1" t="s">
        <v>22</v>
      </c>
      <c r="B17" s="1" t="s">
        <v>23</v>
      </c>
      <c r="C17">
        <v>37196</v>
      </c>
      <c r="D17">
        <v>19997</v>
      </c>
      <c r="E17">
        <v>2259091</v>
      </c>
      <c r="F17">
        <v>25944</v>
      </c>
      <c r="G17">
        <v>13080</v>
      </c>
      <c r="H17">
        <v>6385</v>
      </c>
      <c r="I17">
        <v>374154</v>
      </c>
      <c r="J17">
        <v>13914</v>
      </c>
      <c r="K17">
        <v>23259</v>
      </c>
      <c r="L17">
        <v>29608</v>
      </c>
      <c r="M17">
        <v>681499</v>
      </c>
      <c r="N17">
        <v>43102</v>
      </c>
      <c r="O17">
        <v>39182</v>
      </c>
      <c r="P17">
        <v>27939</v>
      </c>
      <c r="Q17">
        <v>3637216</v>
      </c>
      <c r="R17">
        <v>222946</v>
      </c>
      <c r="S17">
        <v>14093</v>
      </c>
      <c r="T17">
        <v>7293</v>
      </c>
      <c r="U17">
        <v>757771</v>
      </c>
      <c r="V17">
        <v>75228</v>
      </c>
      <c r="W17">
        <v>455813</v>
      </c>
      <c r="X17">
        <v>412949</v>
      </c>
      <c r="Y17">
        <v>7508604</v>
      </c>
      <c r="Z17">
        <v>105547</v>
      </c>
      <c r="AA17">
        <v>101792</v>
      </c>
      <c r="AB17">
        <v>60594</v>
      </c>
      <c r="AC17">
        <v>1224248</v>
      </c>
      <c r="AD17">
        <v>20319</v>
      </c>
      <c r="AE17">
        <v>17600</v>
      </c>
      <c r="AF17">
        <v>17552</v>
      </c>
      <c r="AG17">
        <v>1089936</v>
      </c>
      <c r="AH17">
        <v>13752</v>
      </c>
      <c r="AI17">
        <v>273361</v>
      </c>
      <c r="AJ17">
        <v>210786</v>
      </c>
      <c r="AK17">
        <v>16729139</v>
      </c>
      <c r="AL17">
        <v>90777</v>
      </c>
      <c r="AM17">
        <v>239263</v>
      </c>
      <c r="AN17">
        <v>4267</v>
      </c>
      <c r="AO17">
        <v>192345</v>
      </c>
      <c r="AP17">
        <v>0</v>
      </c>
      <c r="AQ17">
        <v>28252</v>
      </c>
      <c r="AR17">
        <v>10980</v>
      </c>
      <c r="AS17">
        <v>560122</v>
      </c>
      <c r="AT17">
        <v>3684</v>
      </c>
      <c r="AU17">
        <v>64403</v>
      </c>
      <c r="AV17">
        <v>44476</v>
      </c>
      <c r="AW17">
        <v>878957</v>
      </c>
      <c r="AX17">
        <v>22041</v>
      </c>
      <c r="AY17">
        <v>57411</v>
      </c>
      <c r="AZ17">
        <v>47029</v>
      </c>
      <c r="BA17">
        <v>966862</v>
      </c>
      <c r="BB17">
        <v>15911</v>
      </c>
      <c r="BC17">
        <v>73493</v>
      </c>
      <c r="BD17">
        <v>70370</v>
      </c>
      <c r="BE17">
        <v>1949398</v>
      </c>
      <c r="BF17">
        <v>14605</v>
      </c>
    </row>
    <row r="18" spans="1:58" x14ac:dyDescent="0.4">
      <c r="A18" s="1" t="s">
        <v>24</v>
      </c>
      <c r="B18" s="1" t="s">
        <v>25</v>
      </c>
      <c r="C18">
        <v>55333</v>
      </c>
      <c r="D18">
        <v>21864</v>
      </c>
      <c r="E18">
        <v>2435329</v>
      </c>
      <c r="F18">
        <v>22907</v>
      </c>
      <c r="G18">
        <v>16879</v>
      </c>
      <c r="H18">
        <v>6820</v>
      </c>
      <c r="I18">
        <v>448365</v>
      </c>
      <c r="J18">
        <v>10521</v>
      </c>
      <c r="K18">
        <v>48772</v>
      </c>
      <c r="L18">
        <v>43306</v>
      </c>
      <c r="M18">
        <v>844658</v>
      </c>
      <c r="N18">
        <v>48518</v>
      </c>
      <c r="O18">
        <v>32483</v>
      </c>
      <c r="P18">
        <v>24318</v>
      </c>
      <c r="Q18">
        <v>3109917</v>
      </c>
      <c r="R18">
        <v>227826</v>
      </c>
      <c r="S18">
        <v>12896</v>
      </c>
      <c r="T18">
        <v>6518</v>
      </c>
      <c r="U18">
        <v>678122</v>
      </c>
      <c r="V18">
        <v>80520</v>
      </c>
      <c r="W18">
        <v>504551</v>
      </c>
      <c r="X18">
        <v>458699</v>
      </c>
      <c r="Y18">
        <v>8342983</v>
      </c>
      <c r="Z18">
        <v>102940</v>
      </c>
      <c r="AA18">
        <v>93242</v>
      </c>
      <c r="AB18">
        <v>66398</v>
      </c>
      <c r="AC18">
        <v>1355334</v>
      </c>
      <c r="AD18">
        <v>19130</v>
      </c>
      <c r="AE18">
        <v>17510</v>
      </c>
      <c r="AF18">
        <v>17804</v>
      </c>
      <c r="AG18">
        <v>1089270</v>
      </c>
      <c r="AH18">
        <v>13475</v>
      </c>
      <c r="AI18">
        <v>314318</v>
      </c>
      <c r="AJ18">
        <v>213068</v>
      </c>
      <c r="AK18">
        <v>18395849</v>
      </c>
      <c r="AL18">
        <v>96921</v>
      </c>
      <c r="AM18">
        <v>276582</v>
      </c>
      <c r="AN18">
        <v>11743</v>
      </c>
      <c r="AO18">
        <v>602491</v>
      </c>
      <c r="AP18">
        <v>0</v>
      </c>
      <c r="AQ18">
        <v>33250</v>
      </c>
      <c r="AR18">
        <v>11561</v>
      </c>
      <c r="AS18">
        <v>592441</v>
      </c>
      <c r="AT18">
        <v>3575</v>
      </c>
      <c r="AU18">
        <v>63409</v>
      </c>
      <c r="AV18">
        <v>44280</v>
      </c>
      <c r="AW18">
        <v>912960</v>
      </c>
      <c r="AX18">
        <v>20748</v>
      </c>
      <c r="AY18">
        <v>69689</v>
      </c>
      <c r="AZ18">
        <v>49053</v>
      </c>
      <c r="BA18">
        <v>825158</v>
      </c>
      <c r="BB18">
        <v>14796</v>
      </c>
      <c r="BC18">
        <v>79673</v>
      </c>
      <c r="BD18">
        <v>81123</v>
      </c>
      <c r="BE18">
        <v>2291433</v>
      </c>
      <c r="BF18">
        <v>12420</v>
      </c>
    </row>
    <row r="19" spans="1:58" x14ac:dyDescent="0.4">
      <c r="A19" s="1" t="s">
        <v>26</v>
      </c>
      <c r="B19" s="1" t="s">
        <v>27</v>
      </c>
      <c r="C19">
        <v>68883</v>
      </c>
      <c r="D19">
        <v>17962</v>
      </c>
      <c r="E19">
        <v>1794610</v>
      </c>
      <c r="F19">
        <v>25666</v>
      </c>
      <c r="G19">
        <v>19577</v>
      </c>
      <c r="H19">
        <v>5690</v>
      </c>
      <c r="I19">
        <v>378070</v>
      </c>
      <c r="J19">
        <v>12951</v>
      </c>
      <c r="K19">
        <v>48772</v>
      </c>
      <c r="L19">
        <v>27770</v>
      </c>
      <c r="M19">
        <v>672810</v>
      </c>
      <c r="N19">
        <v>68989</v>
      </c>
      <c r="O19">
        <v>24737</v>
      </c>
      <c r="P19">
        <v>25288</v>
      </c>
      <c r="Q19">
        <v>3247864</v>
      </c>
      <c r="R19">
        <v>223715</v>
      </c>
      <c r="S19">
        <v>4942</v>
      </c>
      <c r="T19">
        <v>6111</v>
      </c>
      <c r="U19">
        <v>658573</v>
      </c>
      <c r="V19">
        <v>78631</v>
      </c>
      <c r="W19">
        <v>485211</v>
      </c>
      <c r="X19">
        <v>441235</v>
      </c>
      <c r="Y19">
        <v>7964271</v>
      </c>
      <c r="Z19">
        <v>100179</v>
      </c>
      <c r="AA19">
        <v>103732</v>
      </c>
      <c r="AB19">
        <v>61429</v>
      </c>
      <c r="AC19">
        <v>1219399</v>
      </c>
      <c r="AD19">
        <v>19933</v>
      </c>
      <c r="AE19">
        <v>15792</v>
      </c>
      <c r="AF19">
        <v>16383</v>
      </c>
      <c r="AG19">
        <v>974253</v>
      </c>
      <c r="AH19">
        <v>12889</v>
      </c>
      <c r="AI19">
        <v>348050</v>
      </c>
      <c r="AJ19">
        <v>216853</v>
      </c>
      <c r="AK19">
        <v>18686760</v>
      </c>
      <c r="AL19">
        <v>116187</v>
      </c>
      <c r="AM19">
        <v>306664</v>
      </c>
      <c r="AN19">
        <v>12349</v>
      </c>
      <c r="AO19">
        <v>628069</v>
      </c>
      <c r="AP19">
        <v>0</v>
      </c>
      <c r="AQ19">
        <v>37735</v>
      </c>
      <c r="AR19">
        <v>12902</v>
      </c>
      <c r="AS19">
        <v>651735</v>
      </c>
      <c r="AT19">
        <v>3705</v>
      </c>
      <c r="AU19">
        <v>60553</v>
      </c>
      <c r="AV19">
        <v>40491</v>
      </c>
      <c r="AW19">
        <v>842654</v>
      </c>
      <c r="AX19">
        <v>20736</v>
      </c>
      <c r="AY19">
        <v>72790</v>
      </c>
      <c r="AZ19">
        <v>46564</v>
      </c>
      <c r="BA19">
        <v>743260</v>
      </c>
      <c r="BB19">
        <v>19567</v>
      </c>
      <c r="BC19">
        <v>78547</v>
      </c>
      <c r="BD19">
        <v>75639</v>
      </c>
      <c r="BE19">
        <v>2174048</v>
      </c>
      <c r="BF19">
        <v>13847</v>
      </c>
    </row>
    <row r="20" spans="1:58" x14ac:dyDescent="0.4">
      <c r="A20" s="1" t="s">
        <v>28</v>
      </c>
      <c r="B20" s="1" t="s">
        <v>29</v>
      </c>
      <c r="C20">
        <v>60215</v>
      </c>
      <c r="D20">
        <v>16942</v>
      </c>
      <c r="E20">
        <v>1781046</v>
      </c>
      <c r="F20">
        <v>24123</v>
      </c>
      <c r="G20">
        <v>14559</v>
      </c>
      <c r="H20">
        <v>6358</v>
      </c>
      <c r="I20">
        <v>423878</v>
      </c>
      <c r="J20">
        <v>12418</v>
      </c>
      <c r="K20">
        <v>40057</v>
      </c>
      <c r="L20">
        <v>49229</v>
      </c>
      <c r="M20">
        <v>971099</v>
      </c>
      <c r="N20">
        <v>59026</v>
      </c>
      <c r="O20">
        <v>43184</v>
      </c>
      <c r="P20">
        <v>36035</v>
      </c>
      <c r="Q20">
        <v>4629038</v>
      </c>
      <c r="R20">
        <v>223633</v>
      </c>
      <c r="S20">
        <v>7860</v>
      </c>
      <c r="T20">
        <v>8571</v>
      </c>
      <c r="U20">
        <v>890348</v>
      </c>
      <c r="V20">
        <v>77507</v>
      </c>
      <c r="W20">
        <v>480009</v>
      </c>
      <c r="X20">
        <v>438712</v>
      </c>
      <c r="Y20">
        <v>8073235</v>
      </c>
      <c r="Z20">
        <v>101678</v>
      </c>
      <c r="AA20">
        <v>91338</v>
      </c>
      <c r="AB20">
        <v>60710</v>
      </c>
      <c r="AC20">
        <v>1232265</v>
      </c>
      <c r="AD20">
        <v>19442</v>
      </c>
      <c r="AE20">
        <v>17064</v>
      </c>
      <c r="AF20">
        <v>17456</v>
      </c>
      <c r="AG20">
        <v>990659</v>
      </c>
      <c r="AH20">
        <v>12515</v>
      </c>
      <c r="AI20">
        <v>320583</v>
      </c>
      <c r="AJ20">
        <v>245513</v>
      </c>
      <c r="AK20">
        <v>21572240</v>
      </c>
      <c r="AL20">
        <v>114241</v>
      </c>
      <c r="AM20">
        <v>283101</v>
      </c>
      <c r="AN20">
        <v>10365</v>
      </c>
      <c r="AO20">
        <v>529549</v>
      </c>
      <c r="AP20">
        <v>0</v>
      </c>
      <c r="AQ20">
        <v>35014</v>
      </c>
      <c r="AR20">
        <v>11498</v>
      </c>
      <c r="AS20">
        <v>568962</v>
      </c>
      <c r="AT20">
        <v>3954</v>
      </c>
      <c r="AU20">
        <v>63759</v>
      </c>
      <c r="AV20">
        <v>45088</v>
      </c>
      <c r="AW20">
        <v>962027</v>
      </c>
      <c r="AX20">
        <v>21567</v>
      </c>
      <c r="AY20">
        <v>67815</v>
      </c>
      <c r="AZ20">
        <v>47503</v>
      </c>
      <c r="BA20">
        <v>711087</v>
      </c>
      <c r="BB20">
        <v>18709</v>
      </c>
      <c r="BC20">
        <v>78701</v>
      </c>
      <c r="BD20">
        <v>76628</v>
      </c>
      <c r="BE20">
        <v>2173158</v>
      </c>
      <c r="BF20">
        <v>14928</v>
      </c>
    </row>
    <row r="21" spans="1:58" x14ac:dyDescent="0.4">
      <c r="A21" s="1" t="s">
        <v>30</v>
      </c>
      <c r="B21" s="1" t="s">
        <v>31</v>
      </c>
      <c r="C21">
        <v>56838</v>
      </c>
      <c r="D21">
        <v>19011</v>
      </c>
      <c r="E21">
        <v>1868903</v>
      </c>
      <c r="F21">
        <v>21638</v>
      </c>
      <c r="G21">
        <v>18540</v>
      </c>
      <c r="H21">
        <v>6816</v>
      </c>
      <c r="I21">
        <v>410841</v>
      </c>
      <c r="J21">
        <v>10504</v>
      </c>
      <c r="K21">
        <v>36751</v>
      </c>
      <c r="L21">
        <v>47238</v>
      </c>
      <c r="M21">
        <v>1197995</v>
      </c>
      <c r="N21">
        <v>47895</v>
      </c>
      <c r="O21">
        <v>49587</v>
      </c>
      <c r="P21">
        <v>39282</v>
      </c>
      <c r="Q21">
        <v>4830572</v>
      </c>
      <c r="R21">
        <v>228606</v>
      </c>
      <c r="S21">
        <v>12204</v>
      </c>
      <c r="T21">
        <v>10239</v>
      </c>
      <c r="U21">
        <v>1082594</v>
      </c>
      <c r="V21">
        <v>78359</v>
      </c>
      <c r="W21">
        <v>491398</v>
      </c>
      <c r="X21">
        <v>454198</v>
      </c>
      <c r="Y21">
        <v>8382384</v>
      </c>
      <c r="Z21">
        <v>104908</v>
      </c>
      <c r="AA21">
        <v>88322</v>
      </c>
      <c r="AB21">
        <v>64418</v>
      </c>
      <c r="AC21">
        <v>1323018</v>
      </c>
      <c r="AD21">
        <v>18723</v>
      </c>
      <c r="AE21">
        <v>17310</v>
      </c>
      <c r="AF21">
        <v>18243</v>
      </c>
      <c r="AG21">
        <v>1107834</v>
      </c>
      <c r="AH21">
        <v>11592</v>
      </c>
      <c r="AI21">
        <v>294779</v>
      </c>
      <c r="AJ21">
        <v>227937</v>
      </c>
      <c r="AK21">
        <v>19254508</v>
      </c>
      <c r="AL21">
        <v>95174</v>
      </c>
      <c r="AM21">
        <v>262581</v>
      </c>
      <c r="AN21">
        <v>11259</v>
      </c>
      <c r="AO21">
        <v>559159</v>
      </c>
      <c r="AP21">
        <v>0</v>
      </c>
      <c r="AQ21">
        <v>30006</v>
      </c>
      <c r="AR21">
        <v>13371</v>
      </c>
      <c r="AS21">
        <v>677149</v>
      </c>
      <c r="AT21">
        <v>3691</v>
      </c>
      <c r="AU21">
        <v>65152</v>
      </c>
      <c r="AV21">
        <v>46666</v>
      </c>
      <c r="AW21">
        <v>962419</v>
      </c>
      <c r="AX21">
        <v>19778</v>
      </c>
      <c r="AY21">
        <v>65508</v>
      </c>
      <c r="AZ21">
        <v>49285</v>
      </c>
      <c r="BA21">
        <v>892153</v>
      </c>
      <c r="BB21">
        <v>15424</v>
      </c>
      <c r="BC21">
        <v>74323</v>
      </c>
      <c r="BD21">
        <v>75467</v>
      </c>
      <c r="BE21">
        <v>2159957</v>
      </c>
      <c r="BF21">
        <v>12794</v>
      </c>
    </row>
    <row r="22" spans="1:58" x14ac:dyDescent="0.4">
      <c r="A22" s="1" t="s">
        <v>32</v>
      </c>
      <c r="B22" s="1" t="s">
        <v>33</v>
      </c>
      <c r="C22">
        <v>57110</v>
      </c>
      <c r="D22">
        <v>22022</v>
      </c>
      <c r="E22">
        <v>2250984</v>
      </c>
      <c r="F22">
        <v>19113</v>
      </c>
      <c r="G22">
        <v>19852</v>
      </c>
      <c r="H22">
        <v>7386</v>
      </c>
      <c r="I22">
        <v>497897</v>
      </c>
      <c r="J22">
        <v>12214</v>
      </c>
      <c r="K22">
        <v>43144</v>
      </c>
      <c r="L22">
        <v>32609</v>
      </c>
      <c r="M22">
        <v>860168</v>
      </c>
      <c r="N22">
        <v>57773</v>
      </c>
      <c r="O22">
        <v>45165</v>
      </c>
      <c r="P22">
        <v>50810</v>
      </c>
      <c r="Q22">
        <v>6573152</v>
      </c>
      <c r="R22">
        <v>218736</v>
      </c>
      <c r="S22">
        <v>9706</v>
      </c>
      <c r="T22">
        <v>11005</v>
      </c>
      <c r="U22">
        <v>1226253</v>
      </c>
      <c r="V22">
        <v>76234</v>
      </c>
      <c r="W22">
        <v>483567</v>
      </c>
      <c r="X22">
        <v>453531</v>
      </c>
      <c r="Y22">
        <v>8338823</v>
      </c>
      <c r="Z22">
        <v>101942</v>
      </c>
      <c r="AA22">
        <v>91721</v>
      </c>
      <c r="AB22">
        <v>63257</v>
      </c>
      <c r="AC22">
        <v>1300601</v>
      </c>
      <c r="AD22">
        <v>18784</v>
      </c>
      <c r="AE22">
        <v>18465</v>
      </c>
      <c r="AF22">
        <v>18179</v>
      </c>
      <c r="AG22">
        <v>1086221</v>
      </c>
      <c r="AH22">
        <v>11891</v>
      </c>
      <c r="AI22">
        <v>305791</v>
      </c>
      <c r="AJ22">
        <v>215148</v>
      </c>
      <c r="AK22">
        <v>18282686</v>
      </c>
      <c r="AL22">
        <v>97379</v>
      </c>
      <c r="AM22">
        <v>271130</v>
      </c>
      <c r="AN22">
        <v>10373</v>
      </c>
      <c r="AO22">
        <v>514336</v>
      </c>
      <c r="AP22">
        <v>0</v>
      </c>
      <c r="AQ22">
        <v>35748</v>
      </c>
      <c r="AR22">
        <v>13882</v>
      </c>
      <c r="AS22">
        <v>703475</v>
      </c>
      <c r="AT22">
        <v>3671</v>
      </c>
      <c r="AU22">
        <v>67336</v>
      </c>
      <c r="AV22">
        <v>45950</v>
      </c>
      <c r="AW22">
        <v>1016193</v>
      </c>
      <c r="AX22">
        <v>17409</v>
      </c>
      <c r="AY22">
        <v>72913</v>
      </c>
      <c r="AZ22">
        <v>50651</v>
      </c>
      <c r="BA22">
        <v>852888</v>
      </c>
      <c r="BB22">
        <v>14716</v>
      </c>
      <c r="BC22">
        <v>70550</v>
      </c>
      <c r="BD22">
        <v>69361</v>
      </c>
      <c r="BE22">
        <v>1996026</v>
      </c>
      <c r="BF22">
        <v>13700</v>
      </c>
    </row>
    <row r="23" spans="1:58" x14ac:dyDescent="0.4">
      <c r="A23" s="1" t="s">
        <v>34</v>
      </c>
      <c r="B23" s="1" t="s">
        <v>35</v>
      </c>
      <c r="C23">
        <v>78344</v>
      </c>
      <c r="D23">
        <v>18003</v>
      </c>
      <c r="E23">
        <v>1813188</v>
      </c>
      <c r="F23">
        <v>30270</v>
      </c>
      <c r="G23">
        <v>19694</v>
      </c>
      <c r="H23">
        <v>6321</v>
      </c>
      <c r="I23">
        <v>407460</v>
      </c>
      <c r="J23">
        <v>12768</v>
      </c>
      <c r="K23">
        <v>49800</v>
      </c>
      <c r="L23">
        <v>55360</v>
      </c>
      <c r="M23">
        <v>1279059</v>
      </c>
      <c r="N23">
        <v>50927</v>
      </c>
      <c r="O23">
        <v>52709</v>
      </c>
      <c r="P23">
        <v>40368</v>
      </c>
      <c r="Q23">
        <v>5170020</v>
      </c>
      <c r="R23">
        <v>223751</v>
      </c>
      <c r="S23">
        <v>12321</v>
      </c>
      <c r="T23">
        <v>9291</v>
      </c>
      <c r="U23">
        <v>1046025</v>
      </c>
      <c r="V23">
        <v>78544</v>
      </c>
      <c r="W23">
        <v>472308</v>
      </c>
      <c r="X23">
        <v>430843</v>
      </c>
      <c r="Y23">
        <v>7871225</v>
      </c>
      <c r="Z23">
        <v>106258</v>
      </c>
      <c r="AA23">
        <v>106584</v>
      </c>
      <c r="AB23">
        <v>68173</v>
      </c>
      <c r="AC23">
        <v>1396365</v>
      </c>
      <c r="AD23">
        <v>19253</v>
      </c>
      <c r="AE23">
        <v>17199</v>
      </c>
      <c r="AF23">
        <v>16647</v>
      </c>
      <c r="AG23">
        <v>1004544</v>
      </c>
      <c r="AH23">
        <v>12462</v>
      </c>
      <c r="AI23">
        <v>338119</v>
      </c>
      <c r="AJ23">
        <v>220216</v>
      </c>
      <c r="AK23">
        <v>19364351</v>
      </c>
      <c r="AL23">
        <v>113687</v>
      </c>
      <c r="AM23">
        <v>298144</v>
      </c>
      <c r="AN23">
        <v>8499</v>
      </c>
      <c r="AO23">
        <v>425038</v>
      </c>
      <c r="AP23">
        <v>0</v>
      </c>
      <c r="AQ23">
        <v>39418</v>
      </c>
      <c r="AR23">
        <v>13925</v>
      </c>
      <c r="AS23">
        <v>711515</v>
      </c>
      <c r="AT23">
        <v>3767</v>
      </c>
      <c r="AU23">
        <v>64546</v>
      </c>
      <c r="AV23">
        <v>43776</v>
      </c>
      <c r="AW23">
        <v>911139</v>
      </c>
      <c r="AX23">
        <v>18436</v>
      </c>
      <c r="AY23">
        <v>72967</v>
      </c>
      <c r="AZ23">
        <v>51381</v>
      </c>
      <c r="BA23">
        <v>904391</v>
      </c>
      <c r="BB23">
        <v>15856</v>
      </c>
      <c r="BC23">
        <v>66987</v>
      </c>
      <c r="BD23">
        <v>66524</v>
      </c>
      <c r="BE23">
        <v>1917703</v>
      </c>
      <c r="BF23">
        <v>12862</v>
      </c>
    </row>
    <row r="24" spans="1:58" x14ac:dyDescent="0.4">
      <c r="A24" s="1" t="s">
        <v>36</v>
      </c>
      <c r="B24" s="1" t="s">
        <v>37</v>
      </c>
      <c r="C24">
        <v>68551</v>
      </c>
      <c r="D24">
        <v>18840</v>
      </c>
      <c r="E24">
        <v>1895683</v>
      </c>
      <c r="F24">
        <v>31319</v>
      </c>
      <c r="G24">
        <v>20817</v>
      </c>
      <c r="H24">
        <v>6785</v>
      </c>
      <c r="I24">
        <v>449561</v>
      </c>
      <c r="J24">
        <v>10441</v>
      </c>
      <c r="K24">
        <v>41695</v>
      </c>
      <c r="L24">
        <v>37411</v>
      </c>
      <c r="M24">
        <v>866519</v>
      </c>
      <c r="N24">
        <v>54201</v>
      </c>
      <c r="O24">
        <v>46368</v>
      </c>
      <c r="P24">
        <v>31768</v>
      </c>
      <c r="Q24">
        <v>3955603</v>
      </c>
      <c r="R24">
        <v>232380</v>
      </c>
      <c r="S24">
        <v>10784</v>
      </c>
      <c r="T24">
        <v>9209</v>
      </c>
      <c r="U24">
        <v>958809</v>
      </c>
      <c r="V24">
        <v>78256</v>
      </c>
      <c r="W24">
        <v>466062</v>
      </c>
      <c r="X24">
        <v>427217</v>
      </c>
      <c r="Y24">
        <v>7758866</v>
      </c>
      <c r="Z24">
        <v>112412</v>
      </c>
      <c r="AA24">
        <v>100163</v>
      </c>
      <c r="AB24">
        <v>60733</v>
      </c>
      <c r="AC24">
        <v>1265264</v>
      </c>
      <c r="AD24">
        <v>19108</v>
      </c>
      <c r="AE24">
        <v>17171</v>
      </c>
      <c r="AF24">
        <v>17081</v>
      </c>
      <c r="AG24">
        <v>1058836</v>
      </c>
      <c r="AH24">
        <v>12564</v>
      </c>
      <c r="AI24">
        <v>358469</v>
      </c>
      <c r="AJ24">
        <v>251626</v>
      </c>
      <c r="AK24">
        <v>21626871</v>
      </c>
      <c r="AL24">
        <v>117219</v>
      </c>
      <c r="AM24">
        <v>310894</v>
      </c>
      <c r="AN24">
        <v>11359</v>
      </c>
      <c r="AO24">
        <v>568507</v>
      </c>
      <c r="AP24">
        <v>0</v>
      </c>
      <c r="AQ24">
        <v>37878</v>
      </c>
      <c r="AR24">
        <v>12309</v>
      </c>
      <c r="AS24">
        <v>618576</v>
      </c>
      <c r="AT24">
        <v>3646</v>
      </c>
      <c r="AU24">
        <v>63885</v>
      </c>
      <c r="AV24">
        <v>41199</v>
      </c>
      <c r="AW24">
        <v>840835</v>
      </c>
      <c r="AX24">
        <v>18836</v>
      </c>
      <c r="AY24">
        <v>75342</v>
      </c>
      <c r="AZ24">
        <v>47016</v>
      </c>
      <c r="BA24">
        <v>728101</v>
      </c>
      <c r="BB24">
        <v>17918</v>
      </c>
      <c r="BC24">
        <v>60527</v>
      </c>
      <c r="BD24">
        <v>58923</v>
      </c>
      <c r="BE24">
        <v>1693348</v>
      </c>
      <c r="BF24">
        <v>12994</v>
      </c>
    </row>
    <row r="25" spans="1:58" x14ac:dyDescent="0.4">
      <c r="A25" s="1" t="s">
        <v>38</v>
      </c>
      <c r="B25" s="1" t="s">
        <v>39</v>
      </c>
      <c r="C25">
        <v>51718</v>
      </c>
      <c r="D25">
        <v>21616</v>
      </c>
      <c r="E25">
        <v>2189408</v>
      </c>
      <c r="F25">
        <v>26692</v>
      </c>
      <c r="G25">
        <v>17898</v>
      </c>
      <c r="H25">
        <v>6747</v>
      </c>
      <c r="I25">
        <v>434120</v>
      </c>
      <c r="J25">
        <v>11912</v>
      </c>
      <c r="K25">
        <v>30801</v>
      </c>
      <c r="L25">
        <v>26561</v>
      </c>
      <c r="M25">
        <v>622981</v>
      </c>
      <c r="N25">
        <v>56779</v>
      </c>
      <c r="O25">
        <v>45232</v>
      </c>
      <c r="P25">
        <v>35042</v>
      </c>
      <c r="Q25">
        <v>4507436</v>
      </c>
      <c r="R25">
        <v>234876</v>
      </c>
      <c r="S25">
        <v>12448</v>
      </c>
      <c r="T25">
        <v>11505</v>
      </c>
      <c r="U25">
        <v>1225793</v>
      </c>
      <c r="V25">
        <v>77662</v>
      </c>
      <c r="W25">
        <v>454480</v>
      </c>
      <c r="X25">
        <v>411721</v>
      </c>
      <c r="Y25">
        <v>7517075</v>
      </c>
      <c r="Z25">
        <v>120843</v>
      </c>
      <c r="AA25">
        <v>90088</v>
      </c>
      <c r="AB25">
        <v>58145</v>
      </c>
      <c r="AC25">
        <v>1259274</v>
      </c>
      <c r="AD25">
        <v>18575</v>
      </c>
      <c r="AE25">
        <v>15886</v>
      </c>
      <c r="AF25">
        <v>15683</v>
      </c>
      <c r="AG25">
        <v>985692</v>
      </c>
      <c r="AH25">
        <v>12779</v>
      </c>
      <c r="AI25">
        <v>314916</v>
      </c>
      <c r="AJ25">
        <v>218422</v>
      </c>
      <c r="AK25">
        <v>18092386</v>
      </c>
      <c r="AL25">
        <v>125610</v>
      </c>
      <c r="AM25">
        <v>272104</v>
      </c>
      <c r="AN25">
        <v>9245</v>
      </c>
      <c r="AO25">
        <v>473862</v>
      </c>
      <c r="AP25">
        <v>0</v>
      </c>
      <c r="AQ25">
        <v>35170</v>
      </c>
      <c r="AR25">
        <v>13012</v>
      </c>
      <c r="AS25">
        <v>663263</v>
      </c>
      <c r="AT25">
        <v>3527</v>
      </c>
      <c r="AU25">
        <v>67857</v>
      </c>
      <c r="AV25">
        <v>46100</v>
      </c>
      <c r="AW25">
        <v>1004695</v>
      </c>
      <c r="AX25">
        <v>19820</v>
      </c>
      <c r="AY25">
        <v>59387</v>
      </c>
      <c r="AZ25">
        <v>38704</v>
      </c>
      <c r="BA25">
        <v>534971</v>
      </c>
      <c r="BB25">
        <v>21921</v>
      </c>
      <c r="BC25">
        <v>58904</v>
      </c>
      <c r="BD25">
        <v>56958</v>
      </c>
      <c r="BE25">
        <v>1624866</v>
      </c>
      <c r="BF25">
        <v>13619</v>
      </c>
    </row>
    <row r="26" spans="1:58" x14ac:dyDescent="0.4">
      <c r="A26" s="1" t="s">
        <v>40</v>
      </c>
      <c r="B26" s="1" t="s">
        <v>41</v>
      </c>
      <c r="C26">
        <v>51436</v>
      </c>
      <c r="D26">
        <v>23562</v>
      </c>
      <c r="E26">
        <v>2414400</v>
      </c>
      <c r="F26">
        <v>20395</v>
      </c>
      <c r="G26">
        <v>15273</v>
      </c>
      <c r="H26">
        <v>6875</v>
      </c>
      <c r="I26">
        <v>448898</v>
      </c>
      <c r="J26">
        <v>11405</v>
      </c>
      <c r="K26">
        <v>40048</v>
      </c>
      <c r="L26">
        <v>43665</v>
      </c>
      <c r="M26">
        <v>1185234</v>
      </c>
      <c r="N26">
        <v>51939</v>
      </c>
      <c r="O26">
        <v>46246</v>
      </c>
      <c r="P26">
        <v>61016</v>
      </c>
      <c r="Q26">
        <v>7675968</v>
      </c>
      <c r="R26">
        <v>210780</v>
      </c>
      <c r="S26">
        <v>10659</v>
      </c>
      <c r="T26">
        <v>17280</v>
      </c>
      <c r="U26">
        <v>1875125</v>
      </c>
      <c r="V26">
        <v>69661</v>
      </c>
      <c r="W26">
        <v>488775</v>
      </c>
      <c r="X26">
        <v>449138</v>
      </c>
      <c r="Y26">
        <v>8191336</v>
      </c>
      <c r="Z26">
        <v>118868</v>
      </c>
      <c r="AA26">
        <v>105128</v>
      </c>
      <c r="AB26">
        <v>63717</v>
      </c>
      <c r="AC26">
        <v>1337001</v>
      </c>
      <c r="AD26">
        <v>19304</v>
      </c>
      <c r="AE26">
        <v>16738</v>
      </c>
      <c r="AF26">
        <v>16886</v>
      </c>
      <c r="AG26">
        <v>1070074</v>
      </c>
      <c r="AH26">
        <v>12646</v>
      </c>
      <c r="AI26">
        <v>313878</v>
      </c>
      <c r="AJ26">
        <v>232837</v>
      </c>
      <c r="AK26">
        <v>18631277</v>
      </c>
      <c r="AL26">
        <v>121334</v>
      </c>
      <c r="AM26">
        <v>268470</v>
      </c>
      <c r="AN26">
        <v>9054</v>
      </c>
      <c r="AO26">
        <v>470225</v>
      </c>
      <c r="AP26">
        <v>0</v>
      </c>
      <c r="AQ26">
        <v>38959</v>
      </c>
      <c r="AR26">
        <v>14559</v>
      </c>
      <c r="AS26">
        <v>738297</v>
      </c>
      <c r="AT26">
        <v>3714</v>
      </c>
      <c r="AU26">
        <v>72627</v>
      </c>
      <c r="AV26">
        <v>51897</v>
      </c>
      <c r="AW26">
        <v>1137275</v>
      </c>
      <c r="AX26">
        <v>21622</v>
      </c>
      <c r="AY26">
        <v>52031</v>
      </c>
      <c r="AZ26">
        <v>38621</v>
      </c>
      <c r="BA26">
        <v>535818</v>
      </c>
      <c r="BB26">
        <v>17619</v>
      </c>
      <c r="BC26">
        <v>68812</v>
      </c>
      <c r="BD26">
        <v>66704</v>
      </c>
      <c r="BE26">
        <v>1901148</v>
      </c>
      <c r="BF26">
        <v>14173</v>
      </c>
    </row>
    <row r="27" spans="1:58" x14ac:dyDescent="0.4">
      <c r="A27" s="1" t="s">
        <v>42</v>
      </c>
      <c r="B27" s="1" t="s">
        <v>43</v>
      </c>
      <c r="C27">
        <v>71470</v>
      </c>
      <c r="D27">
        <v>16263</v>
      </c>
      <c r="E27">
        <v>1728845</v>
      </c>
      <c r="F27">
        <v>26830</v>
      </c>
      <c r="G27">
        <v>13806</v>
      </c>
      <c r="H27">
        <v>5160</v>
      </c>
      <c r="I27">
        <v>355342</v>
      </c>
      <c r="J27">
        <v>9293</v>
      </c>
      <c r="K27">
        <v>45280</v>
      </c>
      <c r="L27">
        <v>50588</v>
      </c>
      <c r="M27">
        <v>1345455</v>
      </c>
      <c r="N27">
        <v>45365</v>
      </c>
      <c r="O27">
        <v>49345</v>
      </c>
      <c r="P27">
        <v>42913</v>
      </c>
      <c r="Q27">
        <v>5411982</v>
      </c>
      <c r="R27">
        <v>211102</v>
      </c>
      <c r="S27">
        <v>13938</v>
      </c>
      <c r="T27">
        <v>12198</v>
      </c>
      <c r="U27">
        <v>1286041</v>
      </c>
      <c r="V27">
        <v>70733</v>
      </c>
      <c r="W27">
        <v>452906</v>
      </c>
      <c r="X27">
        <v>415968</v>
      </c>
      <c r="Y27">
        <v>7909737</v>
      </c>
      <c r="Z27">
        <v>104634</v>
      </c>
      <c r="AA27">
        <v>103917</v>
      </c>
      <c r="AB27">
        <v>63319</v>
      </c>
      <c r="AC27">
        <v>1361741</v>
      </c>
      <c r="AD27">
        <v>18171</v>
      </c>
      <c r="AE27">
        <v>17130</v>
      </c>
      <c r="AF27">
        <v>17195</v>
      </c>
      <c r="AG27">
        <v>1102848</v>
      </c>
      <c r="AH27">
        <v>12598</v>
      </c>
      <c r="AI27">
        <v>320241</v>
      </c>
      <c r="AJ27">
        <v>228556</v>
      </c>
      <c r="AK27">
        <v>19694725</v>
      </c>
      <c r="AL27">
        <v>113392</v>
      </c>
      <c r="AM27">
        <v>279898</v>
      </c>
      <c r="AN27">
        <v>9823</v>
      </c>
      <c r="AO27">
        <v>506123</v>
      </c>
      <c r="AP27">
        <v>0</v>
      </c>
      <c r="AQ27">
        <v>37192</v>
      </c>
      <c r="AR27">
        <v>13903</v>
      </c>
      <c r="AS27">
        <v>715158</v>
      </c>
      <c r="AT27">
        <v>3569</v>
      </c>
      <c r="AU27">
        <v>64640</v>
      </c>
      <c r="AV27">
        <v>49042</v>
      </c>
      <c r="AW27">
        <v>1081372</v>
      </c>
      <c r="AX27">
        <v>20980</v>
      </c>
      <c r="AY27">
        <v>57575</v>
      </c>
      <c r="AZ27">
        <v>37550</v>
      </c>
      <c r="BA27">
        <v>619467</v>
      </c>
      <c r="BB27">
        <v>14831</v>
      </c>
      <c r="BC27">
        <v>68195</v>
      </c>
      <c r="BD27">
        <v>69833</v>
      </c>
      <c r="BE27">
        <v>2050004</v>
      </c>
      <c r="BF27">
        <v>12257</v>
      </c>
    </row>
    <row r="28" spans="1:58" x14ac:dyDescent="0.4">
      <c r="A28" s="1" t="s">
        <v>44</v>
      </c>
      <c r="B28" s="1" t="s">
        <v>45</v>
      </c>
      <c r="C28">
        <v>63406</v>
      </c>
      <c r="D28">
        <v>16386</v>
      </c>
      <c r="E28">
        <v>1670243</v>
      </c>
      <c r="F28">
        <v>30084</v>
      </c>
      <c r="G28">
        <v>13327</v>
      </c>
      <c r="H28">
        <v>6436</v>
      </c>
      <c r="I28">
        <v>445983</v>
      </c>
      <c r="J28">
        <v>13014</v>
      </c>
      <c r="K28">
        <v>39432</v>
      </c>
      <c r="L28">
        <v>33116</v>
      </c>
      <c r="M28">
        <v>985975</v>
      </c>
      <c r="N28">
        <v>50693</v>
      </c>
      <c r="O28">
        <v>50874</v>
      </c>
      <c r="P28">
        <v>38987</v>
      </c>
      <c r="Q28">
        <v>4833051</v>
      </c>
      <c r="R28">
        <v>220500</v>
      </c>
      <c r="S28">
        <v>11836</v>
      </c>
      <c r="T28">
        <v>10561</v>
      </c>
      <c r="U28">
        <v>1100524</v>
      </c>
      <c r="V28">
        <v>71418</v>
      </c>
      <c r="W28">
        <v>458364</v>
      </c>
      <c r="X28">
        <v>402808</v>
      </c>
      <c r="Y28">
        <v>7498319</v>
      </c>
      <c r="Z28">
        <v>108871</v>
      </c>
      <c r="AA28">
        <v>96859</v>
      </c>
      <c r="AB28">
        <v>58016</v>
      </c>
      <c r="AC28">
        <v>1257351</v>
      </c>
      <c r="AD28">
        <v>18690</v>
      </c>
      <c r="AE28">
        <v>16325</v>
      </c>
      <c r="AF28">
        <v>15878</v>
      </c>
      <c r="AG28">
        <v>1002455</v>
      </c>
      <c r="AH28">
        <v>13059</v>
      </c>
      <c r="AI28">
        <v>256843</v>
      </c>
      <c r="AJ28">
        <v>187527</v>
      </c>
      <c r="AK28">
        <v>15751275</v>
      </c>
      <c r="AL28">
        <v>107463</v>
      </c>
      <c r="AM28">
        <v>223920</v>
      </c>
      <c r="AN28">
        <v>6025</v>
      </c>
      <c r="AO28">
        <v>284098</v>
      </c>
      <c r="AP28">
        <v>0</v>
      </c>
      <c r="AQ28">
        <v>30976</v>
      </c>
      <c r="AR28">
        <v>11513</v>
      </c>
      <c r="AS28">
        <v>586723</v>
      </c>
      <c r="AT28">
        <v>3609</v>
      </c>
      <c r="AU28">
        <v>64724</v>
      </c>
      <c r="AV28">
        <v>45795</v>
      </c>
      <c r="AW28">
        <v>967439</v>
      </c>
      <c r="AX28">
        <v>20746</v>
      </c>
      <c r="AY28">
        <v>68419</v>
      </c>
      <c r="AZ28">
        <v>43774</v>
      </c>
      <c r="BA28">
        <v>862472</v>
      </c>
      <c r="BB28">
        <v>17553</v>
      </c>
      <c r="BC28">
        <v>70093</v>
      </c>
      <c r="BD28">
        <v>68801</v>
      </c>
      <c r="BE28">
        <v>1981735</v>
      </c>
      <c r="BF28">
        <v>13332</v>
      </c>
    </row>
    <row r="29" spans="1:58" x14ac:dyDescent="0.4">
      <c r="A29" s="1" t="s">
        <v>46</v>
      </c>
      <c r="B29" s="1" t="s">
        <v>47</v>
      </c>
      <c r="C29">
        <v>60485</v>
      </c>
      <c r="D29">
        <v>16646</v>
      </c>
      <c r="E29">
        <v>1809924</v>
      </c>
      <c r="F29">
        <v>36651</v>
      </c>
      <c r="G29">
        <v>9118</v>
      </c>
      <c r="H29">
        <v>5834</v>
      </c>
      <c r="I29">
        <v>404204</v>
      </c>
      <c r="J29">
        <v>11649</v>
      </c>
      <c r="K29">
        <v>31516</v>
      </c>
      <c r="L29">
        <v>37992</v>
      </c>
      <c r="M29">
        <v>928793</v>
      </c>
      <c r="N29">
        <v>43573</v>
      </c>
      <c r="O29">
        <v>42911</v>
      </c>
      <c r="P29">
        <v>28864</v>
      </c>
      <c r="Q29">
        <v>3946231</v>
      </c>
      <c r="R29">
        <v>230608</v>
      </c>
      <c r="S29">
        <v>9157</v>
      </c>
      <c r="T29">
        <v>7629</v>
      </c>
      <c r="U29">
        <v>788531</v>
      </c>
      <c r="V29">
        <v>72723</v>
      </c>
      <c r="W29">
        <v>461445</v>
      </c>
      <c r="X29">
        <v>413038</v>
      </c>
      <c r="Y29">
        <v>7640053</v>
      </c>
      <c r="Z29">
        <v>105253</v>
      </c>
      <c r="AA29">
        <v>99227</v>
      </c>
      <c r="AB29">
        <v>57081</v>
      </c>
      <c r="AC29">
        <v>1240638</v>
      </c>
      <c r="AD29">
        <v>18467</v>
      </c>
      <c r="AE29">
        <v>18174</v>
      </c>
      <c r="AF29">
        <v>17202</v>
      </c>
      <c r="AG29">
        <v>1051348</v>
      </c>
      <c r="AH29">
        <v>14040</v>
      </c>
      <c r="AI29">
        <v>251799</v>
      </c>
      <c r="AJ29">
        <v>174127</v>
      </c>
      <c r="AK29">
        <v>15006761</v>
      </c>
      <c r="AL29">
        <v>102019</v>
      </c>
      <c r="AM29">
        <v>217817</v>
      </c>
      <c r="AN29">
        <v>3433</v>
      </c>
      <c r="AO29">
        <v>148599</v>
      </c>
      <c r="AP29">
        <v>0</v>
      </c>
      <c r="AQ29">
        <v>25360</v>
      </c>
      <c r="AR29">
        <v>10578</v>
      </c>
      <c r="AS29">
        <v>535689</v>
      </c>
      <c r="AT29">
        <v>3793</v>
      </c>
      <c r="AU29">
        <v>60595</v>
      </c>
      <c r="AV29">
        <v>45674</v>
      </c>
      <c r="AW29">
        <v>949801</v>
      </c>
      <c r="AX29">
        <v>21584</v>
      </c>
      <c r="AY29">
        <v>59903</v>
      </c>
      <c r="AZ29">
        <v>45357</v>
      </c>
      <c r="BA29">
        <v>1023348</v>
      </c>
      <c r="BB29">
        <v>18565</v>
      </c>
      <c r="BC29">
        <v>73402</v>
      </c>
      <c r="BD29">
        <v>72179</v>
      </c>
      <c r="BE29">
        <v>2087032</v>
      </c>
      <c r="BF29">
        <v>14703</v>
      </c>
    </row>
    <row r="30" spans="1:58" x14ac:dyDescent="0.4">
      <c r="A30" s="1" t="s">
        <v>48</v>
      </c>
      <c r="B30" s="1" t="s">
        <v>49</v>
      </c>
      <c r="C30">
        <v>57950</v>
      </c>
      <c r="D30">
        <v>19420</v>
      </c>
      <c r="E30">
        <v>1934092</v>
      </c>
      <c r="F30">
        <v>35506</v>
      </c>
      <c r="G30">
        <v>15772</v>
      </c>
      <c r="H30">
        <v>6116</v>
      </c>
      <c r="I30">
        <v>405869</v>
      </c>
      <c r="J30">
        <v>11170</v>
      </c>
      <c r="K30">
        <v>31277</v>
      </c>
      <c r="L30">
        <v>32748</v>
      </c>
      <c r="M30">
        <v>1004141</v>
      </c>
      <c r="N30">
        <v>41269</v>
      </c>
      <c r="O30">
        <v>29040</v>
      </c>
      <c r="P30">
        <v>23749</v>
      </c>
      <c r="Q30">
        <v>3097526</v>
      </c>
      <c r="R30">
        <v>231101</v>
      </c>
      <c r="S30">
        <v>8670</v>
      </c>
      <c r="T30">
        <v>6416</v>
      </c>
      <c r="U30">
        <v>655460</v>
      </c>
      <c r="V30">
        <v>70109</v>
      </c>
      <c r="W30">
        <v>499081</v>
      </c>
      <c r="X30">
        <v>450183</v>
      </c>
      <c r="Y30">
        <v>8344269</v>
      </c>
      <c r="Z30">
        <v>108669</v>
      </c>
      <c r="AA30">
        <v>92825</v>
      </c>
      <c r="AB30">
        <v>62480</v>
      </c>
      <c r="AC30">
        <v>1346477</v>
      </c>
      <c r="AD30">
        <v>19021</v>
      </c>
      <c r="AE30">
        <v>16913</v>
      </c>
      <c r="AF30">
        <v>16290</v>
      </c>
      <c r="AG30">
        <v>1064109</v>
      </c>
      <c r="AH30">
        <v>14681</v>
      </c>
      <c r="AI30">
        <v>310919</v>
      </c>
      <c r="AJ30">
        <v>217061</v>
      </c>
      <c r="AK30">
        <v>18555164</v>
      </c>
      <c r="AL30">
        <v>92792</v>
      </c>
      <c r="AM30">
        <v>270581</v>
      </c>
      <c r="AN30">
        <v>9762</v>
      </c>
      <c r="AO30">
        <v>496371</v>
      </c>
      <c r="AP30">
        <v>0</v>
      </c>
      <c r="AQ30">
        <v>32066</v>
      </c>
      <c r="AR30">
        <v>10722</v>
      </c>
      <c r="AS30">
        <v>550654</v>
      </c>
      <c r="AT30">
        <v>3344</v>
      </c>
      <c r="AU30">
        <v>55378</v>
      </c>
      <c r="AV30">
        <v>41519</v>
      </c>
      <c r="AW30">
        <v>875967</v>
      </c>
      <c r="AX30">
        <v>19228</v>
      </c>
      <c r="AY30">
        <v>66642</v>
      </c>
      <c r="AZ30">
        <v>49925</v>
      </c>
      <c r="BA30">
        <v>998218</v>
      </c>
      <c r="BB30">
        <v>14505</v>
      </c>
      <c r="BC30">
        <v>81419</v>
      </c>
      <c r="BD30">
        <v>84046</v>
      </c>
      <c r="BE30">
        <v>2426555</v>
      </c>
      <c r="BF30">
        <v>12013</v>
      </c>
    </row>
    <row r="31" spans="1:58" x14ac:dyDescent="0.4">
      <c r="A31" s="1" t="s">
        <v>50</v>
      </c>
      <c r="B31" s="1" t="s">
        <v>51</v>
      </c>
      <c r="C31">
        <v>62365</v>
      </c>
      <c r="D31">
        <v>20438</v>
      </c>
      <c r="E31">
        <v>2060209</v>
      </c>
      <c r="F31">
        <v>31608</v>
      </c>
      <c r="G31">
        <v>17832</v>
      </c>
      <c r="H31">
        <v>4959</v>
      </c>
      <c r="I31">
        <v>341265</v>
      </c>
      <c r="J31">
        <v>11461</v>
      </c>
      <c r="K31">
        <v>34286</v>
      </c>
      <c r="L31">
        <v>26051</v>
      </c>
      <c r="M31">
        <v>713677</v>
      </c>
      <c r="N31">
        <v>49013</v>
      </c>
      <c r="O31">
        <v>28960</v>
      </c>
      <c r="P31">
        <v>28278</v>
      </c>
      <c r="Q31">
        <v>3812436</v>
      </c>
      <c r="R31">
        <v>227459</v>
      </c>
      <c r="S31">
        <v>4544</v>
      </c>
      <c r="T31">
        <v>7360</v>
      </c>
      <c r="U31">
        <v>782411</v>
      </c>
      <c r="V31">
        <v>66582</v>
      </c>
      <c r="W31">
        <v>479514</v>
      </c>
      <c r="X31">
        <v>431831</v>
      </c>
      <c r="Y31">
        <v>7964561</v>
      </c>
      <c r="Z31">
        <v>112638</v>
      </c>
      <c r="AA31">
        <v>98791</v>
      </c>
      <c r="AB31">
        <v>57937</v>
      </c>
      <c r="AC31">
        <v>1252637</v>
      </c>
      <c r="AD31">
        <v>18647</v>
      </c>
      <c r="AE31">
        <v>14054</v>
      </c>
      <c r="AF31">
        <v>13709</v>
      </c>
      <c r="AG31">
        <v>887487</v>
      </c>
      <c r="AH31">
        <v>15038</v>
      </c>
      <c r="AI31">
        <v>329581</v>
      </c>
      <c r="AJ31">
        <v>205042</v>
      </c>
      <c r="AK31">
        <v>17825187</v>
      </c>
      <c r="AL31">
        <v>113721</v>
      </c>
      <c r="AM31">
        <v>287316</v>
      </c>
      <c r="AN31">
        <v>11153</v>
      </c>
      <c r="AO31">
        <v>570204</v>
      </c>
      <c r="AP31">
        <v>0</v>
      </c>
      <c r="AQ31">
        <v>37179</v>
      </c>
      <c r="AR31">
        <v>11820</v>
      </c>
      <c r="AS31">
        <v>601412</v>
      </c>
      <c r="AT31">
        <v>3778</v>
      </c>
      <c r="AU31">
        <v>58263</v>
      </c>
      <c r="AV31">
        <v>37832</v>
      </c>
      <c r="AW31">
        <v>828402</v>
      </c>
      <c r="AX31">
        <v>22136</v>
      </c>
      <c r="AY31">
        <v>65914</v>
      </c>
      <c r="AZ31">
        <v>44247</v>
      </c>
      <c r="BA31">
        <v>872329</v>
      </c>
      <c r="BB31">
        <v>17783</v>
      </c>
      <c r="BC31">
        <v>82398</v>
      </c>
      <c r="BD31">
        <v>77984</v>
      </c>
      <c r="BE31">
        <v>2296549</v>
      </c>
      <c r="BF31">
        <v>15664</v>
      </c>
    </row>
    <row r="32" spans="1:58" x14ac:dyDescent="0.4">
      <c r="A32" s="1" t="s">
        <v>52</v>
      </c>
      <c r="B32" s="1" t="s">
        <v>53</v>
      </c>
      <c r="C32">
        <v>64872</v>
      </c>
      <c r="D32">
        <v>17103</v>
      </c>
      <c r="E32">
        <v>1824510</v>
      </c>
      <c r="F32">
        <v>33193</v>
      </c>
      <c r="G32">
        <v>13406</v>
      </c>
      <c r="H32">
        <v>5638</v>
      </c>
      <c r="I32">
        <v>382147</v>
      </c>
      <c r="J32">
        <v>12612</v>
      </c>
      <c r="K32">
        <v>30227</v>
      </c>
      <c r="L32">
        <v>25810</v>
      </c>
      <c r="M32">
        <v>725870</v>
      </c>
      <c r="N32">
        <v>52170</v>
      </c>
      <c r="O32">
        <v>40690</v>
      </c>
      <c r="P32">
        <v>36887</v>
      </c>
      <c r="Q32">
        <v>4656345</v>
      </c>
      <c r="R32">
        <v>226290</v>
      </c>
      <c r="S32">
        <v>10998</v>
      </c>
      <c r="T32">
        <v>10015</v>
      </c>
      <c r="U32">
        <v>1053951</v>
      </c>
      <c r="V32">
        <v>65560</v>
      </c>
      <c r="W32">
        <v>457012</v>
      </c>
      <c r="X32">
        <v>426909</v>
      </c>
      <c r="Y32">
        <v>8036445</v>
      </c>
      <c r="Z32">
        <v>110766</v>
      </c>
      <c r="AA32">
        <v>91934</v>
      </c>
      <c r="AB32">
        <v>59665</v>
      </c>
      <c r="AC32">
        <v>1293308</v>
      </c>
      <c r="AD32">
        <v>18749</v>
      </c>
      <c r="AE32">
        <v>16713</v>
      </c>
      <c r="AF32">
        <v>16466</v>
      </c>
      <c r="AG32">
        <v>1024620</v>
      </c>
      <c r="AH32">
        <v>15300</v>
      </c>
      <c r="AI32">
        <v>317699</v>
      </c>
      <c r="AJ32">
        <v>249739</v>
      </c>
      <c r="AK32">
        <v>21206291</v>
      </c>
      <c r="AL32">
        <v>101811</v>
      </c>
      <c r="AM32">
        <v>277059</v>
      </c>
      <c r="AN32">
        <v>10823</v>
      </c>
      <c r="AO32">
        <v>557079</v>
      </c>
      <c r="AP32">
        <v>0</v>
      </c>
      <c r="AQ32">
        <v>32811</v>
      </c>
      <c r="AR32">
        <v>13096</v>
      </c>
      <c r="AS32">
        <v>637820</v>
      </c>
      <c r="AT32">
        <v>3587</v>
      </c>
      <c r="AU32">
        <v>57578</v>
      </c>
      <c r="AV32">
        <v>41099</v>
      </c>
      <c r="AW32">
        <v>870520</v>
      </c>
      <c r="AX32">
        <v>22250</v>
      </c>
      <c r="AY32">
        <v>69250</v>
      </c>
      <c r="AZ32">
        <v>48668</v>
      </c>
      <c r="BA32">
        <v>976543</v>
      </c>
      <c r="BB32">
        <v>15824</v>
      </c>
      <c r="BC32">
        <v>78938</v>
      </c>
      <c r="BD32">
        <v>80219</v>
      </c>
      <c r="BE32">
        <v>2320583</v>
      </c>
      <c r="BF32">
        <v>13816</v>
      </c>
    </row>
    <row r="33" spans="1:58" x14ac:dyDescent="0.4">
      <c r="A33" s="1" t="s">
        <v>54</v>
      </c>
      <c r="B33" s="1" t="s">
        <v>55</v>
      </c>
      <c r="C33">
        <v>57282</v>
      </c>
      <c r="D33">
        <v>15122</v>
      </c>
      <c r="E33">
        <v>1620736</v>
      </c>
      <c r="F33">
        <v>34499</v>
      </c>
      <c r="G33">
        <v>19018</v>
      </c>
      <c r="H33">
        <v>5839</v>
      </c>
      <c r="I33">
        <v>396198</v>
      </c>
      <c r="J33">
        <v>12753</v>
      </c>
      <c r="K33">
        <v>36821</v>
      </c>
      <c r="L33">
        <v>36667</v>
      </c>
      <c r="M33">
        <v>1016630</v>
      </c>
      <c r="N33">
        <v>51371</v>
      </c>
      <c r="O33">
        <v>50738</v>
      </c>
      <c r="P33">
        <v>49828</v>
      </c>
      <c r="Q33">
        <v>6361705</v>
      </c>
      <c r="R33">
        <v>221775</v>
      </c>
      <c r="S33">
        <v>10138</v>
      </c>
      <c r="T33">
        <v>12486</v>
      </c>
      <c r="U33">
        <v>1361819</v>
      </c>
      <c r="V33">
        <v>62319</v>
      </c>
      <c r="W33">
        <v>468381</v>
      </c>
      <c r="X33">
        <v>450325</v>
      </c>
      <c r="Y33">
        <v>8411389</v>
      </c>
      <c r="Z33">
        <v>100678</v>
      </c>
      <c r="AA33">
        <v>85193</v>
      </c>
      <c r="AB33">
        <v>62827</v>
      </c>
      <c r="AC33">
        <v>1363297</v>
      </c>
      <c r="AD33">
        <v>16056</v>
      </c>
      <c r="AE33">
        <v>15314</v>
      </c>
      <c r="AF33">
        <v>17696</v>
      </c>
      <c r="AG33">
        <v>1184502</v>
      </c>
      <c r="AH33">
        <v>12924</v>
      </c>
      <c r="AI33">
        <v>333129</v>
      </c>
      <c r="AJ33">
        <v>218842</v>
      </c>
      <c r="AK33">
        <v>18970600</v>
      </c>
      <c r="AL33">
        <v>121258</v>
      </c>
      <c r="AM33">
        <v>291068</v>
      </c>
      <c r="AN33">
        <v>10918</v>
      </c>
      <c r="AO33">
        <v>549402</v>
      </c>
      <c r="AP33">
        <v>0</v>
      </c>
      <c r="AQ33">
        <v>37462</v>
      </c>
      <c r="AR33">
        <v>13400</v>
      </c>
      <c r="AS33">
        <v>673792</v>
      </c>
      <c r="AT33">
        <v>3507</v>
      </c>
      <c r="AU33">
        <v>66422</v>
      </c>
      <c r="AV33">
        <v>43326</v>
      </c>
      <c r="AW33">
        <v>985684</v>
      </c>
      <c r="AX33">
        <v>20347</v>
      </c>
      <c r="AY33">
        <v>78453</v>
      </c>
      <c r="AZ33">
        <v>51888</v>
      </c>
      <c r="BA33">
        <v>1072430</v>
      </c>
      <c r="BB33">
        <v>17542</v>
      </c>
      <c r="BC33">
        <v>72068</v>
      </c>
      <c r="BD33">
        <v>72370</v>
      </c>
      <c r="BE33">
        <v>2164261</v>
      </c>
      <c r="BF33">
        <v>12909</v>
      </c>
    </row>
    <row r="34" spans="1:58" x14ac:dyDescent="0.4">
      <c r="A34" s="1" t="s">
        <v>56</v>
      </c>
      <c r="B34" s="1" t="s">
        <v>57</v>
      </c>
      <c r="C34">
        <v>43683</v>
      </c>
      <c r="D34">
        <v>12834</v>
      </c>
      <c r="E34">
        <v>1367768</v>
      </c>
      <c r="F34">
        <v>27661</v>
      </c>
      <c r="G34">
        <v>17217</v>
      </c>
      <c r="H34">
        <v>6443</v>
      </c>
      <c r="I34">
        <v>408797</v>
      </c>
      <c r="J34">
        <v>9388</v>
      </c>
      <c r="K34">
        <v>36814</v>
      </c>
      <c r="L34">
        <v>42010</v>
      </c>
      <c r="M34">
        <v>1118970</v>
      </c>
      <c r="N34">
        <v>45418</v>
      </c>
      <c r="O34">
        <v>43294</v>
      </c>
      <c r="P34">
        <v>45855</v>
      </c>
      <c r="Q34">
        <v>5902260</v>
      </c>
      <c r="R34">
        <v>213057</v>
      </c>
      <c r="S34">
        <v>9731</v>
      </c>
      <c r="T34">
        <v>9314</v>
      </c>
      <c r="U34">
        <v>1041049</v>
      </c>
      <c r="V34">
        <v>62609</v>
      </c>
      <c r="W34">
        <v>466167</v>
      </c>
      <c r="X34">
        <v>436814</v>
      </c>
      <c r="Y34">
        <v>8134164</v>
      </c>
      <c r="Z34">
        <v>101478</v>
      </c>
      <c r="AA34">
        <v>90668</v>
      </c>
      <c r="AB34">
        <v>59209</v>
      </c>
      <c r="AC34">
        <v>1289897</v>
      </c>
      <c r="AD34">
        <v>16359</v>
      </c>
      <c r="AE34">
        <v>16291</v>
      </c>
      <c r="AF34">
        <v>16472</v>
      </c>
      <c r="AG34">
        <v>1065163</v>
      </c>
      <c r="AH34">
        <v>12755</v>
      </c>
      <c r="AI34">
        <v>314402</v>
      </c>
      <c r="AJ34">
        <v>242167</v>
      </c>
      <c r="AK34">
        <v>20573061</v>
      </c>
      <c r="AL34">
        <v>108727</v>
      </c>
      <c r="AM34">
        <v>273516</v>
      </c>
      <c r="AN34">
        <v>12576</v>
      </c>
      <c r="AO34">
        <v>627959</v>
      </c>
      <c r="AP34">
        <v>0</v>
      </c>
      <c r="AQ34">
        <v>33468</v>
      </c>
      <c r="AR34">
        <v>14379</v>
      </c>
      <c r="AS34">
        <v>718928</v>
      </c>
      <c r="AT34">
        <v>3934</v>
      </c>
      <c r="AU34">
        <v>63133</v>
      </c>
      <c r="AV34">
        <v>39417</v>
      </c>
      <c r="AW34">
        <v>915806</v>
      </c>
      <c r="AX34">
        <v>21135</v>
      </c>
      <c r="AY34">
        <v>71085</v>
      </c>
      <c r="AZ34">
        <v>50847</v>
      </c>
      <c r="BA34">
        <v>1023003</v>
      </c>
      <c r="BB34">
        <v>16511</v>
      </c>
      <c r="BC34">
        <v>67010</v>
      </c>
      <c r="BD34">
        <v>64723</v>
      </c>
      <c r="BE34">
        <v>2006653</v>
      </c>
      <c r="BF34">
        <v>15318</v>
      </c>
    </row>
    <row r="35" spans="1:58" x14ac:dyDescent="0.4">
      <c r="A35" s="1" t="s">
        <v>58</v>
      </c>
      <c r="B35" s="1" t="s">
        <v>59</v>
      </c>
      <c r="C35">
        <v>65711</v>
      </c>
      <c r="D35">
        <v>20517</v>
      </c>
      <c r="E35">
        <v>2095120</v>
      </c>
      <c r="F35">
        <v>29430</v>
      </c>
      <c r="G35">
        <v>14559</v>
      </c>
      <c r="H35">
        <v>6599</v>
      </c>
      <c r="I35">
        <v>423261</v>
      </c>
      <c r="J35">
        <v>11150</v>
      </c>
      <c r="K35">
        <v>39740</v>
      </c>
      <c r="L35">
        <v>40037</v>
      </c>
      <c r="M35">
        <v>1081413</v>
      </c>
      <c r="N35">
        <v>44236</v>
      </c>
      <c r="O35">
        <v>43830</v>
      </c>
      <c r="P35">
        <v>37289</v>
      </c>
      <c r="Q35">
        <v>4963474</v>
      </c>
      <c r="R35">
        <v>212028</v>
      </c>
      <c r="S35">
        <v>13038</v>
      </c>
      <c r="T35">
        <v>9410</v>
      </c>
      <c r="U35">
        <v>1044746</v>
      </c>
      <c r="V35">
        <v>65645</v>
      </c>
      <c r="W35">
        <v>478792</v>
      </c>
      <c r="X35">
        <v>429235</v>
      </c>
      <c r="Y35">
        <v>7911972</v>
      </c>
      <c r="Z35">
        <v>114623</v>
      </c>
      <c r="AA35">
        <v>106370</v>
      </c>
      <c r="AB35">
        <v>65397</v>
      </c>
      <c r="AC35">
        <v>1424239</v>
      </c>
      <c r="AD35">
        <v>16010</v>
      </c>
      <c r="AE35">
        <v>16016</v>
      </c>
      <c r="AF35">
        <v>15216</v>
      </c>
      <c r="AG35">
        <v>1035252</v>
      </c>
      <c r="AH35">
        <v>13565</v>
      </c>
      <c r="AI35">
        <v>344921</v>
      </c>
      <c r="AJ35">
        <v>228537</v>
      </c>
      <c r="AK35">
        <v>19673123</v>
      </c>
      <c r="AL35">
        <v>125154</v>
      </c>
      <c r="AM35">
        <v>300460</v>
      </c>
      <c r="AN35">
        <v>11349</v>
      </c>
      <c r="AO35">
        <v>575004</v>
      </c>
      <c r="AP35">
        <v>0</v>
      </c>
      <c r="AQ35">
        <v>39232</v>
      </c>
      <c r="AR35">
        <v>14203</v>
      </c>
      <c r="AS35">
        <v>724963</v>
      </c>
      <c r="AT35">
        <v>3620</v>
      </c>
      <c r="AU35">
        <v>60635</v>
      </c>
      <c r="AV35">
        <v>42939</v>
      </c>
      <c r="AW35">
        <v>984465</v>
      </c>
      <c r="AX35">
        <v>19722</v>
      </c>
      <c r="AY35">
        <v>78941</v>
      </c>
      <c r="AZ35">
        <v>47935</v>
      </c>
      <c r="BA35">
        <v>994350</v>
      </c>
      <c r="BB35">
        <v>17668</v>
      </c>
      <c r="BC35">
        <v>70169</v>
      </c>
      <c r="BD35">
        <v>70641</v>
      </c>
      <c r="BE35">
        <v>2146431</v>
      </c>
      <c r="BF35">
        <v>13945</v>
      </c>
    </row>
    <row r="36" spans="1:58" x14ac:dyDescent="0.4">
      <c r="A36" s="1" t="s">
        <v>60</v>
      </c>
      <c r="B36" s="1" t="s">
        <v>61</v>
      </c>
      <c r="C36">
        <v>65996</v>
      </c>
      <c r="D36">
        <v>19341</v>
      </c>
      <c r="E36">
        <v>1958399</v>
      </c>
      <c r="F36">
        <v>31548</v>
      </c>
      <c r="G36">
        <v>17947</v>
      </c>
      <c r="H36">
        <v>5333</v>
      </c>
      <c r="I36">
        <v>360171</v>
      </c>
      <c r="J36">
        <v>11556</v>
      </c>
      <c r="K36">
        <v>41099</v>
      </c>
      <c r="L36">
        <v>28010</v>
      </c>
      <c r="M36">
        <v>710968</v>
      </c>
      <c r="N36">
        <v>56507</v>
      </c>
      <c r="O36">
        <v>40438</v>
      </c>
      <c r="P36">
        <v>25738</v>
      </c>
      <c r="Q36">
        <v>3485455</v>
      </c>
      <c r="R36">
        <v>219121</v>
      </c>
      <c r="S36">
        <v>12156</v>
      </c>
      <c r="T36">
        <v>8227</v>
      </c>
      <c r="U36">
        <v>883195</v>
      </c>
      <c r="V36">
        <v>68065</v>
      </c>
      <c r="W36">
        <v>477243</v>
      </c>
      <c r="X36">
        <v>429088</v>
      </c>
      <c r="Y36">
        <v>7970484</v>
      </c>
      <c r="Z36">
        <v>117551</v>
      </c>
      <c r="AA36">
        <v>99734</v>
      </c>
      <c r="AB36">
        <v>60063</v>
      </c>
      <c r="AC36">
        <v>1323358</v>
      </c>
      <c r="AD36">
        <v>16537</v>
      </c>
      <c r="AE36">
        <v>15721</v>
      </c>
      <c r="AF36">
        <v>15945</v>
      </c>
      <c r="AG36">
        <v>1072886</v>
      </c>
      <c r="AH36">
        <v>13349</v>
      </c>
      <c r="AI36">
        <v>343015</v>
      </c>
      <c r="AJ36">
        <v>236013</v>
      </c>
      <c r="AK36">
        <v>19583229</v>
      </c>
      <c r="AL36">
        <v>131941</v>
      </c>
      <c r="AM36">
        <v>297582</v>
      </c>
      <c r="AN36">
        <v>10270</v>
      </c>
      <c r="AO36">
        <v>524623</v>
      </c>
      <c r="AP36">
        <v>0</v>
      </c>
      <c r="AQ36">
        <v>36359</v>
      </c>
      <c r="AR36">
        <v>11733</v>
      </c>
      <c r="AS36">
        <v>588233</v>
      </c>
      <c r="AT36">
        <v>3686</v>
      </c>
      <c r="AU36">
        <v>57378</v>
      </c>
      <c r="AV36">
        <v>38407</v>
      </c>
      <c r="AW36">
        <v>852713</v>
      </c>
      <c r="AX36">
        <v>20870</v>
      </c>
      <c r="AY36">
        <v>79829</v>
      </c>
      <c r="AZ36">
        <v>48125</v>
      </c>
      <c r="BA36">
        <v>988332</v>
      </c>
      <c r="BB36">
        <v>16690</v>
      </c>
      <c r="BC36">
        <v>63729</v>
      </c>
      <c r="BD36">
        <v>61389</v>
      </c>
      <c r="BE36">
        <v>1868013</v>
      </c>
      <c r="BF36">
        <v>14692</v>
      </c>
    </row>
    <row r="37" spans="1:58" x14ac:dyDescent="0.4">
      <c r="A37" s="1" t="s">
        <v>62</v>
      </c>
      <c r="B37" s="1" t="s">
        <v>63</v>
      </c>
      <c r="C37">
        <v>51778</v>
      </c>
      <c r="D37">
        <v>18719</v>
      </c>
      <c r="E37">
        <v>2077744</v>
      </c>
      <c r="F37">
        <v>25151</v>
      </c>
      <c r="G37">
        <v>18955</v>
      </c>
      <c r="H37">
        <v>6128</v>
      </c>
      <c r="I37">
        <v>410733</v>
      </c>
      <c r="J37">
        <v>11366</v>
      </c>
      <c r="K37">
        <v>35835</v>
      </c>
      <c r="L37">
        <v>42589</v>
      </c>
      <c r="M37">
        <v>1079609</v>
      </c>
      <c r="N37">
        <v>48898</v>
      </c>
      <c r="O37">
        <v>42368</v>
      </c>
      <c r="P37">
        <v>32305</v>
      </c>
      <c r="Q37">
        <v>4257763</v>
      </c>
      <c r="R37">
        <v>220606</v>
      </c>
      <c r="S37">
        <v>10773</v>
      </c>
      <c r="T37">
        <v>10489</v>
      </c>
      <c r="U37">
        <v>1139884</v>
      </c>
      <c r="V37">
        <v>66693</v>
      </c>
      <c r="W37">
        <v>456110</v>
      </c>
      <c r="X37">
        <v>421453</v>
      </c>
      <c r="Y37">
        <v>7778045</v>
      </c>
      <c r="Z37">
        <v>112071</v>
      </c>
      <c r="AA37">
        <v>97108</v>
      </c>
      <c r="AB37">
        <v>56025</v>
      </c>
      <c r="AC37">
        <v>1231718</v>
      </c>
      <c r="AD37">
        <v>17550</v>
      </c>
      <c r="AE37">
        <v>15426</v>
      </c>
      <c r="AF37">
        <v>14703</v>
      </c>
      <c r="AG37">
        <v>1019141</v>
      </c>
      <c r="AH37">
        <v>14083</v>
      </c>
      <c r="AI37">
        <v>313051</v>
      </c>
      <c r="AJ37">
        <v>216404</v>
      </c>
      <c r="AK37">
        <v>17580308</v>
      </c>
      <c r="AL37">
        <v>137279</v>
      </c>
      <c r="AM37">
        <v>271943</v>
      </c>
      <c r="AN37">
        <v>10398</v>
      </c>
      <c r="AO37">
        <v>531773</v>
      </c>
      <c r="AP37">
        <v>0</v>
      </c>
      <c r="AQ37">
        <v>32317</v>
      </c>
      <c r="AR37">
        <v>11412</v>
      </c>
      <c r="AS37">
        <v>570075</v>
      </c>
      <c r="AT37">
        <v>3635</v>
      </c>
      <c r="AU37">
        <v>60371</v>
      </c>
      <c r="AV37">
        <v>41087</v>
      </c>
      <c r="AW37">
        <v>925032</v>
      </c>
      <c r="AX37">
        <v>19178</v>
      </c>
      <c r="AY37">
        <v>68676</v>
      </c>
      <c r="AZ37">
        <v>45661</v>
      </c>
      <c r="BA37">
        <v>918306</v>
      </c>
      <c r="BB37">
        <v>18716</v>
      </c>
      <c r="BC37">
        <v>61892</v>
      </c>
      <c r="BD37">
        <v>60268</v>
      </c>
      <c r="BE37">
        <v>1845028</v>
      </c>
      <c r="BF37">
        <v>15100</v>
      </c>
    </row>
    <row r="38" spans="1:58" x14ac:dyDescent="0.4">
      <c r="A38" s="1" t="s">
        <v>64</v>
      </c>
      <c r="B38" s="1" t="s">
        <v>65</v>
      </c>
      <c r="C38">
        <v>65986</v>
      </c>
      <c r="D38">
        <v>19872</v>
      </c>
      <c r="E38">
        <v>2168119</v>
      </c>
      <c r="F38">
        <v>26287</v>
      </c>
      <c r="G38">
        <v>16975</v>
      </c>
      <c r="H38">
        <v>6505</v>
      </c>
      <c r="I38">
        <v>437698</v>
      </c>
      <c r="J38">
        <v>9322</v>
      </c>
      <c r="K38">
        <v>33703</v>
      </c>
      <c r="L38">
        <v>31916</v>
      </c>
      <c r="M38">
        <v>939210</v>
      </c>
      <c r="N38">
        <v>49451</v>
      </c>
      <c r="O38">
        <v>46715</v>
      </c>
      <c r="P38">
        <v>59087</v>
      </c>
      <c r="Q38">
        <v>7844943</v>
      </c>
      <c r="R38">
        <v>199784</v>
      </c>
      <c r="S38">
        <v>12534</v>
      </c>
      <c r="T38">
        <v>16452</v>
      </c>
      <c r="U38">
        <v>1791444</v>
      </c>
      <c r="V38">
        <v>60798</v>
      </c>
      <c r="W38">
        <v>499775</v>
      </c>
      <c r="X38">
        <v>458315</v>
      </c>
      <c r="Y38">
        <v>8660915</v>
      </c>
      <c r="Z38">
        <v>109485</v>
      </c>
      <c r="AA38">
        <v>105298</v>
      </c>
      <c r="AB38">
        <v>62619</v>
      </c>
      <c r="AC38">
        <v>1387451</v>
      </c>
      <c r="AD38">
        <v>15816</v>
      </c>
      <c r="AE38">
        <v>16592</v>
      </c>
      <c r="AF38">
        <v>17332</v>
      </c>
      <c r="AG38">
        <v>1168951</v>
      </c>
      <c r="AH38">
        <v>13364</v>
      </c>
      <c r="AI38">
        <v>306306</v>
      </c>
      <c r="AJ38">
        <v>235576</v>
      </c>
      <c r="AK38">
        <v>19429529</v>
      </c>
      <c r="AL38">
        <v>119701</v>
      </c>
      <c r="AM38">
        <v>262751</v>
      </c>
      <c r="AN38">
        <v>10684</v>
      </c>
      <c r="AO38">
        <v>549120</v>
      </c>
      <c r="AP38">
        <v>0</v>
      </c>
      <c r="AQ38">
        <v>36628</v>
      </c>
      <c r="AR38">
        <v>13574</v>
      </c>
      <c r="AS38">
        <v>680768</v>
      </c>
      <c r="AT38">
        <v>3986</v>
      </c>
      <c r="AU38">
        <v>71597</v>
      </c>
      <c r="AV38">
        <v>48259</v>
      </c>
      <c r="AW38">
        <v>1149559</v>
      </c>
      <c r="AX38">
        <v>22507</v>
      </c>
      <c r="AY38">
        <v>69452</v>
      </c>
      <c r="AZ38">
        <v>51044</v>
      </c>
      <c r="BA38">
        <v>997758</v>
      </c>
      <c r="BB38">
        <v>15525</v>
      </c>
      <c r="BC38">
        <v>71410</v>
      </c>
      <c r="BD38">
        <v>71045</v>
      </c>
      <c r="BE38">
        <v>2191571</v>
      </c>
      <c r="BF38">
        <v>14293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E5535-97E6-45D6-B633-C15904E83188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2351</v>
      </c>
      <c r="D3" t="s">
        <v>2351</v>
      </c>
      <c r="E3" t="s">
        <v>2351</v>
      </c>
      <c r="F3" t="s">
        <v>2351</v>
      </c>
      <c r="G3" t="s">
        <v>2353</v>
      </c>
      <c r="H3" t="s">
        <v>2353</v>
      </c>
      <c r="I3" t="s">
        <v>2353</v>
      </c>
      <c r="J3" t="s">
        <v>2353</v>
      </c>
      <c r="K3" t="s">
        <v>2355</v>
      </c>
      <c r="L3" t="s">
        <v>2355</v>
      </c>
      <c r="M3" t="s">
        <v>2355</v>
      </c>
      <c r="N3" t="s">
        <v>2355</v>
      </c>
      <c r="O3" t="s">
        <v>2357</v>
      </c>
      <c r="P3" t="s">
        <v>2357</v>
      </c>
      <c r="Q3" t="s">
        <v>2357</v>
      </c>
      <c r="R3" t="s">
        <v>2357</v>
      </c>
      <c r="S3" t="s">
        <v>2359</v>
      </c>
      <c r="T3" t="s">
        <v>2359</v>
      </c>
      <c r="U3" t="s">
        <v>2359</v>
      </c>
      <c r="V3" t="s">
        <v>2359</v>
      </c>
      <c r="W3" t="s">
        <v>2361</v>
      </c>
      <c r="X3" t="s">
        <v>2361</v>
      </c>
      <c r="Y3" t="s">
        <v>2361</v>
      </c>
      <c r="Z3" t="s">
        <v>2361</v>
      </c>
      <c r="AA3" t="s">
        <v>2363</v>
      </c>
      <c r="AB3" t="s">
        <v>2363</v>
      </c>
      <c r="AC3" t="s">
        <v>2363</v>
      </c>
      <c r="AD3" t="s">
        <v>2363</v>
      </c>
      <c r="AE3" t="s">
        <v>2365</v>
      </c>
      <c r="AF3" t="s">
        <v>2365</v>
      </c>
      <c r="AG3" t="s">
        <v>2365</v>
      </c>
      <c r="AH3" t="s">
        <v>2365</v>
      </c>
      <c r="AI3" t="s">
        <v>2367</v>
      </c>
      <c r="AJ3" t="s">
        <v>2367</v>
      </c>
      <c r="AK3" t="s">
        <v>2367</v>
      </c>
      <c r="AL3" t="s">
        <v>2367</v>
      </c>
      <c r="AM3" t="s">
        <v>2369</v>
      </c>
      <c r="AN3" t="s">
        <v>2369</v>
      </c>
      <c r="AO3" t="s">
        <v>2369</v>
      </c>
      <c r="AP3" t="s">
        <v>2369</v>
      </c>
    </row>
    <row r="4" spans="1:42" x14ac:dyDescent="0.4">
      <c r="A4" s="1"/>
      <c r="B4" s="2" t="s">
        <v>1</v>
      </c>
      <c r="C4" t="s">
        <v>2352</v>
      </c>
      <c r="D4" t="s">
        <v>2352</v>
      </c>
      <c r="E4" t="s">
        <v>2352</v>
      </c>
      <c r="F4" t="s">
        <v>2352</v>
      </c>
      <c r="G4" t="s">
        <v>2354</v>
      </c>
      <c r="H4" t="s">
        <v>2354</v>
      </c>
      <c r="I4" t="s">
        <v>2354</v>
      </c>
      <c r="J4" t="s">
        <v>2354</v>
      </c>
      <c r="K4" t="s">
        <v>2356</v>
      </c>
      <c r="L4" t="s">
        <v>2356</v>
      </c>
      <c r="M4" t="s">
        <v>2356</v>
      </c>
      <c r="N4" t="s">
        <v>2356</v>
      </c>
      <c r="O4" t="s">
        <v>2358</v>
      </c>
      <c r="P4" t="s">
        <v>2358</v>
      </c>
      <c r="Q4" t="s">
        <v>2358</v>
      </c>
      <c r="R4" t="s">
        <v>2358</v>
      </c>
      <c r="S4" t="s">
        <v>2360</v>
      </c>
      <c r="T4" t="s">
        <v>2360</v>
      </c>
      <c r="U4" t="s">
        <v>2360</v>
      </c>
      <c r="V4" t="s">
        <v>2360</v>
      </c>
      <c r="W4" t="s">
        <v>2362</v>
      </c>
      <c r="X4" t="s">
        <v>2362</v>
      </c>
      <c r="Y4" t="s">
        <v>2362</v>
      </c>
      <c r="Z4" t="s">
        <v>2362</v>
      </c>
      <c r="AA4" t="s">
        <v>2364</v>
      </c>
      <c r="AB4" t="s">
        <v>2364</v>
      </c>
      <c r="AC4" t="s">
        <v>2364</v>
      </c>
      <c r="AD4" t="s">
        <v>2364</v>
      </c>
      <c r="AE4" t="s">
        <v>2366</v>
      </c>
      <c r="AF4" t="s">
        <v>2366</v>
      </c>
      <c r="AG4" t="s">
        <v>2366</v>
      </c>
      <c r="AH4" t="s">
        <v>2366</v>
      </c>
      <c r="AI4" t="s">
        <v>2368</v>
      </c>
      <c r="AJ4" t="s">
        <v>2368</v>
      </c>
      <c r="AK4" t="s">
        <v>2368</v>
      </c>
      <c r="AL4" t="s">
        <v>2368</v>
      </c>
      <c r="AM4" t="s">
        <v>2370</v>
      </c>
      <c r="AN4" t="s">
        <v>2370</v>
      </c>
      <c r="AO4" t="s">
        <v>2370</v>
      </c>
      <c r="AP4" t="s">
        <v>2370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339</v>
      </c>
      <c r="AJ7" t="s">
        <v>339</v>
      </c>
      <c r="AK7" t="s">
        <v>341</v>
      </c>
      <c r="AL7" t="s">
        <v>339</v>
      </c>
      <c r="AM7" t="s">
        <v>70</v>
      </c>
      <c r="AN7" t="s">
        <v>70</v>
      </c>
      <c r="AO7" t="s">
        <v>341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339</v>
      </c>
      <c r="AJ8" t="s">
        <v>339</v>
      </c>
      <c r="AK8" t="s">
        <v>342</v>
      </c>
      <c r="AL8" t="s">
        <v>339</v>
      </c>
      <c r="AM8" t="s">
        <v>70</v>
      </c>
      <c r="AN8" t="s">
        <v>70</v>
      </c>
      <c r="AO8" t="s">
        <v>342</v>
      </c>
      <c r="AP8" t="s">
        <v>70</v>
      </c>
    </row>
    <row r="9" spans="1:42" x14ac:dyDescent="0.4">
      <c r="A9" s="1" t="s">
        <v>6</v>
      </c>
      <c r="B9" s="3" t="s">
        <v>7</v>
      </c>
      <c r="C9">
        <v>1241737</v>
      </c>
      <c r="D9">
        <v>1030406</v>
      </c>
      <c r="E9">
        <v>19974127</v>
      </c>
      <c r="F9">
        <v>54483</v>
      </c>
      <c r="G9">
        <v>426737</v>
      </c>
      <c r="H9">
        <v>427294</v>
      </c>
      <c r="I9">
        <v>19123313</v>
      </c>
      <c r="J9">
        <v>16033</v>
      </c>
      <c r="K9">
        <v>678103</v>
      </c>
      <c r="L9">
        <v>534511</v>
      </c>
      <c r="M9">
        <v>18046112</v>
      </c>
      <c r="N9">
        <v>39181</v>
      </c>
      <c r="O9">
        <v>153068</v>
      </c>
      <c r="P9">
        <v>64236</v>
      </c>
      <c r="Q9">
        <v>4705433</v>
      </c>
      <c r="R9">
        <v>7080</v>
      </c>
      <c r="S9">
        <v>231955</v>
      </c>
      <c r="T9">
        <v>236633</v>
      </c>
      <c r="U9">
        <v>3812682</v>
      </c>
      <c r="V9">
        <v>21960</v>
      </c>
      <c r="W9" t="s">
        <v>73</v>
      </c>
      <c r="X9" t="s">
        <v>73</v>
      </c>
      <c r="Y9" t="s">
        <v>73</v>
      </c>
      <c r="Z9" t="s">
        <v>73</v>
      </c>
      <c r="AA9">
        <v>217224</v>
      </c>
      <c r="AB9">
        <v>218411</v>
      </c>
      <c r="AC9">
        <v>19900966</v>
      </c>
      <c r="AD9">
        <v>11670</v>
      </c>
      <c r="AE9" t="s">
        <v>73</v>
      </c>
      <c r="AF9" t="s">
        <v>73</v>
      </c>
      <c r="AG9" t="s">
        <v>73</v>
      </c>
      <c r="AH9" t="s">
        <v>73</v>
      </c>
      <c r="AI9">
        <v>14977098</v>
      </c>
      <c r="AJ9">
        <v>14281130</v>
      </c>
      <c r="AK9">
        <v>24732832</v>
      </c>
      <c r="AL9">
        <v>2390995</v>
      </c>
      <c r="AM9">
        <v>16694</v>
      </c>
      <c r="AN9">
        <v>16391</v>
      </c>
      <c r="AO9">
        <v>10920178</v>
      </c>
      <c r="AP9">
        <v>2293</v>
      </c>
    </row>
    <row r="10" spans="1:42" x14ac:dyDescent="0.4">
      <c r="A10" s="1" t="s">
        <v>8</v>
      </c>
      <c r="B10" s="3" t="s">
        <v>9</v>
      </c>
      <c r="C10">
        <v>1225009</v>
      </c>
      <c r="D10">
        <v>1010789</v>
      </c>
      <c r="E10">
        <v>50027652</v>
      </c>
      <c r="F10">
        <v>57699</v>
      </c>
      <c r="G10">
        <v>390195</v>
      </c>
      <c r="H10">
        <v>390334</v>
      </c>
      <c r="I10">
        <v>30110986</v>
      </c>
      <c r="J10">
        <v>17920</v>
      </c>
      <c r="K10">
        <v>660048</v>
      </c>
      <c r="L10">
        <v>512193</v>
      </c>
      <c r="M10">
        <v>19410734</v>
      </c>
      <c r="N10">
        <v>32400</v>
      </c>
      <c r="O10">
        <v>150657</v>
      </c>
      <c r="P10">
        <v>61883</v>
      </c>
      <c r="Q10">
        <v>4515755</v>
      </c>
      <c r="R10">
        <v>7969</v>
      </c>
      <c r="S10">
        <v>223524</v>
      </c>
      <c r="T10">
        <v>222231</v>
      </c>
      <c r="U10">
        <v>6552665</v>
      </c>
      <c r="V10">
        <v>21931</v>
      </c>
      <c r="W10" t="s">
        <v>73</v>
      </c>
      <c r="X10" t="s">
        <v>73</v>
      </c>
      <c r="Y10" t="s">
        <v>73</v>
      </c>
      <c r="Z10" t="s">
        <v>73</v>
      </c>
      <c r="AA10">
        <v>164905</v>
      </c>
      <c r="AB10">
        <v>165314</v>
      </c>
      <c r="AC10">
        <v>16833613</v>
      </c>
      <c r="AD10">
        <v>11168</v>
      </c>
      <c r="AE10" t="s">
        <v>73</v>
      </c>
      <c r="AF10" t="s">
        <v>73</v>
      </c>
      <c r="AG10" t="s">
        <v>73</v>
      </c>
      <c r="AH10" t="s">
        <v>73</v>
      </c>
      <c r="AI10">
        <v>13974330</v>
      </c>
      <c r="AJ10">
        <v>13325673</v>
      </c>
      <c r="AK10">
        <v>24306896</v>
      </c>
      <c r="AL10">
        <v>2454331</v>
      </c>
      <c r="AM10">
        <v>15555</v>
      </c>
      <c r="AN10">
        <v>15778</v>
      </c>
      <c r="AO10">
        <v>11124101</v>
      </c>
      <c r="AP10">
        <v>2233</v>
      </c>
    </row>
    <row r="11" spans="1:42" x14ac:dyDescent="0.4">
      <c r="A11" s="1" t="s">
        <v>10</v>
      </c>
      <c r="B11" s="3" t="s">
        <v>11</v>
      </c>
      <c r="C11">
        <v>1124383</v>
      </c>
      <c r="D11">
        <v>972880</v>
      </c>
      <c r="E11">
        <v>43970225</v>
      </c>
      <c r="F11">
        <v>55456</v>
      </c>
      <c r="G11">
        <v>367483</v>
      </c>
      <c r="H11">
        <v>369746</v>
      </c>
      <c r="I11">
        <v>27722505</v>
      </c>
      <c r="J11">
        <v>16288</v>
      </c>
      <c r="K11">
        <v>604821</v>
      </c>
      <c r="L11">
        <v>498455</v>
      </c>
      <c r="M11">
        <v>19239907</v>
      </c>
      <c r="N11">
        <v>28123</v>
      </c>
      <c r="O11">
        <v>139048</v>
      </c>
      <c r="P11">
        <v>59833</v>
      </c>
      <c r="Q11">
        <v>4403772</v>
      </c>
      <c r="R11">
        <v>6794</v>
      </c>
      <c r="S11">
        <v>198742</v>
      </c>
      <c r="T11">
        <v>194954</v>
      </c>
      <c r="U11">
        <v>6150211</v>
      </c>
      <c r="V11">
        <v>24221</v>
      </c>
      <c r="W11" t="s">
        <v>73</v>
      </c>
      <c r="X11" t="s">
        <v>73</v>
      </c>
      <c r="Y11" t="s">
        <v>73</v>
      </c>
      <c r="Z11" t="s">
        <v>73</v>
      </c>
      <c r="AA11">
        <v>86777</v>
      </c>
      <c r="AB11">
        <v>89987</v>
      </c>
      <c r="AC11">
        <v>11894266</v>
      </c>
      <c r="AD11">
        <v>7211</v>
      </c>
      <c r="AE11" t="s">
        <v>73</v>
      </c>
      <c r="AF11" t="s">
        <v>73</v>
      </c>
      <c r="AG11" t="s">
        <v>73</v>
      </c>
      <c r="AH11" t="s">
        <v>73</v>
      </c>
      <c r="AI11">
        <v>11457868</v>
      </c>
      <c r="AJ11">
        <v>11566077</v>
      </c>
      <c r="AK11">
        <v>21302274</v>
      </c>
      <c r="AL11">
        <v>1946035</v>
      </c>
      <c r="AM11">
        <v>15507</v>
      </c>
      <c r="AN11">
        <v>15548</v>
      </c>
      <c r="AO11">
        <v>11535984</v>
      </c>
      <c r="AP11">
        <v>2352</v>
      </c>
    </row>
    <row r="12" spans="1:42" x14ac:dyDescent="0.4">
      <c r="A12" s="1" t="s">
        <v>12</v>
      </c>
      <c r="B12" s="3" t="s">
        <v>13</v>
      </c>
      <c r="C12">
        <v>1054120</v>
      </c>
      <c r="D12">
        <v>927961</v>
      </c>
      <c r="E12">
        <v>49501689</v>
      </c>
      <c r="F12">
        <v>51591</v>
      </c>
      <c r="G12">
        <v>349711</v>
      </c>
      <c r="H12">
        <v>355623</v>
      </c>
      <c r="I12">
        <v>29534241</v>
      </c>
      <c r="J12">
        <v>16306</v>
      </c>
      <c r="K12">
        <v>554420</v>
      </c>
      <c r="L12">
        <v>411244</v>
      </c>
      <c r="M12">
        <v>16288070</v>
      </c>
      <c r="N12">
        <v>27077</v>
      </c>
      <c r="O12">
        <v>126252</v>
      </c>
      <c r="P12">
        <v>49231</v>
      </c>
      <c r="Q12">
        <v>3788117</v>
      </c>
      <c r="R12">
        <v>6297</v>
      </c>
      <c r="S12">
        <v>187614</v>
      </c>
      <c r="T12">
        <v>187968</v>
      </c>
      <c r="U12">
        <v>4966987</v>
      </c>
      <c r="V12">
        <v>19722</v>
      </c>
      <c r="W12" t="s">
        <v>73</v>
      </c>
      <c r="X12" t="s">
        <v>73</v>
      </c>
      <c r="Y12" t="s">
        <v>73</v>
      </c>
      <c r="Z12" t="s">
        <v>73</v>
      </c>
      <c r="AA12">
        <v>74348</v>
      </c>
      <c r="AB12">
        <v>75608</v>
      </c>
      <c r="AC12">
        <v>10103033</v>
      </c>
      <c r="AD12">
        <v>5757</v>
      </c>
      <c r="AE12" t="s">
        <v>73</v>
      </c>
      <c r="AF12" t="s">
        <v>73</v>
      </c>
      <c r="AG12" t="s">
        <v>73</v>
      </c>
      <c r="AH12" t="s">
        <v>73</v>
      </c>
      <c r="AI12">
        <v>12402728</v>
      </c>
      <c r="AJ12">
        <v>11597958</v>
      </c>
      <c r="AK12">
        <v>22372832</v>
      </c>
      <c r="AL12">
        <v>2086995</v>
      </c>
      <c r="AM12">
        <v>14923</v>
      </c>
      <c r="AN12">
        <v>15277</v>
      </c>
      <c r="AO12">
        <v>11466112</v>
      </c>
      <c r="AP12">
        <v>2188</v>
      </c>
    </row>
    <row r="13" spans="1:42" x14ac:dyDescent="0.4">
      <c r="A13" s="1" t="s">
        <v>14</v>
      </c>
      <c r="B13" s="3" t="s">
        <v>15</v>
      </c>
      <c r="C13">
        <v>977649</v>
      </c>
      <c r="D13">
        <v>889190</v>
      </c>
      <c r="E13">
        <v>32246481</v>
      </c>
      <c r="F13">
        <v>46192</v>
      </c>
      <c r="G13">
        <v>339457</v>
      </c>
      <c r="H13">
        <v>338987</v>
      </c>
      <c r="I13">
        <v>24483758</v>
      </c>
      <c r="J13">
        <v>12960</v>
      </c>
      <c r="K13">
        <v>441150</v>
      </c>
      <c r="L13">
        <v>242457</v>
      </c>
      <c r="M13">
        <v>9172198</v>
      </c>
      <c r="N13">
        <v>28613</v>
      </c>
      <c r="O13">
        <v>111785</v>
      </c>
      <c r="P13">
        <v>35055</v>
      </c>
      <c r="Q13">
        <v>2409786</v>
      </c>
      <c r="R13">
        <v>6894</v>
      </c>
      <c r="S13">
        <v>180346</v>
      </c>
      <c r="T13">
        <v>176644</v>
      </c>
      <c r="U13">
        <v>5041792</v>
      </c>
      <c r="V13">
        <v>22303</v>
      </c>
      <c r="W13" t="s">
        <v>73</v>
      </c>
      <c r="X13" t="s">
        <v>73</v>
      </c>
      <c r="Y13" t="s">
        <v>73</v>
      </c>
      <c r="Z13" t="s">
        <v>73</v>
      </c>
      <c r="AA13">
        <v>60281</v>
      </c>
      <c r="AB13">
        <v>59410</v>
      </c>
      <c r="AC13">
        <v>8419150</v>
      </c>
      <c r="AD13">
        <v>6195</v>
      </c>
      <c r="AE13" t="s">
        <v>73</v>
      </c>
      <c r="AF13" t="s">
        <v>73</v>
      </c>
      <c r="AG13" t="s">
        <v>73</v>
      </c>
      <c r="AH13" t="s">
        <v>73</v>
      </c>
      <c r="AI13">
        <v>11761955</v>
      </c>
      <c r="AJ13">
        <v>11175474</v>
      </c>
      <c r="AK13">
        <v>22813736</v>
      </c>
      <c r="AL13">
        <v>1831417</v>
      </c>
      <c r="AM13">
        <v>15042</v>
      </c>
      <c r="AN13">
        <v>15367</v>
      </c>
      <c r="AO13">
        <v>11499179</v>
      </c>
      <c r="AP13">
        <v>2098</v>
      </c>
    </row>
    <row r="14" spans="1:42" x14ac:dyDescent="0.4">
      <c r="A14" s="1" t="s">
        <v>16</v>
      </c>
      <c r="B14" s="1" t="s">
        <v>17</v>
      </c>
      <c r="C14">
        <v>89421</v>
      </c>
      <c r="D14">
        <v>71886</v>
      </c>
      <c r="E14">
        <v>3892117</v>
      </c>
      <c r="F14">
        <v>58659</v>
      </c>
      <c r="G14">
        <v>28572</v>
      </c>
      <c r="H14">
        <v>29629</v>
      </c>
      <c r="I14">
        <v>2484430</v>
      </c>
      <c r="J14">
        <v>22144</v>
      </c>
      <c r="K14">
        <v>47609</v>
      </c>
      <c r="L14">
        <v>37046</v>
      </c>
      <c r="M14">
        <v>1388028</v>
      </c>
      <c r="N14">
        <v>27969</v>
      </c>
      <c r="O14">
        <v>7682</v>
      </c>
      <c r="P14">
        <v>3755</v>
      </c>
      <c r="Q14">
        <v>277461</v>
      </c>
      <c r="R14">
        <v>8845</v>
      </c>
      <c r="S14">
        <v>16947</v>
      </c>
      <c r="T14">
        <v>17050</v>
      </c>
      <c r="U14">
        <v>461479</v>
      </c>
      <c r="V14">
        <v>28687</v>
      </c>
      <c r="W14" t="s">
        <v>73</v>
      </c>
      <c r="X14" t="s">
        <v>73</v>
      </c>
      <c r="Y14" t="s">
        <v>73</v>
      </c>
      <c r="Z14" t="s">
        <v>73</v>
      </c>
      <c r="AA14">
        <v>8920</v>
      </c>
      <c r="AB14">
        <v>6791</v>
      </c>
      <c r="AC14">
        <v>862588</v>
      </c>
      <c r="AD14">
        <v>7446</v>
      </c>
      <c r="AE14" t="s">
        <v>73</v>
      </c>
      <c r="AF14" t="s">
        <v>73</v>
      </c>
      <c r="AG14" t="s">
        <v>73</v>
      </c>
      <c r="AH14" t="s">
        <v>73</v>
      </c>
      <c r="AI14">
        <v>1075794</v>
      </c>
      <c r="AJ14">
        <v>985044</v>
      </c>
      <c r="AK14">
        <v>1887261</v>
      </c>
      <c r="AL14">
        <v>2033466</v>
      </c>
      <c r="AM14">
        <v>1260</v>
      </c>
      <c r="AN14">
        <v>1270</v>
      </c>
      <c r="AO14">
        <v>943260</v>
      </c>
      <c r="AP14">
        <v>2358</v>
      </c>
    </row>
    <row r="15" spans="1:42" x14ac:dyDescent="0.4">
      <c r="A15" s="1" t="s">
        <v>18</v>
      </c>
      <c r="B15" s="1" t="s">
        <v>19</v>
      </c>
      <c r="C15">
        <v>89613</v>
      </c>
      <c r="D15">
        <v>82565</v>
      </c>
      <c r="E15">
        <v>4545722</v>
      </c>
      <c r="F15">
        <v>54078</v>
      </c>
      <c r="G15">
        <v>29503</v>
      </c>
      <c r="H15">
        <v>34811</v>
      </c>
      <c r="I15">
        <v>2697321</v>
      </c>
      <c r="J15">
        <v>20780</v>
      </c>
      <c r="K15">
        <v>50601</v>
      </c>
      <c r="L15">
        <v>38352</v>
      </c>
      <c r="M15">
        <v>1614626</v>
      </c>
      <c r="N15">
        <v>28935</v>
      </c>
      <c r="O15">
        <v>11652</v>
      </c>
      <c r="P15">
        <v>4355</v>
      </c>
      <c r="Q15">
        <v>341286</v>
      </c>
      <c r="R15">
        <v>9762</v>
      </c>
      <c r="S15">
        <v>16114</v>
      </c>
      <c r="T15">
        <v>23906</v>
      </c>
      <c r="U15">
        <v>600344</v>
      </c>
      <c r="V15">
        <v>20699</v>
      </c>
      <c r="W15" t="s">
        <v>73</v>
      </c>
      <c r="X15" t="s">
        <v>73</v>
      </c>
      <c r="Y15" t="s">
        <v>73</v>
      </c>
      <c r="Z15" t="s">
        <v>73</v>
      </c>
      <c r="AA15">
        <v>6349</v>
      </c>
      <c r="AB15">
        <v>7167</v>
      </c>
      <c r="AC15">
        <v>1060781</v>
      </c>
      <c r="AD15">
        <v>6607</v>
      </c>
      <c r="AE15" t="s">
        <v>73</v>
      </c>
      <c r="AF15" t="s">
        <v>73</v>
      </c>
      <c r="AG15" t="s">
        <v>73</v>
      </c>
      <c r="AH15" t="s">
        <v>73</v>
      </c>
      <c r="AI15">
        <v>1053800</v>
      </c>
      <c r="AJ15">
        <v>1005159</v>
      </c>
      <c r="AK15">
        <v>1902316</v>
      </c>
      <c r="AL15">
        <v>2018657</v>
      </c>
      <c r="AM15">
        <v>1254</v>
      </c>
      <c r="AN15">
        <v>1310</v>
      </c>
      <c r="AO15">
        <v>971359</v>
      </c>
      <c r="AP15">
        <v>2320</v>
      </c>
    </row>
    <row r="16" spans="1:42" x14ac:dyDescent="0.4">
      <c r="A16" s="1" t="s">
        <v>20</v>
      </c>
      <c r="B16" s="1" t="s">
        <v>21</v>
      </c>
      <c r="C16">
        <v>90720</v>
      </c>
      <c r="D16">
        <v>82838</v>
      </c>
      <c r="E16">
        <v>4645192</v>
      </c>
      <c r="F16">
        <v>48502</v>
      </c>
      <c r="G16">
        <v>31684</v>
      </c>
      <c r="H16">
        <v>33716</v>
      </c>
      <c r="I16">
        <v>2700312</v>
      </c>
      <c r="J16">
        <v>20654</v>
      </c>
      <c r="K16">
        <v>46666</v>
      </c>
      <c r="L16">
        <v>34016</v>
      </c>
      <c r="M16">
        <v>1422542</v>
      </c>
      <c r="N16">
        <v>27299</v>
      </c>
      <c r="O16">
        <v>10506</v>
      </c>
      <c r="P16">
        <v>2794</v>
      </c>
      <c r="Q16">
        <v>236559</v>
      </c>
      <c r="R16">
        <v>9278</v>
      </c>
      <c r="S16">
        <v>16447</v>
      </c>
      <c r="T16">
        <v>16045</v>
      </c>
      <c r="U16">
        <v>381866</v>
      </c>
      <c r="V16">
        <v>20955</v>
      </c>
      <c r="W16" t="s">
        <v>73</v>
      </c>
      <c r="X16" t="s">
        <v>73</v>
      </c>
      <c r="Y16" t="s">
        <v>73</v>
      </c>
      <c r="Z16" t="s">
        <v>73</v>
      </c>
      <c r="AA16">
        <v>6893</v>
      </c>
      <c r="AB16">
        <v>6390</v>
      </c>
      <c r="AC16">
        <v>945452</v>
      </c>
      <c r="AD16">
        <v>7097</v>
      </c>
      <c r="AE16" t="s">
        <v>73</v>
      </c>
      <c r="AF16" t="s">
        <v>73</v>
      </c>
      <c r="AG16" t="s">
        <v>73</v>
      </c>
      <c r="AH16" t="s">
        <v>73</v>
      </c>
      <c r="AI16">
        <v>1132577</v>
      </c>
      <c r="AJ16">
        <v>943741</v>
      </c>
      <c r="AK16">
        <v>1901759</v>
      </c>
      <c r="AL16">
        <v>2141797</v>
      </c>
      <c r="AM16">
        <v>1161</v>
      </c>
      <c r="AN16">
        <v>1140</v>
      </c>
      <c r="AO16">
        <v>847196</v>
      </c>
      <c r="AP16">
        <v>2362</v>
      </c>
    </row>
    <row r="17" spans="1:42" x14ac:dyDescent="0.4">
      <c r="A17" s="1" t="s">
        <v>22</v>
      </c>
      <c r="B17" s="1" t="s">
        <v>23</v>
      </c>
      <c r="C17">
        <v>85677</v>
      </c>
      <c r="D17">
        <v>75695</v>
      </c>
      <c r="E17">
        <v>4228817</v>
      </c>
      <c r="F17">
        <v>52159</v>
      </c>
      <c r="G17">
        <v>29388</v>
      </c>
      <c r="H17">
        <v>28710</v>
      </c>
      <c r="I17">
        <v>2357675</v>
      </c>
      <c r="J17">
        <v>21220</v>
      </c>
      <c r="K17">
        <v>45541</v>
      </c>
      <c r="L17">
        <v>32824</v>
      </c>
      <c r="M17">
        <v>1324097</v>
      </c>
      <c r="N17">
        <v>32064</v>
      </c>
      <c r="O17">
        <v>11013</v>
      </c>
      <c r="P17">
        <v>3581</v>
      </c>
      <c r="Q17">
        <v>314484</v>
      </c>
      <c r="R17">
        <v>9451</v>
      </c>
      <c r="S17">
        <v>15964</v>
      </c>
      <c r="T17">
        <v>14568</v>
      </c>
      <c r="U17">
        <v>364069</v>
      </c>
      <c r="V17">
        <v>21195</v>
      </c>
      <c r="W17" t="s">
        <v>73</v>
      </c>
      <c r="X17" t="s">
        <v>73</v>
      </c>
      <c r="Y17" t="s">
        <v>73</v>
      </c>
      <c r="Z17" t="s">
        <v>73</v>
      </c>
      <c r="AA17">
        <v>5679</v>
      </c>
      <c r="AB17">
        <v>6099</v>
      </c>
      <c r="AC17">
        <v>887776</v>
      </c>
      <c r="AD17">
        <v>6650</v>
      </c>
      <c r="AE17" t="s">
        <v>73</v>
      </c>
      <c r="AF17" t="s">
        <v>73</v>
      </c>
      <c r="AG17" t="s">
        <v>73</v>
      </c>
      <c r="AH17" t="s">
        <v>73</v>
      </c>
      <c r="AI17">
        <v>1023153</v>
      </c>
      <c r="AJ17">
        <v>972139</v>
      </c>
      <c r="AK17">
        <v>1926398</v>
      </c>
      <c r="AL17">
        <v>2144049</v>
      </c>
      <c r="AM17">
        <v>1383</v>
      </c>
      <c r="AN17">
        <v>1224</v>
      </c>
      <c r="AO17">
        <v>897632</v>
      </c>
      <c r="AP17">
        <v>2538</v>
      </c>
    </row>
    <row r="18" spans="1:42" x14ac:dyDescent="0.4">
      <c r="A18" s="1" t="s">
        <v>24</v>
      </c>
      <c r="B18" s="1" t="s">
        <v>25</v>
      </c>
      <c r="C18">
        <v>88165</v>
      </c>
      <c r="D18">
        <v>89528</v>
      </c>
      <c r="E18">
        <v>5257634</v>
      </c>
      <c r="F18">
        <v>49033</v>
      </c>
      <c r="G18">
        <v>27060</v>
      </c>
      <c r="H18">
        <v>29589</v>
      </c>
      <c r="I18">
        <v>2621640</v>
      </c>
      <c r="J18">
        <v>16878</v>
      </c>
      <c r="K18">
        <v>50202</v>
      </c>
      <c r="L18">
        <v>42898</v>
      </c>
      <c r="M18">
        <v>1742625</v>
      </c>
      <c r="N18">
        <v>30420</v>
      </c>
      <c r="O18">
        <v>10861</v>
      </c>
      <c r="P18">
        <v>4315</v>
      </c>
      <c r="Q18">
        <v>332349</v>
      </c>
      <c r="R18">
        <v>7533</v>
      </c>
      <c r="S18">
        <v>17218</v>
      </c>
      <c r="T18">
        <v>15863</v>
      </c>
      <c r="U18">
        <v>420162</v>
      </c>
      <c r="V18">
        <v>21308</v>
      </c>
      <c r="W18" t="s">
        <v>73</v>
      </c>
      <c r="X18" t="s">
        <v>73</v>
      </c>
      <c r="Y18" t="s">
        <v>73</v>
      </c>
      <c r="Z18" t="s">
        <v>73</v>
      </c>
      <c r="AA18">
        <v>6468</v>
      </c>
      <c r="AB18">
        <v>6880</v>
      </c>
      <c r="AC18">
        <v>936646</v>
      </c>
      <c r="AD18">
        <v>6219</v>
      </c>
      <c r="AE18" t="s">
        <v>73</v>
      </c>
      <c r="AF18" t="s">
        <v>73</v>
      </c>
      <c r="AG18" t="s">
        <v>73</v>
      </c>
      <c r="AH18" t="s">
        <v>73</v>
      </c>
      <c r="AI18">
        <v>1112396</v>
      </c>
      <c r="AJ18">
        <v>1052689</v>
      </c>
      <c r="AK18">
        <v>1957659</v>
      </c>
      <c r="AL18">
        <v>2155895</v>
      </c>
      <c r="AM18">
        <v>1401</v>
      </c>
      <c r="AN18">
        <v>1428</v>
      </c>
      <c r="AO18">
        <v>1100537</v>
      </c>
      <c r="AP18">
        <v>2531</v>
      </c>
    </row>
    <row r="19" spans="1:42" x14ac:dyDescent="0.4">
      <c r="A19" s="1" t="s">
        <v>26</v>
      </c>
      <c r="B19" s="1" t="s">
        <v>27</v>
      </c>
      <c r="C19">
        <v>89838</v>
      </c>
      <c r="D19">
        <v>73320</v>
      </c>
      <c r="E19">
        <v>4155472</v>
      </c>
      <c r="F19">
        <v>54005</v>
      </c>
      <c r="G19">
        <v>27588</v>
      </c>
      <c r="H19">
        <v>25934</v>
      </c>
      <c r="I19">
        <v>2275751</v>
      </c>
      <c r="J19">
        <v>17795</v>
      </c>
      <c r="K19">
        <v>46054</v>
      </c>
      <c r="L19">
        <v>35754</v>
      </c>
      <c r="M19">
        <v>1455141</v>
      </c>
      <c r="N19">
        <v>30326</v>
      </c>
      <c r="O19">
        <v>11757</v>
      </c>
      <c r="P19">
        <v>3102</v>
      </c>
      <c r="Q19">
        <v>260281</v>
      </c>
      <c r="R19">
        <v>8448</v>
      </c>
      <c r="S19">
        <v>15717</v>
      </c>
      <c r="T19">
        <v>10185</v>
      </c>
      <c r="U19">
        <v>256508</v>
      </c>
      <c r="V19">
        <v>26072</v>
      </c>
      <c r="W19" t="s">
        <v>73</v>
      </c>
      <c r="X19" t="s">
        <v>73</v>
      </c>
      <c r="Y19" t="s">
        <v>73</v>
      </c>
      <c r="Z19" t="s">
        <v>73</v>
      </c>
      <c r="AA19">
        <v>6444</v>
      </c>
      <c r="AB19">
        <v>5242</v>
      </c>
      <c r="AC19">
        <v>671644</v>
      </c>
      <c r="AD19">
        <v>7408</v>
      </c>
      <c r="AE19" t="s">
        <v>73</v>
      </c>
      <c r="AF19" t="s">
        <v>73</v>
      </c>
      <c r="AG19" t="s">
        <v>73</v>
      </c>
      <c r="AH19" t="s">
        <v>73</v>
      </c>
      <c r="AI19">
        <v>974454</v>
      </c>
      <c r="AJ19">
        <v>883631</v>
      </c>
      <c r="AK19">
        <v>1614242</v>
      </c>
      <c r="AL19">
        <v>2178204</v>
      </c>
      <c r="AM19">
        <v>1032</v>
      </c>
      <c r="AN19">
        <v>1142</v>
      </c>
      <c r="AO19">
        <v>862944</v>
      </c>
      <c r="AP19">
        <v>2440</v>
      </c>
    </row>
    <row r="20" spans="1:42" x14ac:dyDescent="0.4">
      <c r="A20" s="1" t="s">
        <v>28</v>
      </c>
      <c r="B20" s="1" t="s">
        <v>29</v>
      </c>
      <c r="C20">
        <v>82841</v>
      </c>
      <c r="D20">
        <v>74980</v>
      </c>
      <c r="E20">
        <v>4246973</v>
      </c>
      <c r="F20">
        <v>51921</v>
      </c>
      <c r="G20">
        <v>24634</v>
      </c>
      <c r="H20">
        <v>25773</v>
      </c>
      <c r="I20">
        <v>2245322</v>
      </c>
      <c r="J20">
        <v>14917</v>
      </c>
      <c r="K20">
        <v>47402</v>
      </c>
      <c r="L20">
        <v>36576</v>
      </c>
      <c r="M20">
        <v>1393374</v>
      </c>
      <c r="N20">
        <v>29796</v>
      </c>
      <c r="O20">
        <v>10824</v>
      </c>
      <c r="P20">
        <v>5690</v>
      </c>
      <c r="Q20">
        <v>403104</v>
      </c>
      <c r="R20">
        <v>8652</v>
      </c>
      <c r="S20">
        <v>15166</v>
      </c>
      <c r="T20">
        <v>14352</v>
      </c>
      <c r="U20">
        <v>367329</v>
      </c>
      <c r="V20">
        <v>26793</v>
      </c>
      <c r="W20" t="s">
        <v>73</v>
      </c>
      <c r="X20" t="s">
        <v>73</v>
      </c>
      <c r="Y20" t="s">
        <v>73</v>
      </c>
      <c r="Z20" t="s">
        <v>73</v>
      </c>
      <c r="AA20">
        <v>2777</v>
      </c>
      <c r="AB20">
        <v>4869</v>
      </c>
      <c r="AC20">
        <v>686781</v>
      </c>
      <c r="AD20">
        <v>5316</v>
      </c>
      <c r="AE20" t="s">
        <v>73</v>
      </c>
      <c r="AF20" t="s">
        <v>73</v>
      </c>
      <c r="AG20" t="s">
        <v>73</v>
      </c>
      <c r="AH20" t="s">
        <v>73</v>
      </c>
      <c r="AI20">
        <v>1077579</v>
      </c>
      <c r="AJ20">
        <v>991026</v>
      </c>
      <c r="AK20">
        <v>2078600</v>
      </c>
      <c r="AL20">
        <v>2199504</v>
      </c>
      <c r="AM20">
        <v>1183</v>
      </c>
      <c r="AN20">
        <v>1278</v>
      </c>
      <c r="AO20">
        <v>966555</v>
      </c>
      <c r="AP20">
        <v>2361</v>
      </c>
    </row>
    <row r="21" spans="1:42" x14ac:dyDescent="0.4">
      <c r="A21" s="1" t="s">
        <v>30</v>
      </c>
      <c r="B21" s="1" t="s">
        <v>31</v>
      </c>
      <c r="C21">
        <v>92715</v>
      </c>
      <c r="D21">
        <v>76051</v>
      </c>
      <c r="E21">
        <v>3574055</v>
      </c>
      <c r="F21">
        <v>54671</v>
      </c>
      <c r="G21">
        <v>28898</v>
      </c>
      <c r="H21">
        <v>27839</v>
      </c>
      <c r="I21">
        <v>2270779</v>
      </c>
      <c r="J21">
        <v>16168</v>
      </c>
      <c r="K21">
        <v>45551</v>
      </c>
      <c r="L21">
        <v>37616</v>
      </c>
      <c r="M21">
        <v>1466080</v>
      </c>
      <c r="N21">
        <v>25794</v>
      </c>
      <c r="O21">
        <v>7154</v>
      </c>
      <c r="P21">
        <v>4427</v>
      </c>
      <c r="Q21">
        <v>345877</v>
      </c>
      <c r="R21">
        <v>9846</v>
      </c>
      <c r="S21">
        <v>14730</v>
      </c>
      <c r="T21">
        <v>18283</v>
      </c>
      <c r="U21">
        <v>537357</v>
      </c>
      <c r="V21">
        <v>23131</v>
      </c>
      <c r="W21" t="s">
        <v>73</v>
      </c>
      <c r="X21" t="s">
        <v>73</v>
      </c>
      <c r="Y21" t="s">
        <v>73</v>
      </c>
      <c r="Z21" t="s">
        <v>73</v>
      </c>
      <c r="AA21">
        <v>4194</v>
      </c>
      <c r="AB21">
        <v>2626</v>
      </c>
      <c r="AC21">
        <v>366416</v>
      </c>
      <c r="AD21">
        <v>6873</v>
      </c>
      <c r="AE21" t="s">
        <v>73</v>
      </c>
      <c r="AF21" t="s">
        <v>73</v>
      </c>
      <c r="AG21" t="s">
        <v>73</v>
      </c>
      <c r="AH21" t="s">
        <v>73</v>
      </c>
      <c r="AI21">
        <v>1109083</v>
      </c>
      <c r="AJ21">
        <v>1107230</v>
      </c>
      <c r="AK21">
        <v>2085577</v>
      </c>
      <c r="AL21">
        <v>2129141</v>
      </c>
      <c r="AM21">
        <v>1232</v>
      </c>
      <c r="AN21">
        <v>1314</v>
      </c>
      <c r="AO21">
        <v>1000690</v>
      </c>
      <c r="AP21">
        <v>2295</v>
      </c>
    </row>
    <row r="22" spans="1:42" x14ac:dyDescent="0.4">
      <c r="A22" s="1" t="s">
        <v>32</v>
      </c>
      <c r="B22" s="1" t="s">
        <v>33</v>
      </c>
      <c r="C22">
        <v>85723</v>
      </c>
      <c r="D22">
        <v>72944</v>
      </c>
      <c r="E22">
        <v>3505568</v>
      </c>
      <c r="F22">
        <v>50199</v>
      </c>
      <c r="G22">
        <v>29772</v>
      </c>
      <c r="H22">
        <v>28778</v>
      </c>
      <c r="I22">
        <v>2400257</v>
      </c>
      <c r="J22">
        <v>17423</v>
      </c>
      <c r="K22">
        <v>40906</v>
      </c>
      <c r="L22">
        <v>20764</v>
      </c>
      <c r="M22">
        <v>761939</v>
      </c>
      <c r="N22">
        <v>29475</v>
      </c>
      <c r="O22">
        <v>10753</v>
      </c>
      <c r="P22">
        <v>4926</v>
      </c>
      <c r="Q22">
        <v>327668</v>
      </c>
      <c r="R22">
        <v>7835</v>
      </c>
      <c r="S22">
        <v>11890</v>
      </c>
      <c r="T22">
        <v>16673</v>
      </c>
      <c r="U22">
        <v>506128</v>
      </c>
      <c r="V22">
        <v>18228</v>
      </c>
      <c r="W22" t="s">
        <v>73</v>
      </c>
      <c r="X22" t="s">
        <v>73</v>
      </c>
      <c r="Y22" t="s">
        <v>73</v>
      </c>
      <c r="Z22" t="s">
        <v>73</v>
      </c>
      <c r="AA22">
        <v>5859</v>
      </c>
      <c r="AB22">
        <v>7319</v>
      </c>
      <c r="AC22">
        <v>879267</v>
      </c>
      <c r="AD22">
        <v>5411</v>
      </c>
      <c r="AE22" t="s">
        <v>73</v>
      </c>
      <c r="AF22" t="s">
        <v>73</v>
      </c>
      <c r="AG22" t="s">
        <v>73</v>
      </c>
      <c r="AH22" t="s">
        <v>73</v>
      </c>
      <c r="AI22">
        <v>1035501</v>
      </c>
      <c r="AJ22">
        <v>1028513</v>
      </c>
      <c r="AK22">
        <v>1939068</v>
      </c>
      <c r="AL22">
        <v>2074010</v>
      </c>
      <c r="AM22">
        <v>1193</v>
      </c>
      <c r="AN22">
        <v>1300</v>
      </c>
      <c r="AO22">
        <v>979008</v>
      </c>
      <c r="AP22">
        <v>2189</v>
      </c>
    </row>
    <row r="23" spans="1:42" x14ac:dyDescent="0.4">
      <c r="A23" s="1" t="s">
        <v>34</v>
      </c>
      <c r="B23" s="1" t="s">
        <v>35</v>
      </c>
      <c r="C23">
        <v>85639</v>
      </c>
      <c r="D23">
        <v>76221</v>
      </c>
      <c r="E23">
        <v>3346525</v>
      </c>
      <c r="F23">
        <v>51591</v>
      </c>
      <c r="G23">
        <v>31629</v>
      </c>
      <c r="H23">
        <v>32404</v>
      </c>
      <c r="I23">
        <v>2625165</v>
      </c>
      <c r="J23">
        <v>16306</v>
      </c>
      <c r="K23">
        <v>37411</v>
      </c>
      <c r="L23">
        <v>20851</v>
      </c>
      <c r="M23">
        <v>794571</v>
      </c>
      <c r="N23">
        <v>27077</v>
      </c>
      <c r="O23">
        <v>9125</v>
      </c>
      <c r="P23">
        <v>3599</v>
      </c>
      <c r="Q23">
        <v>319886</v>
      </c>
      <c r="R23">
        <v>6297</v>
      </c>
      <c r="S23">
        <v>15301</v>
      </c>
      <c r="T23">
        <v>13726</v>
      </c>
      <c r="U23">
        <v>392305</v>
      </c>
      <c r="V23">
        <v>19722</v>
      </c>
      <c r="W23" t="s">
        <v>73</v>
      </c>
      <c r="X23" t="s">
        <v>73</v>
      </c>
      <c r="Y23" t="s">
        <v>73</v>
      </c>
      <c r="Z23" t="s">
        <v>73</v>
      </c>
      <c r="AA23">
        <v>4496</v>
      </c>
      <c r="AB23">
        <v>4136</v>
      </c>
      <c r="AC23">
        <v>479097</v>
      </c>
      <c r="AD23">
        <v>5757</v>
      </c>
      <c r="AE23" t="s">
        <v>73</v>
      </c>
      <c r="AF23" t="s">
        <v>73</v>
      </c>
      <c r="AG23" t="s">
        <v>73</v>
      </c>
      <c r="AH23" t="s">
        <v>73</v>
      </c>
      <c r="AI23">
        <v>954634</v>
      </c>
      <c r="AJ23">
        <v>885585</v>
      </c>
      <c r="AK23">
        <v>1857815</v>
      </c>
      <c r="AL23">
        <v>2086995</v>
      </c>
      <c r="AM23">
        <v>1285</v>
      </c>
      <c r="AN23">
        <v>1300</v>
      </c>
      <c r="AO23">
        <v>979295</v>
      </c>
      <c r="AP23">
        <v>2188</v>
      </c>
    </row>
    <row r="24" spans="1:42" x14ac:dyDescent="0.4">
      <c r="A24" s="1" t="s">
        <v>36</v>
      </c>
      <c r="B24" s="1" t="s">
        <v>37</v>
      </c>
      <c r="C24">
        <v>82531</v>
      </c>
      <c r="D24">
        <v>75384</v>
      </c>
      <c r="E24">
        <v>3396829</v>
      </c>
      <c r="F24">
        <v>52905</v>
      </c>
      <c r="G24">
        <v>29715</v>
      </c>
      <c r="H24">
        <v>27807</v>
      </c>
      <c r="I24">
        <v>2181928</v>
      </c>
      <c r="J24">
        <v>14993</v>
      </c>
      <c r="K24">
        <v>43653</v>
      </c>
      <c r="L24">
        <v>25334</v>
      </c>
      <c r="M24">
        <v>902726</v>
      </c>
      <c r="N24">
        <v>28809</v>
      </c>
      <c r="O24">
        <v>11849</v>
      </c>
      <c r="P24">
        <v>4370</v>
      </c>
      <c r="Q24">
        <v>320310</v>
      </c>
      <c r="R24">
        <v>6835</v>
      </c>
      <c r="S24">
        <v>16714</v>
      </c>
      <c r="T24">
        <v>13715</v>
      </c>
      <c r="U24">
        <v>388091</v>
      </c>
      <c r="V24">
        <v>22645</v>
      </c>
      <c r="W24" t="s">
        <v>73</v>
      </c>
      <c r="X24" t="s">
        <v>73</v>
      </c>
      <c r="Y24" t="s">
        <v>73</v>
      </c>
      <c r="Z24" t="s">
        <v>73</v>
      </c>
      <c r="AA24">
        <v>5968</v>
      </c>
      <c r="AB24">
        <v>5516</v>
      </c>
      <c r="AC24">
        <v>673042</v>
      </c>
      <c r="AD24">
        <v>6199</v>
      </c>
      <c r="AE24" t="s">
        <v>73</v>
      </c>
      <c r="AF24" t="s">
        <v>73</v>
      </c>
      <c r="AG24" t="s">
        <v>73</v>
      </c>
      <c r="AH24" t="s">
        <v>73</v>
      </c>
      <c r="AI24">
        <v>918863</v>
      </c>
      <c r="AJ24">
        <v>870335</v>
      </c>
      <c r="AK24">
        <v>1596819</v>
      </c>
      <c r="AL24">
        <v>2110988</v>
      </c>
      <c r="AM24">
        <v>1165</v>
      </c>
      <c r="AN24">
        <v>1167</v>
      </c>
      <c r="AO24">
        <v>888997</v>
      </c>
      <c r="AP24">
        <v>2200</v>
      </c>
    </row>
    <row r="25" spans="1:42" x14ac:dyDescent="0.4">
      <c r="A25" s="1" t="s">
        <v>38</v>
      </c>
      <c r="B25" s="1" t="s">
        <v>39</v>
      </c>
      <c r="C25">
        <v>75633</v>
      </c>
      <c r="D25">
        <v>71513</v>
      </c>
      <c r="E25">
        <v>3190827</v>
      </c>
      <c r="F25">
        <v>46930</v>
      </c>
      <c r="G25">
        <v>25964</v>
      </c>
      <c r="H25">
        <v>27386</v>
      </c>
      <c r="I25">
        <v>2165716</v>
      </c>
      <c r="J25">
        <v>13571</v>
      </c>
      <c r="K25">
        <v>41936</v>
      </c>
      <c r="L25">
        <v>24352</v>
      </c>
      <c r="M25">
        <v>851318</v>
      </c>
      <c r="N25">
        <v>30584</v>
      </c>
      <c r="O25">
        <v>11903</v>
      </c>
      <c r="P25">
        <v>3763</v>
      </c>
      <c r="Q25">
        <v>304712</v>
      </c>
      <c r="R25">
        <v>8183</v>
      </c>
      <c r="S25">
        <v>12981</v>
      </c>
      <c r="T25">
        <v>15397</v>
      </c>
      <c r="U25">
        <v>458252</v>
      </c>
      <c r="V25">
        <v>20132</v>
      </c>
      <c r="W25" t="s">
        <v>73</v>
      </c>
      <c r="X25" t="s">
        <v>73</v>
      </c>
      <c r="Y25" t="s">
        <v>73</v>
      </c>
      <c r="Z25" t="s">
        <v>73</v>
      </c>
      <c r="AA25">
        <v>6926</v>
      </c>
      <c r="AB25">
        <v>3524</v>
      </c>
      <c r="AC25">
        <v>438331</v>
      </c>
      <c r="AD25">
        <v>9594</v>
      </c>
      <c r="AE25" t="s">
        <v>73</v>
      </c>
      <c r="AF25" t="s">
        <v>73</v>
      </c>
      <c r="AG25" t="s">
        <v>73</v>
      </c>
      <c r="AH25" t="s">
        <v>73</v>
      </c>
      <c r="AI25">
        <v>959814</v>
      </c>
      <c r="AJ25">
        <v>901242</v>
      </c>
      <c r="AK25">
        <v>1911434</v>
      </c>
      <c r="AL25">
        <v>2109400</v>
      </c>
      <c r="AM25">
        <v>1269</v>
      </c>
      <c r="AN25">
        <v>1216</v>
      </c>
      <c r="AO25">
        <v>932105</v>
      </c>
      <c r="AP25">
        <v>2266</v>
      </c>
    </row>
    <row r="26" spans="1:42" x14ac:dyDescent="0.4">
      <c r="A26" s="1" t="s">
        <v>40</v>
      </c>
      <c r="B26" s="1" t="s">
        <v>41</v>
      </c>
      <c r="C26">
        <v>87052</v>
      </c>
      <c r="D26">
        <v>76211</v>
      </c>
      <c r="E26">
        <v>3309225</v>
      </c>
      <c r="F26">
        <v>52559</v>
      </c>
      <c r="G26">
        <v>30805</v>
      </c>
      <c r="H26">
        <v>29713</v>
      </c>
      <c r="I26">
        <v>2252630</v>
      </c>
      <c r="J26">
        <v>14072</v>
      </c>
      <c r="K26">
        <v>41708</v>
      </c>
      <c r="L26">
        <v>32376</v>
      </c>
      <c r="M26">
        <v>1193464</v>
      </c>
      <c r="N26">
        <v>26898</v>
      </c>
      <c r="O26">
        <v>6521</v>
      </c>
      <c r="P26">
        <v>3726</v>
      </c>
      <c r="Q26">
        <v>326980</v>
      </c>
      <c r="R26">
        <v>7341</v>
      </c>
      <c r="S26">
        <v>16651</v>
      </c>
      <c r="T26">
        <v>16419</v>
      </c>
      <c r="U26">
        <v>513039</v>
      </c>
      <c r="V26">
        <v>20212</v>
      </c>
      <c r="W26" t="s">
        <v>73</v>
      </c>
      <c r="X26" t="s">
        <v>73</v>
      </c>
      <c r="Y26" t="s">
        <v>73</v>
      </c>
      <c r="Z26" t="s">
        <v>73</v>
      </c>
      <c r="AA26">
        <v>5303</v>
      </c>
      <c r="AB26">
        <v>5238</v>
      </c>
      <c r="AC26">
        <v>696258</v>
      </c>
      <c r="AD26">
        <v>9637</v>
      </c>
      <c r="AE26" t="s">
        <v>73</v>
      </c>
      <c r="AF26" t="s">
        <v>73</v>
      </c>
      <c r="AG26" t="s">
        <v>73</v>
      </c>
      <c r="AH26" t="s">
        <v>73</v>
      </c>
      <c r="AI26">
        <v>1009203</v>
      </c>
      <c r="AJ26">
        <v>929905</v>
      </c>
      <c r="AK26">
        <v>2040787</v>
      </c>
      <c r="AL26">
        <v>2087290</v>
      </c>
      <c r="AM26">
        <v>1291</v>
      </c>
      <c r="AN26">
        <v>1377</v>
      </c>
      <c r="AO26">
        <v>997352</v>
      </c>
      <c r="AP26">
        <v>2205</v>
      </c>
    </row>
    <row r="27" spans="1:42" x14ac:dyDescent="0.4">
      <c r="A27" s="1" t="s">
        <v>42</v>
      </c>
      <c r="B27" s="1" t="s">
        <v>43</v>
      </c>
      <c r="C27">
        <v>80571</v>
      </c>
      <c r="D27">
        <v>73565</v>
      </c>
      <c r="E27">
        <v>2839971</v>
      </c>
      <c r="F27">
        <v>52466</v>
      </c>
      <c r="G27">
        <v>27414</v>
      </c>
      <c r="H27">
        <v>27607</v>
      </c>
      <c r="I27">
        <v>2071039</v>
      </c>
      <c r="J27">
        <v>13880</v>
      </c>
      <c r="K27">
        <v>33190</v>
      </c>
      <c r="L27">
        <v>19033</v>
      </c>
      <c r="M27">
        <v>749546</v>
      </c>
      <c r="N27">
        <v>24700</v>
      </c>
      <c r="O27">
        <v>9439</v>
      </c>
      <c r="P27">
        <v>4436</v>
      </c>
      <c r="Q27">
        <v>264502</v>
      </c>
      <c r="R27">
        <v>6802</v>
      </c>
      <c r="S27">
        <v>14273</v>
      </c>
      <c r="T27">
        <v>15786</v>
      </c>
      <c r="U27">
        <v>452543</v>
      </c>
      <c r="V27">
        <v>18610</v>
      </c>
      <c r="W27" t="s">
        <v>73</v>
      </c>
      <c r="X27" t="s">
        <v>73</v>
      </c>
      <c r="Y27" t="s">
        <v>73</v>
      </c>
      <c r="Z27" t="s">
        <v>73</v>
      </c>
      <c r="AA27">
        <v>6132</v>
      </c>
      <c r="AB27">
        <v>6414</v>
      </c>
      <c r="AC27">
        <v>895029</v>
      </c>
      <c r="AD27">
        <v>9326</v>
      </c>
      <c r="AE27" t="s">
        <v>73</v>
      </c>
      <c r="AF27" t="s">
        <v>73</v>
      </c>
      <c r="AG27" t="s">
        <v>73</v>
      </c>
      <c r="AH27" t="s">
        <v>73</v>
      </c>
      <c r="AI27">
        <v>957404</v>
      </c>
      <c r="AJ27">
        <v>1001491</v>
      </c>
      <c r="AK27">
        <v>2089729</v>
      </c>
      <c r="AL27">
        <v>1996346</v>
      </c>
      <c r="AM27">
        <v>1346</v>
      </c>
      <c r="AN27">
        <v>1456</v>
      </c>
      <c r="AO27">
        <v>1079390</v>
      </c>
      <c r="AP27">
        <v>2114</v>
      </c>
    </row>
    <row r="28" spans="1:42" x14ac:dyDescent="0.4">
      <c r="A28" s="1" t="s">
        <v>44</v>
      </c>
      <c r="B28" s="1" t="s">
        <v>45</v>
      </c>
      <c r="C28">
        <v>89169</v>
      </c>
      <c r="D28">
        <v>81671</v>
      </c>
      <c r="E28">
        <v>3274535</v>
      </c>
      <c r="F28">
        <v>49860</v>
      </c>
      <c r="G28">
        <v>31038</v>
      </c>
      <c r="H28">
        <v>29822</v>
      </c>
      <c r="I28">
        <v>2315841</v>
      </c>
      <c r="J28">
        <v>15094</v>
      </c>
      <c r="K28">
        <v>42150</v>
      </c>
      <c r="L28">
        <v>18823</v>
      </c>
      <c r="M28">
        <v>760687</v>
      </c>
      <c r="N28">
        <v>29580</v>
      </c>
      <c r="O28">
        <v>10767</v>
      </c>
      <c r="P28">
        <v>3194</v>
      </c>
      <c r="Q28">
        <v>187225</v>
      </c>
      <c r="R28">
        <v>6383</v>
      </c>
      <c r="S28">
        <v>14922</v>
      </c>
      <c r="T28">
        <v>13242</v>
      </c>
      <c r="U28">
        <v>402351</v>
      </c>
      <c r="V28">
        <v>20235</v>
      </c>
      <c r="W28" t="s">
        <v>73</v>
      </c>
      <c r="X28" t="s">
        <v>73</v>
      </c>
      <c r="Y28" t="s">
        <v>73</v>
      </c>
      <c r="Z28" t="s">
        <v>73</v>
      </c>
      <c r="AA28">
        <v>3243</v>
      </c>
      <c r="AB28">
        <v>4914</v>
      </c>
      <c r="AC28">
        <v>781165</v>
      </c>
      <c r="AD28">
        <v>7528</v>
      </c>
      <c r="AE28" t="s">
        <v>73</v>
      </c>
      <c r="AF28" t="s">
        <v>73</v>
      </c>
      <c r="AG28" t="s">
        <v>73</v>
      </c>
      <c r="AH28" t="s">
        <v>73</v>
      </c>
      <c r="AI28">
        <v>1068761</v>
      </c>
      <c r="AJ28">
        <v>966555</v>
      </c>
      <c r="AK28">
        <v>2054259</v>
      </c>
      <c r="AL28">
        <v>2025763</v>
      </c>
      <c r="AM28">
        <v>1239</v>
      </c>
      <c r="AN28">
        <v>1179</v>
      </c>
      <c r="AO28">
        <v>852877</v>
      </c>
      <c r="AP28">
        <v>2191</v>
      </c>
    </row>
    <row r="29" spans="1:42" x14ac:dyDescent="0.4">
      <c r="A29" s="1" t="s">
        <v>46</v>
      </c>
      <c r="B29" s="1" t="s">
        <v>47</v>
      </c>
      <c r="C29">
        <v>84887</v>
      </c>
      <c r="D29">
        <v>81402</v>
      </c>
      <c r="E29">
        <v>3155163</v>
      </c>
      <c r="F29">
        <v>44211</v>
      </c>
      <c r="G29">
        <v>26065</v>
      </c>
      <c r="H29">
        <v>28813</v>
      </c>
      <c r="I29">
        <v>2149760</v>
      </c>
      <c r="J29">
        <v>12346</v>
      </c>
      <c r="K29">
        <v>39792</v>
      </c>
      <c r="L29">
        <v>19390</v>
      </c>
      <c r="M29">
        <v>724478</v>
      </c>
      <c r="N29">
        <v>29874</v>
      </c>
      <c r="O29">
        <v>10592</v>
      </c>
      <c r="P29">
        <v>2044</v>
      </c>
      <c r="Q29">
        <v>144160</v>
      </c>
      <c r="R29">
        <v>6931</v>
      </c>
      <c r="S29">
        <v>15316</v>
      </c>
      <c r="T29">
        <v>14282</v>
      </c>
      <c r="U29">
        <v>399478</v>
      </c>
      <c r="V29">
        <v>21156</v>
      </c>
      <c r="W29" t="s">
        <v>73</v>
      </c>
      <c r="X29" t="s">
        <v>73</v>
      </c>
      <c r="Y29" t="s">
        <v>73</v>
      </c>
      <c r="Z29" t="s">
        <v>73</v>
      </c>
      <c r="AA29">
        <v>3912</v>
      </c>
      <c r="AB29">
        <v>5506</v>
      </c>
      <c r="AC29">
        <v>805485</v>
      </c>
      <c r="AD29">
        <v>5806</v>
      </c>
      <c r="AE29" t="s">
        <v>73</v>
      </c>
      <c r="AF29" t="s">
        <v>73</v>
      </c>
      <c r="AG29" t="s">
        <v>73</v>
      </c>
      <c r="AH29" t="s">
        <v>73</v>
      </c>
      <c r="AI29">
        <v>1016536</v>
      </c>
      <c r="AJ29">
        <v>888184</v>
      </c>
      <c r="AK29">
        <v>1894832</v>
      </c>
      <c r="AL29">
        <v>2084869</v>
      </c>
      <c r="AM29">
        <v>1408</v>
      </c>
      <c r="AN29">
        <v>1321</v>
      </c>
      <c r="AO29">
        <v>975842</v>
      </c>
      <c r="AP29">
        <v>2298</v>
      </c>
    </row>
    <row r="30" spans="1:42" x14ac:dyDescent="0.4">
      <c r="A30" s="1" t="s">
        <v>48</v>
      </c>
      <c r="B30" s="1" t="s">
        <v>49</v>
      </c>
      <c r="C30">
        <v>79682</v>
      </c>
      <c r="D30">
        <v>73881</v>
      </c>
      <c r="E30">
        <v>2187111</v>
      </c>
      <c r="F30">
        <v>47501</v>
      </c>
      <c r="G30">
        <v>26276</v>
      </c>
      <c r="H30">
        <v>24887</v>
      </c>
      <c r="I30">
        <v>1702776</v>
      </c>
      <c r="J30">
        <v>13734</v>
      </c>
      <c r="K30">
        <v>31061</v>
      </c>
      <c r="L30">
        <v>17629</v>
      </c>
      <c r="M30">
        <v>680277</v>
      </c>
      <c r="N30">
        <v>24826</v>
      </c>
      <c r="O30">
        <v>9572</v>
      </c>
      <c r="P30">
        <v>2582</v>
      </c>
      <c r="Q30">
        <v>160233</v>
      </c>
      <c r="R30">
        <v>6423</v>
      </c>
      <c r="S30">
        <v>15274</v>
      </c>
      <c r="T30">
        <v>13488</v>
      </c>
      <c r="U30">
        <v>371767</v>
      </c>
      <c r="V30">
        <v>22900</v>
      </c>
      <c r="W30" t="s">
        <v>73</v>
      </c>
      <c r="X30" t="s">
        <v>73</v>
      </c>
      <c r="Y30" t="s">
        <v>73</v>
      </c>
      <c r="Z30" t="s">
        <v>73</v>
      </c>
      <c r="AA30">
        <v>3221</v>
      </c>
      <c r="AB30">
        <v>3989</v>
      </c>
      <c r="AC30">
        <v>583081</v>
      </c>
      <c r="AD30">
        <v>5029</v>
      </c>
      <c r="AE30" t="s">
        <v>73</v>
      </c>
      <c r="AF30" t="s">
        <v>73</v>
      </c>
      <c r="AG30" t="s">
        <v>73</v>
      </c>
      <c r="AH30" t="s">
        <v>73</v>
      </c>
      <c r="AI30">
        <v>1142478</v>
      </c>
      <c r="AJ30">
        <v>989734</v>
      </c>
      <c r="AK30">
        <v>1922165</v>
      </c>
      <c r="AL30">
        <v>2158588</v>
      </c>
      <c r="AM30">
        <v>1336</v>
      </c>
      <c r="AN30">
        <v>1425</v>
      </c>
      <c r="AO30">
        <v>1062042</v>
      </c>
      <c r="AP30">
        <v>2250</v>
      </c>
    </row>
    <row r="31" spans="1:42" x14ac:dyDescent="0.4">
      <c r="A31" s="1" t="s">
        <v>50</v>
      </c>
      <c r="B31" s="1" t="s">
        <v>51</v>
      </c>
      <c r="C31">
        <v>83109</v>
      </c>
      <c r="D31">
        <v>73660</v>
      </c>
      <c r="E31">
        <v>2172825</v>
      </c>
      <c r="F31">
        <v>49264</v>
      </c>
      <c r="G31">
        <v>25814</v>
      </c>
      <c r="H31">
        <v>27608</v>
      </c>
      <c r="I31">
        <v>1906972</v>
      </c>
      <c r="J31">
        <v>11941</v>
      </c>
      <c r="K31">
        <v>36373</v>
      </c>
      <c r="L31">
        <v>20384</v>
      </c>
      <c r="M31">
        <v>732226</v>
      </c>
      <c r="N31">
        <v>23681</v>
      </c>
      <c r="O31">
        <v>9910</v>
      </c>
      <c r="P31">
        <v>1499</v>
      </c>
      <c r="Q31">
        <v>96631</v>
      </c>
      <c r="R31">
        <v>6722</v>
      </c>
      <c r="S31">
        <v>14696</v>
      </c>
      <c r="T31">
        <v>14011</v>
      </c>
      <c r="U31">
        <v>398372</v>
      </c>
      <c r="V31">
        <v>23502</v>
      </c>
      <c r="W31" t="s">
        <v>73</v>
      </c>
      <c r="X31" t="s">
        <v>73</v>
      </c>
      <c r="Y31" t="s">
        <v>73</v>
      </c>
      <c r="Z31" t="s">
        <v>73</v>
      </c>
      <c r="AA31">
        <v>5042</v>
      </c>
      <c r="AB31">
        <v>5004</v>
      </c>
      <c r="AC31">
        <v>768565</v>
      </c>
      <c r="AD31">
        <v>4189</v>
      </c>
      <c r="AE31" t="s">
        <v>73</v>
      </c>
      <c r="AF31" t="s">
        <v>73</v>
      </c>
      <c r="AG31" t="s">
        <v>73</v>
      </c>
      <c r="AH31" t="s">
        <v>73</v>
      </c>
      <c r="AI31">
        <v>853874</v>
      </c>
      <c r="AJ31">
        <v>867667</v>
      </c>
      <c r="AK31">
        <v>1687326</v>
      </c>
      <c r="AL31">
        <v>2065786</v>
      </c>
      <c r="AM31">
        <v>948</v>
      </c>
      <c r="AN31">
        <v>1124</v>
      </c>
      <c r="AO31">
        <v>837548</v>
      </c>
      <c r="AP31">
        <v>2094</v>
      </c>
    </row>
    <row r="32" spans="1:42" x14ac:dyDescent="0.4">
      <c r="A32" s="1" t="s">
        <v>52</v>
      </c>
      <c r="B32" s="1" t="s">
        <v>53</v>
      </c>
      <c r="C32">
        <v>74210</v>
      </c>
      <c r="D32">
        <v>66706</v>
      </c>
      <c r="E32">
        <v>1961771</v>
      </c>
      <c r="F32">
        <v>47215</v>
      </c>
      <c r="G32">
        <v>25749</v>
      </c>
      <c r="H32">
        <v>25321</v>
      </c>
      <c r="I32">
        <v>1669793</v>
      </c>
      <c r="J32">
        <v>12368</v>
      </c>
      <c r="K32">
        <v>41403</v>
      </c>
      <c r="L32">
        <v>19664</v>
      </c>
      <c r="M32">
        <v>723821</v>
      </c>
      <c r="N32">
        <v>26288</v>
      </c>
      <c r="O32">
        <v>7168</v>
      </c>
      <c r="P32">
        <v>2915</v>
      </c>
      <c r="Q32">
        <v>177976</v>
      </c>
      <c r="R32">
        <v>5880</v>
      </c>
      <c r="S32">
        <v>14980</v>
      </c>
      <c r="T32">
        <v>14760</v>
      </c>
      <c r="U32">
        <v>414735</v>
      </c>
      <c r="V32">
        <v>23596</v>
      </c>
      <c r="W32" t="s">
        <v>73</v>
      </c>
      <c r="X32" t="s">
        <v>73</v>
      </c>
      <c r="Y32" t="s">
        <v>73</v>
      </c>
      <c r="Z32" t="s">
        <v>73</v>
      </c>
      <c r="AA32">
        <v>4897</v>
      </c>
      <c r="AB32">
        <v>3953</v>
      </c>
      <c r="AC32">
        <v>556299</v>
      </c>
      <c r="AD32">
        <v>5992</v>
      </c>
      <c r="AE32" t="s">
        <v>73</v>
      </c>
      <c r="AF32" t="s">
        <v>73</v>
      </c>
      <c r="AG32" t="s">
        <v>73</v>
      </c>
      <c r="AH32" t="s">
        <v>73</v>
      </c>
      <c r="AI32">
        <v>950103</v>
      </c>
      <c r="AJ32">
        <v>937050</v>
      </c>
      <c r="AK32">
        <v>1717704</v>
      </c>
      <c r="AL32">
        <v>1996840</v>
      </c>
      <c r="AM32">
        <v>1235</v>
      </c>
      <c r="AN32">
        <v>1234</v>
      </c>
      <c r="AO32">
        <v>940459</v>
      </c>
      <c r="AP32">
        <v>2112</v>
      </c>
    </row>
    <row r="33" spans="1:42" x14ac:dyDescent="0.4">
      <c r="A33" s="1" t="s">
        <v>54</v>
      </c>
      <c r="B33" s="1" t="s">
        <v>55</v>
      </c>
      <c r="C33">
        <v>78731</v>
      </c>
      <c r="D33">
        <v>65576</v>
      </c>
      <c r="E33">
        <v>1985499</v>
      </c>
      <c r="F33">
        <v>54461</v>
      </c>
      <c r="G33">
        <v>29078</v>
      </c>
      <c r="H33">
        <v>28481</v>
      </c>
      <c r="I33">
        <v>1909332</v>
      </c>
      <c r="J33">
        <v>12965</v>
      </c>
      <c r="K33">
        <v>30511</v>
      </c>
      <c r="L33">
        <v>20518</v>
      </c>
      <c r="M33">
        <v>808660</v>
      </c>
      <c r="N33">
        <v>23788</v>
      </c>
      <c r="O33">
        <v>5326</v>
      </c>
      <c r="P33">
        <v>2430</v>
      </c>
      <c r="Q33">
        <v>175037</v>
      </c>
      <c r="R33">
        <v>6802</v>
      </c>
      <c r="S33">
        <v>14729</v>
      </c>
      <c r="T33">
        <v>16701</v>
      </c>
      <c r="U33">
        <v>489612</v>
      </c>
      <c r="V33">
        <v>21505</v>
      </c>
      <c r="W33" t="s">
        <v>73</v>
      </c>
      <c r="X33" t="s">
        <v>73</v>
      </c>
      <c r="Y33" t="s">
        <v>73</v>
      </c>
      <c r="Z33" t="s">
        <v>73</v>
      </c>
      <c r="AA33">
        <v>5691</v>
      </c>
      <c r="AB33">
        <v>4876</v>
      </c>
      <c r="AC33">
        <v>712326</v>
      </c>
      <c r="AD33">
        <v>6786</v>
      </c>
      <c r="AE33" t="s">
        <v>73</v>
      </c>
      <c r="AF33" t="s">
        <v>73</v>
      </c>
      <c r="AG33" t="s">
        <v>73</v>
      </c>
      <c r="AH33" t="s">
        <v>73</v>
      </c>
      <c r="AI33">
        <v>994030</v>
      </c>
      <c r="AJ33">
        <v>936392</v>
      </c>
      <c r="AK33">
        <v>2009474</v>
      </c>
      <c r="AL33">
        <v>1991774</v>
      </c>
      <c r="AM33">
        <v>1183</v>
      </c>
      <c r="AN33">
        <v>1345</v>
      </c>
      <c r="AO33">
        <v>1009173</v>
      </c>
      <c r="AP33">
        <v>1972</v>
      </c>
    </row>
    <row r="34" spans="1:42" x14ac:dyDescent="0.4">
      <c r="A34" s="1" t="s">
        <v>56</v>
      </c>
      <c r="B34" s="1" t="s">
        <v>57</v>
      </c>
      <c r="C34">
        <v>81389</v>
      </c>
      <c r="D34">
        <v>75285</v>
      </c>
      <c r="E34">
        <v>2391636</v>
      </c>
      <c r="F34">
        <v>53381</v>
      </c>
      <c r="G34">
        <v>30197</v>
      </c>
      <c r="H34">
        <v>31050</v>
      </c>
      <c r="I34">
        <v>2094681</v>
      </c>
      <c r="J34">
        <v>12111</v>
      </c>
      <c r="K34">
        <v>26106</v>
      </c>
      <c r="L34">
        <v>13872</v>
      </c>
      <c r="M34">
        <v>557162</v>
      </c>
      <c r="N34">
        <v>20414</v>
      </c>
      <c r="O34">
        <v>9539</v>
      </c>
      <c r="P34">
        <v>2607</v>
      </c>
      <c r="Q34">
        <v>149387</v>
      </c>
      <c r="R34">
        <v>5790</v>
      </c>
      <c r="S34">
        <v>14003</v>
      </c>
      <c r="T34">
        <v>12328</v>
      </c>
      <c r="U34">
        <v>295119</v>
      </c>
      <c r="V34">
        <v>23135</v>
      </c>
      <c r="W34" t="s">
        <v>73</v>
      </c>
      <c r="X34" t="s">
        <v>73</v>
      </c>
      <c r="Y34" t="s">
        <v>73</v>
      </c>
      <c r="Z34" t="s">
        <v>73</v>
      </c>
      <c r="AA34">
        <v>5530</v>
      </c>
      <c r="AB34">
        <v>5160</v>
      </c>
      <c r="AC34">
        <v>744227</v>
      </c>
      <c r="AD34">
        <v>7104</v>
      </c>
      <c r="AE34" t="s">
        <v>73</v>
      </c>
      <c r="AF34" t="s">
        <v>73</v>
      </c>
      <c r="AG34" t="s">
        <v>73</v>
      </c>
      <c r="AH34" t="s">
        <v>73</v>
      </c>
      <c r="AI34">
        <v>1019356</v>
      </c>
      <c r="AJ34">
        <v>952147</v>
      </c>
      <c r="AK34">
        <v>1895529</v>
      </c>
      <c r="AL34">
        <v>1983401</v>
      </c>
      <c r="AM34">
        <v>1313</v>
      </c>
      <c r="AN34">
        <v>1299</v>
      </c>
      <c r="AO34">
        <v>972979</v>
      </c>
      <c r="AP34">
        <v>2000</v>
      </c>
    </row>
    <row r="35" spans="1:42" x14ac:dyDescent="0.4">
      <c r="A35" s="1" t="s">
        <v>58</v>
      </c>
      <c r="B35" s="1" t="s">
        <v>59</v>
      </c>
      <c r="C35">
        <v>80685</v>
      </c>
      <c r="D35">
        <v>74336</v>
      </c>
      <c r="E35">
        <v>2381089</v>
      </c>
      <c r="F35">
        <v>46192</v>
      </c>
      <c r="G35">
        <v>31342</v>
      </c>
      <c r="H35">
        <v>30492</v>
      </c>
      <c r="I35">
        <v>2063290</v>
      </c>
      <c r="J35">
        <v>12960</v>
      </c>
      <c r="K35">
        <v>33267</v>
      </c>
      <c r="L35">
        <v>11082</v>
      </c>
      <c r="M35">
        <v>487833</v>
      </c>
      <c r="N35">
        <v>28613</v>
      </c>
      <c r="O35">
        <v>9199</v>
      </c>
      <c r="P35">
        <v>1489</v>
      </c>
      <c r="Q35">
        <v>102633</v>
      </c>
      <c r="R35">
        <v>6894</v>
      </c>
      <c r="S35">
        <v>15807</v>
      </c>
      <c r="T35">
        <v>16515</v>
      </c>
      <c r="U35">
        <v>458433</v>
      </c>
      <c r="V35">
        <v>22303</v>
      </c>
      <c r="W35" t="s">
        <v>73</v>
      </c>
      <c r="X35" t="s">
        <v>73</v>
      </c>
      <c r="Y35" t="s">
        <v>73</v>
      </c>
      <c r="Z35" t="s">
        <v>73</v>
      </c>
      <c r="AA35">
        <v>4416</v>
      </c>
      <c r="AB35">
        <v>5316</v>
      </c>
      <c r="AC35">
        <v>765342</v>
      </c>
      <c r="AD35">
        <v>6195</v>
      </c>
      <c r="AE35" t="s">
        <v>73</v>
      </c>
      <c r="AF35" t="s">
        <v>73</v>
      </c>
      <c r="AG35" t="s">
        <v>73</v>
      </c>
      <c r="AH35" t="s">
        <v>73</v>
      </c>
      <c r="AI35">
        <v>871533</v>
      </c>
      <c r="AJ35">
        <v>934772</v>
      </c>
      <c r="AK35">
        <v>1993678</v>
      </c>
      <c r="AL35">
        <v>1831417</v>
      </c>
      <c r="AM35">
        <v>1309</v>
      </c>
      <c r="AN35">
        <v>1224</v>
      </c>
      <c r="AO35">
        <v>950415</v>
      </c>
      <c r="AP35">
        <v>2098</v>
      </c>
    </row>
    <row r="36" spans="1:42" x14ac:dyDescent="0.4">
      <c r="A36" s="1" t="s">
        <v>60</v>
      </c>
      <c r="B36" s="1" t="s">
        <v>61</v>
      </c>
      <c r="C36">
        <v>82201</v>
      </c>
      <c r="D36">
        <v>69760</v>
      </c>
      <c r="E36">
        <v>2132408</v>
      </c>
      <c r="F36">
        <v>54630</v>
      </c>
      <c r="G36">
        <v>29857</v>
      </c>
      <c r="H36">
        <v>29652</v>
      </c>
      <c r="I36">
        <v>1986360</v>
      </c>
      <c r="J36">
        <v>13165</v>
      </c>
      <c r="K36">
        <v>36332</v>
      </c>
      <c r="L36">
        <v>22298</v>
      </c>
      <c r="M36">
        <v>876467</v>
      </c>
      <c r="N36">
        <v>25039</v>
      </c>
      <c r="O36">
        <v>10803</v>
      </c>
      <c r="P36">
        <v>2242</v>
      </c>
      <c r="Q36">
        <v>138040</v>
      </c>
      <c r="R36">
        <v>7384</v>
      </c>
      <c r="S36">
        <v>15714</v>
      </c>
      <c r="T36">
        <v>16212</v>
      </c>
      <c r="U36">
        <v>439497</v>
      </c>
      <c r="V36">
        <v>21695</v>
      </c>
      <c r="W36" t="s">
        <v>73</v>
      </c>
      <c r="X36" t="s">
        <v>73</v>
      </c>
      <c r="Y36" t="s">
        <v>73</v>
      </c>
      <c r="Z36" t="s">
        <v>73</v>
      </c>
      <c r="AA36">
        <v>4371</v>
      </c>
      <c r="AB36">
        <v>5596</v>
      </c>
      <c r="AC36">
        <v>787907</v>
      </c>
      <c r="AD36">
        <v>4954</v>
      </c>
      <c r="AE36" t="s">
        <v>73</v>
      </c>
      <c r="AF36" t="s">
        <v>73</v>
      </c>
      <c r="AG36" t="s">
        <v>73</v>
      </c>
      <c r="AH36" t="s">
        <v>73</v>
      </c>
      <c r="AI36">
        <v>881410</v>
      </c>
      <c r="AJ36">
        <v>829611</v>
      </c>
      <c r="AK36">
        <v>1731152</v>
      </c>
      <c r="AL36">
        <v>1837908</v>
      </c>
      <c r="AM36">
        <v>1200</v>
      </c>
      <c r="AN36">
        <v>1241</v>
      </c>
      <c r="AO36">
        <v>966217</v>
      </c>
      <c r="AP36">
        <v>2073</v>
      </c>
    </row>
    <row r="37" spans="1:42" x14ac:dyDescent="0.4">
      <c r="A37" s="1" t="s">
        <v>62</v>
      </c>
      <c r="B37" s="1" t="s">
        <v>63</v>
      </c>
      <c r="C37">
        <v>73545</v>
      </c>
      <c r="D37">
        <v>67842</v>
      </c>
      <c r="E37">
        <v>2107079</v>
      </c>
      <c r="F37">
        <v>51858</v>
      </c>
      <c r="G37">
        <v>26693</v>
      </c>
      <c r="H37">
        <v>24622</v>
      </c>
      <c r="I37">
        <v>1624119</v>
      </c>
      <c r="J37">
        <v>15236</v>
      </c>
      <c r="K37">
        <v>38269</v>
      </c>
      <c r="L37">
        <v>21244</v>
      </c>
      <c r="M37">
        <v>846159</v>
      </c>
      <c r="N37">
        <v>26105</v>
      </c>
      <c r="O37">
        <v>9510</v>
      </c>
      <c r="P37">
        <v>1424</v>
      </c>
      <c r="Q37">
        <v>95456</v>
      </c>
      <c r="R37">
        <v>7508</v>
      </c>
      <c r="S37">
        <v>13392</v>
      </c>
      <c r="T37">
        <v>12728</v>
      </c>
      <c r="U37">
        <v>350927</v>
      </c>
      <c r="V37">
        <v>22165</v>
      </c>
      <c r="W37" t="s">
        <v>73</v>
      </c>
      <c r="X37" t="s">
        <v>73</v>
      </c>
      <c r="Y37" t="s">
        <v>73</v>
      </c>
      <c r="Z37" t="s">
        <v>73</v>
      </c>
      <c r="AA37">
        <v>5884</v>
      </c>
      <c r="AB37">
        <v>4681</v>
      </c>
      <c r="AC37">
        <v>777436</v>
      </c>
      <c r="AD37">
        <v>6126</v>
      </c>
      <c r="AE37" t="s">
        <v>73</v>
      </c>
      <c r="AF37" t="s">
        <v>73</v>
      </c>
      <c r="AG37" t="s">
        <v>73</v>
      </c>
      <c r="AH37" t="s">
        <v>73</v>
      </c>
      <c r="AI37">
        <v>861370</v>
      </c>
      <c r="AJ37">
        <v>745399</v>
      </c>
      <c r="AK37">
        <v>1456392</v>
      </c>
      <c r="AL37">
        <v>1887275</v>
      </c>
      <c r="AM37">
        <v>1316</v>
      </c>
      <c r="AN37">
        <v>1233</v>
      </c>
      <c r="AO37">
        <v>961033</v>
      </c>
      <c r="AP37">
        <v>2179</v>
      </c>
    </row>
    <row r="38" spans="1:42" x14ac:dyDescent="0.4">
      <c r="A38" s="1" t="s">
        <v>64</v>
      </c>
      <c r="B38" s="1" t="s">
        <v>65</v>
      </c>
      <c r="C38">
        <v>74949</v>
      </c>
      <c r="D38">
        <v>60554</v>
      </c>
      <c r="E38">
        <v>1812054</v>
      </c>
      <c r="F38">
        <v>55339</v>
      </c>
      <c r="G38">
        <v>28503</v>
      </c>
      <c r="H38">
        <v>28909</v>
      </c>
      <c r="I38">
        <v>1965119</v>
      </c>
      <c r="J38">
        <v>15048</v>
      </c>
      <c r="K38">
        <v>38657</v>
      </c>
      <c r="L38">
        <v>22249</v>
      </c>
      <c r="M38">
        <v>850927</v>
      </c>
      <c r="N38">
        <v>27728</v>
      </c>
      <c r="O38">
        <v>4660</v>
      </c>
      <c r="P38">
        <v>1760</v>
      </c>
      <c r="Q38">
        <v>106147</v>
      </c>
      <c r="R38">
        <v>6794</v>
      </c>
      <c r="S38">
        <v>16207</v>
      </c>
      <c r="T38">
        <v>14785</v>
      </c>
      <c r="U38">
        <v>410078</v>
      </c>
      <c r="V38">
        <v>23474</v>
      </c>
      <c r="W38" t="s">
        <v>73</v>
      </c>
      <c r="X38" t="s">
        <v>73</v>
      </c>
      <c r="Y38" t="s">
        <v>73</v>
      </c>
      <c r="Z38" t="s">
        <v>73</v>
      </c>
      <c r="AA38">
        <v>3190</v>
      </c>
      <c r="AB38">
        <v>1484</v>
      </c>
      <c r="AC38">
        <v>202243</v>
      </c>
      <c r="AD38">
        <v>7816</v>
      </c>
      <c r="AE38" t="s">
        <v>73</v>
      </c>
      <c r="AF38" t="s">
        <v>73</v>
      </c>
      <c r="AG38" t="s">
        <v>73</v>
      </c>
      <c r="AH38" t="s">
        <v>73</v>
      </c>
      <c r="AI38">
        <v>955807</v>
      </c>
      <c r="AJ38">
        <v>951899</v>
      </c>
      <c r="AK38">
        <v>1887239</v>
      </c>
      <c r="AL38">
        <v>1836908</v>
      </c>
      <c r="AM38">
        <v>1252</v>
      </c>
      <c r="AN38">
        <v>1335</v>
      </c>
      <c r="AO38">
        <v>1042253</v>
      </c>
      <c r="AP38">
        <v>2126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68661-5EB1-40D6-B38F-0ABC3F6BF850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2371</v>
      </c>
      <c r="D3" t="s">
        <v>2371</v>
      </c>
      <c r="E3" t="s">
        <v>2371</v>
      </c>
      <c r="F3" t="s">
        <v>2371</v>
      </c>
      <c r="G3" t="s">
        <v>2374</v>
      </c>
      <c r="H3" t="s">
        <v>2374</v>
      </c>
      <c r="I3" t="s">
        <v>2374</v>
      </c>
      <c r="J3" t="s">
        <v>2374</v>
      </c>
      <c r="K3" t="s">
        <v>2376</v>
      </c>
      <c r="L3" t="s">
        <v>2376</v>
      </c>
      <c r="M3" t="s">
        <v>2376</v>
      </c>
      <c r="N3" t="s">
        <v>2376</v>
      </c>
      <c r="O3" t="s">
        <v>2378</v>
      </c>
      <c r="P3" t="s">
        <v>2378</v>
      </c>
      <c r="Q3" t="s">
        <v>2378</v>
      </c>
      <c r="R3" t="s">
        <v>2378</v>
      </c>
      <c r="S3" t="s">
        <v>2380</v>
      </c>
      <c r="T3" t="s">
        <v>2380</v>
      </c>
      <c r="U3" t="s">
        <v>2380</v>
      </c>
      <c r="V3" t="s">
        <v>2380</v>
      </c>
      <c r="W3" t="s">
        <v>2382</v>
      </c>
      <c r="X3" t="s">
        <v>2382</v>
      </c>
      <c r="Y3" t="s">
        <v>2382</v>
      </c>
      <c r="Z3" t="s">
        <v>2382</v>
      </c>
      <c r="AA3" t="s">
        <v>2384</v>
      </c>
      <c r="AB3" t="s">
        <v>2384</v>
      </c>
      <c r="AC3" t="s">
        <v>2384</v>
      </c>
      <c r="AD3" t="s">
        <v>2384</v>
      </c>
      <c r="AE3" t="s">
        <v>2386</v>
      </c>
      <c r="AF3" t="s">
        <v>2386</v>
      </c>
      <c r="AG3" t="s">
        <v>2386</v>
      </c>
      <c r="AH3" t="s">
        <v>2386</v>
      </c>
      <c r="AI3" t="s">
        <v>2388</v>
      </c>
      <c r="AJ3" t="s">
        <v>2388</v>
      </c>
      <c r="AK3" t="s">
        <v>2388</v>
      </c>
      <c r="AL3" t="s">
        <v>2388</v>
      </c>
    </row>
    <row r="4" spans="1:38" x14ac:dyDescent="0.4">
      <c r="A4" s="1"/>
      <c r="B4" s="2" t="s">
        <v>1</v>
      </c>
      <c r="C4" t="s">
        <v>2373</v>
      </c>
      <c r="D4" t="s">
        <v>2373</v>
      </c>
      <c r="E4" t="s">
        <v>2373</v>
      </c>
      <c r="F4" t="s">
        <v>2373</v>
      </c>
      <c r="G4" t="s">
        <v>2375</v>
      </c>
      <c r="H4" t="s">
        <v>2375</v>
      </c>
      <c r="I4" t="s">
        <v>2375</v>
      </c>
      <c r="J4" t="s">
        <v>2375</v>
      </c>
      <c r="K4" t="s">
        <v>2377</v>
      </c>
      <c r="L4" t="s">
        <v>2377</v>
      </c>
      <c r="M4" t="s">
        <v>2377</v>
      </c>
      <c r="N4" t="s">
        <v>2377</v>
      </c>
      <c r="O4" t="s">
        <v>2379</v>
      </c>
      <c r="P4" t="s">
        <v>2379</v>
      </c>
      <c r="Q4" t="s">
        <v>2379</v>
      </c>
      <c r="R4" t="s">
        <v>2379</v>
      </c>
      <c r="S4" t="s">
        <v>2381</v>
      </c>
      <c r="T4" t="s">
        <v>2381</v>
      </c>
      <c r="U4" t="s">
        <v>2381</v>
      </c>
      <c r="V4" t="s">
        <v>2381</v>
      </c>
      <c r="W4" t="s">
        <v>2383</v>
      </c>
      <c r="X4" t="s">
        <v>2383</v>
      </c>
      <c r="Y4" t="s">
        <v>2383</v>
      </c>
      <c r="Z4" t="s">
        <v>2383</v>
      </c>
      <c r="AA4" t="s">
        <v>2385</v>
      </c>
      <c r="AB4" t="s">
        <v>2385</v>
      </c>
      <c r="AC4" t="s">
        <v>2385</v>
      </c>
      <c r="AD4" t="s">
        <v>2385</v>
      </c>
      <c r="AE4" t="s">
        <v>2387</v>
      </c>
      <c r="AF4" t="s">
        <v>2387</v>
      </c>
      <c r="AG4" t="s">
        <v>2387</v>
      </c>
      <c r="AH4" t="s">
        <v>2387</v>
      </c>
      <c r="AI4" t="s">
        <v>2389</v>
      </c>
      <c r="AJ4" t="s">
        <v>2389</v>
      </c>
      <c r="AK4" t="s">
        <v>2389</v>
      </c>
      <c r="AL4" t="s">
        <v>2389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1247</v>
      </c>
      <c r="AJ7" t="s">
        <v>1247</v>
      </c>
      <c r="AK7" t="s">
        <v>341</v>
      </c>
      <c r="AL7" t="s">
        <v>1247</v>
      </c>
    </row>
    <row r="8" spans="1:38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1247</v>
      </c>
      <c r="AJ8" t="s">
        <v>1247</v>
      </c>
      <c r="AK8" t="s">
        <v>342</v>
      </c>
      <c r="AL8" t="s">
        <v>1247</v>
      </c>
    </row>
    <row r="9" spans="1:3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>
        <v>915415</v>
      </c>
      <c r="H9">
        <v>239281</v>
      </c>
      <c r="I9">
        <v>8160178</v>
      </c>
      <c r="J9">
        <v>13966</v>
      </c>
      <c r="K9">
        <v>216805</v>
      </c>
      <c r="L9">
        <v>26533</v>
      </c>
      <c r="M9">
        <v>3019501</v>
      </c>
      <c r="N9">
        <v>1395</v>
      </c>
      <c r="O9">
        <v>52333</v>
      </c>
      <c r="P9">
        <v>41075</v>
      </c>
      <c r="Q9">
        <v>3706457</v>
      </c>
      <c r="R9">
        <v>4594</v>
      </c>
      <c r="S9">
        <v>86978</v>
      </c>
      <c r="T9">
        <v>39258</v>
      </c>
      <c r="U9">
        <v>7185756</v>
      </c>
      <c r="V9">
        <v>4231</v>
      </c>
      <c r="W9">
        <v>198713</v>
      </c>
      <c r="X9">
        <v>180467</v>
      </c>
      <c r="Y9">
        <v>35647249</v>
      </c>
      <c r="Z9">
        <v>13382</v>
      </c>
      <c r="AA9">
        <v>28214</v>
      </c>
      <c r="AB9">
        <v>27990</v>
      </c>
      <c r="AC9">
        <v>15403474</v>
      </c>
      <c r="AD9">
        <v>4219</v>
      </c>
      <c r="AE9">
        <v>8760</v>
      </c>
      <c r="AF9">
        <v>7641</v>
      </c>
      <c r="AG9">
        <v>2007416</v>
      </c>
      <c r="AH9">
        <v>1264</v>
      </c>
      <c r="AI9" t="s">
        <v>73</v>
      </c>
      <c r="AJ9" t="s">
        <v>73</v>
      </c>
      <c r="AK9" t="s">
        <v>73</v>
      </c>
      <c r="AL9" t="s">
        <v>73</v>
      </c>
    </row>
    <row r="10" spans="1:3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>
        <v>892106</v>
      </c>
      <c r="H10">
        <v>235128</v>
      </c>
      <c r="I10">
        <v>9003708</v>
      </c>
      <c r="J10">
        <v>12773</v>
      </c>
      <c r="K10">
        <v>223231</v>
      </c>
      <c r="L10">
        <v>27143</v>
      </c>
      <c r="M10">
        <v>3219036</v>
      </c>
      <c r="N10">
        <v>1575</v>
      </c>
      <c r="O10">
        <v>47165</v>
      </c>
      <c r="P10">
        <v>35726</v>
      </c>
      <c r="Q10">
        <v>3716746</v>
      </c>
      <c r="R10">
        <v>5614</v>
      </c>
      <c r="S10">
        <v>81134</v>
      </c>
      <c r="T10">
        <v>35592</v>
      </c>
      <c r="U10">
        <v>7905794</v>
      </c>
      <c r="V10">
        <v>4993</v>
      </c>
      <c r="W10">
        <v>186191</v>
      </c>
      <c r="X10">
        <v>163406</v>
      </c>
      <c r="Y10">
        <v>37113380</v>
      </c>
      <c r="Z10">
        <v>15026</v>
      </c>
      <c r="AA10">
        <v>22698</v>
      </c>
      <c r="AB10">
        <v>20578</v>
      </c>
      <c r="AC10">
        <v>14709147</v>
      </c>
      <c r="AD10">
        <v>5988</v>
      </c>
      <c r="AE10">
        <v>8555</v>
      </c>
      <c r="AF10">
        <v>7230</v>
      </c>
      <c r="AG10">
        <v>2552421</v>
      </c>
      <c r="AH10">
        <v>1452</v>
      </c>
      <c r="AI10" t="s">
        <v>73</v>
      </c>
      <c r="AJ10" t="s">
        <v>73</v>
      </c>
      <c r="AK10" t="s">
        <v>73</v>
      </c>
      <c r="AL10" t="s">
        <v>73</v>
      </c>
    </row>
    <row r="11" spans="1:3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>
        <v>740157</v>
      </c>
      <c r="H11">
        <v>207469</v>
      </c>
      <c r="I11">
        <v>8632071</v>
      </c>
      <c r="J11">
        <v>13479</v>
      </c>
      <c r="K11">
        <v>138319</v>
      </c>
      <c r="L11">
        <v>19561</v>
      </c>
      <c r="M11">
        <v>2511156</v>
      </c>
      <c r="N11">
        <v>1762</v>
      </c>
      <c r="O11">
        <v>41829</v>
      </c>
      <c r="P11">
        <v>32081</v>
      </c>
      <c r="Q11">
        <v>3335748</v>
      </c>
      <c r="R11">
        <v>5227</v>
      </c>
      <c r="S11">
        <v>72002</v>
      </c>
      <c r="T11">
        <v>30981</v>
      </c>
      <c r="U11">
        <v>6560506</v>
      </c>
      <c r="V11">
        <v>3771</v>
      </c>
      <c r="W11">
        <v>174773</v>
      </c>
      <c r="X11">
        <v>157753</v>
      </c>
      <c r="Y11">
        <v>39485600</v>
      </c>
      <c r="Z11">
        <v>12836</v>
      </c>
      <c r="AA11">
        <v>13155</v>
      </c>
      <c r="AB11">
        <v>15616</v>
      </c>
      <c r="AC11">
        <v>12178077</v>
      </c>
      <c r="AD11">
        <v>4458</v>
      </c>
      <c r="AE11">
        <v>8165</v>
      </c>
      <c r="AF11">
        <v>7476</v>
      </c>
      <c r="AG11">
        <v>2958102</v>
      </c>
      <c r="AH11">
        <v>1363</v>
      </c>
      <c r="AI11" t="s">
        <v>73</v>
      </c>
      <c r="AJ11" t="s">
        <v>73</v>
      </c>
      <c r="AK11" t="s">
        <v>73</v>
      </c>
      <c r="AL11" t="s">
        <v>73</v>
      </c>
    </row>
    <row r="12" spans="1:3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>
        <v>794290</v>
      </c>
      <c r="H12">
        <v>206791</v>
      </c>
      <c r="I12">
        <v>9026775</v>
      </c>
      <c r="J12">
        <v>12465</v>
      </c>
      <c r="K12">
        <v>137062</v>
      </c>
      <c r="L12">
        <v>19811</v>
      </c>
      <c r="M12">
        <v>2515051</v>
      </c>
      <c r="N12">
        <v>1590</v>
      </c>
      <c r="O12">
        <v>41153</v>
      </c>
      <c r="P12">
        <v>33463</v>
      </c>
      <c r="Q12">
        <v>3289586</v>
      </c>
      <c r="R12">
        <v>3468</v>
      </c>
      <c r="S12">
        <v>65976</v>
      </c>
      <c r="T12">
        <v>27829</v>
      </c>
      <c r="U12">
        <v>6342295</v>
      </c>
      <c r="V12">
        <v>4381</v>
      </c>
      <c r="W12">
        <v>168086</v>
      </c>
      <c r="X12">
        <v>167678</v>
      </c>
      <c r="Y12">
        <v>48576668</v>
      </c>
      <c r="Z12">
        <v>13976</v>
      </c>
      <c r="AA12">
        <v>14525</v>
      </c>
      <c r="AB12">
        <v>15331</v>
      </c>
      <c r="AC12">
        <v>12517023</v>
      </c>
      <c r="AD12">
        <v>4070</v>
      </c>
      <c r="AE12">
        <v>8066</v>
      </c>
      <c r="AF12">
        <v>8905</v>
      </c>
      <c r="AG12">
        <v>3331866</v>
      </c>
      <c r="AH12">
        <v>1420</v>
      </c>
      <c r="AI12" t="s">
        <v>73</v>
      </c>
      <c r="AJ12" t="s">
        <v>73</v>
      </c>
      <c r="AK12" t="s">
        <v>73</v>
      </c>
      <c r="AL12" t="s">
        <v>73</v>
      </c>
    </row>
    <row r="13" spans="1:3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>
        <v>739439</v>
      </c>
      <c r="H13">
        <v>196575</v>
      </c>
      <c r="I13">
        <v>8715294</v>
      </c>
      <c r="J13">
        <v>13036</v>
      </c>
      <c r="K13">
        <v>136400</v>
      </c>
      <c r="L13">
        <v>18617</v>
      </c>
      <c r="M13">
        <v>2358681</v>
      </c>
      <c r="N13">
        <v>1739</v>
      </c>
      <c r="O13">
        <v>46030</v>
      </c>
      <c r="P13">
        <v>35509</v>
      </c>
      <c r="Q13">
        <v>3198313</v>
      </c>
      <c r="R13">
        <v>3750</v>
      </c>
      <c r="S13">
        <v>70362</v>
      </c>
      <c r="T13">
        <v>26548</v>
      </c>
      <c r="U13">
        <v>5688643</v>
      </c>
      <c r="V13">
        <v>4944</v>
      </c>
      <c r="W13">
        <v>148409</v>
      </c>
      <c r="X13">
        <v>151988</v>
      </c>
      <c r="Y13">
        <v>43823484</v>
      </c>
      <c r="Z13">
        <v>9210</v>
      </c>
      <c r="AA13">
        <v>13936</v>
      </c>
      <c r="AB13">
        <v>14858</v>
      </c>
      <c r="AC13">
        <v>12593348</v>
      </c>
      <c r="AD13">
        <v>4760</v>
      </c>
      <c r="AE13">
        <v>8198</v>
      </c>
      <c r="AF13">
        <v>9069</v>
      </c>
      <c r="AG13">
        <v>3405315</v>
      </c>
      <c r="AH13">
        <v>1446</v>
      </c>
      <c r="AI13" t="s">
        <v>73</v>
      </c>
      <c r="AJ13" t="s">
        <v>73</v>
      </c>
      <c r="AK13" t="s">
        <v>73</v>
      </c>
      <c r="AL13" t="s">
        <v>73</v>
      </c>
    </row>
    <row r="14" spans="1:3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>
        <v>69493</v>
      </c>
      <c r="H14">
        <v>16480</v>
      </c>
      <c r="I14">
        <v>713210</v>
      </c>
      <c r="J14">
        <v>13870</v>
      </c>
      <c r="K14">
        <v>11978</v>
      </c>
      <c r="L14">
        <v>1920</v>
      </c>
      <c r="M14">
        <v>257856</v>
      </c>
      <c r="N14">
        <v>1305</v>
      </c>
      <c r="O14">
        <v>3458</v>
      </c>
      <c r="P14">
        <v>2112</v>
      </c>
      <c r="Q14">
        <v>239204</v>
      </c>
      <c r="R14">
        <v>4210</v>
      </c>
      <c r="S14">
        <v>4351</v>
      </c>
      <c r="T14">
        <v>2302</v>
      </c>
      <c r="U14">
        <v>507595</v>
      </c>
      <c r="V14">
        <v>4044</v>
      </c>
      <c r="W14">
        <v>18869</v>
      </c>
      <c r="X14">
        <v>15985</v>
      </c>
      <c r="Y14">
        <v>4543791</v>
      </c>
      <c r="Z14">
        <v>18444</v>
      </c>
      <c r="AA14">
        <v>1612</v>
      </c>
      <c r="AB14">
        <v>1139</v>
      </c>
      <c r="AC14">
        <v>885461</v>
      </c>
      <c r="AD14">
        <v>4213</v>
      </c>
      <c r="AE14">
        <v>571</v>
      </c>
      <c r="AF14">
        <v>643</v>
      </c>
      <c r="AG14">
        <v>249305</v>
      </c>
      <c r="AH14">
        <v>1284</v>
      </c>
      <c r="AI14" t="s">
        <v>73</v>
      </c>
      <c r="AJ14" t="s">
        <v>73</v>
      </c>
      <c r="AK14" t="s">
        <v>73</v>
      </c>
      <c r="AL14" t="s">
        <v>73</v>
      </c>
    </row>
    <row r="15" spans="1:3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>
        <v>69910</v>
      </c>
      <c r="H15">
        <v>17013</v>
      </c>
      <c r="I15">
        <v>740619</v>
      </c>
      <c r="J15">
        <v>13944</v>
      </c>
      <c r="K15">
        <v>7251</v>
      </c>
      <c r="L15">
        <v>1587</v>
      </c>
      <c r="M15">
        <v>209206</v>
      </c>
      <c r="N15">
        <v>1521</v>
      </c>
      <c r="O15">
        <v>2898</v>
      </c>
      <c r="P15">
        <v>3431</v>
      </c>
      <c r="Q15">
        <v>309345</v>
      </c>
      <c r="R15">
        <v>3072</v>
      </c>
      <c r="S15">
        <v>3581</v>
      </c>
      <c r="T15">
        <v>2804</v>
      </c>
      <c r="U15">
        <v>658949</v>
      </c>
      <c r="V15">
        <v>2610</v>
      </c>
      <c r="W15">
        <v>20068</v>
      </c>
      <c r="X15">
        <v>19466</v>
      </c>
      <c r="Y15">
        <v>5553848</v>
      </c>
      <c r="Z15">
        <v>18874</v>
      </c>
      <c r="AA15">
        <v>1041</v>
      </c>
      <c r="AB15">
        <v>1370</v>
      </c>
      <c r="AC15">
        <v>1083033</v>
      </c>
      <c r="AD15">
        <v>3884</v>
      </c>
      <c r="AE15">
        <v>939</v>
      </c>
      <c r="AF15">
        <v>783</v>
      </c>
      <c r="AG15">
        <v>283112</v>
      </c>
      <c r="AH15">
        <v>1518</v>
      </c>
      <c r="AI15" t="s">
        <v>73</v>
      </c>
      <c r="AJ15" t="s">
        <v>73</v>
      </c>
      <c r="AK15" t="s">
        <v>73</v>
      </c>
      <c r="AL15" t="s">
        <v>73</v>
      </c>
    </row>
    <row r="16" spans="1:3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>
        <v>58560</v>
      </c>
      <c r="H16">
        <v>18087</v>
      </c>
      <c r="I16">
        <v>771117</v>
      </c>
      <c r="J16">
        <v>12756</v>
      </c>
      <c r="K16">
        <v>12971</v>
      </c>
      <c r="L16">
        <v>1684</v>
      </c>
      <c r="M16">
        <v>208444</v>
      </c>
      <c r="N16">
        <v>1942</v>
      </c>
      <c r="O16">
        <v>3894</v>
      </c>
      <c r="P16">
        <v>2319</v>
      </c>
      <c r="Q16">
        <v>257600</v>
      </c>
      <c r="R16">
        <v>3948</v>
      </c>
      <c r="S16">
        <v>4555</v>
      </c>
      <c r="T16">
        <v>2174</v>
      </c>
      <c r="U16">
        <v>547033</v>
      </c>
      <c r="V16">
        <v>2774</v>
      </c>
      <c r="W16">
        <v>6754</v>
      </c>
      <c r="X16">
        <v>11024</v>
      </c>
      <c r="Y16">
        <v>3131602</v>
      </c>
      <c r="Z16">
        <v>14872</v>
      </c>
      <c r="AA16">
        <v>1309</v>
      </c>
      <c r="AB16">
        <v>1252</v>
      </c>
      <c r="AC16">
        <v>1044241</v>
      </c>
      <c r="AD16">
        <v>3886</v>
      </c>
      <c r="AE16">
        <v>116</v>
      </c>
      <c r="AF16">
        <v>751</v>
      </c>
      <c r="AG16">
        <v>286298</v>
      </c>
      <c r="AH16">
        <v>960</v>
      </c>
      <c r="AI16" t="s">
        <v>73</v>
      </c>
      <c r="AJ16" t="s">
        <v>73</v>
      </c>
      <c r="AK16" t="s">
        <v>73</v>
      </c>
      <c r="AL16" t="s">
        <v>73</v>
      </c>
    </row>
    <row r="17" spans="1:3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>
        <v>55800</v>
      </c>
      <c r="H17">
        <v>17407</v>
      </c>
      <c r="I17">
        <v>764985</v>
      </c>
      <c r="J17">
        <v>12913</v>
      </c>
      <c r="K17">
        <v>11898</v>
      </c>
      <c r="L17">
        <v>1574</v>
      </c>
      <c r="M17">
        <v>191903</v>
      </c>
      <c r="N17">
        <v>1628</v>
      </c>
      <c r="O17">
        <v>3162</v>
      </c>
      <c r="P17">
        <v>2889</v>
      </c>
      <c r="Q17">
        <v>287755</v>
      </c>
      <c r="R17">
        <v>3590</v>
      </c>
      <c r="S17">
        <v>2655</v>
      </c>
      <c r="T17">
        <v>2108</v>
      </c>
      <c r="U17">
        <v>546381</v>
      </c>
      <c r="V17">
        <v>2417</v>
      </c>
      <c r="W17">
        <v>10066</v>
      </c>
      <c r="X17">
        <v>12979</v>
      </c>
      <c r="Y17">
        <v>3817811</v>
      </c>
      <c r="Z17">
        <v>13029</v>
      </c>
      <c r="AA17">
        <v>1821</v>
      </c>
      <c r="AB17">
        <v>1282</v>
      </c>
      <c r="AC17">
        <v>1055442</v>
      </c>
      <c r="AD17">
        <v>4377</v>
      </c>
      <c r="AE17">
        <v>1239</v>
      </c>
      <c r="AF17">
        <v>759</v>
      </c>
      <c r="AG17">
        <v>295426</v>
      </c>
      <c r="AH17">
        <v>1520</v>
      </c>
      <c r="AI17" t="s">
        <v>73</v>
      </c>
      <c r="AJ17" t="s">
        <v>73</v>
      </c>
      <c r="AK17" t="s">
        <v>73</v>
      </c>
      <c r="AL17" t="s">
        <v>73</v>
      </c>
    </row>
    <row r="18" spans="1:3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>
        <v>70698</v>
      </c>
      <c r="H18">
        <v>18453</v>
      </c>
      <c r="I18">
        <v>825113</v>
      </c>
      <c r="J18">
        <v>13451</v>
      </c>
      <c r="K18">
        <v>11796</v>
      </c>
      <c r="L18">
        <v>2232</v>
      </c>
      <c r="M18">
        <v>283561</v>
      </c>
      <c r="N18">
        <v>1207</v>
      </c>
      <c r="O18">
        <v>3795</v>
      </c>
      <c r="P18">
        <v>2538</v>
      </c>
      <c r="Q18">
        <v>285102</v>
      </c>
      <c r="R18">
        <v>4020</v>
      </c>
      <c r="S18">
        <v>5207</v>
      </c>
      <c r="T18">
        <v>2728</v>
      </c>
      <c r="U18">
        <v>634980</v>
      </c>
      <c r="V18">
        <v>2174</v>
      </c>
      <c r="W18">
        <v>10823</v>
      </c>
      <c r="X18">
        <v>12888</v>
      </c>
      <c r="Y18">
        <v>3700005</v>
      </c>
      <c r="Z18">
        <v>10681</v>
      </c>
      <c r="AA18">
        <v>1463</v>
      </c>
      <c r="AB18">
        <v>1587</v>
      </c>
      <c r="AC18">
        <v>1295768</v>
      </c>
      <c r="AD18">
        <v>4211</v>
      </c>
      <c r="AE18">
        <v>755</v>
      </c>
      <c r="AF18">
        <v>784</v>
      </c>
      <c r="AG18">
        <v>290689</v>
      </c>
      <c r="AH18">
        <v>1563</v>
      </c>
      <c r="AI18" t="s">
        <v>73</v>
      </c>
      <c r="AJ18" t="s">
        <v>73</v>
      </c>
      <c r="AK18" t="s">
        <v>73</v>
      </c>
      <c r="AL18" t="s">
        <v>73</v>
      </c>
    </row>
    <row r="19" spans="1:3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>
        <v>70344</v>
      </c>
      <c r="H19">
        <v>14412</v>
      </c>
      <c r="I19">
        <v>635135</v>
      </c>
      <c r="J19">
        <v>12264</v>
      </c>
      <c r="K19">
        <v>13051</v>
      </c>
      <c r="L19">
        <v>1495</v>
      </c>
      <c r="M19">
        <v>177983</v>
      </c>
      <c r="N19">
        <v>1073</v>
      </c>
      <c r="O19">
        <v>3474</v>
      </c>
      <c r="P19">
        <v>2147</v>
      </c>
      <c r="Q19">
        <v>242383</v>
      </c>
      <c r="R19">
        <v>4410</v>
      </c>
      <c r="S19">
        <v>6331</v>
      </c>
      <c r="T19">
        <v>2067</v>
      </c>
      <c r="U19">
        <v>463315</v>
      </c>
      <c r="V19">
        <v>2712</v>
      </c>
      <c r="W19">
        <v>14045</v>
      </c>
      <c r="X19">
        <v>10558</v>
      </c>
      <c r="Y19">
        <v>3077051</v>
      </c>
      <c r="Z19">
        <v>14027</v>
      </c>
      <c r="AA19">
        <v>513</v>
      </c>
      <c r="AB19">
        <v>941</v>
      </c>
      <c r="AC19">
        <v>775861</v>
      </c>
      <c r="AD19">
        <v>3778</v>
      </c>
      <c r="AE19">
        <v>165</v>
      </c>
      <c r="AF19">
        <v>586</v>
      </c>
      <c r="AG19">
        <v>233669</v>
      </c>
      <c r="AH19">
        <v>1202</v>
      </c>
      <c r="AI19" t="s">
        <v>73</v>
      </c>
      <c r="AJ19" t="s">
        <v>73</v>
      </c>
      <c r="AK19" t="s">
        <v>73</v>
      </c>
      <c r="AL19" t="s">
        <v>73</v>
      </c>
    </row>
    <row r="20" spans="1:3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>
        <v>70800</v>
      </c>
      <c r="H20">
        <v>17128</v>
      </c>
      <c r="I20">
        <v>760468</v>
      </c>
      <c r="J20">
        <v>13775</v>
      </c>
      <c r="K20">
        <v>12079</v>
      </c>
      <c r="L20">
        <v>1225</v>
      </c>
      <c r="M20">
        <v>145741</v>
      </c>
      <c r="N20">
        <v>1410</v>
      </c>
      <c r="O20">
        <v>2819</v>
      </c>
      <c r="P20">
        <v>2823</v>
      </c>
      <c r="Q20">
        <v>272745</v>
      </c>
      <c r="R20">
        <v>3814</v>
      </c>
      <c r="S20">
        <v>4949</v>
      </c>
      <c r="T20">
        <v>2525</v>
      </c>
      <c r="U20">
        <v>547224</v>
      </c>
      <c r="V20">
        <v>1588</v>
      </c>
      <c r="W20">
        <v>14441</v>
      </c>
      <c r="X20">
        <v>13424</v>
      </c>
      <c r="Y20">
        <v>3962835</v>
      </c>
      <c r="Z20">
        <v>14844</v>
      </c>
      <c r="AA20">
        <v>1453</v>
      </c>
      <c r="AB20">
        <v>1456</v>
      </c>
      <c r="AC20">
        <v>1170056</v>
      </c>
      <c r="AD20">
        <v>3930</v>
      </c>
      <c r="AE20">
        <v>1057</v>
      </c>
      <c r="AF20">
        <v>708</v>
      </c>
      <c r="AG20">
        <v>256504</v>
      </c>
      <c r="AH20">
        <v>1634</v>
      </c>
      <c r="AI20" t="s">
        <v>73</v>
      </c>
      <c r="AJ20" t="s">
        <v>73</v>
      </c>
      <c r="AK20" t="s">
        <v>73</v>
      </c>
      <c r="AL20" t="s">
        <v>73</v>
      </c>
    </row>
    <row r="21" spans="1:3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>
        <v>57249</v>
      </c>
      <c r="H21">
        <v>18686</v>
      </c>
      <c r="I21">
        <v>827276</v>
      </c>
      <c r="J21">
        <v>12993</v>
      </c>
      <c r="K21">
        <v>12389</v>
      </c>
      <c r="L21">
        <v>1671</v>
      </c>
      <c r="M21">
        <v>216567</v>
      </c>
      <c r="N21">
        <v>1282</v>
      </c>
      <c r="O21">
        <v>1847</v>
      </c>
      <c r="P21">
        <v>2218</v>
      </c>
      <c r="Q21">
        <v>254064</v>
      </c>
      <c r="R21">
        <v>2664</v>
      </c>
      <c r="S21">
        <v>6984</v>
      </c>
      <c r="T21">
        <v>2746</v>
      </c>
      <c r="U21">
        <v>613821</v>
      </c>
      <c r="V21">
        <v>2115</v>
      </c>
      <c r="W21">
        <v>15672</v>
      </c>
      <c r="X21">
        <v>14836</v>
      </c>
      <c r="Y21">
        <v>4488830</v>
      </c>
      <c r="Z21">
        <v>15492</v>
      </c>
      <c r="AA21">
        <v>1135</v>
      </c>
      <c r="AB21">
        <v>1470</v>
      </c>
      <c r="AC21">
        <v>1165572</v>
      </c>
      <c r="AD21">
        <v>3671</v>
      </c>
      <c r="AE21">
        <v>171</v>
      </c>
      <c r="AF21">
        <v>854</v>
      </c>
      <c r="AG21">
        <v>314041</v>
      </c>
      <c r="AH21">
        <v>1032</v>
      </c>
      <c r="AI21" t="s">
        <v>73</v>
      </c>
      <c r="AJ21" t="s">
        <v>73</v>
      </c>
      <c r="AK21" t="s">
        <v>73</v>
      </c>
      <c r="AL21" t="s">
        <v>73</v>
      </c>
    </row>
    <row r="22" spans="1:3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>
        <v>60576</v>
      </c>
      <c r="H22">
        <v>17844</v>
      </c>
      <c r="I22">
        <v>786769</v>
      </c>
      <c r="J22">
        <v>12221</v>
      </c>
      <c r="K22">
        <v>11618</v>
      </c>
      <c r="L22">
        <v>1678</v>
      </c>
      <c r="M22">
        <v>209401</v>
      </c>
      <c r="N22">
        <v>1554</v>
      </c>
      <c r="O22">
        <v>3734</v>
      </c>
      <c r="P22">
        <v>2438</v>
      </c>
      <c r="Q22">
        <v>246231</v>
      </c>
      <c r="R22">
        <v>3042</v>
      </c>
      <c r="S22">
        <v>6786</v>
      </c>
      <c r="T22">
        <v>1878</v>
      </c>
      <c r="U22">
        <v>432770</v>
      </c>
      <c r="V22">
        <v>3519</v>
      </c>
      <c r="W22">
        <v>13945</v>
      </c>
      <c r="X22">
        <v>15519</v>
      </c>
      <c r="Y22">
        <v>4436413</v>
      </c>
      <c r="Z22">
        <v>14529</v>
      </c>
      <c r="AA22">
        <v>1292</v>
      </c>
      <c r="AB22">
        <v>1270</v>
      </c>
      <c r="AC22">
        <v>1076207</v>
      </c>
      <c r="AD22">
        <v>4099</v>
      </c>
      <c r="AE22">
        <v>1179</v>
      </c>
      <c r="AF22">
        <v>868</v>
      </c>
      <c r="AG22">
        <v>324180</v>
      </c>
      <c r="AH22">
        <v>1448</v>
      </c>
      <c r="AI22" t="s">
        <v>73</v>
      </c>
      <c r="AJ22" t="s">
        <v>73</v>
      </c>
      <c r="AK22" t="s">
        <v>73</v>
      </c>
      <c r="AL22" t="s">
        <v>73</v>
      </c>
    </row>
    <row r="23" spans="1:3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>
        <v>69147</v>
      </c>
      <c r="H23">
        <v>16764</v>
      </c>
      <c r="I23">
        <v>743795</v>
      </c>
      <c r="J23">
        <v>12465</v>
      </c>
      <c r="K23">
        <v>10687</v>
      </c>
      <c r="L23">
        <v>1455</v>
      </c>
      <c r="M23">
        <v>182497</v>
      </c>
      <c r="N23">
        <v>1590</v>
      </c>
      <c r="O23">
        <v>4744</v>
      </c>
      <c r="P23">
        <v>3385</v>
      </c>
      <c r="Q23">
        <v>278545</v>
      </c>
      <c r="R23">
        <v>3468</v>
      </c>
      <c r="S23">
        <v>6692</v>
      </c>
      <c r="T23">
        <v>1970</v>
      </c>
      <c r="U23">
        <v>449494</v>
      </c>
      <c r="V23">
        <v>4381</v>
      </c>
      <c r="W23">
        <v>13853</v>
      </c>
      <c r="X23">
        <v>14435</v>
      </c>
      <c r="Y23">
        <v>4268032</v>
      </c>
      <c r="Z23">
        <v>13976</v>
      </c>
      <c r="AA23">
        <v>1134</v>
      </c>
      <c r="AB23">
        <v>1254</v>
      </c>
      <c r="AC23">
        <v>1089808</v>
      </c>
      <c r="AD23">
        <v>4070</v>
      </c>
      <c r="AE23">
        <v>569</v>
      </c>
      <c r="AF23">
        <v>652</v>
      </c>
      <c r="AG23">
        <v>249933</v>
      </c>
      <c r="AH23">
        <v>1420</v>
      </c>
      <c r="AI23" t="s">
        <v>73</v>
      </c>
      <c r="AJ23" t="s">
        <v>73</v>
      </c>
      <c r="AK23" t="s">
        <v>73</v>
      </c>
      <c r="AL23" t="s">
        <v>73</v>
      </c>
    </row>
    <row r="24" spans="1:3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>
        <v>76457</v>
      </c>
      <c r="H24">
        <v>17127</v>
      </c>
      <c r="I24">
        <v>757735</v>
      </c>
      <c r="J24">
        <v>12591</v>
      </c>
      <c r="K24">
        <v>13387</v>
      </c>
      <c r="L24">
        <v>1600</v>
      </c>
      <c r="M24">
        <v>199255</v>
      </c>
      <c r="N24">
        <v>1722</v>
      </c>
      <c r="O24">
        <v>4316</v>
      </c>
      <c r="P24">
        <v>3097</v>
      </c>
      <c r="Q24">
        <v>267555</v>
      </c>
      <c r="R24">
        <v>3800</v>
      </c>
      <c r="S24">
        <v>5992</v>
      </c>
      <c r="T24">
        <v>2086</v>
      </c>
      <c r="U24">
        <v>438653</v>
      </c>
      <c r="V24">
        <v>5042</v>
      </c>
      <c r="W24">
        <v>14166</v>
      </c>
      <c r="X24">
        <v>13919</v>
      </c>
      <c r="Y24">
        <v>4157764</v>
      </c>
      <c r="Z24">
        <v>13738</v>
      </c>
      <c r="AA24">
        <v>695</v>
      </c>
      <c r="AB24">
        <v>1342</v>
      </c>
      <c r="AC24">
        <v>1123625</v>
      </c>
      <c r="AD24">
        <v>3602</v>
      </c>
      <c r="AE24">
        <v>1025</v>
      </c>
      <c r="AF24">
        <v>774</v>
      </c>
      <c r="AG24">
        <v>278877</v>
      </c>
      <c r="AH24">
        <v>1744</v>
      </c>
      <c r="AI24" t="s">
        <v>73</v>
      </c>
      <c r="AJ24" t="s">
        <v>73</v>
      </c>
      <c r="AK24" t="s">
        <v>73</v>
      </c>
      <c r="AL24" t="s">
        <v>73</v>
      </c>
    </row>
    <row r="25" spans="1:3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>
        <v>63190</v>
      </c>
      <c r="H25">
        <v>15792</v>
      </c>
      <c r="I25">
        <v>687893</v>
      </c>
      <c r="J25">
        <v>11690</v>
      </c>
      <c r="K25">
        <v>12065</v>
      </c>
      <c r="L25">
        <v>1646</v>
      </c>
      <c r="M25">
        <v>210127</v>
      </c>
      <c r="N25">
        <v>1744</v>
      </c>
      <c r="O25">
        <v>3622</v>
      </c>
      <c r="P25">
        <v>3057</v>
      </c>
      <c r="Q25">
        <v>243045</v>
      </c>
      <c r="R25">
        <v>3733</v>
      </c>
      <c r="S25">
        <v>4243</v>
      </c>
      <c r="T25">
        <v>1871</v>
      </c>
      <c r="U25">
        <v>379879</v>
      </c>
      <c r="V25">
        <v>3827</v>
      </c>
      <c r="W25">
        <v>12460</v>
      </c>
      <c r="X25">
        <v>11021</v>
      </c>
      <c r="Y25">
        <v>3270008</v>
      </c>
      <c r="Z25">
        <v>14495</v>
      </c>
      <c r="AA25">
        <v>1423</v>
      </c>
      <c r="AB25">
        <v>1131</v>
      </c>
      <c r="AC25">
        <v>893798</v>
      </c>
      <c r="AD25">
        <v>3837</v>
      </c>
      <c r="AE25">
        <v>204</v>
      </c>
      <c r="AF25">
        <v>733</v>
      </c>
      <c r="AG25">
        <v>271913</v>
      </c>
      <c r="AH25">
        <v>1306</v>
      </c>
      <c r="AI25" t="s">
        <v>73</v>
      </c>
      <c r="AJ25" t="s">
        <v>73</v>
      </c>
      <c r="AK25" t="s">
        <v>73</v>
      </c>
      <c r="AL25" t="s">
        <v>73</v>
      </c>
    </row>
    <row r="26" spans="1:3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>
        <v>74182</v>
      </c>
      <c r="H26">
        <v>14305</v>
      </c>
      <c r="I26">
        <v>643559</v>
      </c>
      <c r="J26">
        <v>13317</v>
      </c>
      <c r="K26">
        <v>11217</v>
      </c>
      <c r="L26">
        <v>1489</v>
      </c>
      <c r="M26">
        <v>190310</v>
      </c>
      <c r="N26">
        <v>1647</v>
      </c>
      <c r="O26">
        <v>4464</v>
      </c>
      <c r="P26">
        <v>3500</v>
      </c>
      <c r="Q26">
        <v>312042</v>
      </c>
      <c r="R26">
        <v>4120</v>
      </c>
      <c r="S26">
        <v>6068</v>
      </c>
      <c r="T26">
        <v>2413</v>
      </c>
      <c r="U26">
        <v>520702</v>
      </c>
      <c r="V26">
        <v>3268</v>
      </c>
      <c r="W26">
        <v>14150</v>
      </c>
      <c r="X26">
        <v>15134</v>
      </c>
      <c r="Y26">
        <v>4400409</v>
      </c>
      <c r="Z26">
        <v>13635</v>
      </c>
      <c r="AA26">
        <v>2127</v>
      </c>
      <c r="AB26">
        <v>1146</v>
      </c>
      <c r="AC26">
        <v>968636</v>
      </c>
      <c r="AD26">
        <v>4898</v>
      </c>
      <c r="AE26">
        <v>862</v>
      </c>
      <c r="AF26">
        <v>729</v>
      </c>
      <c r="AG26">
        <v>269609</v>
      </c>
      <c r="AH26">
        <v>1537</v>
      </c>
      <c r="AI26" t="s">
        <v>73</v>
      </c>
      <c r="AJ26" t="s">
        <v>73</v>
      </c>
      <c r="AK26" t="s">
        <v>73</v>
      </c>
      <c r="AL26" t="s">
        <v>73</v>
      </c>
    </row>
    <row r="27" spans="1:3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>
        <v>72068</v>
      </c>
      <c r="H27">
        <v>15592</v>
      </c>
      <c r="I27">
        <v>689418</v>
      </c>
      <c r="J27">
        <v>14363</v>
      </c>
      <c r="K27">
        <v>4873</v>
      </c>
      <c r="L27">
        <v>1443</v>
      </c>
      <c r="M27">
        <v>196749</v>
      </c>
      <c r="N27">
        <v>1595</v>
      </c>
      <c r="O27">
        <v>3237</v>
      </c>
      <c r="P27">
        <v>3152</v>
      </c>
      <c r="Q27">
        <v>258530</v>
      </c>
      <c r="R27">
        <v>3232</v>
      </c>
      <c r="S27">
        <v>7279</v>
      </c>
      <c r="T27">
        <v>2817</v>
      </c>
      <c r="U27">
        <v>630213</v>
      </c>
      <c r="V27">
        <v>3458</v>
      </c>
      <c r="W27">
        <v>14458</v>
      </c>
      <c r="X27">
        <v>15561</v>
      </c>
      <c r="Y27">
        <v>4606708</v>
      </c>
      <c r="Z27">
        <v>11564</v>
      </c>
      <c r="AA27">
        <v>1067</v>
      </c>
      <c r="AB27">
        <v>1346</v>
      </c>
      <c r="AC27">
        <v>1096552</v>
      </c>
      <c r="AD27">
        <v>4577</v>
      </c>
      <c r="AE27">
        <v>651</v>
      </c>
      <c r="AF27">
        <v>813</v>
      </c>
      <c r="AG27">
        <v>293758</v>
      </c>
      <c r="AH27">
        <v>1455</v>
      </c>
      <c r="AI27" t="s">
        <v>73</v>
      </c>
      <c r="AJ27" t="s">
        <v>73</v>
      </c>
      <c r="AK27" t="s">
        <v>73</v>
      </c>
      <c r="AL27" t="s">
        <v>73</v>
      </c>
    </row>
    <row r="28" spans="1:3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>
        <v>53428</v>
      </c>
      <c r="H28">
        <v>15821</v>
      </c>
      <c r="I28">
        <v>686017</v>
      </c>
      <c r="J28">
        <v>12678</v>
      </c>
      <c r="K28">
        <v>13933</v>
      </c>
      <c r="L28">
        <v>1752</v>
      </c>
      <c r="M28">
        <v>217267</v>
      </c>
      <c r="N28">
        <v>1599</v>
      </c>
      <c r="O28">
        <v>4046</v>
      </c>
      <c r="P28">
        <v>2538</v>
      </c>
      <c r="Q28">
        <v>278975</v>
      </c>
      <c r="R28">
        <v>3919</v>
      </c>
      <c r="S28">
        <v>5452</v>
      </c>
      <c r="T28">
        <v>2326</v>
      </c>
      <c r="U28">
        <v>499214</v>
      </c>
      <c r="V28">
        <v>3365</v>
      </c>
      <c r="W28">
        <v>7160</v>
      </c>
      <c r="X28">
        <v>9822</v>
      </c>
      <c r="Y28">
        <v>2797479</v>
      </c>
      <c r="Z28">
        <v>8935</v>
      </c>
      <c r="AA28">
        <v>1197</v>
      </c>
      <c r="AB28">
        <v>1134</v>
      </c>
      <c r="AC28">
        <v>939295</v>
      </c>
      <c r="AD28">
        <v>4656</v>
      </c>
      <c r="AE28">
        <v>165</v>
      </c>
      <c r="AF28">
        <v>719</v>
      </c>
      <c r="AG28">
        <v>262574</v>
      </c>
      <c r="AH28">
        <v>951</v>
      </c>
      <c r="AI28" t="s">
        <v>73</v>
      </c>
      <c r="AJ28" t="s">
        <v>73</v>
      </c>
      <c r="AK28" t="s">
        <v>73</v>
      </c>
      <c r="AL28" t="s">
        <v>73</v>
      </c>
    </row>
    <row r="29" spans="1:3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>
        <v>48055</v>
      </c>
      <c r="H29">
        <v>17643</v>
      </c>
      <c r="I29">
        <v>786061</v>
      </c>
      <c r="J29">
        <v>12644</v>
      </c>
      <c r="K29">
        <v>12656</v>
      </c>
      <c r="L29">
        <v>1699</v>
      </c>
      <c r="M29">
        <v>208449</v>
      </c>
      <c r="N29">
        <v>1178</v>
      </c>
      <c r="O29">
        <v>3873</v>
      </c>
      <c r="P29">
        <v>3931</v>
      </c>
      <c r="Q29">
        <v>307608</v>
      </c>
      <c r="R29">
        <v>2900</v>
      </c>
      <c r="S29">
        <v>3856</v>
      </c>
      <c r="T29">
        <v>2269</v>
      </c>
      <c r="U29">
        <v>486791</v>
      </c>
      <c r="V29">
        <v>3724</v>
      </c>
      <c r="W29">
        <v>12503</v>
      </c>
      <c r="X29">
        <v>11049</v>
      </c>
      <c r="Y29">
        <v>3133676</v>
      </c>
      <c r="Z29">
        <v>10407</v>
      </c>
      <c r="AA29">
        <v>1203</v>
      </c>
      <c r="AB29">
        <v>1288</v>
      </c>
      <c r="AC29">
        <v>1063750</v>
      </c>
      <c r="AD29">
        <v>4789</v>
      </c>
      <c r="AE29">
        <v>1268</v>
      </c>
      <c r="AF29">
        <v>771</v>
      </c>
      <c r="AG29">
        <v>280989</v>
      </c>
      <c r="AH29">
        <v>1547</v>
      </c>
      <c r="AI29" t="s">
        <v>73</v>
      </c>
      <c r="AJ29" t="s">
        <v>73</v>
      </c>
      <c r="AK29" t="s">
        <v>73</v>
      </c>
      <c r="AL29" t="s">
        <v>73</v>
      </c>
    </row>
    <row r="30" spans="1:3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>
        <v>74648</v>
      </c>
      <c r="H30">
        <v>18022</v>
      </c>
      <c r="I30">
        <v>807964</v>
      </c>
      <c r="J30">
        <v>13952</v>
      </c>
      <c r="K30">
        <v>11567</v>
      </c>
      <c r="L30">
        <v>1752</v>
      </c>
      <c r="M30">
        <v>220693</v>
      </c>
      <c r="N30">
        <v>1357</v>
      </c>
      <c r="O30">
        <v>3793</v>
      </c>
      <c r="P30">
        <v>2786</v>
      </c>
      <c r="Q30">
        <v>290725</v>
      </c>
      <c r="R30">
        <v>2815</v>
      </c>
      <c r="S30">
        <v>4344</v>
      </c>
      <c r="T30">
        <v>2412</v>
      </c>
      <c r="U30">
        <v>493511</v>
      </c>
      <c r="V30">
        <v>2930</v>
      </c>
      <c r="W30">
        <v>12105</v>
      </c>
      <c r="X30">
        <v>13235</v>
      </c>
      <c r="Y30">
        <v>3767982</v>
      </c>
      <c r="Z30">
        <v>9613</v>
      </c>
      <c r="AA30">
        <v>1168</v>
      </c>
      <c r="AB30">
        <v>1531</v>
      </c>
      <c r="AC30">
        <v>1241316</v>
      </c>
      <c r="AD30">
        <v>4622</v>
      </c>
      <c r="AE30">
        <v>688</v>
      </c>
      <c r="AF30">
        <v>860</v>
      </c>
      <c r="AG30">
        <v>328430</v>
      </c>
      <c r="AH30">
        <v>1471</v>
      </c>
      <c r="AI30" t="s">
        <v>73</v>
      </c>
      <c r="AJ30" t="s">
        <v>73</v>
      </c>
      <c r="AK30" t="s">
        <v>73</v>
      </c>
      <c r="AL30" t="s">
        <v>73</v>
      </c>
    </row>
    <row r="31" spans="1:3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>
        <v>67291</v>
      </c>
      <c r="H31">
        <v>14563</v>
      </c>
      <c r="I31">
        <v>641086</v>
      </c>
      <c r="J31">
        <v>12313</v>
      </c>
      <c r="K31">
        <v>11206</v>
      </c>
      <c r="L31">
        <v>1306</v>
      </c>
      <c r="M31">
        <v>155351</v>
      </c>
      <c r="N31">
        <v>923</v>
      </c>
      <c r="O31">
        <v>4385</v>
      </c>
      <c r="P31">
        <v>3384</v>
      </c>
      <c r="Q31">
        <v>268767</v>
      </c>
      <c r="R31">
        <v>2890</v>
      </c>
      <c r="S31">
        <v>6779</v>
      </c>
      <c r="T31">
        <v>1748</v>
      </c>
      <c r="U31">
        <v>378016</v>
      </c>
      <c r="V31">
        <v>3245</v>
      </c>
      <c r="W31">
        <v>10139</v>
      </c>
      <c r="X31">
        <v>9532</v>
      </c>
      <c r="Y31">
        <v>2734474</v>
      </c>
      <c r="Z31">
        <v>10241</v>
      </c>
      <c r="AA31">
        <v>162</v>
      </c>
      <c r="AB31">
        <v>961</v>
      </c>
      <c r="AC31">
        <v>805471</v>
      </c>
      <c r="AD31">
        <v>4203</v>
      </c>
      <c r="AE31">
        <v>147</v>
      </c>
      <c r="AF31">
        <v>555</v>
      </c>
      <c r="AG31">
        <v>211433</v>
      </c>
      <c r="AH31">
        <v>1124</v>
      </c>
      <c r="AI31" t="s">
        <v>73</v>
      </c>
      <c r="AJ31" t="s">
        <v>73</v>
      </c>
      <c r="AK31" t="s">
        <v>73</v>
      </c>
      <c r="AL31" t="s">
        <v>73</v>
      </c>
    </row>
    <row r="32" spans="1:3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>
        <v>68309</v>
      </c>
      <c r="H32">
        <v>17155</v>
      </c>
      <c r="I32">
        <v>778856</v>
      </c>
      <c r="J32">
        <v>13641</v>
      </c>
      <c r="K32">
        <v>11634</v>
      </c>
      <c r="L32">
        <v>1433</v>
      </c>
      <c r="M32">
        <v>190591</v>
      </c>
      <c r="N32">
        <v>930</v>
      </c>
      <c r="O32">
        <v>2733</v>
      </c>
      <c r="P32">
        <v>2204</v>
      </c>
      <c r="Q32">
        <v>232901</v>
      </c>
      <c r="R32">
        <v>2677</v>
      </c>
      <c r="S32">
        <v>6726</v>
      </c>
      <c r="T32">
        <v>2210</v>
      </c>
      <c r="U32">
        <v>486169</v>
      </c>
      <c r="V32">
        <v>3683</v>
      </c>
      <c r="W32">
        <v>11595</v>
      </c>
      <c r="X32">
        <v>12403</v>
      </c>
      <c r="Y32">
        <v>3515694</v>
      </c>
      <c r="Z32">
        <v>9757</v>
      </c>
      <c r="AA32">
        <v>1377</v>
      </c>
      <c r="AB32">
        <v>1110</v>
      </c>
      <c r="AC32">
        <v>951965</v>
      </c>
      <c r="AD32">
        <v>4624</v>
      </c>
      <c r="AE32">
        <v>1247</v>
      </c>
      <c r="AF32">
        <v>741</v>
      </c>
      <c r="AG32">
        <v>278329</v>
      </c>
      <c r="AH32">
        <v>1670</v>
      </c>
      <c r="AI32" t="s">
        <v>73</v>
      </c>
      <c r="AJ32" t="s">
        <v>73</v>
      </c>
      <c r="AK32" t="s">
        <v>73</v>
      </c>
      <c r="AL32" t="s">
        <v>73</v>
      </c>
    </row>
    <row r="33" spans="1:3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>
        <v>39036</v>
      </c>
      <c r="H33">
        <v>18780</v>
      </c>
      <c r="I33">
        <v>838984</v>
      </c>
      <c r="J33">
        <v>12620</v>
      </c>
      <c r="K33">
        <v>10603</v>
      </c>
      <c r="L33">
        <v>1299</v>
      </c>
      <c r="M33">
        <v>169402</v>
      </c>
      <c r="N33">
        <v>978</v>
      </c>
      <c r="O33">
        <v>4269</v>
      </c>
      <c r="P33">
        <v>2907</v>
      </c>
      <c r="Q33">
        <v>268862</v>
      </c>
      <c r="R33">
        <v>3154</v>
      </c>
      <c r="S33">
        <v>6271</v>
      </c>
      <c r="T33">
        <v>2584</v>
      </c>
      <c r="U33">
        <v>564456</v>
      </c>
      <c r="V33">
        <v>3399</v>
      </c>
      <c r="W33">
        <v>12356</v>
      </c>
      <c r="X33">
        <v>14106</v>
      </c>
      <c r="Y33">
        <v>4069014</v>
      </c>
      <c r="Z33">
        <v>8048</v>
      </c>
      <c r="AA33">
        <v>1360</v>
      </c>
      <c r="AB33">
        <v>1442</v>
      </c>
      <c r="AC33">
        <v>1270573</v>
      </c>
      <c r="AD33">
        <v>4727</v>
      </c>
      <c r="AE33">
        <v>236</v>
      </c>
      <c r="AF33">
        <v>870</v>
      </c>
      <c r="AG33">
        <v>339644</v>
      </c>
      <c r="AH33">
        <v>1101</v>
      </c>
      <c r="AI33" t="s">
        <v>73</v>
      </c>
      <c r="AJ33" t="s">
        <v>73</v>
      </c>
      <c r="AK33" t="s">
        <v>73</v>
      </c>
      <c r="AL33" t="s">
        <v>73</v>
      </c>
    </row>
    <row r="34" spans="1:3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>
        <v>42982</v>
      </c>
      <c r="H34">
        <v>15815</v>
      </c>
      <c r="I34">
        <v>692736</v>
      </c>
      <c r="J34">
        <v>12251</v>
      </c>
      <c r="K34">
        <v>11383</v>
      </c>
      <c r="L34">
        <v>1354</v>
      </c>
      <c r="M34">
        <v>172129</v>
      </c>
      <c r="N34">
        <v>983</v>
      </c>
      <c r="O34">
        <v>3121</v>
      </c>
      <c r="P34">
        <v>2797</v>
      </c>
      <c r="Q34">
        <v>244964</v>
      </c>
      <c r="R34">
        <v>2677</v>
      </c>
      <c r="S34">
        <v>6936</v>
      </c>
      <c r="T34">
        <v>1764</v>
      </c>
      <c r="U34">
        <v>375607</v>
      </c>
      <c r="V34">
        <v>4615</v>
      </c>
      <c r="W34">
        <v>13233</v>
      </c>
      <c r="X34">
        <v>13945</v>
      </c>
      <c r="Y34">
        <v>3964159</v>
      </c>
      <c r="Z34">
        <v>7356</v>
      </c>
      <c r="AA34">
        <v>1217</v>
      </c>
      <c r="AB34">
        <v>1252</v>
      </c>
      <c r="AC34">
        <v>1120609</v>
      </c>
      <c r="AD34">
        <v>5046</v>
      </c>
      <c r="AE34">
        <v>1178</v>
      </c>
      <c r="AF34">
        <v>760</v>
      </c>
      <c r="AG34">
        <v>296049</v>
      </c>
      <c r="AH34">
        <v>1564</v>
      </c>
      <c r="AI34" t="s">
        <v>73</v>
      </c>
      <c r="AJ34" t="s">
        <v>73</v>
      </c>
      <c r="AK34" t="s">
        <v>73</v>
      </c>
      <c r="AL34" t="s">
        <v>73</v>
      </c>
    </row>
    <row r="35" spans="1:3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>
        <v>59793</v>
      </c>
      <c r="H35">
        <v>15960</v>
      </c>
      <c r="I35">
        <v>704985</v>
      </c>
      <c r="J35">
        <v>13036</v>
      </c>
      <c r="K35">
        <v>11876</v>
      </c>
      <c r="L35">
        <v>1844</v>
      </c>
      <c r="M35">
        <v>228358</v>
      </c>
      <c r="N35">
        <v>1739</v>
      </c>
      <c r="O35">
        <v>4171</v>
      </c>
      <c r="P35">
        <v>2156</v>
      </c>
      <c r="Q35">
        <v>224339</v>
      </c>
      <c r="R35">
        <v>3750</v>
      </c>
      <c r="S35">
        <v>6416</v>
      </c>
      <c r="T35">
        <v>2048</v>
      </c>
      <c r="U35">
        <v>435432</v>
      </c>
      <c r="V35">
        <v>4944</v>
      </c>
      <c r="W35">
        <v>14084</v>
      </c>
      <c r="X35">
        <v>12261</v>
      </c>
      <c r="Y35">
        <v>3406117</v>
      </c>
      <c r="Z35">
        <v>9210</v>
      </c>
      <c r="AA35">
        <v>940</v>
      </c>
      <c r="AB35">
        <v>1175</v>
      </c>
      <c r="AC35">
        <v>1117758</v>
      </c>
      <c r="AD35">
        <v>4760</v>
      </c>
      <c r="AE35">
        <v>527</v>
      </c>
      <c r="AF35">
        <v>744</v>
      </c>
      <c r="AG35">
        <v>293710</v>
      </c>
      <c r="AH35">
        <v>1446</v>
      </c>
      <c r="AI35" t="s">
        <v>73</v>
      </c>
      <c r="AJ35" t="s">
        <v>73</v>
      </c>
      <c r="AK35" t="s">
        <v>73</v>
      </c>
      <c r="AL35" t="s">
        <v>73</v>
      </c>
    </row>
    <row r="36" spans="1:3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>
        <v>64240</v>
      </c>
      <c r="H36">
        <v>17251</v>
      </c>
      <c r="I36">
        <v>738467</v>
      </c>
      <c r="J36">
        <v>11790</v>
      </c>
      <c r="K36">
        <v>11279</v>
      </c>
      <c r="L36">
        <v>1599</v>
      </c>
      <c r="M36">
        <v>200828</v>
      </c>
      <c r="N36">
        <v>1819</v>
      </c>
      <c r="O36">
        <v>4477</v>
      </c>
      <c r="P36">
        <v>3747</v>
      </c>
      <c r="Q36">
        <v>274543</v>
      </c>
      <c r="R36">
        <v>3572</v>
      </c>
      <c r="S36">
        <v>5381</v>
      </c>
      <c r="T36">
        <v>1921</v>
      </c>
      <c r="U36">
        <v>384357</v>
      </c>
      <c r="V36">
        <v>4854</v>
      </c>
      <c r="W36">
        <v>13891</v>
      </c>
      <c r="X36">
        <v>12773</v>
      </c>
      <c r="Y36">
        <v>3577587</v>
      </c>
      <c r="Z36">
        <v>10890</v>
      </c>
      <c r="AA36">
        <v>803</v>
      </c>
      <c r="AB36">
        <v>1216</v>
      </c>
      <c r="AC36">
        <v>1098499</v>
      </c>
      <c r="AD36">
        <v>4290</v>
      </c>
      <c r="AE36">
        <v>849</v>
      </c>
      <c r="AF36">
        <v>606</v>
      </c>
      <c r="AG36">
        <v>241881</v>
      </c>
      <c r="AH36">
        <v>1746</v>
      </c>
      <c r="AI36" t="s">
        <v>73</v>
      </c>
      <c r="AJ36" t="s">
        <v>73</v>
      </c>
      <c r="AK36" t="s">
        <v>73</v>
      </c>
      <c r="AL36" t="s">
        <v>73</v>
      </c>
    </row>
    <row r="37" spans="1:3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>
        <v>57562</v>
      </c>
      <c r="H37">
        <v>15776</v>
      </c>
      <c r="I37">
        <v>668450</v>
      </c>
      <c r="J37">
        <v>12557</v>
      </c>
      <c r="K37">
        <v>13868</v>
      </c>
      <c r="L37">
        <v>1903</v>
      </c>
      <c r="M37">
        <v>242478</v>
      </c>
      <c r="N37">
        <v>1852</v>
      </c>
      <c r="O37">
        <v>3015</v>
      </c>
      <c r="P37">
        <v>2270</v>
      </c>
      <c r="Q37">
        <v>238856</v>
      </c>
      <c r="R37">
        <v>3702</v>
      </c>
      <c r="S37">
        <v>4070</v>
      </c>
      <c r="T37">
        <v>2112</v>
      </c>
      <c r="U37">
        <v>419735</v>
      </c>
      <c r="V37">
        <v>4341</v>
      </c>
      <c r="W37">
        <v>13623</v>
      </c>
      <c r="X37">
        <v>13194</v>
      </c>
      <c r="Y37">
        <v>3593358</v>
      </c>
      <c r="Z37">
        <v>11337</v>
      </c>
      <c r="AA37">
        <v>836</v>
      </c>
      <c r="AB37">
        <v>1080</v>
      </c>
      <c r="AC37">
        <v>877724</v>
      </c>
      <c r="AD37">
        <v>3990</v>
      </c>
      <c r="AE37">
        <v>172</v>
      </c>
      <c r="AF37">
        <v>715</v>
      </c>
      <c r="AG37">
        <v>271315</v>
      </c>
      <c r="AH37">
        <v>1269</v>
      </c>
      <c r="AI37" t="s">
        <v>73</v>
      </c>
      <c r="AJ37" t="s">
        <v>73</v>
      </c>
      <c r="AK37" t="s">
        <v>73</v>
      </c>
      <c r="AL37" t="s">
        <v>73</v>
      </c>
    </row>
    <row r="38" spans="1:3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>
        <v>64739</v>
      </c>
      <c r="H38">
        <v>15836</v>
      </c>
      <c r="I38">
        <v>676959</v>
      </c>
      <c r="J38">
        <v>12956</v>
      </c>
      <c r="K38">
        <v>10554</v>
      </c>
      <c r="L38">
        <v>1571</v>
      </c>
      <c r="M38">
        <v>200025</v>
      </c>
      <c r="N38">
        <v>1231</v>
      </c>
      <c r="O38">
        <v>4114</v>
      </c>
      <c r="P38">
        <v>2980</v>
      </c>
      <c r="Q38">
        <v>287718</v>
      </c>
      <c r="R38">
        <v>4021</v>
      </c>
      <c r="S38">
        <v>6371</v>
      </c>
      <c r="T38">
        <v>2448</v>
      </c>
      <c r="U38">
        <v>524669</v>
      </c>
      <c r="V38">
        <v>4276</v>
      </c>
      <c r="W38">
        <v>13489</v>
      </c>
      <c r="X38">
        <v>14685</v>
      </c>
      <c r="Y38">
        <v>4037435</v>
      </c>
      <c r="Z38">
        <v>10188</v>
      </c>
      <c r="AA38">
        <v>1809</v>
      </c>
      <c r="AB38">
        <v>1469</v>
      </c>
      <c r="AC38">
        <v>1309300</v>
      </c>
      <c r="AD38">
        <v>4283</v>
      </c>
      <c r="AE38">
        <v>939</v>
      </c>
      <c r="AF38">
        <v>730</v>
      </c>
      <c r="AG38">
        <v>286321</v>
      </c>
      <c r="AH38">
        <v>1520</v>
      </c>
      <c r="AI38" t="s">
        <v>73</v>
      </c>
      <c r="AJ38" t="s">
        <v>73</v>
      </c>
      <c r="AK38" t="s">
        <v>73</v>
      </c>
      <c r="AL38" t="s">
        <v>73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13D47-5959-45C7-BD6A-35183A820834}">
  <dimension ref="A1:GG40"/>
  <sheetViews>
    <sheetView workbookViewId="0">
      <selection activeCell="C9" sqref="C9"/>
    </sheetView>
  </sheetViews>
  <sheetFormatPr defaultColWidth="15.625" defaultRowHeight="18.75" x14ac:dyDescent="0.4"/>
  <sheetData>
    <row r="1" spans="1:189" x14ac:dyDescent="0.4">
      <c r="A1" s="1" t="s">
        <v>66</v>
      </c>
      <c r="B1" s="1"/>
    </row>
    <row r="2" spans="1:189" x14ac:dyDescent="0.4">
      <c r="A2" s="4" t="str">
        <f>HYPERLINK("#'目次(Contents)'!A3","目次に戻る(Return to Contents)")</f>
        <v>目次に戻る(Return to Contents)</v>
      </c>
      <c r="B2" s="1"/>
    </row>
    <row r="3" spans="1:189" x14ac:dyDescent="0.4">
      <c r="A3" s="1"/>
      <c r="B3" s="2" t="s">
        <v>0</v>
      </c>
      <c r="C3" t="s">
        <v>2390</v>
      </c>
      <c r="D3" t="s">
        <v>2390</v>
      </c>
      <c r="E3" t="s">
        <v>2390</v>
      </c>
      <c r="F3" t="s">
        <v>2390</v>
      </c>
      <c r="G3" t="s">
        <v>2392</v>
      </c>
      <c r="H3" t="s">
        <v>2392</v>
      </c>
      <c r="I3" t="s">
        <v>2392</v>
      </c>
      <c r="J3" t="s">
        <v>2392</v>
      </c>
      <c r="K3" t="s">
        <v>2394</v>
      </c>
      <c r="L3" t="s">
        <v>2394</v>
      </c>
      <c r="M3" t="s">
        <v>2394</v>
      </c>
      <c r="N3" t="s">
        <v>2394</v>
      </c>
      <c r="O3" t="s">
        <v>2396</v>
      </c>
      <c r="P3" t="s">
        <v>2396</v>
      </c>
      <c r="Q3" t="s">
        <v>2396</v>
      </c>
      <c r="R3" t="s">
        <v>2396</v>
      </c>
      <c r="S3" t="s">
        <v>2398</v>
      </c>
      <c r="T3" t="s">
        <v>2398</v>
      </c>
      <c r="U3" t="s">
        <v>2398</v>
      </c>
      <c r="V3" t="s">
        <v>2398</v>
      </c>
      <c r="W3" t="s">
        <v>2400</v>
      </c>
      <c r="X3" t="s">
        <v>2400</v>
      </c>
      <c r="Y3" t="s">
        <v>2400</v>
      </c>
      <c r="Z3" t="s">
        <v>2400</v>
      </c>
      <c r="AA3" t="s">
        <v>2402</v>
      </c>
      <c r="AB3" t="s">
        <v>2402</v>
      </c>
      <c r="AC3" t="s">
        <v>2402</v>
      </c>
      <c r="AD3" t="s">
        <v>2402</v>
      </c>
      <c r="AE3" t="s">
        <v>2404</v>
      </c>
      <c r="AF3" t="s">
        <v>2404</v>
      </c>
      <c r="AG3" t="s">
        <v>2404</v>
      </c>
      <c r="AH3" t="s">
        <v>2404</v>
      </c>
      <c r="AI3" t="s">
        <v>2406</v>
      </c>
      <c r="AJ3" t="s">
        <v>2406</v>
      </c>
      <c r="AK3" t="s">
        <v>2406</v>
      </c>
      <c r="AL3" t="s">
        <v>2406</v>
      </c>
      <c r="AM3" t="s">
        <v>2408</v>
      </c>
      <c r="AN3" t="s">
        <v>2408</v>
      </c>
      <c r="AO3" t="s">
        <v>2408</v>
      </c>
      <c r="AP3" t="s">
        <v>2408</v>
      </c>
      <c r="AQ3" t="s">
        <v>2410</v>
      </c>
      <c r="AR3" t="s">
        <v>2410</v>
      </c>
      <c r="AS3" t="s">
        <v>2410</v>
      </c>
      <c r="AT3" t="s">
        <v>2410</v>
      </c>
      <c r="AU3" t="s">
        <v>2412</v>
      </c>
      <c r="AV3" t="s">
        <v>2412</v>
      </c>
      <c r="AW3" t="s">
        <v>2412</v>
      </c>
      <c r="AX3" t="s">
        <v>2412</v>
      </c>
      <c r="AY3" t="s">
        <v>2414</v>
      </c>
      <c r="AZ3" t="s">
        <v>2414</v>
      </c>
      <c r="BA3" t="s">
        <v>2414</v>
      </c>
      <c r="BB3" t="s">
        <v>2414</v>
      </c>
      <c r="BC3" t="s">
        <v>2416</v>
      </c>
      <c r="BD3" t="s">
        <v>2416</v>
      </c>
      <c r="BE3" t="s">
        <v>2416</v>
      </c>
      <c r="BF3" t="s">
        <v>2416</v>
      </c>
      <c r="BG3" t="s">
        <v>2418</v>
      </c>
      <c r="BH3" t="s">
        <v>2418</v>
      </c>
      <c r="BI3" t="s">
        <v>2418</v>
      </c>
      <c r="BJ3" t="s">
        <v>2418</v>
      </c>
      <c r="BK3" t="s">
        <v>2420</v>
      </c>
      <c r="BL3" t="s">
        <v>2420</v>
      </c>
      <c r="BM3" t="s">
        <v>2420</v>
      </c>
      <c r="BN3" t="s">
        <v>2420</v>
      </c>
      <c r="BO3" t="s">
        <v>2422</v>
      </c>
      <c r="BP3" t="s">
        <v>2422</v>
      </c>
      <c r="BQ3" t="s">
        <v>2422</v>
      </c>
      <c r="BR3" t="s">
        <v>2422</v>
      </c>
      <c r="BS3" t="s">
        <v>2424</v>
      </c>
      <c r="BT3" t="s">
        <v>2424</v>
      </c>
      <c r="BU3" t="s">
        <v>2424</v>
      </c>
      <c r="BV3" t="s">
        <v>2424</v>
      </c>
      <c r="BW3" t="s">
        <v>2426</v>
      </c>
      <c r="BX3" t="s">
        <v>2426</v>
      </c>
      <c r="BY3" t="s">
        <v>2426</v>
      </c>
      <c r="BZ3" t="s">
        <v>2426</v>
      </c>
      <c r="CA3" t="s">
        <v>2428</v>
      </c>
      <c r="CB3" t="s">
        <v>2428</v>
      </c>
      <c r="CC3" t="s">
        <v>2428</v>
      </c>
      <c r="CD3" t="s">
        <v>2428</v>
      </c>
      <c r="CE3" t="s">
        <v>2430</v>
      </c>
      <c r="CF3" t="s">
        <v>2430</v>
      </c>
      <c r="CG3" t="s">
        <v>2430</v>
      </c>
      <c r="CH3" t="s">
        <v>2430</v>
      </c>
      <c r="CI3" t="s">
        <v>2432</v>
      </c>
      <c r="CJ3" t="s">
        <v>2432</v>
      </c>
      <c r="CK3" t="s">
        <v>2432</v>
      </c>
      <c r="CL3" t="s">
        <v>2432</v>
      </c>
      <c r="CM3" t="s">
        <v>2434</v>
      </c>
      <c r="CN3" t="s">
        <v>2434</v>
      </c>
      <c r="CO3" t="s">
        <v>2434</v>
      </c>
      <c r="CP3" t="s">
        <v>2434</v>
      </c>
      <c r="CQ3" t="s">
        <v>2436</v>
      </c>
      <c r="CR3" t="s">
        <v>2436</v>
      </c>
      <c r="CS3" t="s">
        <v>2436</v>
      </c>
      <c r="CT3" t="s">
        <v>2436</v>
      </c>
      <c r="CU3" t="s">
        <v>2438</v>
      </c>
      <c r="CV3" t="s">
        <v>2438</v>
      </c>
      <c r="CW3" t="s">
        <v>2438</v>
      </c>
      <c r="CX3" t="s">
        <v>2438</v>
      </c>
      <c r="CY3" t="s">
        <v>2440</v>
      </c>
      <c r="CZ3" t="s">
        <v>2440</v>
      </c>
      <c r="DA3" t="s">
        <v>2440</v>
      </c>
      <c r="DB3" t="s">
        <v>2440</v>
      </c>
      <c r="DC3" t="s">
        <v>2442</v>
      </c>
      <c r="DD3" t="s">
        <v>2442</v>
      </c>
      <c r="DE3" t="s">
        <v>2442</v>
      </c>
      <c r="DF3" t="s">
        <v>2444</v>
      </c>
      <c r="DG3" t="s">
        <v>2444</v>
      </c>
      <c r="DH3" t="s">
        <v>2444</v>
      </c>
      <c r="DI3" t="s">
        <v>2444</v>
      </c>
      <c r="DJ3" t="s">
        <v>2446</v>
      </c>
      <c r="DK3" t="s">
        <v>2446</v>
      </c>
      <c r="DL3" t="s">
        <v>2446</v>
      </c>
      <c r="DM3" t="s">
        <v>2446</v>
      </c>
      <c r="DN3" t="s">
        <v>2448</v>
      </c>
      <c r="DO3" t="s">
        <v>2448</v>
      </c>
      <c r="DP3" t="s">
        <v>2448</v>
      </c>
      <c r="DQ3" t="s">
        <v>2448</v>
      </c>
      <c r="DR3" t="s">
        <v>2450</v>
      </c>
      <c r="DS3" t="s">
        <v>2450</v>
      </c>
      <c r="DT3" t="s">
        <v>2450</v>
      </c>
      <c r="DU3" t="s">
        <v>2450</v>
      </c>
      <c r="DV3" t="s">
        <v>2452</v>
      </c>
      <c r="DW3" t="s">
        <v>2452</v>
      </c>
      <c r="DX3" t="s">
        <v>2452</v>
      </c>
      <c r="DY3" t="s">
        <v>2452</v>
      </c>
      <c r="DZ3" t="s">
        <v>2454</v>
      </c>
      <c r="EA3" t="s">
        <v>2454</v>
      </c>
      <c r="EB3" t="s">
        <v>2454</v>
      </c>
      <c r="EC3" t="s">
        <v>2454</v>
      </c>
      <c r="ED3" t="s">
        <v>2456</v>
      </c>
      <c r="EE3" t="s">
        <v>2456</v>
      </c>
      <c r="EF3" t="s">
        <v>2456</v>
      </c>
      <c r="EG3" t="s">
        <v>2458</v>
      </c>
      <c r="EH3" t="s">
        <v>2458</v>
      </c>
      <c r="EI3" t="s">
        <v>2458</v>
      </c>
      <c r="EJ3" t="s">
        <v>2458</v>
      </c>
      <c r="EK3" t="s">
        <v>2460</v>
      </c>
      <c r="EL3" t="s">
        <v>2460</v>
      </c>
      <c r="EM3" t="s">
        <v>2460</v>
      </c>
      <c r="EN3" t="s">
        <v>2460</v>
      </c>
      <c r="EO3" t="s">
        <v>2462</v>
      </c>
      <c r="EP3" t="s">
        <v>2462</v>
      </c>
      <c r="EQ3" t="s">
        <v>2462</v>
      </c>
      <c r="ER3" t="s">
        <v>2462</v>
      </c>
      <c r="ES3" t="s">
        <v>2464</v>
      </c>
      <c r="ET3" t="s">
        <v>2464</v>
      </c>
      <c r="EU3" t="s">
        <v>2464</v>
      </c>
      <c r="EV3" t="s">
        <v>2464</v>
      </c>
      <c r="EW3" t="s">
        <v>2466</v>
      </c>
      <c r="EX3" t="s">
        <v>2466</v>
      </c>
      <c r="EY3" t="s">
        <v>2466</v>
      </c>
      <c r="EZ3" t="s">
        <v>2466</v>
      </c>
      <c r="FA3" t="s">
        <v>2468</v>
      </c>
      <c r="FB3" t="s">
        <v>2468</v>
      </c>
      <c r="FC3" t="s">
        <v>2468</v>
      </c>
      <c r="FD3" t="s">
        <v>2468</v>
      </c>
      <c r="FE3" t="s">
        <v>2470</v>
      </c>
      <c r="FF3" t="s">
        <v>2470</v>
      </c>
      <c r="FG3" t="s">
        <v>2470</v>
      </c>
      <c r="FH3" t="s">
        <v>2470</v>
      </c>
      <c r="FI3" t="s">
        <v>2472</v>
      </c>
      <c r="FJ3" t="s">
        <v>2472</v>
      </c>
      <c r="FK3" t="s">
        <v>2472</v>
      </c>
      <c r="FL3" t="s">
        <v>2472</v>
      </c>
      <c r="FM3" t="s">
        <v>2474</v>
      </c>
      <c r="FN3" t="s">
        <v>2474</v>
      </c>
      <c r="FO3" t="s">
        <v>2474</v>
      </c>
      <c r="FP3" t="s">
        <v>2474</v>
      </c>
      <c r="FQ3" t="s">
        <v>2476</v>
      </c>
      <c r="FR3" t="s">
        <v>2476</v>
      </c>
      <c r="FS3" t="s">
        <v>2476</v>
      </c>
      <c r="FT3" t="s">
        <v>2476</v>
      </c>
      <c r="FU3" t="s">
        <v>2478</v>
      </c>
      <c r="FV3" t="s">
        <v>2478</v>
      </c>
      <c r="FW3" t="s">
        <v>2478</v>
      </c>
      <c r="FX3" t="s">
        <v>2478</v>
      </c>
      <c r="FY3" t="s">
        <v>2480</v>
      </c>
      <c r="FZ3" t="s">
        <v>2480</v>
      </c>
      <c r="GA3" t="s">
        <v>2480</v>
      </c>
      <c r="GB3" t="s">
        <v>2482</v>
      </c>
      <c r="GC3" t="s">
        <v>2482</v>
      </c>
      <c r="GD3" t="s">
        <v>2482</v>
      </c>
      <c r="GE3" t="s">
        <v>2484</v>
      </c>
      <c r="GF3" t="s">
        <v>2484</v>
      </c>
      <c r="GG3" t="s">
        <v>2484</v>
      </c>
    </row>
    <row r="4" spans="1:189" x14ac:dyDescent="0.4">
      <c r="A4" s="1"/>
      <c r="B4" s="2" t="s">
        <v>1</v>
      </c>
      <c r="C4" t="s">
        <v>2391</v>
      </c>
      <c r="D4" t="s">
        <v>2391</v>
      </c>
      <c r="E4" t="s">
        <v>2391</v>
      </c>
      <c r="F4" t="s">
        <v>2391</v>
      </c>
      <c r="G4" t="s">
        <v>2393</v>
      </c>
      <c r="H4" t="s">
        <v>2393</v>
      </c>
      <c r="I4" t="s">
        <v>2393</v>
      </c>
      <c r="J4" t="s">
        <v>2393</v>
      </c>
      <c r="K4" t="s">
        <v>2395</v>
      </c>
      <c r="L4" t="s">
        <v>2395</v>
      </c>
      <c r="M4" t="s">
        <v>2395</v>
      </c>
      <c r="N4" t="s">
        <v>2395</v>
      </c>
      <c r="O4" t="s">
        <v>2397</v>
      </c>
      <c r="P4" t="s">
        <v>2397</v>
      </c>
      <c r="Q4" t="s">
        <v>2397</v>
      </c>
      <c r="R4" t="s">
        <v>2397</v>
      </c>
      <c r="S4" t="s">
        <v>2399</v>
      </c>
      <c r="T4" t="s">
        <v>2399</v>
      </c>
      <c r="U4" t="s">
        <v>2399</v>
      </c>
      <c r="V4" t="s">
        <v>2399</v>
      </c>
      <c r="W4" t="s">
        <v>2401</v>
      </c>
      <c r="X4" t="s">
        <v>2401</v>
      </c>
      <c r="Y4" t="s">
        <v>2401</v>
      </c>
      <c r="Z4" t="s">
        <v>2401</v>
      </c>
      <c r="AA4" t="s">
        <v>2403</v>
      </c>
      <c r="AB4" t="s">
        <v>2403</v>
      </c>
      <c r="AC4" t="s">
        <v>2403</v>
      </c>
      <c r="AD4" t="s">
        <v>2403</v>
      </c>
      <c r="AE4" t="s">
        <v>2405</v>
      </c>
      <c r="AF4" t="s">
        <v>2405</v>
      </c>
      <c r="AG4" t="s">
        <v>2405</v>
      </c>
      <c r="AH4" t="s">
        <v>2405</v>
      </c>
      <c r="AI4" t="s">
        <v>2407</v>
      </c>
      <c r="AJ4" t="s">
        <v>2407</v>
      </c>
      <c r="AK4" t="s">
        <v>2407</v>
      </c>
      <c r="AL4" t="s">
        <v>2407</v>
      </c>
      <c r="AM4" t="s">
        <v>2409</v>
      </c>
      <c r="AN4" t="s">
        <v>2409</v>
      </c>
      <c r="AO4" t="s">
        <v>2409</v>
      </c>
      <c r="AP4" t="s">
        <v>2409</v>
      </c>
      <c r="AQ4" t="s">
        <v>2411</v>
      </c>
      <c r="AR4" t="s">
        <v>2411</v>
      </c>
      <c r="AS4" t="s">
        <v>2411</v>
      </c>
      <c r="AT4" t="s">
        <v>2411</v>
      </c>
      <c r="AU4" t="s">
        <v>2413</v>
      </c>
      <c r="AV4" t="s">
        <v>2413</v>
      </c>
      <c r="AW4" t="s">
        <v>2413</v>
      </c>
      <c r="AX4" t="s">
        <v>2413</v>
      </c>
      <c r="AY4" t="s">
        <v>2415</v>
      </c>
      <c r="AZ4" t="s">
        <v>2415</v>
      </c>
      <c r="BA4" t="s">
        <v>2415</v>
      </c>
      <c r="BB4" t="s">
        <v>2415</v>
      </c>
      <c r="BC4" t="s">
        <v>2417</v>
      </c>
      <c r="BD4" t="s">
        <v>2417</v>
      </c>
      <c r="BE4" t="s">
        <v>2417</v>
      </c>
      <c r="BF4" t="s">
        <v>2417</v>
      </c>
      <c r="BG4" t="s">
        <v>2419</v>
      </c>
      <c r="BH4" t="s">
        <v>2419</v>
      </c>
      <c r="BI4" t="s">
        <v>2419</v>
      </c>
      <c r="BJ4" t="s">
        <v>2419</v>
      </c>
      <c r="BK4" t="s">
        <v>2421</v>
      </c>
      <c r="BL4" t="s">
        <v>2421</v>
      </c>
      <c r="BM4" t="s">
        <v>2421</v>
      </c>
      <c r="BN4" t="s">
        <v>2421</v>
      </c>
      <c r="BO4" t="s">
        <v>2423</v>
      </c>
      <c r="BP4" t="s">
        <v>2423</v>
      </c>
      <c r="BQ4" t="s">
        <v>2423</v>
      </c>
      <c r="BR4" t="s">
        <v>2423</v>
      </c>
      <c r="BS4" t="s">
        <v>2425</v>
      </c>
      <c r="BT4" t="s">
        <v>2425</v>
      </c>
      <c r="BU4" t="s">
        <v>2425</v>
      </c>
      <c r="BV4" t="s">
        <v>2425</v>
      </c>
      <c r="BW4" t="s">
        <v>2427</v>
      </c>
      <c r="BX4" t="s">
        <v>2427</v>
      </c>
      <c r="BY4" t="s">
        <v>2427</v>
      </c>
      <c r="BZ4" t="s">
        <v>2427</v>
      </c>
      <c r="CA4" t="s">
        <v>2429</v>
      </c>
      <c r="CB4" t="s">
        <v>2429</v>
      </c>
      <c r="CC4" t="s">
        <v>2429</v>
      </c>
      <c r="CD4" t="s">
        <v>2429</v>
      </c>
      <c r="CE4" t="s">
        <v>2431</v>
      </c>
      <c r="CF4" t="s">
        <v>2431</v>
      </c>
      <c r="CG4" t="s">
        <v>2431</v>
      </c>
      <c r="CH4" t="s">
        <v>2431</v>
      </c>
      <c r="CI4" t="s">
        <v>2433</v>
      </c>
      <c r="CJ4" t="s">
        <v>2433</v>
      </c>
      <c r="CK4" t="s">
        <v>2433</v>
      </c>
      <c r="CL4" t="s">
        <v>2433</v>
      </c>
      <c r="CM4" t="s">
        <v>2435</v>
      </c>
      <c r="CN4" t="s">
        <v>2435</v>
      </c>
      <c r="CO4" t="s">
        <v>2435</v>
      </c>
      <c r="CP4" t="s">
        <v>2435</v>
      </c>
      <c r="CQ4" t="s">
        <v>2437</v>
      </c>
      <c r="CR4" t="s">
        <v>2437</v>
      </c>
      <c r="CS4" t="s">
        <v>2437</v>
      </c>
      <c r="CT4" t="s">
        <v>2437</v>
      </c>
      <c r="CU4" t="s">
        <v>2439</v>
      </c>
      <c r="CV4" t="s">
        <v>2439</v>
      </c>
      <c r="CW4" t="s">
        <v>2439</v>
      </c>
      <c r="CX4" t="s">
        <v>2439</v>
      </c>
      <c r="CY4" t="s">
        <v>2441</v>
      </c>
      <c r="CZ4" t="s">
        <v>2441</v>
      </c>
      <c r="DA4" t="s">
        <v>2441</v>
      </c>
      <c r="DB4" t="s">
        <v>2441</v>
      </c>
      <c r="DC4" t="s">
        <v>2443</v>
      </c>
      <c r="DD4" t="s">
        <v>2443</v>
      </c>
      <c r="DE4" t="s">
        <v>2443</v>
      </c>
      <c r="DF4" t="s">
        <v>2445</v>
      </c>
      <c r="DG4" t="s">
        <v>2445</v>
      </c>
      <c r="DH4" t="s">
        <v>2445</v>
      </c>
      <c r="DI4" t="s">
        <v>2445</v>
      </c>
      <c r="DJ4" t="s">
        <v>2447</v>
      </c>
      <c r="DK4" t="s">
        <v>2447</v>
      </c>
      <c r="DL4" t="s">
        <v>2447</v>
      </c>
      <c r="DM4" t="s">
        <v>2447</v>
      </c>
      <c r="DN4" t="s">
        <v>2449</v>
      </c>
      <c r="DO4" t="s">
        <v>2449</v>
      </c>
      <c r="DP4" t="s">
        <v>2449</v>
      </c>
      <c r="DQ4" t="s">
        <v>2449</v>
      </c>
      <c r="DR4" t="s">
        <v>2451</v>
      </c>
      <c r="DS4" t="s">
        <v>2451</v>
      </c>
      <c r="DT4" t="s">
        <v>2451</v>
      </c>
      <c r="DU4" t="s">
        <v>2451</v>
      </c>
      <c r="DV4" t="s">
        <v>2453</v>
      </c>
      <c r="DW4" t="s">
        <v>2453</v>
      </c>
      <c r="DX4" t="s">
        <v>2453</v>
      </c>
      <c r="DY4" t="s">
        <v>2453</v>
      </c>
      <c r="DZ4" t="s">
        <v>2455</v>
      </c>
      <c r="EA4" t="s">
        <v>2455</v>
      </c>
      <c r="EB4" t="s">
        <v>2455</v>
      </c>
      <c r="EC4" t="s">
        <v>2455</v>
      </c>
      <c r="ED4" t="s">
        <v>2457</v>
      </c>
      <c r="EE4" t="s">
        <v>2457</v>
      </c>
      <c r="EF4" t="s">
        <v>2457</v>
      </c>
      <c r="EG4" t="s">
        <v>2459</v>
      </c>
      <c r="EH4" t="s">
        <v>2459</v>
      </c>
      <c r="EI4" t="s">
        <v>2459</v>
      </c>
      <c r="EJ4" t="s">
        <v>2459</v>
      </c>
      <c r="EK4" t="s">
        <v>2461</v>
      </c>
      <c r="EL4" t="s">
        <v>2461</v>
      </c>
      <c r="EM4" t="s">
        <v>2461</v>
      </c>
      <c r="EN4" t="s">
        <v>2461</v>
      </c>
      <c r="EO4" t="s">
        <v>2463</v>
      </c>
      <c r="EP4" t="s">
        <v>2463</v>
      </c>
      <c r="EQ4" t="s">
        <v>2463</v>
      </c>
      <c r="ER4" t="s">
        <v>2463</v>
      </c>
      <c r="ES4" t="s">
        <v>2465</v>
      </c>
      <c r="ET4" t="s">
        <v>2465</v>
      </c>
      <c r="EU4" t="s">
        <v>2465</v>
      </c>
      <c r="EV4" t="s">
        <v>2465</v>
      </c>
      <c r="EW4" t="s">
        <v>2467</v>
      </c>
      <c r="EX4" t="s">
        <v>2467</v>
      </c>
      <c r="EY4" t="s">
        <v>2467</v>
      </c>
      <c r="EZ4" t="s">
        <v>2467</v>
      </c>
      <c r="FA4" t="s">
        <v>2469</v>
      </c>
      <c r="FB4" t="s">
        <v>2469</v>
      </c>
      <c r="FC4" t="s">
        <v>2469</v>
      </c>
      <c r="FD4" t="s">
        <v>2469</v>
      </c>
      <c r="FE4" t="s">
        <v>2471</v>
      </c>
      <c r="FF4" t="s">
        <v>2471</v>
      </c>
      <c r="FG4" t="s">
        <v>2471</v>
      </c>
      <c r="FH4" t="s">
        <v>2471</v>
      </c>
      <c r="FI4" t="s">
        <v>2473</v>
      </c>
      <c r="FJ4" t="s">
        <v>2473</v>
      </c>
      <c r="FK4" t="s">
        <v>2473</v>
      </c>
      <c r="FL4" t="s">
        <v>2473</v>
      </c>
      <c r="FM4" t="s">
        <v>2475</v>
      </c>
      <c r="FN4" t="s">
        <v>2475</v>
      </c>
      <c r="FO4" t="s">
        <v>2475</v>
      </c>
      <c r="FP4" t="s">
        <v>2475</v>
      </c>
      <c r="FQ4" t="s">
        <v>2477</v>
      </c>
      <c r="FR4" t="s">
        <v>2477</v>
      </c>
      <c r="FS4" t="s">
        <v>2477</v>
      </c>
      <c r="FT4" t="s">
        <v>2477</v>
      </c>
      <c r="FU4" t="s">
        <v>2479</v>
      </c>
      <c r="FV4" t="s">
        <v>2479</v>
      </c>
      <c r="FW4" t="s">
        <v>2479</v>
      </c>
      <c r="FX4" t="s">
        <v>2479</v>
      </c>
      <c r="FY4" t="s">
        <v>2481</v>
      </c>
      <c r="FZ4" t="s">
        <v>2481</v>
      </c>
      <c r="GA4" t="s">
        <v>2481</v>
      </c>
      <c r="GB4" t="s">
        <v>2483</v>
      </c>
      <c r="GC4" t="s">
        <v>2483</v>
      </c>
      <c r="GD4" t="s">
        <v>2483</v>
      </c>
      <c r="GE4" t="s">
        <v>2485</v>
      </c>
      <c r="GF4" t="s">
        <v>2485</v>
      </c>
      <c r="GG4" t="s">
        <v>2485</v>
      </c>
    </row>
    <row r="5" spans="1:18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76</v>
      </c>
      <c r="DF5" t="s">
        <v>69</v>
      </c>
      <c r="DG5" t="s">
        <v>74</v>
      </c>
      <c r="DH5" t="s">
        <v>263</v>
      </c>
      <c r="DI5" t="s">
        <v>76</v>
      </c>
      <c r="DJ5" t="s">
        <v>69</v>
      </c>
      <c r="DK5" t="s">
        <v>74</v>
      </c>
      <c r="DL5" t="s">
        <v>263</v>
      </c>
      <c r="DM5" t="s">
        <v>76</v>
      </c>
      <c r="DN5" t="s">
        <v>69</v>
      </c>
      <c r="DO5" t="s">
        <v>74</v>
      </c>
      <c r="DP5" t="s">
        <v>263</v>
      </c>
      <c r="DQ5" t="s">
        <v>76</v>
      </c>
      <c r="DR5" t="s">
        <v>69</v>
      </c>
      <c r="DS5" t="s">
        <v>74</v>
      </c>
      <c r="DT5" t="s">
        <v>263</v>
      </c>
      <c r="DU5" t="s">
        <v>76</v>
      </c>
      <c r="DV5" t="s">
        <v>69</v>
      </c>
      <c r="DW5" t="s">
        <v>74</v>
      </c>
      <c r="DX5" t="s">
        <v>263</v>
      </c>
      <c r="DY5" t="s">
        <v>76</v>
      </c>
      <c r="DZ5" t="s">
        <v>69</v>
      </c>
      <c r="EA5" t="s">
        <v>74</v>
      </c>
      <c r="EB5" t="s">
        <v>263</v>
      </c>
      <c r="EC5" t="s">
        <v>76</v>
      </c>
      <c r="ED5" t="s">
        <v>69</v>
      </c>
      <c r="EE5" t="s">
        <v>74</v>
      </c>
      <c r="EF5" t="s">
        <v>76</v>
      </c>
      <c r="EG5" t="s">
        <v>69</v>
      </c>
      <c r="EH5" t="s">
        <v>74</v>
      </c>
      <c r="EI5" t="s">
        <v>263</v>
      </c>
      <c r="EJ5" t="s">
        <v>76</v>
      </c>
      <c r="EK5" t="s">
        <v>69</v>
      </c>
      <c r="EL5" t="s">
        <v>74</v>
      </c>
      <c r="EM5" t="s">
        <v>263</v>
      </c>
      <c r="EN5" t="s">
        <v>76</v>
      </c>
      <c r="EO5" t="s">
        <v>69</v>
      </c>
      <c r="EP5" t="s">
        <v>74</v>
      </c>
      <c r="EQ5" t="s">
        <v>263</v>
      </c>
      <c r="ER5" t="s">
        <v>76</v>
      </c>
      <c r="ES5" t="s">
        <v>69</v>
      </c>
      <c r="ET5" t="s">
        <v>74</v>
      </c>
      <c r="EU5" t="s">
        <v>263</v>
      </c>
      <c r="EV5" t="s">
        <v>76</v>
      </c>
      <c r="EW5" t="s">
        <v>69</v>
      </c>
      <c r="EX5" t="s">
        <v>74</v>
      </c>
      <c r="EY5" t="s">
        <v>263</v>
      </c>
      <c r="EZ5" t="s">
        <v>76</v>
      </c>
      <c r="FA5" t="s">
        <v>69</v>
      </c>
      <c r="FB5" t="s">
        <v>74</v>
      </c>
      <c r="FC5" t="s">
        <v>263</v>
      </c>
      <c r="FD5" t="s">
        <v>76</v>
      </c>
      <c r="FE5" t="s">
        <v>69</v>
      </c>
      <c r="FF5" t="s">
        <v>74</v>
      </c>
      <c r="FG5" t="s">
        <v>263</v>
      </c>
      <c r="FH5" t="s">
        <v>76</v>
      </c>
      <c r="FI5" t="s">
        <v>69</v>
      </c>
      <c r="FJ5" t="s">
        <v>74</v>
      </c>
      <c r="FK5" t="s">
        <v>263</v>
      </c>
      <c r="FL5" t="s">
        <v>76</v>
      </c>
      <c r="FM5" t="s">
        <v>69</v>
      </c>
      <c r="FN5" t="s">
        <v>74</v>
      </c>
      <c r="FO5" t="s">
        <v>263</v>
      </c>
      <c r="FP5" t="s">
        <v>76</v>
      </c>
      <c r="FQ5" t="s">
        <v>69</v>
      </c>
      <c r="FR5" t="s">
        <v>74</v>
      </c>
      <c r="FS5" t="s">
        <v>263</v>
      </c>
      <c r="FT5" t="s">
        <v>76</v>
      </c>
      <c r="FU5" t="s">
        <v>69</v>
      </c>
      <c r="FV5" t="s">
        <v>74</v>
      </c>
      <c r="FW5" t="s">
        <v>263</v>
      </c>
      <c r="FX5" t="s">
        <v>76</v>
      </c>
      <c r="FY5" t="s">
        <v>69</v>
      </c>
      <c r="FZ5" t="s">
        <v>74</v>
      </c>
      <c r="GA5" t="s">
        <v>76</v>
      </c>
      <c r="GB5" t="s">
        <v>69</v>
      </c>
      <c r="GC5" t="s">
        <v>74</v>
      </c>
      <c r="GD5" t="s">
        <v>76</v>
      </c>
      <c r="GE5" t="s">
        <v>69</v>
      </c>
      <c r="GF5" t="s">
        <v>74</v>
      </c>
      <c r="GG5" t="s">
        <v>76</v>
      </c>
    </row>
    <row r="6" spans="1:18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77</v>
      </c>
      <c r="DF6" t="s">
        <v>72</v>
      </c>
      <c r="DG6" t="s">
        <v>75</v>
      </c>
      <c r="DH6" t="s">
        <v>264</v>
      </c>
      <c r="DI6" t="s">
        <v>77</v>
      </c>
      <c r="DJ6" t="s">
        <v>72</v>
      </c>
      <c r="DK6" t="s">
        <v>75</v>
      </c>
      <c r="DL6" t="s">
        <v>264</v>
      </c>
      <c r="DM6" t="s">
        <v>77</v>
      </c>
      <c r="DN6" t="s">
        <v>72</v>
      </c>
      <c r="DO6" t="s">
        <v>75</v>
      </c>
      <c r="DP6" t="s">
        <v>264</v>
      </c>
      <c r="DQ6" t="s">
        <v>77</v>
      </c>
      <c r="DR6" t="s">
        <v>72</v>
      </c>
      <c r="DS6" t="s">
        <v>75</v>
      </c>
      <c r="DT6" t="s">
        <v>264</v>
      </c>
      <c r="DU6" t="s">
        <v>77</v>
      </c>
      <c r="DV6" t="s">
        <v>72</v>
      </c>
      <c r="DW6" t="s">
        <v>75</v>
      </c>
      <c r="DX6" t="s">
        <v>264</v>
      </c>
      <c r="DY6" t="s">
        <v>77</v>
      </c>
      <c r="DZ6" t="s">
        <v>72</v>
      </c>
      <c r="EA6" t="s">
        <v>75</v>
      </c>
      <c r="EB6" t="s">
        <v>264</v>
      </c>
      <c r="EC6" t="s">
        <v>77</v>
      </c>
      <c r="ED6" t="s">
        <v>72</v>
      </c>
      <c r="EE6" t="s">
        <v>75</v>
      </c>
      <c r="EF6" t="s">
        <v>77</v>
      </c>
      <c r="EG6" t="s">
        <v>72</v>
      </c>
      <c r="EH6" t="s">
        <v>75</v>
      </c>
      <c r="EI6" t="s">
        <v>264</v>
      </c>
      <c r="EJ6" t="s">
        <v>77</v>
      </c>
      <c r="EK6" t="s">
        <v>72</v>
      </c>
      <c r="EL6" t="s">
        <v>75</v>
      </c>
      <c r="EM6" t="s">
        <v>264</v>
      </c>
      <c r="EN6" t="s">
        <v>77</v>
      </c>
      <c r="EO6" t="s">
        <v>72</v>
      </c>
      <c r="EP6" t="s">
        <v>75</v>
      </c>
      <c r="EQ6" t="s">
        <v>264</v>
      </c>
      <c r="ER6" t="s">
        <v>77</v>
      </c>
      <c r="ES6" t="s">
        <v>72</v>
      </c>
      <c r="ET6" t="s">
        <v>75</v>
      </c>
      <c r="EU6" t="s">
        <v>264</v>
      </c>
      <c r="EV6" t="s">
        <v>77</v>
      </c>
      <c r="EW6" t="s">
        <v>72</v>
      </c>
      <c r="EX6" t="s">
        <v>75</v>
      </c>
      <c r="EY6" t="s">
        <v>264</v>
      </c>
      <c r="EZ6" t="s">
        <v>77</v>
      </c>
      <c r="FA6" t="s">
        <v>72</v>
      </c>
      <c r="FB6" t="s">
        <v>75</v>
      </c>
      <c r="FC6" t="s">
        <v>264</v>
      </c>
      <c r="FD6" t="s">
        <v>77</v>
      </c>
      <c r="FE6" t="s">
        <v>72</v>
      </c>
      <c r="FF6" t="s">
        <v>75</v>
      </c>
      <c r="FG6" t="s">
        <v>264</v>
      </c>
      <c r="FH6" t="s">
        <v>77</v>
      </c>
      <c r="FI6" t="s">
        <v>72</v>
      </c>
      <c r="FJ6" t="s">
        <v>75</v>
      </c>
      <c r="FK6" t="s">
        <v>264</v>
      </c>
      <c r="FL6" t="s">
        <v>77</v>
      </c>
      <c r="FM6" t="s">
        <v>72</v>
      </c>
      <c r="FN6" t="s">
        <v>75</v>
      </c>
      <c r="FO6" t="s">
        <v>264</v>
      </c>
      <c r="FP6" t="s">
        <v>77</v>
      </c>
      <c r="FQ6" t="s">
        <v>72</v>
      </c>
      <c r="FR6" t="s">
        <v>75</v>
      </c>
      <c r="FS6" t="s">
        <v>264</v>
      </c>
      <c r="FT6" t="s">
        <v>77</v>
      </c>
      <c r="FU6" t="s">
        <v>72</v>
      </c>
      <c r="FV6" t="s">
        <v>75</v>
      </c>
      <c r="FW6" t="s">
        <v>264</v>
      </c>
      <c r="FX6" t="s">
        <v>77</v>
      </c>
      <c r="FY6" t="s">
        <v>72</v>
      </c>
      <c r="FZ6" t="s">
        <v>75</v>
      </c>
      <c r="GA6" t="s">
        <v>77</v>
      </c>
      <c r="GB6" t="s">
        <v>72</v>
      </c>
      <c r="GC6" t="s">
        <v>75</v>
      </c>
      <c r="GD6" t="s">
        <v>77</v>
      </c>
      <c r="GE6" t="s">
        <v>72</v>
      </c>
      <c r="GF6" t="s">
        <v>75</v>
      </c>
      <c r="GG6" t="s">
        <v>77</v>
      </c>
    </row>
    <row r="7" spans="1:189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70</v>
      </c>
      <c r="DF7" t="s">
        <v>70</v>
      </c>
      <c r="DG7" t="s">
        <v>70</v>
      </c>
      <c r="DH7" t="s">
        <v>341</v>
      </c>
      <c r="DI7" t="s">
        <v>70</v>
      </c>
      <c r="DJ7" t="s">
        <v>70</v>
      </c>
      <c r="DK7" t="s">
        <v>70</v>
      </c>
      <c r="DL7" t="s">
        <v>341</v>
      </c>
      <c r="DM7" t="s">
        <v>70</v>
      </c>
      <c r="DN7" t="s">
        <v>70</v>
      </c>
      <c r="DO7" t="s">
        <v>70</v>
      </c>
      <c r="DP7" t="s">
        <v>341</v>
      </c>
      <c r="DQ7" t="s">
        <v>70</v>
      </c>
      <c r="DR7" t="s">
        <v>70</v>
      </c>
      <c r="DS7" t="s">
        <v>70</v>
      </c>
      <c r="DT7" t="s">
        <v>341</v>
      </c>
      <c r="DU7" t="s">
        <v>70</v>
      </c>
      <c r="DV7" t="s">
        <v>2372</v>
      </c>
      <c r="DW7" t="s">
        <v>2372</v>
      </c>
      <c r="DX7" t="s">
        <v>341</v>
      </c>
      <c r="DY7" t="s">
        <v>2372</v>
      </c>
      <c r="DZ7" t="s">
        <v>70</v>
      </c>
      <c r="EA7" t="s">
        <v>70</v>
      </c>
      <c r="EB7" t="s">
        <v>341</v>
      </c>
      <c r="EC7" t="s">
        <v>70</v>
      </c>
      <c r="ED7" t="s">
        <v>70</v>
      </c>
      <c r="EE7" t="s">
        <v>70</v>
      </c>
      <c r="EF7" t="s">
        <v>70</v>
      </c>
      <c r="EG7" t="s">
        <v>70</v>
      </c>
      <c r="EH7" t="s">
        <v>70</v>
      </c>
      <c r="EI7" t="s">
        <v>341</v>
      </c>
      <c r="EJ7" t="s">
        <v>70</v>
      </c>
      <c r="EK7" t="s">
        <v>70</v>
      </c>
      <c r="EL7" t="s">
        <v>70</v>
      </c>
      <c r="EM7" t="s">
        <v>341</v>
      </c>
      <c r="EN7" t="s">
        <v>70</v>
      </c>
      <c r="EO7" t="s">
        <v>70</v>
      </c>
      <c r="EP7" t="s">
        <v>70</v>
      </c>
      <c r="EQ7" t="s">
        <v>341</v>
      </c>
      <c r="ER7" t="s">
        <v>70</v>
      </c>
      <c r="ES7" t="s">
        <v>70</v>
      </c>
      <c r="ET7" t="s">
        <v>70</v>
      </c>
      <c r="EU7" t="s">
        <v>341</v>
      </c>
      <c r="EV7" t="s">
        <v>70</v>
      </c>
      <c r="EW7" t="s">
        <v>70</v>
      </c>
      <c r="EX7" t="s">
        <v>70</v>
      </c>
      <c r="EY7" t="s">
        <v>341</v>
      </c>
      <c r="EZ7" t="s">
        <v>70</v>
      </c>
      <c r="FA7" t="s">
        <v>70</v>
      </c>
      <c r="FB7" t="s">
        <v>70</v>
      </c>
      <c r="FC7" t="s">
        <v>341</v>
      </c>
      <c r="FD7" t="s">
        <v>70</v>
      </c>
      <c r="FE7" t="s">
        <v>70</v>
      </c>
      <c r="FF7" t="s">
        <v>70</v>
      </c>
      <c r="FG7" t="s">
        <v>341</v>
      </c>
      <c r="FH7" t="s">
        <v>70</v>
      </c>
      <c r="FI7" t="s">
        <v>70</v>
      </c>
      <c r="FJ7" t="s">
        <v>70</v>
      </c>
      <c r="FK7" t="s">
        <v>341</v>
      </c>
      <c r="FL7" t="s">
        <v>70</v>
      </c>
      <c r="FM7" t="s">
        <v>70</v>
      </c>
      <c r="FN7" t="s">
        <v>70</v>
      </c>
      <c r="FO7" t="s">
        <v>341</v>
      </c>
      <c r="FP7" t="s">
        <v>70</v>
      </c>
      <c r="FQ7" t="s">
        <v>70</v>
      </c>
      <c r="FR7" t="s">
        <v>70</v>
      </c>
      <c r="FS7" t="s">
        <v>341</v>
      </c>
      <c r="FT7" t="s">
        <v>70</v>
      </c>
      <c r="FU7" t="s">
        <v>70</v>
      </c>
      <c r="FV7" t="s">
        <v>70</v>
      </c>
      <c r="FW7" t="s">
        <v>341</v>
      </c>
      <c r="FX7" t="s">
        <v>70</v>
      </c>
      <c r="FY7" t="s">
        <v>70</v>
      </c>
      <c r="FZ7" t="s">
        <v>70</v>
      </c>
      <c r="GA7" t="s">
        <v>70</v>
      </c>
      <c r="GB7" t="s">
        <v>70</v>
      </c>
      <c r="GC7" t="s">
        <v>70</v>
      </c>
      <c r="GD7" t="s">
        <v>70</v>
      </c>
      <c r="GE7" t="s">
        <v>70</v>
      </c>
      <c r="GF7" t="s">
        <v>70</v>
      </c>
      <c r="GG7" t="s">
        <v>70</v>
      </c>
    </row>
    <row r="8" spans="1:189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70</v>
      </c>
      <c r="DF8" t="s">
        <v>70</v>
      </c>
      <c r="DG8" t="s">
        <v>70</v>
      </c>
      <c r="DH8" t="s">
        <v>342</v>
      </c>
      <c r="DI8" t="s">
        <v>70</v>
      </c>
      <c r="DJ8" t="s">
        <v>70</v>
      </c>
      <c r="DK8" t="s">
        <v>70</v>
      </c>
      <c r="DL8" t="s">
        <v>342</v>
      </c>
      <c r="DM8" t="s">
        <v>70</v>
      </c>
      <c r="DN8" t="s">
        <v>70</v>
      </c>
      <c r="DO8" t="s">
        <v>70</v>
      </c>
      <c r="DP8" t="s">
        <v>342</v>
      </c>
      <c r="DQ8" t="s">
        <v>70</v>
      </c>
      <c r="DR8" t="s">
        <v>70</v>
      </c>
      <c r="DS8" t="s">
        <v>70</v>
      </c>
      <c r="DT8" t="s">
        <v>342</v>
      </c>
      <c r="DU8" t="s">
        <v>70</v>
      </c>
      <c r="DV8" t="s">
        <v>2372</v>
      </c>
      <c r="DW8" t="s">
        <v>2372</v>
      </c>
      <c r="DX8" t="s">
        <v>342</v>
      </c>
      <c r="DY8" t="s">
        <v>2372</v>
      </c>
      <c r="DZ8" t="s">
        <v>70</v>
      </c>
      <c r="EA8" t="s">
        <v>70</v>
      </c>
      <c r="EB8" t="s">
        <v>342</v>
      </c>
      <c r="EC8" t="s">
        <v>70</v>
      </c>
      <c r="ED8" t="s">
        <v>70</v>
      </c>
      <c r="EE8" t="s">
        <v>70</v>
      </c>
      <c r="EF8" t="s">
        <v>70</v>
      </c>
      <c r="EG8" t="s">
        <v>70</v>
      </c>
      <c r="EH8" t="s">
        <v>70</v>
      </c>
      <c r="EI8" t="s">
        <v>342</v>
      </c>
      <c r="EJ8" t="s">
        <v>70</v>
      </c>
      <c r="EK8" t="s">
        <v>70</v>
      </c>
      <c r="EL8" t="s">
        <v>70</v>
      </c>
      <c r="EM8" t="s">
        <v>342</v>
      </c>
      <c r="EN8" t="s">
        <v>70</v>
      </c>
      <c r="EO8" t="s">
        <v>70</v>
      </c>
      <c r="EP8" t="s">
        <v>70</v>
      </c>
      <c r="EQ8" t="s">
        <v>342</v>
      </c>
      <c r="ER8" t="s">
        <v>70</v>
      </c>
      <c r="ES8" t="s">
        <v>70</v>
      </c>
      <c r="ET8" t="s">
        <v>70</v>
      </c>
      <c r="EU8" t="s">
        <v>342</v>
      </c>
      <c r="EV8" t="s">
        <v>70</v>
      </c>
      <c r="EW8" t="s">
        <v>70</v>
      </c>
      <c r="EX8" t="s">
        <v>70</v>
      </c>
      <c r="EY8" t="s">
        <v>342</v>
      </c>
      <c r="EZ8" t="s">
        <v>70</v>
      </c>
      <c r="FA8" t="s">
        <v>70</v>
      </c>
      <c r="FB8" t="s">
        <v>70</v>
      </c>
      <c r="FC8" t="s">
        <v>342</v>
      </c>
      <c r="FD8" t="s">
        <v>70</v>
      </c>
      <c r="FE8" t="s">
        <v>70</v>
      </c>
      <c r="FF8" t="s">
        <v>70</v>
      </c>
      <c r="FG8" t="s">
        <v>342</v>
      </c>
      <c r="FH8" t="s">
        <v>70</v>
      </c>
      <c r="FI8" t="s">
        <v>70</v>
      </c>
      <c r="FJ8" t="s">
        <v>70</v>
      </c>
      <c r="FK8" t="s">
        <v>342</v>
      </c>
      <c r="FL8" t="s">
        <v>70</v>
      </c>
      <c r="FM8" t="s">
        <v>70</v>
      </c>
      <c r="FN8" t="s">
        <v>70</v>
      </c>
      <c r="FO8" t="s">
        <v>342</v>
      </c>
      <c r="FP8" t="s">
        <v>70</v>
      </c>
      <c r="FQ8" t="s">
        <v>70</v>
      </c>
      <c r="FR8" t="s">
        <v>70</v>
      </c>
      <c r="FS8" t="s">
        <v>342</v>
      </c>
      <c r="FT8" t="s">
        <v>70</v>
      </c>
      <c r="FU8" t="s">
        <v>70</v>
      </c>
      <c r="FV8" t="s">
        <v>70</v>
      </c>
      <c r="FW8" t="s">
        <v>342</v>
      </c>
      <c r="FX8" t="s">
        <v>70</v>
      </c>
      <c r="FY8" t="s">
        <v>70</v>
      </c>
      <c r="FZ8" t="s">
        <v>70</v>
      </c>
      <c r="GA8" t="s">
        <v>70</v>
      </c>
      <c r="GB8" t="s">
        <v>70</v>
      </c>
      <c r="GC8" t="s">
        <v>70</v>
      </c>
      <c r="GD8" t="s">
        <v>70</v>
      </c>
      <c r="GE8" t="s">
        <v>70</v>
      </c>
      <c r="GF8" t="s">
        <v>70</v>
      </c>
      <c r="GG8" t="s">
        <v>70</v>
      </c>
    </row>
    <row r="9" spans="1:189" x14ac:dyDescent="0.4">
      <c r="A9" s="1" t="s">
        <v>6</v>
      </c>
      <c r="B9" s="3" t="s">
        <v>7</v>
      </c>
      <c r="C9">
        <v>1479684</v>
      </c>
      <c r="D9">
        <v>1471602</v>
      </c>
      <c r="E9">
        <v>256475860</v>
      </c>
      <c r="F9">
        <v>263316</v>
      </c>
      <c r="G9">
        <v>808382</v>
      </c>
      <c r="H9">
        <v>808608</v>
      </c>
      <c r="I9">
        <v>119239341</v>
      </c>
      <c r="J9">
        <v>171416</v>
      </c>
      <c r="K9">
        <v>163576</v>
      </c>
      <c r="L9">
        <v>164573</v>
      </c>
      <c r="M9">
        <v>32307705</v>
      </c>
      <c r="N9">
        <v>26019</v>
      </c>
      <c r="O9">
        <v>681239</v>
      </c>
      <c r="P9">
        <v>662886</v>
      </c>
      <c r="Q9">
        <v>99619245</v>
      </c>
      <c r="R9">
        <v>74729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>
        <v>2463136</v>
      </c>
      <c r="AB9">
        <v>2415921</v>
      </c>
      <c r="AC9">
        <v>385036668</v>
      </c>
      <c r="AD9">
        <v>445051</v>
      </c>
      <c r="AE9">
        <v>104002</v>
      </c>
      <c r="AF9">
        <v>105458</v>
      </c>
      <c r="AG9">
        <v>27840919</v>
      </c>
      <c r="AH9">
        <v>28276</v>
      </c>
      <c r="AI9">
        <v>224263</v>
      </c>
      <c r="AJ9">
        <v>216472</v>
      </c>
      <c r="AK9">
        <v>64349585</v>
      </c>
      <c r="AL9">
        <v>65789</v>
      </c>
      <c r="AM9">
        <v>182532</v>
      </c>
      <c r="AN9">
        <v>150829</v>
      </c>
      <c r="AO9">
        <v>35375314</v>
      </c>
      <c r="AP9">
        <v>41002</v>
      </c>
      <c r="AQ9">
        <v>111275</v>
      </c>
      <c r="AR9">
        <v>109705</v>
      </c>
      <c r="AS9">
        <v>36544688</v>
      </c>
      <c r="AT9">
        <v>6520</v>
      </c>
      <c r="AU9">
        <v>116059</v>
      </c>
      <c r="AV9">
        <v>111504</v>
      </c>
      <c r="AW9">
        <v>51197767</v>
      </c>
      <c r="AX9">
        <v>22266</v>
      </c>
      <c r="AY9">
        <v>110304</v>
      </c>
      <c r="AZ9">
        <v>118710</v>
      </c>
      <c r="BA9">
        <v>60006955</v>
      </c>
      <c r="BB9">
        <v>21050</v>
      </c>
      <c r="BC9">
        <v>304914</v>
      </c>
      <c r="BD9">
        <v>291311</v>
      </c>
      <c r="BE9">
        <v>69319049</v>
      </c>
      <c r="BF9">
        <v>49983</v>
      </c>
      <c r="BG9">
        <v>209209</v>
      </c>
      <c r="BH9">
        <v>185420</v>
      </c>
      <c r="BI9">
        <v>85187867</v>
      </c>
      <c r="BJ9">
        <v>59128</v>
      </c>
      <c r="BK9">
        <v>222625</v>
      </c>
      <c r="BL9">
        <v>153842</v>
      </c>
      <c r="BM9">
        <v>72009532</v>
      </c>
      <c r="BN9">
        <v>39458</v>
      </c>
      <c r="BO9">
        <v>1949056</v>
      </c>
      <c r="BP9">
        <v>1869985</v>
      </c>
      <c r="BQ9">
        <v>211612678</v>
      </c>
      <c r="BR9">
        <v>61438</v>
      </c>
      <c r="BS9">
        <v>617697</v>
      </c>
      <c r="BT9">
        <v>370324</v>
      </c>
      <c r="BU9">
        <v>131413656</v>
      </c>
      <c r="BV9">
        <v>22262</v>
      </c>
      <c r="BW9">
        <v>447496</v>
      </c>
      <c r="BX9">
        <v>396046</v>
      </c>
      <c r="BY9">
        <v>104281418</v>
      </c>
      <c r="BZ9">
        <v>31118</v>
      </c>
      <c r="CA9" t="s">
        <v>73</v>
      </c>
      <c r="CB9" t="s">
        <v>73</v>
      </c>
      <c r="CC9" t="s">
        <v>73</v>
      </c>
      <c r="CD9" t="s">
        <v>73</v>
      </c>
      <c r="CE9" t="s">
        <v>73</v>
      </c>
      <c r="CF9" t="s">
        <v>73</v>
      </c>
      <c r="CG9" t="s">
        <v>73</v>
      </c>
      <c r="CH9" t="s">
        <v>73</v>
      </c>
      <c r="CI9">
        <v>3424520</v>
      </c>
      <c r="CJ9">
        <v>1992575</v>
      </c>
      <c r="CK9">
        <v>172529600</v>
      </c>
      <c r="CL9">
        <v>124653</v>
      </c>
      <c r="CM9">
        <v>1530492</v>
      </c>
      <c r="CN9">
        <v>832242</v>
      </c>
      <c r="CO9">
        <v>54896284</v>
      </c>
      <c r="CP9">
        <v>45991</v>
      </c>
      <c r="CQ9">
        <v>4983161</v>
      </c>
      <c r="CR9">
        <v>2557866</v>
      </c>
      <c r="CS9">
        <v>191026510</v>
      </c>
      <c r="CT9">
        <v>148143</v>
      </c>
      <c r="CU9">
        <v>96526</v>
      </c>
      <c r="CV9">
        <v>97891</v>
      </c>
      <c r="CW9">
        <v>8451061</v>
      </c>
      <c r="CX9">
        <v>6962</v>
      </c>
      <c r="CY9">
        <v>2328216</v>
      </c>
      <c r="CZ9">
        <v>2930382</v>
      </c>
      <c r="DA9">
        <v>276069908</v>
      </c>
      <c r="DB9">
        <v>102314</v>
      </c>
      <c r="DC9">
        <v>6348690</v>
      </c>
      <c r="DD9">
        <v>6080004</v>
      </c>
      <c r="DE9">
        <v>42669</v>
      </c>
      <c r="DF9">
        <v>836793</v>
      </c>
      <c r="DG9">
        <v>305289</v>
      </c>
      <c r="DH9">
        <v>71611931</v>
      </c>
      <c r="DI9">
        <v>7049</v>
      </c>
      <c r="DJ9">
        <v>535224</v>
      </c>
      <c r="DK9">
        <v>494083</v>
      </c>
      <c r="DL9">
        <v>41267410</v>
      </c>
      <c r="DM9">
        <v>35681</v>
      </c>
      <c r="DN9">
        <v>71203</v>
      </c>
      <c r="DO9">
        <v>60718</v>
      </c>
      <c r="DP9">
        <v>12322818</v>
      </c>
      <c r="DQ9">
        <v>7030</v>
      </c>
      <c r="DR9">
        <v>95366</v>
      </c>
      <c r="DS9">
        <v>54747</v>
      </c>
      <c r="DT9">
        <v>7543404</v>
      </c>
      <c r="DU9">
        <v>4590</v>
      </c>
      <c r="DV9" t="s">
        <v>73</v>
      </c>
      <c r="DW9" t="s">
        <v>73</v>
      </c>
      <c r="DX9" t="s">
        <v>73</v>
      </c>
      <c r="DY9" t="s">
        <v>73</v>
      </c>
      <c r="DZ9">
        <v>3430121</v>
      </c>
      <c r="EA9">
        <v>240042</v>
      </c>
      <c r="EB9">
        <v>9258841</v>
      </c>
      <c r="EC9">
        <v>49495</v>
      </c>
      <c r="ED9">
        <v>5235343</v>
      </c>
      <c r="EE9">
        <v>5099049</v>
      </c>
      <c r="EF9">
        <v>53153</v>
      </c>
      <c r="EG9">
        <v>418519</v>
      </c>
      <c r="EH9">
        <v>330373</v>
      </c>
      <c r="EI9">
        <v>57159306</v>
      </c>
      <c r="EJ9">
        <v>20413</v>
      </c>
      <c r="EK9">
        <v>277572</v>
      </c>
      <c r="EL9">
        <v>234997</v>
      </c>
      <c r="EM9">
        <v>57323997</v>
      </c>
      <c r="EN9">
        <v>33710</v>
      </c>
      <c r="EO9">
        <v>127521</v>
      </c>
      <c r="EP9">
        <v>106339</v>
      </c>
      <c r="EQ9">
        <v>23974858</v>
      </c>
      <c r="ER9">
        <v>8205</v>
      </c>
      <c r="ES9">
        <v>219715</v>
      </c>
      <c r="ET9">
        <v>217873</v>
      </c>
      <c r="EU9">
        <v>25945104</v>
      </c>
      <c r="EV9">
        <v>12139</v>
      </c>
      <c r="EW9">
        <v>443921</v>
      </c>
      <c r="EX9">
        <v>228465</v>
      </c>
      <c r="EY9">
        <v>72008327</v>
      </c>
      <c r="EZ9">
        <v>18649</v>
      </c>
      <c r="FA9">
        <v>52884</v>
      </c>
      <c r="FB9">
        <v>51471</v>
      </c>
      <c r="FC9">
        <v>17669972</v>
      </c>
      <c r="FD9">
        <v>3983</v>
      </c>
      <c r="FE9">
        <v>449028</v>
      </c>
      <c r="FF9">
        <v>345900</v>
      </c>
      <c r="FG9">
        <v>73338959</v>
      </c>
      <c r="FH9">
        <v>20347</v>
      </c>
      <c r="FI9">
        <v>284287</v>
      </c>
      <c r="FJ9">
        <v>254350</v>
      </c>
      <c r="FK9">
        <v>54359004</v>
      </c>
      <c r="FL9">
        <v>19448</v>
      </c>
      <c r="FM9">
        <v>212002</v>
      </c>
      <c r="FN9">
        <v>209111</v>
      </c>
      <c r="FO9">
        <v>21139180</v>
      </c>
      <c r="FP9">
        <v>12176</v>
      </c>
      <c r="FQ9">
        <v>525679</v>
      </c>
      <c r="FR9">
        <v>117394</v>
      </c>
      <c r="FS9">
        <v>11001536</v>
      </c>
      <c r="FT9">
        <v>9618</v>
      </c>
      <c r="FU9">
        <v>276485</v>
      </c>
      <c r="FV9">
        <v>279942</v>
      </c>
      <c r="FW9">
        <v>36084975</v>
      </c>
      <c r="FX9">
        <v>11539</v>
      </c>
      <c r="FY9">
        <v>2694124</v>
      </c>
      <c r="FZ9">
        <v>2436630</v>
      </c>
      <c r="GA9">
        <v>15047</v>
      </c>
      <c r="GB9">
        <v>852955</v>
      </c>
      <c r="GC9">
        <v>585424</v>
      </c>
      <c r="GD9">
        <v>22329</v>
      </c>
      <c r="GE9">
        <v>4652888</v>
      </c>
      <c r="GF9">
        <v>1629083</v>
      </c>
      <c r="GG9">
        <v>56455</v>
      </c>
    </row>
    <row r="10" spans="1:189" x14ac:dyDescent="0.4">
      <c r="A10" s="1" t="s">
        <v>8</v>
      </c>
      <c r="B10" s="3" t="s">
        <v>9</v>
      </c>
      <c r="C10">
        <v>1347412</v>
      </c>
      <c r="D10">
        <v>1351045</v>
      </c>
      <c r="E10">
        <v>289620570</v>
      </c>
      <c r="F10">
        <v>267571</v>
      </c>
      <c r="G10">
        <v>713525</v>
      </c>
      <c r="H10">
        <v>749817</v>
      </c>
      <c r="I10">
        <v>142202468</v>
      </c>
      <c r="J10">
        <v>158456</v>
      </c>
      <c r="K10">
        <v>175816</v>
      </c>
      <c r="L10">
        <v>172623</v>
      </c>
      <c r="M10">
        <v>44465357</v>
      </c>
      <c r="N10">
        <v>29167</v>
      </c>
      <c r="O10">
        <v>609327</v>
      </c>
      <c r="P10">
        <v>589776</v>
      </c>
      <c r="Q10">
        <v>116472067</v>
      </c>
      <c r="R10">
        <v>79367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>
        <v>2120222</v>
      </c>
      <c r="AB10">
        <v>2188486</v>
      </c>
      <c r="AC10">
        <v>429965404</v>
      </c>
      <c r="AD10">
        <v>401246</v>
      </c>
      <c r="AE10">
        <v>93395</v>
      </c>
      <c r="AF10">
        <v>89003</v>
      </c>
      <c r="AG10">
        <v>31146690</v>
      </c>
      <c r="AH10">
        <v>32719</v>
      </c>
      <c r="AI10">
        <v>199532</v>
      </c>
      <c r="AJ10">
        <v>189014</v>
      </c>
      <c r="AK10">
        <v>65607366</v>
      </c>
      <c r="AL10">
        <v>76209</v>
      </c>
      <c r="AM10">
        <v>140375</v>
      </c>
      <c r="AN10">
        <v>119438</v>
      </c>
      <c r="AO10">
        <v>33333046</v>
      </c>
      <c r="AP10">
        <v>45246</v>
      </c>
      <c r="AQ10">
        <v>104633</v>
      </c>
      <c r="AR10">
        <v>104544</v>
      </c>
      <c r="AS10">
        <v>42030798</v>
      </c>
      <c r="AT10">
        <v>5807</v>
      </c>
      <c r="AU10">
        <v>95784</v>
      </c>
      <c r="AV10">
        <v>87686</v>
      </c>
      <c r="AW10">
        <v>43513636</v>
      </c>
      <c r="AX10">
        <v>30089</v>
      </c>
      <c r="AY10">
        <v>124871</v>
      </c>
      <c r="AZ10">
        <v>118403</v>
      </c>
      <c r="BA10">
        <v>70574860</v>
      </c>
      <c r="BB10">
        <v>27518</v>
      </c>
      <c r="BC10">
        <v>306234</v>
      </c>
      <c r="BD10">
        <v>275547</v>
      </c>
      <c r="BE10">
        <v>77954268</v>
      </c>
      <c r="BF10">
        <v>73034</v>
      </c>
      <c r="BG10">
        <v>209722</v>
      </c>
      <c r="BH10">
        <v>171944</v>
      </c>
      <c r="BI10">
        <v>82882951</v>
      </c>
      <c r="BJ10">
        <v>80706</v>
      </c>
      <c r="BK10">
        <v>197258</v>
      </c>
      <c r="BL10">
        <v>144588</v>
      </c>
      <c r="BM10">
        <v>88749873</v>
      </c>
      <c r="BN10">
        <v>43975</v>
      </c>
      <c r="BO10">
        <v>1542134</v>
      </c>
      <c r="BP10">
        <v>1522425</v>
      </c>
      <c r="BQ10">
        <v>226445086</v>
      </c>
      <c r="BR10">
        <v>57085</v>
      </c>
      <c r="BS10">
        <v>555771</v>
      </c>
      <c r="BT10">
        <v>376646</v>
      </c>
      <c r="BU10">
        <v>160980253</v>
      </c>
      <c r="BV10">
        <v>20060</v>
      </c>
      <c r="BW10">
        <v>386019</v>
      </c>
      <c r="BX10">
        <v>348552</v>
      </c>
      <c r="BY10">
        <v>100360505</v>
      </c>
      <c r="BZ10">
        <v>35016</v>
      </c>
      <c r="CA10" t="s">
        <v>73</v>
      </c>
      <c r="CB10" t="s">
        <v>73</v>
      </c>
      <c r="CC10" t="s">
        <v>73</v>
      </c>
      <c r="CD10" t="s">
        <v>73</v>
      </c>
      <c r="CE10" t="s">
        <v>73</v>
      </c>
      <c r="CF10" t="s">
        <v>73</v>
      </c>
      <c r="CG10" t="s">
        <v>73</v>
      </c>
      <c r="CH10" t="s">
        <v>73</v>
      </c>
      <c r="CI10">
        <v>3129029</v>
      </c>
      <c r="CJ10">
        <v>1932705</v>
      </c>
      <c r="CK10">
        <v>216053409</v>
      </c>
      <c r="CL10">
        <v>119033</v>
      </c>
      <c r="CM10">
        <v>1424010</v>
      </c>
      <c r="CN10">
        <v>645307</v>
      </c>
      <c r="CO10">
        <v>67339583</v>
      </c>
      <c r="CP10">
        <v>39392</v>
      </c>
      <c r="CQ10">
        <v>4889600</v>
      </c>
      <c r="CR10">
        <v>2101033</v>
      </c>
      <c r="CS10">
        <v>226135229</v>
      </c>
      <c r="CT10">
        <v>139225</v>
      </c>
      <c r="CU10">
        <v>106018</v>
      </c>
      <c r="CV10">
        <v>104229</v>
      </c>
      <c r="CW10">
        <v>12685479</v>
      </c>
      <c r="CX10">
        <v>8707</v>
      </c>
      <c r="CY10">
        <v>2462407</v>
      </c>
      <c r="CZ10">
        <v>3031166</v>
      </c>
      <c r="DA10">
        <v>387618940</v>
      </c>
      <c r="DB10">
        <v>83020</v>
      </c>
      <c r="DC10">
        <v>5448821</v>
      </c>
      <c r="DD10">
        <v>5164875</v>
      </c>
      <c r="DE10">
        <v>40646</v>
      </c>
      <c r="DF10">
        <v>664966</v>
      </c>
      <c r="DG10">
        <v>290737</v>
      </c>
      <c r="DH10">
        <v>83810058</v>
      </c>
      <c r="DI10">
        <v>10409</v>
      </c>
      <c r="DJ10">
        <v>351023</v>
      </c>
      <c r="DK10">
        <v>324030</v>
      </c>
      <c r="DL10">
        <v>35372593</v>
      </c>
      <c r="DM10">
        <v>32070</v>
      </c>
      <c r="DN10">
        <v>59456</v>
      </c>
      <c r="DO10">
        <v>47963</v>
      </c>
      <c r="DP10">
        <v>12194905</v>
      </c>
      <c r="DQ10">
        <v>6623</v>
      </c>
      <c r="DR10">
        <v>90985</v>
      </c>
      <c r="DS10">
        <v>56527</v>
      </c>
      <c r="DT10">
        <v>9601055</v>
      </c>
      <c r="DU10">
        <v>4685</v>
      </c>
      <c r="DV10" t="s">
        <v>73</v>
      </c>
      <c r="DW10" t="s">
        <v>73</v>
      </c>
      <c r="DX10" t="s">
        <v>73</v>
      </c>
      <c r="DY10" t="s">
        <v>73</v>
      </c>
      <c r="DZ10">
        <v>3341232</v>
      </c>
      <c r="EA10">
        <v>244402</v>
      </c>
      <c r="EB10">
        <v>13257606</v>
      </c>
      <c r="EC10">
        <v>37598</v>
      </c>
      <c r="ED10">
        <v>4514383</v>
      </c>
      <c r="EE10">
        <v>4372228</v>
      </c>
      <c r="EF10">
        <v>49886</v>
      </c>
      <c r="EG10">
        <v>334103</v>
      </c>
      <c r="EH10">
        <v>285786</v>
      </c>
      <c r="EI10">
        <v>66559758</v>
      </c>
      <c r="EJ10">
        <v>15477</v>
      </c>
      <c r="EK10">
        <v>232435</v>
      </c>
      <c r="EL10">
        <v>208396</v>
      </c>
      <c r="EM10">
        <v>60807560</v>
      </c>
      <c r="EN10">
        <v>27862</v>
      </c>
      <c r="EO10">
        <v>115187</v>
      </c>
      <c r="EP10">
        <v>91112</v>
      </c>
      <c r="EQ10">
        <v>24607005</v>
      </c>
      <c r="ER10">
        <v>8926</v>
      </c>
      <c r="ES10">
        <v>213528</v>
      </c>
      <c r="ET10">
        <v>211519</v>
      </c>
      <c r="EU10">
        <v>30354859</v>
      </c>
      <c r="EV10">
        <v>12865</v>
      </c>
      <c r="EW10">
        <v>400883</v>
      </c>
      <c r="EX10">
        <v>192848</v>
      </c>
      <c r="EY10">
        <v>72492725</v>
      </c>
      <c r="EZ10">
        <v>19245</v>
      </c>
      <c r="FA10">
        <v>43928</v>
      </c>
      <c r="FB10">
        <v>44714</v>
      </c>
      <c r="FC10">
        <v>18020039</v>
      </c>
      <c r="FD10">
        <v>3141</v>
      </c>
      <c r="FE10">
        <v>422462</v>
      </c>
      <c r="FF10">
        <v>321126</v>
      </c>
      <c r="FG10">
        <v>83560698</v>
      </c>
      <c r="FH10">
        <v>24850</v>
      </c>
      <c r="FI10">
        <v>251920</v>
      </c>
      <c r="FJ10">
        <v>232099</v>
      </c>
      <c r="FK10">
        <v>62543321</v>
      </c>
      <c r="FL10">
        <v>16817</v>
      </c>
      <c r="FM10">
        <v>150509</v>
      </c>
      <c r="FN10">
        <v>171953</v>
      </c>
      <c r="FO10">
        <v>21127699</v>
      </c>
      <c r="FP10">
        <v>14098</v>
      </c>
      <c r="FQ10">
        <v>420943</v>
      </c>
      <c r="FR10">
        <v>130750</v>
      </c>
      <c r="FS10">
        <v>13314045</v>
      </c>
      <c r="FT10">
        <v>10026</v>
      </c>
      <c r="FU10">
        <v>210504</v>
      </c>
      <c r="FV10">
        <v>205613</v>
      </c>
      <c r="FW10">
        <v>30073620</v>
      </c>
      <c r="FX10">
        <v>16080</v>
      </c>
      <c r="FY10">
        <v>2396596</v>
      </c>
      <c r="FZ10">
        <v>2083659</v>
      </c>
      <c r="GA10">
        <v>14379</v>
      </c>
      <c r="GB10">
        <v>745392</v>
      </c>
      <c r="GC10">
        <v>557707</v>
      </c>
      <c r="GD10">
        <v>18961</v>
      </c>
      <c r="GE10">
        <v>3829201</v>
      </c>
      <c r="GF10">
        <v>1282800</v>
      </c>
      <c r="GG10">
        <v>45674</v>
      </c>
    </row>
    <row r="11" spans="1:189" x14ac:dyDescent="0.4">
      <c r="A11" s="1" t="s">
        <v>10</v>
      </c>
      <c r="B11" s="3" t="s">
        <v>11</v>
      </c>
      <c r="C11">
        <v>1219014</v>
      </c>
      <c r="D11">
        <v>1240145</v>
      </c>
      <c r="E11">
        <v>287600120</v>
      </c>
      <c r="F11">
        <v>252615</v>
      </c>
      <c r="G11">
        <v>664528</v>
      </c>
      <c r="H11">
        <v>704573</v>
      </c>
      <c r="I11">
        <v>142742521</v>
      </c>
      <c r="J11">
        <v>140757</v>
      </c>
      <c r="K11">
        <v>160062</v>
      </c>
      <c r="L11">
        <v>159979</v>
      </c>
      <c r="M11">
        <v>42688166</v>
      </c>
      <c r="N11">
        <v>29138</v>
      </c>
      <c r="O11">
        <v>524389</v>
      </c>
      <c r="P11">
        <v>528960</v>
      </c>
      <c r="Q11">
        <v>103706027</v>
      </c>
      <c r="R11">
        <v>62247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73</v>
      </c>
      <c r="Z11" t="s">
        <v>73</v>
      </c>
      <c r="AA11">
        <v>2075387</v>
      </c>
      <c r="AB11">
        <v>2141530</v>
      </c>
      <c r="AC11">
        <v>445805163</v>
      </c>
      <c r="AD11">
        <v>357752</v>
      </c>
      <c r="AE11">
        <v>81670</v>
      </c>
      <c r="AF11">
        <v>89134</v>
      </c>
      <c r="AG11">
        <v>31155448</v>
      </c>
      <c r="AH11">
        <v>25250</v>
      </c>
      <c r="AI11">
        <v>186449</v>
      </c>
      <c r="AJ11">
        <v>194162</v>
      </c>
      <c r="AK11">
        <v>68117036</v>
      </c>
      <c r="AL11">
        <v>68484</v>
      </c>
      <c r="AM11">
        <v>116698</v>
      </c>
      <c r="AN11">
        <v>108434</v>
      </c>
      <c r="AO11">
        <v>31785251</v>
      </c>
      <c r="AP11">
        <v>39815</v>
      </c>
      <c r="AQ11">
        <v>93105</v>
      </c>
      <c r="AR11">
        <v>92978</v>
      </c>
      <c r="AS11">
        <v>38202046</v>
      </c>
      <c r="AT11">
        <v>5875</v>
      </c>
      <c r="AU11">
        <v>69735</v>
      </c>
      <c r="AV11">
        <v>76466</v>
      </c>
      <c r="AW11">
        <v>39629522</v>
      </c>
      <c r="AX11">
        <v>23286</v>
      </c>
      <c r="AY11">
        <v>98707</v>
      </c>
      <c r="AZ11">
        <v>96684</v>
      </c>
      <c r="BA11">
        <v>68362720</v>
      </c>
      <c r="BB11">
        <v>29535</v>
      </c>
      <c r="BC11">
        <v>258910</v>
      </c>
      <c r="BD11">
        <v>265308</v>
      </c>
      <c r="BE11">
        <v>76544195</v>
      </c>
      <c r="BF11">
        <v>59759</v>
      </c>
      <c r="BG11">
        <v>148946</v>
      </c>
      <c r="BH11">
        <v>161288</v>
      </c>
      <c r="BI11">
        <v>77785722</v>
      </c>
      <c r="BJ11">
        <v>54680</v>
      </c>
      <c r="BK11">
        <v>185633</v>
      </c>
      <c r="BL11">
        <v>140469</v>
      </c>
      <c r="BM11">
        <v>86254999</v>
      </c>
      <c r="BN11">
        <v>40106</v>
      </c>
      <c r="BO11">
        <v>1427845</v>
      </c>
      <c r="BP11">
        <v>1371003</v>
      </c>
      <c r="BQ11">
        <v>210744433</v>
      </c>
      <c r="BR11">
        <v>58246</v>
      </c>
      <c r="BS11">
        <v>450622</v>
      </c>
      <c r="BT11">
        <v>299485</v>
      </c>
      <c r="BU11">
        <v>115089543</v>
      </c>
      <c r="BV11">
        <v>19180</v>
      </c>
      <c r="BW11">
        <v>233998</v>
      </c>
      <c r="BX11">
        <v>218187</v>
      </c>
      <c r="BY11">
        <v>65113878</v>
      </c>
      <c r="BZ11">
        <v>23359</v>
      </c>
      <c r="CA11" t="s">
        <v>73</v>
      </c>
      <c r="CB11" t="s">
        <v>73</v>
      </c>
      <c r="CC11" t="s">
        <v>73</v>
      </c>
      <c r="CD11" t="s">
        <v>73</v>
      </c>
      <c r="CE11" t="s">
        <v>73</v>
      </c>
      <c r="CF11" t="s">
        <v>73</v>
      </c>
      <c r="CG11" t="s">
        <v>73</v>
      </c>
      <c r="CH11" t="s">
        <v>73</v>
      </c>
      <c r="CI11">
        <v>2948376</v>
      </c>
      <c r="CJ11">
        <v>1810740</v>
      </c>
      <c r="CK11">
        <v>200036007</v>
      </c>
      <c r="CL11">
        <v>101702</v>
      </c>
      <c r="CM11">
        <v>1219591</v>
      </c>
      <c r="CN11">
        <v>666074</v>
      </c>
      <c r="CO11">
        <v>72654931</v>
      </c>
      <c r="CP11">
        <v>55040</v>
      </c>
      <c r="CQ11">
        <v>4487010</v>
      </c>
      <c r="CR11">
        <v>1957902</v>
      </c>
      <c r="CS11">
        <v>237840672</v>
      </c>
      <c r="CT11">
        <v>154607</v>
      </c>
      <c r="CU11">
        <v>97338</v>
      </c>
      <c r="CV11">
        <v>100651</v>
      </c>
      <c r="CW11">
        <v>12902297</v>
      </c>
      <c r="CX11">
        <v>6119</v>
      </c>
      <c r="CY11">
        <v>2371961</v>
      </c>
      <c r="CZ11">
        <v>2964905</v>
      </c>
      <c r="DA11">
        <v>397320889</v>
      </c>
      <c r="DB11">
        <v>110059</v>
      </c>
      <c r="DC11">
        <v>5323938</v>
      </c>
      <c r="DD11">
        <v>5098308</v>
      </c>
      <c r="DE11">
        <v>41119</v>
      </c>
      <c r="DF11">
        <v>552306</v>
      </c>
      <c r="DG11">
        <v>261539</v>
      </c>
      <c r="DH11">
        <v>73047432</v>
      </c>
      <c r="DI11">
        <v>7287</v>
      </c>
      <c r="DJ11">
        <v>264497</v>
      </c>
      <c r="DK11">
        <v>251271</v>
      </c>
      <c r="DL11">
        <v>29589006</v>
      </c>
      <c r="DM11">
        <v>26906</v>
      </c>
      <c r="DN11">
        <v>50835</v>
      </c>
      <c r="DO11">
        <v>42485</v>
      </c>
      <c r="DP11">
        <v>11311689</v>
      </c>
      <c r="DQ11">
        <v>6645</v>
      </c>
      <c r="DR11">
        <v>93696</v>
      </c>
      <c r="DS11">
        <v>66878</v>
      </c>
      <c r="DT11">
        <v>10576599</v>
      </c>
      <c r="DU11">
        <v>3949</v>
      </c>
      <c r="DV11" t="s">
        <v>73</v>
      </c>
      <c r="DW11" t="s">
        <v>73</v>
      </c>
      <c r="DX11" t="s">
        <v>73</v>
      </c>
      <c r="DY11" t="s">
        <v>73</v>
      </c>
      <c r="DZ11">
        <v>3256882</v>
      </c>
      <c r="EA11">
        <v>188126</v>
      </c>
      <c r="EB11">
        <v>9706249</v>
      </c>
      <c r="EC11">
        <v>31599</v>
      </c>
      <c r="ED11">
        <v>4399979</v>
      </c>
      <c r="EE11">
        <v>4255376</v>
      </c>
      <c r="EF11">
        <v>54661</v>
      </c>
      <c r="EG11">
        <v>327516</v>
      </c>
      <c r="EH11">
        <v>265228</v>
      </c>
      <c r="EI11">
        <v>57968604</v>
      </c>
      <c r="EJ11">
        <v>18296</v>
      </c>
      <c r="EK11">
        <v>221910</v>
      </c>
      <c r="EL11">
        <v>188083</v>
      </c>
      <c r="EM11">
        <v>58110075</v>
      </c>
      <c r="EN11">
        <v>29345</v>
      </c>
      <c r="EO11">
        <v>73818</v>
      </c>
      <c r="EP11">
        <v>67510</v>
      </c>
      <c r="EQ11">
        <v>17243114</v>
      </c>
      <c r="ER11">
        <v>7050</v>
      </c>
      <c r="ES11">
        <v>168919</v>
      </c>
      <c r="ET11">
        <v>171078</v>
      </c>
      <c r="EU11">
        <v>26781459</v>
      </c>
      <c r="EV11">
        <v>9595</v>
      </c>
      <c r="EW11">
        <v>318379</v>
      </c>
      <c r="EX11">
        <v>162481</v>
      </c>
      <c r="EY11">
        <v>62928702</v>
      </c>
      <c r="EZ11">
        <v>17653</v>
      </c>
      <c r="FA11">
        <v>45495</v>
      </c>
      <c r="FB11">
        <v>45729</v>
      </c>
      <c r="FC11">
        <v>19948445</v>
      </c>
      <c r="FD11">
        <v>2903</v>
      </c>
      <c r="FE11">
        <v>340594</v>
      </c>
      <c r="FF11">
        <v>279963</v>
      </c>
      <c r="FG11">
        <v>63814260</v>
      </c>
      <c r="FH11">
        <v>20401</v>
      </c>
      <c r="FI11">
        <v>225288</v>
      </c>
      <c r="FJ11">
        <v>202667</v>
      </c>
      <c r="FK11">
        <v>54755512</v>
      </c>
      <c r="FL11">
        <v>16947</v>
      </c>
      <c r="FM11">
        <v>147475</v>
      </c>
      <c r="FN11">
        <v>203595</v>
      </c>
      <c r="FO11">
        <v>26097539</v>
      </c>
      <c r="FP11">
        <v>9256</v>
      </c>
      <c r="FQ11">
        <v>412656</v>
      </c>
      <c r="FR11">
        <v>142550</v>
      </c>
      <c r="FS11">
        <v>15183417</v>
      </c>
      <c r="FT11">
        <v>7489</v>
      </c>
      <c r="FU11">
        <v>229317</v>
      </c>
      <c r="FV11">
        <v>230166</v>
      </c>
      <c r="FW11">
        <v>32697802</v>
      </c>
      <c r="FX11">
        <v>13848</v>
      </c>
      <c r="FY11">
        <v>2275272</v>
      </c>
      <c r="FZ11">
        <v>1997222</v>
      </c>
      <c r="GA11">
        <v>16233</v>
      </c>
      <c r="GB11">
        <v>701297</v>
      </c>
      <c r="GC11">
        <v>505389</v>
      </c>
      <c r="GD11">
        <v>20863</v>
      </c>
      <c r="GE11">
        <v>3667983</v>
      </c>
      <c r="GF11">
        <v>1331108</v>
      </c>
      <c r="GG11">
        <v>47913</v>
      </c>
    </row>
    <row r="12" spans="1:189" x14ac:dyDescent="0.4">
      <c r="A12" s="1" t="s">
        <v>12</v>
      </c>
      <c r="B12" s="3" t="s">
        <v>13</v>
      </c>
      <c r="C12">
        <v>1160003</v>
      </c>
      <c r="D12">
        <v>1193669</v>
      </c>
      <c r="E12">
        <v>292194434</v>
      </c>
      <c r="F12">
        <v>234063</v>
      </c>
      <c r="G12">
        <v>655889</v>
      </c>
      <c r="H12">
        <v>668602</v>
      </c>
      <c r="I12">
        <v>144358230</v>
      </c>
      <c r="J12">
        <v>149235</v>
      </c>
      <c r="K12">
        <v>121855</v>
      </c>
      <c r="L12">
        <v>122586</v>
      </c>
      <c r="M12">
        <v>32585198</v>
      </c>
      <c r="N12">
        <v>26474</v>
      </c>
      <c r="O12">
        <v>521375</v>
      </c>
      <c r="P12">
        <v>511384</v>
      </c>
      <c r="Q12">
        <v>108879647</v>
      </c>
      <c r="R12">
        <v>60991</v>
      </c>
      <c r="S12">
        <v>87892</v>
      </c>
      <c r="T12">
        <v>86443</v>
      </c>
      <c r="U12">
        <v>23429367</v>
      </c>
      <c r="V12">
        <v>7277</v>
      </c>
      <c r="W12">
        <v>292405</v>
      </c>
      <c r="X12">
        <v>273060</v>
      </c>
      <c r="Y12">
        <v>101036048</v>
      </c>
      <c r="Z12">
        <v>69281</v>
      </c>
      <c r="AA12">
        <v>1934738</v>
      </c>
      <c r="AB12">
        <v>1969358</v>
      </c>
      <c r="AC12">
        <v>429826877</v>
      </c>
      <c r="AD12">
        <v>350443</v>
      </c>
      <c r="AE12">
        <v>107917</v>
      </c>
      <c r="AF12">
        <v>96345</v>
      </c>
      <c r="AG12">
        <v>35526225</v>
      </c>
      <c r="AH12">
        <v>36819</v>
      </c>
      <c r="AI12">
        <v>171550</v>
      </c>
      <c r="AJ12">
        <v>181737</v>
      </c>
      <c r="AK12">
        <v>66604805</v>
      </c>
      <c r="AL12">
        <v>58004</v>
      </c>
      <c r="AM12">
        <v>113666</v>
      </c>
      <c r="AN12">
        <v>104785</v>
      </c>
      <c r="AO12">
        <v>31229194</v>
      </c>
      <c r="AP12">
        <v>36494</v>
      </c>
      <c r="AQ12">
        <v>95920</v>
      </c>
      <c r="AR12">
        <v>98303</v>
      </c>
      <c r="AS12">
        <v>42290087</v>
      </c>
      <c r="AT12">
        <v>5696</v>
      </c>
      <c r="AU12" t="s">
        <v>73</v>
      </c>
      <c r="AV12" t="s">
        <v>73</v>
      </c>
      <c r="AW12" t="s">
        <v>73</v>
      </c>
      <c r="AX12" t="s">
        <v>73</v>
      </c>
      <c r="AY12">
        <v>104222</v>
      </c>
      <c r="AZ12">
        <v>104562</v>
      </c>
      <c r="BA12">
        <v>73731175</v>
      </c>
      <c r="BB12">
        <v>29195</v>
      </c>
      <c r="BC12">
        <v>278316</v>
      </c>
      <c r="BD12">
        <v>270841</v>
      </c>
      <c r="BE12">
        <v>84833261</v>
      </c>
      <c r="BF12">
        <v>63386</v>
      </c>
      <c r="BG12" t="s">
        <v>73</v>
      </c>
      <c r="BH12" t="s">
        <v>73</v>
      </c>
      <c r="BI12" t="s">
        <v>73</v>
      </c>
      <c r="BJ12" t="s">
        <v>73</v>
      </c>
      <c r="BK12">
        <v>174818</v>
      </c>
      <c r="BL12">
        <v>133056</v>
      </c>
      <c r="BM12">
        <v>85379177</v>
      </c>
      <c r="BN12">
        <v>39881</v>
      </c>
      <c r="BO12">
        <v>1299560</v>
      </c>
      <c r="BP12">
        <v>1246441</v>
      </c>
      <c r="BQ12">
        <v>201645656</v>
      </c>
      <c r="BR12">
        <v>49580</v>
      </c>
      <c r="BS12">
        <v>386224</v>
      </c>
      <c r="BT12">
        <v>265889</v>
      </c>
      <c r="BU12">
        <v>100243350</v>
      </c>
      <c r="BV12">
        <v>19380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 t="s">
        <v>73</v>
      </c>
      <c r="CE12" t="s">
        <v>73</v>
      </c>
      <c r="CF12" t="s">
        <v>73</v>
      </c>
      <c r="CG12" t="s">
        <v>73</v>
      </c>
      <c r="CH12" t="s">
        <v>73</v>
      </c>
      <c r="CI12">
        <v>2749742</v>
      </c>
      <c r="CJ12">
        <v>1696143</v>
      </c>
      <c r="CK12">
        <v>210657626</v>
      </c>
      <c r="CL12">
        <v>107186</v>
      </c>
      <c r="CM12">
        <v>1207758</v>
      </c>
      <c r="CN12">
        <v>679464</v>
      </c>
      <c r="CO12">
        <v>79476607</v>
      </c>
      <c r="CP12">
        <v>37900</v>
      </c>
      <c r="CQ12">
        <v>4003346</v>
      </c>
      <c r="CR12">
        <v>1786763</v>
      </c>
      <c r="CS12">
        <v>231033855</v>
      </c>
      <c r="CT12">
        <v>150439</v>
      </c>
      <c r="CU12" t="s">
        <v>73</v>
      </c>
      <c r="CV12" t="s">
        <v>73</v>
      </c>
      <c r="CW12" t="s">
        <v>73</v>
      </c>
      <c r="CX12" t="s">
        <v>73</v>
      </c>
      <c r="CY12">
        <v>2246417</v>
      </c>
      <c r="CZ12">
        <v>2966033</v>
      </c>
      <c r="DA12">
        <v>392499878</v>
      </c>
      <c r="DB12">
        <v>100658</v>
      </c>
      <c r="DC12">
        <v>4988597</v>
      </c>
      <c r="DD12">
        <v>4893692</v>
      </c>
      <c r="DE12">
        <v>45794</v>
      </c>
      <c r="DF12">
        <v>561583</v>
      </c>
      <c r="DG12">
        <v>263930</v>
      </c>
      <c r="DH12">
        <v>75970337</v>
      </c>
      <c r="DI12">
        <v>10708</v>
      </c>
      <c r="DJ12">
        <v>276076</v>
      </c>
      <c r="DK12">
        <v>256436</v>
      </c>
      <c r="DL12">
        <v>32735163</v>
      </c>
      <c r="DM12">
        <v>27543</v>
      </c>
      <c r="DN12">
        <v>50506</v>
      </c>
      <c r="DO12">
        <v>40744</v>
      </c>
      <c r="DP12">
        <v>11672655</v>
      </c>
      <c r="DQ12">
        <v>5844</v>
      </c>
      <c r="DR12">
        <v>96474</v>
      </c>
      <c r="DS12">
        <v>54615</v>
      </c>
      <c r="DT12">
        <v>9596995</v>
      </c>
      <c r="DU12">
        <v>4204</v>
      </c>
      <c r="DV12" t="s">
        <v>73</v>
      </c>
      <c r="DW12" t="s">
        <v>73</v>
      </c>
      <c r="DX12" t="s">
        <v>73</v>
      </c>
      <c r="DY12" t="s">
        <v>73</v>
      </c>
      <c r="DZ12">
        <v>3092412</v>
      </c>
      <c r="EA12">
        <v>161994</v>
      </c>
      <c r="EB12">
        <v>9211292</v>
      </c>
      <c r="EC12">
        <v>35326</v>
      </c>
      <c r="ED12">
        <v>4123256</v>
      </c>
      <c r="EE12">
        <v>3957037</v>
      </c>
      <c r="EF12">
        <v>50065</v>
      </c>
      <c r="EG12">
        <v>293370</v>
      </c>
      <c r="EH12">
        <v>257044</v>
      </c>
      <c r="EI12">
        <v>58127061</v>
      </c>
      <c r="EJ12">
        <v>13539</v>
      </c>
      <c r="EK12">
        <v>207544</v>
      </c>
      <c r="EL12">
        <v>179236</v>
      </c>
      <c r="EM12">
        <v>56487452</v>
      </c>
      <c r="EN12">
        <v>26139</v>
      </c>
      <c r="EO12">
        <v>96716</v>
      </c>
      <c r="EP12">
        <v>74606</v>
      </c>
      <c r="EQ12">
        <v>19482969</v>
      </c>
      <c r="ER12">
        <v>8944</v>
      </c>
      <c r="ES12">
        <v>167174</v>
      </c>
      <c r="ET12">
        <v>165649</v>
      </c>
      <c r="EU12">
        <v>29125817</v>
      </c>
      <c r="EV12">
        <v>10405</v>
      </c>
      <c r="EW12">
        <v>286293</v>
      </c>
      <c r="EX12">
        <v>137652</v>
      </c>
      <c r="EY12">
        <v>49082961</v>
      </c>
      <c r="EZ12">
        <v>17382</v>
      </c>
      <c r="FA12">
        <v>43182</v>
      </c>
      <c r="FB12">
        <v>43054</v>
      </c>
      <c r="FC12">
        <v>19316760</v>
      </c>
      <c r="FD12">
        <v>2950</v>
      </c>
      <c r="FE12">
        <v>302855</v>
      </c>
      <c r="FF12">
        <v>251685</v>
      </c>
      <c r="FG12">
        <v>60311586</v>
      </c>
      <c r="FH12">
        <v>19475</v>
      </c>
      <c r="FI12">
        <v>237501</v>
      </c>
      <c r="FJ12">
        <v>211501</v>
      </c>
      <c r="FK12">
        <v>60275760</v>
      </c>
      <c r="FL12">
        <v>17933</v>
      </c>
      <c r="FM12">
        <v>152587</v>
      </c>
      <c r="FN12">
        <v>148986</v>
      </c>
      <c r="FO12">
        <v>21229769</v>
      </c>
      <c r="FP12">
        <v>13084</v>
      </c>
      <c r="FQ12">
        <v>385283</v>
      </c>
      <c r="FR12">
        <v>127853</v>
      </c>
      <c r="FS12">
        <v>14240495</v>
      </c>
      <c r="FT12">
        <v>8539</v>
      </c>
      <c r="FU12">
        <v>193886</v>
      </c>
      <c r="FV12">
        <v>193040</v>
      </c>
      <c r="FW12">
        <v>28716014</v>
      </c>
      <c r="FX12">
        <v>13351</v>
      </c>
      <c r="FY12">
        <v>2373567</v>
      </c>
      <c r="FZ12">
        <v>1984132</v>
      </c>
      <c r="GA12">
        <v>21649</v>
      </c>
      <c r="GB12">
        <v>682508</v>
      </c>
      <c r="GC12">
        <v>507470</v>
      </c>
      <c r="GD12">
        <v>18223</v>
      </c>
      <c r="GE12">
        <v>3455501</v>
      </c>
      <c r="GF12">
        <v>1378573</v>
      </c>
      <c r="GG12">
        <v>47454</v>
      </c>
    </row>
    <row r="13" spans="1:189" x14ac:dyDescent="0.4">
      <c r="A13" s="1" t="s">
        <v>14</v>
      </c>
      <c r="B13" s="3" t="s">
        <v>15</v>
      </c>
      <c r="C13">
        <v>1204953</v>
      </c>
      <c r="D13">
        <v>1212174</v>
      </c>
      <c r="E13">
        <v>296032953</v>
      </c>
      <c r="F13">
        <v>234266</v>
      </c>
      <c r="G13">
        <v>654489</v>
      </c>
      <c r="H13">
        <v>657427</v>
      </c>
      <c r="I13">
        <v>142909571</v>
      </c>
      <c r="J13">
        <v>167808</v>
      </c>
      <c r="K13">
        <v>131451</v>
      </c>
      <c r="L13">
        <v>129329</v>
      </c>
      <c r="M13">
        <v>36753784</v>
      </c>
      <c r="N13">
        <v>27837</v>
      </c>
      <c r="O13">
        <v>508276</v>
      </c>
      <c r="P13">
        <v>493245</v>
      </c>
      <c r="Q13">
        <v>99503938</v>
      </c>
      <c r="R13">
        <v>65906</v>
      </c>
      <c r="S13">
        <v>85863</v>
      </c>
      <c r="T13">
        <v>83857</v>
      </c>
      <c r="U13">
        <v>22890922</v>
      </c>
      <c r="V13">
        <v>6338</v>
      </c>
      <c r="W13">
        <v>303175</v>
      </c>
      <c r="X13">
        <v>273828</v>
      </c>
      <c r="Y13">
        <v>104342379</v>
      </c>
      <c r="Z13">
        <v>76593</v>
      </c>
      <c r="AA13">
        <v>2037468</v>
      </c>
      <c r="AB13">
        <v>2019024</v>
      </c>
      <c r="AC13">
        <v>446597869</v>
      </c>
      <c r="AD13">
        <v>393373</v>
      </c>
      <c r="AE13">
        <v>86934</v>
      </c>
      <c r="AF13">
        <v>90611</v>
      </c>
      <c r="AG13">
        <v>36525220</v>
      </c>
      <c r="AH13">
        <v>33144</v>
      </c>
      <c r="AI13">
        <v>202303</v>
      </c>
      <c r="AJ13">
        <v>192950</v>
      </c>
      <c r="AK13">
        <v>71025547</v>
      </c>
      <c r="AL13">
        <v>67302</v>
      </c>
      <c r="AM13">
        <v>101662</v>
      </c>
      <c r="AN13">
        <v>100290</v>
      </c>
      <c r="AO13">
        <v>29915270</v>
      </c>
      <c r="AP13">
        <v>30548</v>
      </c>
      <c r="AQ13">
        <v>92982</v>
      </c>
      <c r="AR13">
        <v>94800</v>
      </c>
      <c r="AS13">
        <v>39451909</v>
      </c>
      <c r="AT13">
        <v>6018</v>
      </c>
      <c r="AU13" t="s">
        <v>73</v>
      </c>
      <c r="AV13" t="s">
        <v>73</v>
      </c>
      <c r="AW13" t="s">
        <v>73</v>
      </c>
      <c r="AX13" t="s">
        <v>73</v>
      </c>
      <c r="AY13">
        <v>113319</v>
      </c>
      <c r="AZ13">
        <v>106520</v>
      </c>
      <c r="BA13">
        <v>81115552</v>
      </c>
      <c r="BB13">
        <v>35994</v>
      </c>
      <c r="BC13">
        <v>283427</v>
      </c>
      <c r="BD13">
        <v>278598</v>
      </c>
      <c r="BE13">
        <v>88100867</v>
      </c>
      <c r="BF13">
        <v>63608</v>
      </c>
      <c r="BG13" t="s">
        <v>73</v>
      </c>
      <c r="BH13" t="s">
        <v>73</v>
      </c>
      <c r="BI13" t="s">
        <v>73</v>
      </c>
      <c r="BJ13" t="s">
        <v>73</v>
      </c>
      <c r="BK13">
        <v>154983</v>
      </c>
      <c r="BL13">
        <v>126579</v>
      </c>
      <c r="BM13">
        <v>85806250</v>
      </c>
      <c r="BN13">
        <v>34357</v>
      </c>
      <c r="BO13">
        <v>1331911</v>
      </c>
      <c r="BP13">
        <v>1271581</v>
      </c>
      <c r="BQ13">
        <v>207598947</v>
      </c>
      <c r="BR13">
        <v>42206</v>
      </c>
      <c r="BS13">
        <v>327716</v>
      </c>
      <c r="BT13">
        <v>204680</v>
      </c>
      <c r="BU13">
        <v>64959561</v>
      </c>
      <c r="BV13">
        <v>9531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 t="s">
        <v>73</v>
      </c>
      <c r="CE13" t="s">
        <v>73</v>
      </c>
      <c r="CF13" t="s">
        <v>73</v>
      </c>
      <c r="CG13" t="s">
        <v>73</v>
      </c>
      <c r="CH13" t="s">
        <v>73</v>
      </c>
      <c r="CI13">
        <v>2725031</v>
      </c>
      <c r="CJ13">
        <v>1767852</v>
      </c>
      <c r="CK13">
        <v>181116133</v>
      </c>
      <c r="CL13">
        <v>96322</v>
      </c>
      <c r="CM13">
        <v>1099881</v>
      </c>
      <c r="CN13">
        <v>662612</v>
      </c>
      <c r="CO13">
        <v>69060205</v>
      </c>
      <c r="CP13">
        <v>50750</v>
      </c>
      <c r="CQ13">
        <v>3643271</v>
      </c>
      <c r="CR13">
        <v>1529377</v>
      </c>
      <c r="CS13">
        <v>181131000</v>
      </c>
      <c r="CT13">
        <v>131895</v>
      </c>
      <c r="CU13" t="s">
        <v>73</v>
      </c>
      <c r="CV13" t="s">
        <v>73</v>
      </c>
      <c r="CW13" t="s">
        <v>73</v>
      </c>
      <c r="CX13" t="s">
        <v>73</v>
      </c>
      <c r="CY13">
        <v>2175851</v>
      </c>
      <c r="CZ13">
        <v>2734949</v>
      </c>
      <c r="DA13">
        <v>337452613</v>
      </c>
      <c r="DB13">
        <v>94203</v>
      </c>
      <c r="DC13">
        <v>5143764</v>
      </c>
      <c r="DD13">
        <v>4960005</v>
      </c>
      <c r="DE13">
        <v>40268</v>
      </c>
      <c r="DF13">
        <v>541976</v>
      </c>
      <c r="DG13">
        <v>240317</v>
      </c>
      <c r="DH13">
        <v>69097809</v>
      </c>
      <c r="DI13">
        <v>10827</v>
      </c>
      <c r="DJ13">
        <v>284638</v>
      </c>
      <c r="DK13">
        <v>269094</v>
      </c>
      <c r="DL13">
        <v>33485715</v>
      </c>
      <c r="DM13">
        <v>33469</v>
      </c>
      <c r="DN13">
        <v>51673</v>
      </c>
      <c r="DO13">
        <v>41572</v>
      </c>
      <c r="DP13">
        <v>11469801</v>
      </c>
      <c r="DQ13">
        <v>6549</v>
      </c>
      <c r="DR13">
        <v>101809</v>
      </c>
      <c r="DS13">
        <v>59081</v>
      </c>
      <c r="DT13">
        <v>9593490</v>
      </c>
      <c r="DU13">
        <v>5592</v>
      </c>
      <c r="DV13" t="s">
        <v>73</v>
      </c>
      <c r="DW13" t="s">
        <v>73</v>
      </c>
      <c r="DX13" t="s">
        <v>73</v>
      </c>
      <c r="DY13" t="s">
        <v>73</v>
      </c>
      <c r="DZ13">
        <v>3125122</v>
      </c>
      <c r="EA13">
        <v>58477</v>
      </c>
      <c r="EB13">
        <v>2533848</v>
      </c>
      <c r="EC13">
        <v>35512</v>
      </c>
      <c r="ED13">
        <v>4137137</v>
      </c>
      <c r="EE13">
        <v>3966967</v>
      </c>
      <c r="EF13">
        <v>53736</v>
      </c>
      <c r="EG13">
        <v>320376</v>
      </c>
      <c r="EH13">
        <v>252576</v>
      </c>
      <c r="EI13">
        <v>52794718</v>
      </c>
      <c r="EJ13">
        <v>21612</v>
      </c>
      <c r="EK13">
        <v>210891</v>
      </c>
      <c r="EL13">
        <v>178190</v>
      </c>
      <c r="EM13">
        <v>56162388</v>
      </c>
      <c r="EN13">
        <v>29413</v>
      </c>
      <c r="EO13">
        <v>110442</v>
      </c>
      <c r="EP13">
        <v>89080</v>
      </c>
      <c r="EQ13">
        <v>23784816</v>
      </c>
      <c r="ER13">
        <v>8669</v>
      </c>
      <c r="ES13">
        <v>177628</v>
      </c>
      <c r="ET13">
        <v>176177</v>
      </c>
      <c r="EU13">
        <v>28970303</v>
      </c>
      <c r="EV13">
        <v>11058</v>
      </c>
      <c r="EW13">
        <v>254137</v>
      </c>
      <c r="EX13">
        <v>116281</v>
      </c>
      <c r="EY13">
        <v>34458468</v>
      </c>
      <c r="EZ13">
        <v>18304</v>
      </c>
      <c r="FA13" t="s">
        <v>73</v>
      </c>
      <c r="FB13" t="s">
        <v>73</v>
      </c>
      <c r="FC13" t="s">
        <v>73</v>
      </c>
      <c r="FD13" t="s">
        <v>73</v>
      </c>
      <c r="FE13">
        <v>234814</v>
      </c>
      <c r="FF13">
        <v>197810</v>
      </c>
      <c r="FG13">
        <v>46749340</v>
      </c>
      <c r="FH13">
        <v>13607</v>
      </c>
      <c r="FI13">
        <v>228075</v>
      </c>
      <c r="FJ13">
        <v>203344</v>
      </c>
      <c r="FK13">
        <v>55511320</v>
      </c>
      <c r="FL13">
        <v>16416</v>
      </c>
      <c r="FM13">
        <v>142447</v>
      </c>
      <c r="FN13">
        <v>143752</v>
      </c>
      <c r="FO13">
        <v>20719193</v>
      </c>
      <c r="FP13">
        <v>12297</v>
      </c>
      <c r="FQ13">
        <v>406227</v>
      </c>
      <c r="FR13">
        <v>97118</v>
      </c>
      <c r="FS13">
        <v>12553674</v>
      </c>
      <c r="FT13">
        <v>9559</v>
      </c>
      <c r="FU13">
        <v>209970</v>
      </c>
      <c r="FV13">
        <v>210868</v>
      </c>
      <c r="FW13">
        <v>30331371</v>
      </c>
      <c r="FX13">
        <v>11282</v>
      </c>
      <c r="FY13">
        <v>2413275</v>
      </c>
      <c r="FZ13">
        <v>2020776</v>
      </c>
      <c r="GA13">
        <v>20231</v>
      </c>
      <c r="GB13">
        <v>706872</v>
      </c>
      <c r="GC13">
        <v>486363</v>
      </c>
      <c r="GD13">
        <v>19669</v>
      </c>
      <c r="GE13">
        <v>3697792</v>
      </c>
      <c r="GF13">
        <v>1315482</v>
      </c>
      <c r="GG13">
        <v>48254</v>
      </c>
    </row>
    <row r="14" spans="1:189" x14ac:dyDescent="0.4">
      <c r="A14" s="1" t="s">
        <v>16</v>
      </c>
      <c r="B14" s="1" t="s">
        <v>17</v>
      </c>
      <c r="C14">
        <v>90838</v>
      </c>
      <c r="D14">
        <v>99967</v>
      </c>
      <c r="E14">
        <v>23535467</v>
      </c>
      <c r="F14">
        <v>260046</v>
      </c>
      <c r="G14">
        <v>49345</v>
      </c>
      <c r="H14">
        <v>63039</v>
      </c>
      <c r="I14">
        <v>13298864</v>
      </c>
      <c r="J14">
        <v>137458</v>
      </c>
      <c r="K14">
        <v>7188</v>
      </c>
      <c r="L14">
        <v>9874</v>
      </c>
      <c r="M14">
        <v>2290853</v>
      </c>
      <c r="N14">
        <v>29257</v>
      </c>
      <c r="O14">
        <v>53074</v>
      </c>
      <c r="P14">
        <v>48279</v>
      </c>
      <c r="Q14">
        <v>9849409</v>
      </c>
      <c r="R14">
        <v>73321</v>
      </c>
      <c r="S14">
        <v>6953</v>
      </c>
      <c r="T14">
        <v>8214</v>
      </c>
      <c r="U14">
        <v>2170591</v>
      </c>
      <c r="V14">
        <v>8903</v>
      </c>
      <c r="W14">
        <v>16293</v>
      </c>
      <c r="X14">
        <v>23195</v>
      </c>
      <c r="Y14">
        <v>8505541</v>
      </c>
      <c r="Z14">
        <v>68690</v>
      </c>
      <c r="AA14">
        <v>174911</v>
      </c>
      <c r="AB14">
        <v>173817</v>
      </c>
      <c r="AC14">
        <v>37162235</v>
      </c>
      <c r="AD14">
        <v>398746</v>
      </c>
      <c r="AE14">
        <v>8583</v>
      </c>
      <c r="AF14">
        <v>8918</v>
      </c>
      <c r="AG14">
        <v>2772743</v>
      </c>
      <c r="AH14">
        <v>29098</v>
      </c>
      <c r="AI14">
        <v>6269</v>
      </c>
      <c r="AJ14">
        <v>17004</v>
      </c>
      <c r="AK14">
        <v>5903651</v>
      </c>
      <c r="AL14">
        <v>56923</v>
      </c>
      <c r="AM14">
        <v>2217</v>
      </c>
      <c r="AN14">
        <v>10133</v>
      </c>
      <c r="AO14">
        <v>2933422</v>
      </c>
      <c r="AP14">
        <v>31161</v>
      </c>
      <c r="AQ14">
        <v>7274</v>
      </c>
      <c r="AR14">
        <v>7345</v>
      </c>
      <c r="AS14">
        <v>2985518</v>
      </c>
      <c r="AT14">
        <v>6507</v>
      </c>
      <c r="AU14" t="s">
        <v>73</v>
      </c>
      <c r="AV14" t="s">
        <v>73</v>
      </c>
      <c r="AW14" t="s">
        <v>73</v>
      </c>
      <c r="AX14" t="s">
        <v>73</v>
      </c>
      <c r="AY14">
        <v>10735</v>
      </c>
      <c r="AZ14">
        <v>7565</v>
      </c>
      <c r="BA14">
        <v>5435342</v>
      </c>
      <c r="BB14">
        <v>29849</v>
      </c>
      <c r="BC14">
        <v>19233</v>
      </c>
      <c r="BD14">
        <v>24445</v>
      </c>
      <c r="BE14">
        <v>7312409</v>
      </c>
      <c r="BF14">
        <v>54290</v>
      </c>
      <c r="BG14" t="s">
        <v>73</v>
      </c>
      <c r="BH14" t="s">
        <v>73</v>
      </c>
      <c r="BI14" t="s">
        <v>73</v>
      </c>
      <c r="BJ14" t="s">
        <v>73</v>
      </c>
      <c r="BK14">
        <v>17194</v>
      </c>
      <c r="BL14">
        <v>11401</v>
      </c>
      <c r="BM14">
        <v>7311212</v>
      </c>
      <c r="BN14">
        <v>45810</v>
      </c>
      <c r="BO14">
        <v>101195</v>
      </c>
      <c r="BP14">
        <v>109021</v>
      </c>
      <c r="BQ14">
        <v>18100195</v>
      </c>
      <c r="BR14">
        <v>47014</v>
      </c>
      <c r="BS14">
        <v>36330</v>
      </c>
      <c r="BT14">
        <v>28796</v>
      </c>
      <c r="BU14">
        <v>10537247</v>
      </c>
      <c r="BV14">
        <v>16038</v>
      </c>
      <c r="BW14">
        <v>17903</v>
      </c>
      <c r="BX14">
        <v>17964</v>
      </c>
      <c r="BY14">
        <v>5078948</v>
      </c>
      <c r="BZ14">
        <v>18849</v>
      </c>
      <c r="CA14" t="s">
        <v>73</v>
      </c>
      <c r="CB14" t="s">
        <v>73</v>
      </c>
      <c r="CC14" t="s">
        <v>73</v>
      </c>
      <c r="CD14" t="s">
        <v>73</v>
      </c>
      <c r="CE14" t="s">
        <v>73</v>
      </c>
      <c r="CF14" t="s">
        <v>73</v>
      </c>
      <c r="CG14" t="s">
        <v>73</v>
      </c>
      <c r="CH14" t="s">
        <v>73</v>
      </c>
      <c r="CI14">
        <v>220982</v>
      </c>
      <c r="CJ14">
        <v>136010</v>
      </c>
      <c r="CK14">
        <v>17063352</v>
      </c>
      <c r="CL14">
        <v>128559</v>
      </c>
      <c r="CM14">
        <v>91428</v>
      </c>
      <c r="CN14">
        <v>59258</v>
      </c>
      <c r="CO14">
        <v>7143559</v>
      </c>
      <c r="CP14">
        <v>50549</v>
      </c>
      <c r="CQ14">
        <v>345266</v>
      </c>
      <c r="CR14">
        <v>185498</v>
      </c>
      <c r="CS14">
        <v>23868037</v>
      </c>
      <c r="CT14">
        <v>150356</v>
      </c>
      <c r="CU14" t="s">
        <v>73</v>
      </c>
      <c r="CV14" t="s">
        <v>73</v>
      </c>
      <c r="CW14" t="s">
        <v>73</v>
      </c>
      <c r="CX14" t="s">
        <v>73</v>
      </c>
      <c r="CY14">
        <v>182559</v>
      </c>
      <c r="CZ14">
        <v>260384</v>
      </c>
      <c r="DA14">
        <v>36076761</v>
      </c>
      <c r="DB14">
        <v>102818</v>
      </c>
      <c r="DC14">
        <v>407213</v>
      </c>
      <c r="DD14">
        <v>411388</v>
      </c>
      <c r="DE14">
        <v>39391</v>
      </c>
      <c r="DF14">
        <v>39311</v>
      </c>
      <c r="DG14">
        <v>22166</v>
      </c>
      <c r="DH14">
        <v>6567970</v>
      </c>
      <c r="DI14">
        <v>8256</v>
      </c>
      <c r="DJ14">
        <v>19927</v>
      </c>
      <c r="DK14">
        <v>18114</v>
      </c>
      <c r="DL14">
        <v>2311683</v>
      </c>
      <c r="DM14">
        <v>35946</v>
      </c>
      <c r="DN14">
        <v>904</v>
      </c>
      <c r="DO14">
        <v>2542</v>
      </c>
      <c r="DP14">
        <v>836668</v>
      </c>
      <c r="DQ14">
        <v>4927</v>
      </c>
      <c r="DR14">
        <v>2085</v>
      </c>
      <c r="DS14">
        <v>3419</v>
      </c>
      <c r="DT14">
        <v>606882</v>
      </c>
      <c r="DU14">
        <v>2810</v>
      </c>
      <c r="DV14" t="s">
        <v>73</v>
      </c>
      <c r="DW14" t="s">
        <v>73</v>
      </c>
      <c r="DX14" t="s">
        <v>73</v>
      </c>
      <c r="DY14" t="s">
        <v>73</v>
      </c>
      <c r="DZ14">
        <v>282672</v>
      </c>
      <c r="EA14">
        <v>4730</v>
      </c>
      <c r="EB14">
        <v>235952</v>
      </c>
      <c r="EC14">
        <v>34717</v>
      </c>
      <c r="ED14">
        <v>337943</v>
      </c>
      <c r="EE14">
        <v>327087</v>
      </c>
      <c r="EF14">
        <v>50417</v>
      </c>
      <c r="EG14">
        <v>19683</v>
      </c>
      <c r="EH14">
        <v>20850</v>
      </c>
      <c r="EI14">
        <v>4509377</v>
      </c>
      <c r="EJ14">
        <v>13309</v>
      </c>
      <c r="EK14">
        <v>15767</v>
      </c>
      <c r="EL14">
        <v>13899</v>
      </c>
      <c r="EM14">
        <v>4194532</v>
      </c>
      <c r="EN14">
        <v>30094</v>
      </c>
      <c r="EO14">
        <v>5443</v>
      </c>
      <c r="EP14">
        <v>5867</v>
      </c>
      <c r="EQ14">
        <v>1520302</v>
      </c>
      <c r="ER14">
        <v>8189</v>
      </c>
      <c r="ES14">
        <v>11001</v>
      </c>
      <c r="ET14">
        <v>12390</v>
      </c>
      <c r="EU14">
        <v>2147716</v>
      </c>
      <c r="EV14">
        <v>11521</v>
      </c>
      <c r="EW14">
        <v>25604</v>
      </c>
      <c r="EX14">
        <v>12127</v>
      </c>
      <c r="EY14">
        <v>4903740</v>
      </c>
      <c r="EZ14">
        <v>13818</v>
      </c>
      <c r="FA14">
        <v>2407</v>
      </c>
      <c r="FB14">
        <v>2807</v>
      </c>
      <c r="FC14">
        <v>1211498</v>
      </c>
      <c r="FD14">
        <v>2373</v>
      </c>
      <c r="FE14">
        <v>27703</v>
      </c>
      <c r="FF14">
        <v>23510</v>
      </c>
      <c r="FG14">
        <v>5391392</v>
      </c>
      <c r="FH14">
        <v>18982</v>
      </c>
      <c r="FI14">
        <v>18626</v>
      </c>
      <c r="FJ14">
        <v>18212</v>
      </c>
      <c r="FK14">
        <v>5077218</v>
      </c>
      <c r="FL14">
        <v>16555</v>
      </c>
      <c r="FM14">
        <v>11200</v>
      </c>
      <c r="FN14">
        <v>13493</v>
      </c>
      <c r="FO14">
        <v>2442513</v>
      </c>
      <c r="FP14">
        <v>8379</v>
      </c>
      <c r="FQ14">
        <v>34666</v>
      </c>
      <c r="FR14">
        <v>5367</v>
      </c>
      <c r="FS14">
        <v>836554</v>
      </c>
      <c r="FT14">
        <v>7194</v>
      </c>
      <c r="FU14">
        <v>23283</v>
      </c>
      <c r="FV14">
        <v>22186</v>
      </c>
      <c r="FW14">
        <v>3312226</v>
      </c>
      <c r="FX14">
        <v>14866</v>
      </c>
      <c r="FY14">
        <v>201170</v>
      </c>
      <c r="FZ14">
        <v>161875</v>
      </c>
      <c r="GA14">
        <v>21665</v>
      </c>
      <c r="GB14">
        <v>52440</v>
      </c>
      <c r="GC14">
        <v>38824</v>
      </c>
      <c r="GD14">
        <v>21244</v>
      </c>
      <c r="GE14">
        <v>280810</v>
      </c>
      <c r="GF14">
        <v>107894</v>
      </c>
      <c r="GG14">
        <v>41762</v>
      </c>
    </row>
    <row r="15" spans="1:189" x14ac:dyDescent="0.4">
      <c r="A15" s="1" t="s">
        <v>18</v>
      </c>
      <c r="B15" s="1" t="s">
        <v>19</v>
      </c>
      <c r="C15">
        <v>93670</v>
      </c>
      <c r="D15">
        <v>112177</v>
      </c>
      <c r="E15">
        <v>27583468</v>
      </c>
      <c r="F15">
        <v>242181</v>
      </c>
      <c r="G15">
        <v>50760</v>
      </c>
      <c r="H15">
        <v>60606</v>
      </c>
      <c r="I15">
        <v>13176134</v>
      </c>
      <c r="J15">
        <v>129667</v>
      </c>
      <c r="K15">
        <v>12196</v>
      </c>
      <c r="L15">
        <v>14688</v>
      </c>
      <c r="M15">
        <v>4058732</v>
      </c>
      <c r="N15">
        <v>26761</v>
      </c>
      <c r="O15">
        <v>41005</v>
      </c>
      <c r="P15">
        <v>44182</v>
      </c>
      <c r="Q15">
        <v>9235411</v>
      </c>
      <c r="R15">
        <v>68955</v>
      </c>
      <c r="S15">
        <v>6246</v>
      </c>
      <c r="T15">
        <v>5959</v>
      </c>
      <c r="U15">
        <v>1633829</v>
      </c>
      <c r="V15">
        <v>8919</v>
      </c>
      <c r="W15">
        <v>30112</v>
      </c>
      <c r="X15">
        <v>26077</v>
      </c>
      <c r="Y15">
        <v>9354656</v>
      </c>
      <c r="Z15">
        <v>70780</v>
      </c>
      <c r="AA15">
        <v>173712</v>
      </c>
      <c r="AB15">
        <v>186199</v>
      </c>
      <c r="AC15">
        <v>40595519</v>
      </c>
      <c r="AD15">
        <v>388803</v>
      </c>
      <c r="AE15">
        <v>6140</v>
      </c>
      <c r="AF15">
        <v>8279</v>
      </c>
      <c r="AG15">
        <v>3119982</v>
      </c>
      <c r="AH15">
        <v>26959</v>
      </c>
      <c r="AI15">
        <v>11159</v>
      </c>
      <c r="AJ15">
        <v>17154</v>
      </c>
      <c r="AK15">
        <v>6232091</v>
      </c>
      <c r="AL15">
        <v>50918</v>
      </c>
      <c r="AM15">
        <v>12777</v>
      </c>
      <c r="AN15">
        <v>8691</v>
      </c>
      <c r="AO15">
        <v>2595335</v>
      </c>
      <c r="AP15">
        <v>34170</v>
      </c>
      <c r="AQ15">
        <v>8849</v>
      </c>
      <c r="AR15">
        <v>8538</v>
      </c>
      <c r="AS15">
        <v>3848995</v>
      </c>
      <c r="AT15">
        <v>6787</v>
      </c>
      <c r="AU15" t="s">
        <v>73</v>
      </c>
      <c r="AV15" t="s">
        <v>73</v>
      </c>
      <c r="AW15" t="s">
        <v>73</v>
      </c>
      <c r="AX15" t="s">
        <v>73</v>
      </c>
      <c r="AY15">
        <v>10326</v>
      </c>
      <c r="AZ15">
        <v>9886</v>
      </c>
      <c r="BA15">
        <v>6814875</v>
      </c>
      <c r="BB15">
        <v>30289</v>
      </c>
      <c r="BC15">
        <v>25089</v>
      </c>
      <c r="BD15">
        <v>24187</v>
      </c>
      <c r="BE15">
        <v>7376437</v>
      </c>
      <c r="BF15">
        <v>54654</v>
      </c>
      <c r="BG15" t="s">
        <v>73</v>
      </c>
      <c r="BH15" t="s">
        <v>73</v>
      </c>
      <c r="BI15" t="s">
        <v>73</v>
      </c>
      <c r="BJ15" t="s">
        <v>73</v>
      </c>
      <c r="BK15">
        <v>7299</v>
      </c>
      <c r="BL15">
        <v>12608</v>
      </c>
      <c r="BM15">
        <v>7471568</v>
      </c>
      <c r="BN15">
        <v>40451</v>
      </c>
      <c r="BO15">
        <v>88828</v>
      </c>
      <c r="BP15">
        <v>99524</v>
      </c>
      <c r="BQ15">
        <v>16717108</v>
      </c>
      <c r="BR15">
        <v>29818</v>
      </c>
      <c r="BS15">
        <v>42614</v>
      </c>
      <c r="BT15">
        <v>26928</v>
      </c>
      <c r="BU15">
        <v>10749429</v>
      </c>
      <c r="BV15">
        <v>19336</v>
      </c>
      <c r="BW15">
        <v>19912</v>
      </c>
      <c r="BX15">
        <v>13122</v>
      </c>
      <c r="BY15">
        <v>4387738</v>
      </c>
      <c r="BZ15">
        <v>22008</v>
      </c>
      <c r="CA15" t="s">
        <v>73</v>
      </c>
      <c r="CB15" t="s">
        <v>73</v>
      </c>
      <c r="CC15" t="s">
        <v>73</v>
      </c>
      <c r="CD15" t="s">
        <v>73</v>
      </c>
      <c r="CE15" t="s">
        <v>73</v>
      </c>
      <c r="CF15" t="s">
        <v>73</v>
      </c>
      <c r="CG15" t="s">
        <v>73</v>
      </c>
      <c r="CH15" t="s">
        <v>73</v>
      </c>
      <c r="CI15">
        <v>222968</v>
      </c>
      <c r="CJ15">
        <v>150892</v>
      </c>
      <c r="CK15">
        <v>20879498</v>
      </c>
      <c r="CL15">
        <v>126272</v>
      </c>
      <c r="CM15">
        <v>90440</v>
      </c>
      <c r="CN15">
        <v>52343</v>
      </c>
      <c r="CO15">
        <v>6513022</v>
      </c>
      <c r="CP15">
        <v>47304</v>
      </c>
      <c r="CQ15">
        <v>348194</v>
      </c>
      <c r="CR15">
        <v>172201</v>
      </c>
      <c r="CS15">
        <v>22573641</v>
      </c>
      <c r="CT15">
        <v>121257</v>
      </c>
      <c r="CU15" t="s">
        <v>73</v>
      </c>
      <c r="CV15" t="s">
        <v>73</v>
      </c>
      <c r="CW15" t="s">
        <v>73</v>
      </c>
      <c r="CX15" t="s">
        <v>73</v>
      </c>
      <c r="CY15">
        <v>186310</v>
      </c>
      <c r="CZ15">
        <v>255529</v>
      </c>
      <c r="DA15">
        <v>36374401</v>
      </c>
      <c r="DB15">
        <v>96769</v>
      </c>
      <c r="DC15">
        <v>394919</v>
      </c>
      <c r="DD15">
        <v>365595</v>
      </c>
      <c r="DE15">
        <v>43693</v>
      </c>
      <c r="DF15">
        <v>41784</v>
      </c>
      <c r="DG15">
        <v>25851</v>
      </c>
      <c r="DH15">
        <v>7338571</v>
      </c>
      <c r="DI15">
        <v>10681</v>
      </c>
      <c r="DJ15">
        <v>19442</v>
      </c>
      <c r="DK15">
        <v>24368</v>
      </c>
      <c r="DL15">
        <v>3016834</v>
      </c>
      <c r="DM15">
        <v>28566</v>
      </c>
      <c r="DN15">
        <v>4095</v>
      </c>
      <c r="DO15">
        <v>2930</v>
      </c>
      <c r="DP15">
        <v>962990</v>
      </c>
      <c r="DQ15">
        <v>5133</v>
      </c>
      <c r="DR15">
        <v>5501</v>
      </c>
      <c r="DS15">
        <v>4540</v>
      </c>
      <c r="DT15">
        <v>787236</v>
      </c>
      <c r="DU15">
        <v>2867</v>
      </c>
      <c r="DV15" t="s">
        <v>73</v>
      </c>
      <c r="DW15" t="s">
        <v>73</v>
      </c>
      <c r="DX15" t="s">
        <v>73</v>
      </c>
      <c r="DY15" t="s">
        <v>73</v>
      </c>
      <c r="DZ15">
        <v>258280</v>
      </c>
      <c r="EA15">
        <v>9227</v>
      </c>
      <c r="EB15">
        <v>556942</v>
      </c>
      <c r="EC15">
        <v>38080</v>
      </c>
      <c r="ED15">
        <v>353452</v>
      </c>
      <c r="EE15">
        <v>312920</v>
      </c>
      <c r="EF15">
        <v>49730</v>
      </c>
      <c r="EG15">
        <v>28245</v>
      </c>
      <c r="EH15">
        <v>23647</v>
      </c>
      <c r="EI15">
        <v>5103473</v>
      </c>
      <c r="EJ15">
        <v>11929</v>
      </c>
      <c r="EK15">
        <v>20161</v>
      </c>
      <c r="EL15">
        <v>15188</v>
      </c>
      <c r="EM15">
        <v>4720377</v>
      </c>
      <c r="EN15">
        <v>32414</v>
      </c>
      <c r="EO15">
        <v>7620</v>
      </c>
      <c r="EP15">
        <v>6570</v>
      </c>
      <c r="EQ15">
        <v>1602836</v>
      </c>
      <c r="ER15">
        <v>7358</v>
      </c>
      <c r="ES15">
        <v>10396</v>
      </c>
      <c r="ET15">
        <v>12348</v>
      </c>
      <c r="EU15">
        <v>2138561</v>
      </c>
      <c r="EV15">
        <v>9554</v>
      </c>
      <c r="EW15">
        <v>31810</v>
      </c>
      <c r="EX15">
        <v>12139</v>
      </c>
      <c r="EY15">
        <v>4763551</v>
      </c>
      <c r="EZ15">
        <v>19560</v>
      </c>
      <c r="FA15">
        <v>4685</v>
      </c>
      <c r="FB15">
        <v>3890</v>
      </c>
      <c r="FC15">
        <v>1918223</v>
      </c>
      <c r="FD15">
        <v>3167</v>
      </c>
      <c r="FE15">
        <v>31186</v>
      </c>
      <c r="FF15">
        <v>27821</v>
      </c>
      <c r="FG15">
        <v>6495760</v>
      </c>
      <c r="FH15">
        <v>18998</v>
      </c>
      <c r="FI15">
        <v>19930</v>
      </c>
      <c r="FJ15">
        <v>18700</v>
      </c>
      <c r="FK15">
        <v>5398215</v>
      </c>
      <c r="FL15">
        <v>15583</v>
      </c>
      <c r="FM15">
        <v>9618</v>
      </c>
      <c r="FN15">
        <v>9530</v>
      </c>
      <c r="FO15">
        <v>1672962</v>
      </c>
      <c r="FP15">
        <v>8486</v>
      </c>
      <c r="FQ15">
        <v>29688</v>
      </c>
      <c r="FR15">
        <v>8155</v>
      </c>
      <c r="FS15">
        <v>1185909</v>
      </c>
      <c r="FT15">
        <v>7810</v>
      </c>
      <c r="FU15">
        <v>15421</v>
      </c>
      <c r="FV15">
        <v>18417</v>
      </c>
      <c r="FW15">
        <v>2742415</v>
      </c>
      <c r="FX15">
        <v>11825</v>
      </c>
      <c r="FY15">
        <v>190813</v>
      </c>
      <c r="FZ15">
        <v>155902</v>
      </c>
      <c r="GA15">
        <v>18655</v>
      </c>
      <c r="GB15">
        <v>55709</v>
      </c>
      <c r="GC15">
        <v>40212</v>
      </c>
      <c r="GD15">
        <v>19529</v>
      </c>
      <c r="GE15">
        <v>287549</v>
      </c>
      <c r="GF15">
        <v>104495</v>
      </c>
      <c r="GG15">
        <v>45677</v>
      </c>
    </row>
    <row r="16" spans="1:189" x14ac:dyDescent="0.4">
      <c r="A16" s="1" t="s">
        <v>20</v>
      </c>
      <c r="B16" s="1" t="s">
        <v>21</v>
      </c>
      <c r="C16">
        <v>107836</v>
      </c>
      <c r="D16">
        <v>97493</v>
      </c>
      <c r="E16">
        <v>22942815</v>
      </c>
      <c r="F16">
        <v>252629</v>
      </c>
      <c r="G16">
        <v>46638</v>
      </c>
      <c r="H16">
        <v>50047</v>
      </c>
      <c r="I16">
        <v>10905818</v>
      </c>
      <c r="J16">
        <v>127230</v>
      </c>
      <c r="K16">
        <v>17888</v>
      </c>
      <c r="L16">
        <v>17157</v>
      </c>
      <c r="M16">
        <v>4614662</v>
      </c>
      <c r="N16">
        <v>27489</v>
      </c>
      <c r="O16">
        <v>44814</v>
      </c>
      <c r="P16">
        <v>43681</v>
      </c>
      <c r="Q16">
        <v>9203083</v>
      </c>
      <c r="R16">
        <v>69546</v>
      </c>
      <c r="S16">
        <v>7711</v>
      </c>
      <c r="T16">
        <v>8193</v>
      </c>
      <c r="U16">
        <v>2120712</v>
      </c>
      <c r="V16">
        <v>8212</v>
      </c>
      <c r="W16">
        <v>23238</v>
      </c>
      <c r="X16">
        <v>20163</v>
      </c>
      <c r="Y16">
        <v>7443514</v>
      </c>
      <c r="Z16">
        <v>71334</v>
      </c>
      <c r="AA16">
        <v>151373</v>
      </c>
      <c r="AB16">
        <v>141573</v>
      </c>
      <c r="AC16">
        <v>30159276</v>
      </c>
      <c r="AD16">
        <v>400223</v>
      </c>
      <c r="AE16">
        <v>8151</v>
      </c>
      <c r="AF16">
        <v>7405</v>
      </c>
      <c r="AG16">
        <v>2611482</v>
      </c>
      <c r="AH16">
        <v>27704</v>
      </c>
      <c r="AI16">
        <v>19285</v>
      </c>
      <c r="AJ16">
        <v>14263</v>
      </c>
      <c r="AK16">
        <v>5273181</v>
      </c>
      <c r="AL16">
        <v>55929</v>
      </c>
      <c r="AM16">
        <v>14360</v>
      </c>
      <c r="AN16">
        <v>8772</v>
      </c>
      <c r="AO16">
        <v>2549511</v>
      </c>
      <c r="AP16">
        <v>38041</v>
      </c>
      <c r="AQ16">
        <v>8815</v>
      </c>
      <c r="AR16">
        <v>8668</v>
      </c>
      <c r="AS16">
        <v>3835349</v>
      </c>
      <c r="AT16">
        <v>6871</v>
      </c>
      <c r="AU16" t="s">
        <v>73</v>
      </c>
      <c r="AV16" t="s">
        <v>73</v>
      </c>
      <c r="AW16" t="s">
        <v>73</v>
      </c>
      <c r="AX16" t="s">
        <v>73</v>
      </c>
      <c r="AY16">
        <v>10083</v>
      </c>
      <c r="AZ16">
        <v>8563</v>
      </c>
      <c r="BA16">
        <v>5995816</v>
      </c>
      <c r="BB16">
        <v>31809</v>
      </c>
      <c r="BC16">
        <v>26372</v>
      </c>
      <c r="BD16">
        <v>21827</v>
      </c>
      <c r="BE16">
        <v>6809183</v>
      </c>
      <c r="BF16">
        <v>58524</v>
      </c>
      <c r="BG16" t="s">
        <v>73</v>
      </c>
      <c r="BH16" t="s">
        <v>73</v>
      </c>
      <c r="BI16" t="s">
        <v>73</v>
      </c>
      <c r="BJ16" t="s">
        <v>73</v>
      </c>
      <c r="BK16">
        <v>11531</v>
      </c>
      <c r="BL16">
        <v>10703</v>
      </c>
      <c r="BM16">
        <v>6675892</v>
      </c>
      <c r="BN16">
        <v>41218</v>
      </c>
      <c r="BO16">
        <v>105274</v>
      </c>
      <c r="BP16">
        <v>94869</v>
      </c>
      <c r="BQ16">
        <v>15558718</v>
      </c>
      <c r="BR16">
        <v>34532</v>
      </c>
      <c r="BS16">
        <v>21864</v>
      </c>
      <c r="BT16">
        <v>12430</v>
      </c>
      <c r="BU16">
        <v>4929378</v>
      </c>
      <c r="BV16">
        <v>21796</v>
      </c>
      <c r="BW16">
        <v>6927</v>
      </c>
      <c r="BX16">
        <v>8456</v>
      </c>
      <c r="BY16">
        <v>2554954</v>
      </c>
      <c r="BZ16">
        <v>18748</v>
      </c>
      <c r="CA16" t="s">
        <v>73</v>
      </c>
      <c r="CB16" t="s">
        <v>73</v>
      </c>
      <c r="CC16" t="s">
        <v>73</v>
      </c>
      <c r="CD16" t="s">
        <v>73</v>
      </c>
      <c r="CE16" t="s">
        <v>73</v>
      </c>
      <c r="CF16" t="s">
        <v>73</v>
      </c>
      <c r="CG16" t="s">
        <v>73</v>
      </c>
      <c r="CH16" t="s">
        <v>73</v>
      </c>
      <c r="CI16">
        <v>205804</v>
      </c>
      <c r="CJ16">
        <v>128750</v>
      </c>
      <c r="CK16">
        <v>18518211</v>
      </c>
      <c r="CL16">
        <v>118430</v>
      </c>
      <c r="CM16">
        <v>105683</v>
      </c>
      <c r="CN16">
        <v>55857</v>
      </c>
      <c r="CO16">
        <v>7271653</v>
      </c>
      <c r="CP16">
        <v>45534</v>
      </c>
      <c r="CQ16">
        <v>337374</v>
      </c>
      <c r="CR16">
        <v>133618</v>
      </c>
      <c r="CS16">
        <v>18003399</v>
      </c>
      <c r="CT16">
        <v>133516</v>
      </c>
      <c r="CU16" t="s">
        <v>73</v>
      </c>
      <c r="CV16" t="s">
        <v>73</v>
      </c>
      <c r="CW16" t="s">
        <v>73</v>
      </c>
      <c r="CX16" t="s">
        <v>73</v>
      </c>
      <c r="CY16">
        <v>169325</v>
      </c>
      <c r="CZ16">
        <v>231130</v>
      </c>
      <c r="DA16">
        <v>32920647</v>
      </c>
      <c r="DB16">
        <v>103318</v>
      </c>
      <c r="DC16">
        <v>397031</v>
      </c>
      <c r="DD16">
        <v>406637</v>
      </c>
      <c r="DE16">
        <v>49969</v>
      </c>
      <c r="DF16">
        <v>39284</v>
      </c>
      <c r="DG16">
        <v>20462</v>
      </c>
      <c r="DH16">
        <v>5843621</v>
      </c>
      <c r="DI16">
        <v>7781</v>
      </c>
      <c r="DJ16">
        <v>18156</v>
      </c>
      <c r="DK16">
        <v>17202</v>
      </c>
      <c r="DL16">
        <v>2153466</v>
      </c>
      <c r="DM16">
        <v>28500</v>
      </c>
      <c r="DN16">
        <v>3763</v>
      </c>
      <c r="DO16">
        <v>2921</v>
      </c>
      <c r="DP16">
        <v>892975</v>
      </c>
      <c r="DQ16">
        <v>5118</v>
      </c>
      <c r="DR16">
        <v>9330</v>
      </c>
      <c r="DS16">
        <v>3813</v>
      </c>
      <c r="DT16">
        <v>650413</v>
      </c>
      <c r="DU16">
        <v>4813</v>
      </c>
      <c r="DV16" t="s">
        <v>73</v>
      </c>
      <c r="DW16" t="s">
        <v>73</v>
      </c>
      <c r="DX16" t="s">
        <v>73</v>
      </c>
      <c r="DY16" t="s">
        <v>73</v>
      </c>
      <c r="DZ16">
        <v>205845</v>
      </c>
      <c r="EA16">
        <v>10947</v>
      </c>
      <c r="EB16">
        <v>650909</v>
      </c>
      <c r="EC16">
        <v>32699</v>
      </c>
      <c r="ED16">
        <v>343486</v>
      </c>
      <c r="EE16">
        <v>345621</v>
      </c>
      <c r="EF16">
        <v>52255</v>
      </c>
      <c r="EG16">
        <v>26382</v>
      </c>
      <c r="EH16">
        <v>21576</v>
      </c>
      <c r="EI16">
        <v>4622376</v>
      </c>
      <c r="EJ16">
        <v>15054</v>
      </c>
      <c r="EK16">
        <v>13218</v>
      </c>
      <c r="EL16">
        <v>13382</v>
      </c>
      <c r="EM16">
        <v>4270986</v>
      </c>
      <c r="EN16">
        <v>30028</v>
      </c>
      <c r="EO16">
        <v>7324</v>
      </c>
      <c r="EP16">
        <v>4946</v>
      </c>
      <c r="EQ16">
        <v>1453258</v>
      </c>
      <c r="ER16">
        <v>7569</v>
      </c>
      <c r="ES16">
        <v>9181</v>
      </c>
      <c r="ET16">
        <v>10017</v>
      </c>
      <c r="EU16">
        <v>1828466</v>
      </c>
      <c r="EV16">
        <v>8690</v>
      </c>
      <c r="EW16">
        <v>17454</v>
      </c>
      <c r="EX16">
        <v>11763</v>
      </c>
      <c r="EY16">
        <v>3984787</v>
      </c>
      <c r="EZ16">
        <v>15438</v>
      </c>
      <c r="FA16">
        <v>2697</v>
      </c>
      <c r="FB16">
        <v>2775</v>
      </c>
      <c r="FC16">
        <v>1273383</v>
      </c>
      <c r="FD16">
        <v>3082</v>
      </c>
      <c r="FE16">
        <v>27810</v>
      </c>
      <c r="FF16">
        <v>22970</v>
      </c>
      <c r="FG16">
        <v>5500742</v>
      </c>
      <c r="FH16">
        <v>20778</v>
      </c>
      <c r="FI16">
        <v>18972</v>
      </c>
      <c r="FJ16">
        <v>17803</v>
      </c>
      <c r="FK16">
        <v>5064715</v>
      </c>
      <c r="FL16">
        <v>15389</v>
      </c>
      <c r="FM16">
        <v>14734</v>
      </c>
      <c r="FN16">
        <v>12822</v>
      </c>
      <c r="FO16">
        <v>1615735</v>
      </c>
      <c r="FP16">
        <v>10399</v>
      </c>
      <c r="FQ16">
        <v>28495</v>
      </c>
      <c r="FR16">
        <v>10767</v>
      </c>
      <c r="FS16">
        <v>1120880</v>
      </c>
      <c r="FT16">
        <v>9525</v>
      </c>
      <c r="FU16">
        <v>12545</v>
      </c>
      <c r="FV16">
        <v>12788</v>
      </c>
      <c r="FW16">
        <v>1974026</v>
      </c>
      <c r="FX16">
        <v>10640</v>
      </c>
      <c r="FY16">
        <v>194734</v>
      </c>
      <c r="FZ16">
        <v>162375</v>
      </c>
      <c r="GA16">
        <v>21342</v>
      </c>
      <c r="GB16">
        <v>54071</v>
      </c>
      <c r="GC16">
        <v>39209</v>
      </c>
      <c r="GD16">
        <v>15834</v>
      </c>
      <c r="GE16">
        <v>269927</v>
      </c>
      <c r="GF16">
        <v>126541</v>
      </c>
      <c r="GG16">
        <v>50029</v>
      </c>
    </row>
    <row r="17" spans="1:189" x14ac:dyDescent="0.4">
      <c r="A17" s="1" t="s">
        <v>22</v>
      </c>
      <c r="B17" s="1" t="s">
        <v>23</v>
      </c>
      <c r="C17">
        <v>70777</v>
      </c>
      <c r="D17">
        <v>86504</v>
      </c>
      <c r="E17">
        <v>21196604</v>
      </c>
      <c r="F17">
        <v>236938</v>
      </c>
      <c r="G17">
        <v>44171</v>
      </c>
      <c r="H17">
        <v>45691</v>
      </c>
      <c r="I17">
        <v>9949382</v>
      </c>
      <c r="J17">
        <v>125733</v>
      </c>
      <c r="K17">
        <v>11700</v>
      </c>
      <c r="L17">
        <v>8660</v>
      </c>
      <c r="M17">
        <v>2359788</v>
      </c>
      <c r="N17">
        <v>30527</v>
      </c>
      <c r="O17">
        <v>44525</v>
      </c>
      <c r="P17">
        <v>50623</v>
      </c>
      <c r="Q17">
        <v>10656241</v>
      </c>
      <c r="R17">
        <v>62789</v>
      </c>
      <c r="S17">
        <v>7348</v>
      </c>
      <c r="T17">
        <v>7311</v>
      </c>
      <c r="U17">
        <v>1967950</v>
      </c>
      <c r="V17">
        <v>8030</v>
      </c>
      <c r="W17">
        <v>18043</v>
      </c>
      <c r="X17">
        <v>20962</v>
      </c>
      <c r="Y17">
        <v>7883238</v>
      </c>
      <c r="Z17">
        <v>66221</v>
      </c>
      <c r="AA17">
        <v>109311</v>
      </c>
      <c r="AB17">
        <v>153105</v>
      </c>
      <c r="AC17">
        <v>32505065</v>
      </c>
      <c r="AD17">
        <v>359451</v>
      </c>
      <c r="AE17">
        <v>7296</v>
      </c>
      <c r="AF17">
        <v>6631</v>
      </c>
      <c r="AG17">
        <v>2248124</v>
      </c>
      <c r="AH17">
        <v>28369</v>
      </c>
      <c r="AI17">
        <v>11865</v>
      </c>
      <c r="AJ17">
        <v>13711</v>
      </c>
      <c r="AK17">
        <v>5016499</v>
      </c>
      <c r="AL17">
        <v>54073</v>
      </c>
      <c r="AM17">
        <v>10546</v>
      </c>
      <c r="AN17">
        <v>8673</v>
      </c>
      <c r="AO17">
        <v>2571451</v>
      </c>
      <c r="AP17">
        <v>39505</v>
      </c>
      <c r="AQ17">
        <v>8621</v>
      </c>
      <c r="AR17">
        <v>8582</v>
      </c>
      <c r="AS17">
        <v>3782171</v>
      </c>
      <c r="AT17">
        <v>6850</v>
      </c>
      <c r="AU17" t="s">
        <v>73</v>
      </c>
      <c r="AV17" t="s">
        <v>73</v>
      </c>
      <c r="AW17" t="s">
        <v>73</v>
      </c>
      <c r="AX17" t="s">
        <v>73</v>
      </c>
      <c r="AY17">
        <v>6584</v>
      </c>
      <c r="AZ17">
        <v>8476</v>
      </c>
      <c r="BA17">
        <v>5919446</v>
      </c>
      <c r="BB17">
        <v>29917</v>
      </c>
      <c r="BC17">
        <v>22803</v>
      </c>
      <c r="BD17">
        <v>21060</v>
      </c>
      <c r="BE17">
        <v>6496523</v>
      </c>
      <c r="BF17">
        <v>59619</v>
      </c>
      <c r="BG17" t="s">
        <v>73</v>
      </c>
      <c r="BH17" t="s">
        <v>73</v>
      </c>
      <c r="BI17" t="s">
        <v>73</v>
      </c>
      <c r="BJ17" t="s">
        <v>73</v>
      </c>
      <c r="BK17">
        <v>12284</v>
      </c>
      <c r="BL17">
        <v>9397</v>
      </c>
      <c r="BM17">
        <v>6323554</v>
      </c>
      <c r="BN17">
        <v>41972</v>
      </c>
      <c r="BO17">
        <v>108747</v>
      </c>
      <c r="BP17">
        <v>93651</v>
      </c>
      <c r="BQ17">
        <v>15685807</v>
      </c>
      <c r="BR17">
        <v>46940</v>
      </c>
      <c r="BS17">
        <v>9488</v>
      </c>
      <c r="BT17">
        <v>12357</v>
      </c>
      <c r="BU17">
        <v>5362536</v>
      </c>
      <c r="BV17">
        <v>18014</v>
      </c>
      <c r="BW17">
        <v>2663</v>
      </c>
      <c r="BX17">
        <v>9519</v>
      </c>
      <c r="BY17">
        <v>3265736</v>
      </c>
      <c r="BZ17">
        <v>11892</v>
      </c>
      <c r="CA17" t="s">
        <v>73</v>
      </c>
      <c r="CB17" t="s">
        <v>73</v>
      </c>
      <c r="CC17" t="s">
        <v>73</v>
      </c>
      <c r="CD17" t="s">
        <v>73</v>
      </c>
      <c r="CE17" t="s">
        <v>73</v>
      </c>
      <c r="CF17" t="s">
        <v>73</v>
      </c>
      <c r="CG17" t="s">
        <v>73</v>
      </c>
      <c r="CH17" t="s">
        <v>73</v>
      </c>
      <c r="CI17">
        <v>192182</v>
      </c>
      <c r="CJ17">
        <v>118358</v>
      </c>
      <c r="CK17">
        <v>16657229</v>
      </c>
      <c r="CL17">
        <v>120677</v>
      </c>
      <c r="CM17">
        <v>102487</v>
      </c>
      <c r="CN17">
        <v>52349</v>
      </c>
      <c r="CO17">
        <v>6739642</v>
      </c>
      <c r="CP17">
        <v>48108</v>
      </c>
      <c r="CQ17">
        <v>306074</v>
      </c>
      <c r="CR17">
        <v>133063</v>
      </c>
      <c r="CS17">
        <v>17915622</v>
      </c>
      <c r="CT17">
        <v>137157</v>
      </c>
      <c r="CU17" t="s">
        <v>73</v>
      </c>
      <c r="CV17" t="s">
        <v>73</v>
      </c>
      <c r="CW17" t="s">
        <v>73</v>
      </c>
      <c r="CX17" t="s">
        <v>73</v>
      </c>
      <c r="CY17">
        <v>155773</v>
      </c>
      <c r="CZ17">
        <v>229788</v>
      </c>
      <c r="DA17">
        <v>33506123</v>
      </c>
      <c r="DB17">
        <v>95299</v>
      </c>
      <c r="DC17">
        <v>358392</v>
      </c>
      <c r="DD17">
        <v>361930</v>
      </c>
      <c r="DE17">
        <v>48388</v>
      </c>
      <c r="DF17">
        <v>38899</v>
      </c>
      <c r="DG17">
        <v>19715</v>
      </c>
      <c r="DH17">
        <v>5586896</v>
      </c>
      <c r="DI17">
        <v>6544</v>
      </c>
      <c r="DJ17">
        <v>13662</v>
      </c>
      <c r="DK17">
        <v>13987</v>
      </c>
      <c r="DL17">
        <v>1873285</v>
      </c>
      <c r="DM17">
        <v>27274</v>
      </c>
      <c r="DN17">
        <v>5616</v>
      </c>
      <c r="DO17">
        <v>4116</v>
      </c>
      <c r="DP17">
        <v>1106107</v>
      </c>
      <c r="DQ17">
        <v>5617</v>
      </c>
      <c r="DR17">
        <v>9772</v>
      </c>
      <c r="DS17">
        <v>6132</v>
      </c>
      <c r="DT17">
        <v>1103806</v>
      </c>
      <c r="DU17">
        <v>3657</v>
      </c>
      <c r="DV17" t="s">
        <v>73</v>
      </c>
      <c r="DW17" t="s">
        <v>73</v>
      </c>
      <c r="DX17" t="s">
        <v>73</v>
      </c>
      <c r="DY17" t="s">
        <v>73</v>
      </c>
      <c r="DZ17">
        <v>217256</v>
      </c>
      <c r="EA17">
        <v>8895</v>
      </c>
      <c r="EB17">
        <v>526964</v>
      </c>
      <c r="EC17">
        <v>34351</v>
      </c>
      <c r="ED17">
        <v>292356</v>
      </c>
      <c r="EE17">
        <v>306948</v>
      </c>
      <c r="EF17">
        <v>48068</v>
      </c>
      <c r="EG17">
        <v>23757</v>
      </c>
      <c r="EH17">
        <v>24277</v>
      </c>
      <c r="EI17">
        <v>5728247</v>
      </c>
      <c r="EJ17">
        <v>14498</v>
      </c>
      <c r="EK17">
        <v>15717</v>
      </c>
      <c r="EL17">
        <v>15109</v>
      </c>
      <c r="EM17">
        <v>4738669</v>
      </c>
      <c r="EN17">
        <v>28289</v>
      </c>
      <c r="EO17">
        <v>4947</v>
      </c>
      <c r="EP17">
        <v>4861</v>
      </c>
      <c r="EQ17">
        <v>1401976</v>
      </c>
      <c r="ER17">
        <v>6477</v>
      </c>
      <c r="ES17">
        <v>14520</v>
      </c>
      <c r="ET17">
        <v>13833</v>
      </c>
      <c r="EU17">
        <v>2476784</v>
      </c>
      <c r="EV17">
        <v>9318</v>
      </c>
      <c r="EW17">
        <v>8846</v>
      </c>
      <c r="EX17">
        <v>6248</v>
      </c>
      <c r="EY17">
        <v>1851214</v>
      </c>
      <c r="EZ17">
        <v>11282</v>
      </c>
      <c r="FA17">
        <v>2829</v>
      </c>
      <c r="FB17">
        <v>2508</v>
      </c>
      <c r="FC17">
        <v>1123738</v>
      </c>
      <c r="FD17">
        <v>3391</v>
      </c>
      <c r="FE17">
        <v>24519</v>
      </c>
      <c r="FF17">
        <v>22122</v>
      </c>
      <c r="FG17">
        <v>5438496</v>
      </c>
      <c r="FH17">
        <v>19049</v>
      </c>
      <c r="FI17">
        <v>19132</v>
      </c>
      <c r="FJ17">
        <v>16049</v>
      </c>
      <c r="FK17">
        <v>4797173</v>
      </c>
      <c r="FL17">
        <v>16302</v>
      </c>
      <c r="FM17">
        <v>13122</v>
      </c>
      <c r="FN17">
        <v>14223</v>
      </c>
      <c r="FO17">
        <v>1777137</v>
      </c>
      <c r="FP17">
        <v>9297</v>
      </c>
      <c r="FQ17">
        <v>16752</v>
      </c>
      <c r="FR17">
        <v>12110</v>
      </c>
      <c r="FS17">
        <v>1193637</v>
      </c>
      <c r="FT17">
        <v>8772</v>
      </c>
      <c r="FU17">
        <v>7237</v>
      </c>
      <c r="FV17">
        <v>7778</v>
      </c>
      <c r="FW17">
        <v>1234855</v>
      </c>
      <c r="FX17">
        <v>10094</v>
      </c>
      <c r="FY17">
        <v>176359</v>
      </c>
      <c r="FZ17">
        <v>150139</v>
      </c>
      <c r="GA17">
        <v>20817</v>
      </c>
      <c r="GB17">
        <v>52251</v>
      </c>
      <c r="GC17">
        <v>34216</v>
      </c>
      <c r="GD17">
        <v>19612</v>
      </c>
      <c r="GE17">
        <v>243030</v>
      </c>
      <c r="GF17">
        <v>119277</v>
      </c>
      <c r="GG17">
        <v>51242</v>
      </c>
    </row>
    <row r="18" spans="1:189" x14ac:dyDescent="0.4">
      <c r="A18" s="1" t="s">
        <v>24</v>
      </c>
      <c r="B18" s="1" t="s">
        <v>25</v>
      </c>
      <c r="C18">
        <v>113474</v>
      </c>
      <c r="D18">
        <v>119607</v>
      </c>
      <c r="E18">
        <v>28737930</v>
      </c>
      <c r="F18">
        <v>231711</v>
      </c>
      <c r="G18">
        <v>46582</v>
      </c>
      <c r="H18">
        <v>57160</v>
      </c>
      <c r="I18">
        <v>12547457</v>
      </c>
      <c r="J18">
        <v>117325</v>
      </c>
      <c r="K18">
        <v>4075</v>
      </c>
      <c r="L18">
        <v>7783</v>
      </c>
      <c r="M18">
        <v>1948831</v>
      </c>
      <c r="N18">
        <v>26840</v>
      </c>
      <c r="O18">
        <v>46544</v>
      </c>
      <c r="P18">
        <v>45110</v>
      </c>
      <c r="Q18">
        <v>9459779</v>
      </c>
      <c r="R18">
        <v>63073</v>
      </c>
      <c r="S18">
        <v>7452</v>
      </c>
      <c r="T18">
        <v>7462</v>
      </c>
      <c r="U18">
        <v>2052352</v>
      </c>
      <c r="V18">
        <v>7853</v>
      </c>
      <c r="W18">
        <v>23171</v>
      </c>
      <c r="X18">
        <v>24288</v>
      </c>
      <c r="Y18">
        <v>9021067</v>
      </c>
      <c r="Z18">
        <v>62826</v>
      </c>
      <c r="AA18">
        <v>127464</v>
      </c>
      <c r="AB18">
        <v>175096</v>
      </c>
      <c r="AC18">
        <v>38740523</v>
      </c>
      <c r="AD18">
        <v>314640</v>
      </c>
      <c r="AE18">
        <v>8918</v>
      </c>
      <c r="AF18">
        <v>8467</v>
      </c>
      <c r="AG18">
        <v>3203340</v>
      </c>
      <c r="AH18">
        <v>28821</v>
      </c>
      <c r="AI18">
        <v>21193</v>
      </c>
      <c r="AJ18">
        <v>15664</v>
      </c>
      <c r="AK18">
        <v>5841159</v>
      </c>
      <c r="AL18">
        <v>59530</v>
      </c>
      <c r="AM18">
        <v>9004</v>
      </c>
      <c r="AN18">
        <v>8467</v>
      </c>
      <c r="AO18">
        <v>2540620</v>
      </c>
      <c r="AP18">
        <v>40042</v>
      </c>
      <c r="AQ18">
        <v>7657</v>
      </c>
      <c r="AR18">
        <v>7876</v>
      </c>
      <c r="AS18">
        <v>3525790</v>
      </c>
      <c r="AT18">
        <v>6556</v>
      </c>
      <c r="AU18" t="s">
        <v>73</v>
      </c>
      <c r="AV18" t="s">
        <v>73</v>
      </c>
      <c r="AW18" t="s">
        <v>73</v>
      </c>
      <c r="AX18" t="s">
        <v>73</v>
      </c>
      <c r="AY18">
        <v>11692</v>
      </c>
      <c r="AZ18">
        <v>8587</v>
      </c>
      <c r="BA18">
        <v>6164906</v>
      </c>
      <c r="BB18">
        <v>33022</v>
      </c>
      <c r="BC18">
        <v>20757</v>
      </c>
      <c r="BD18">
        <v>24862</v>
      </c>
      <c r="BE18">
        <v>8048137</v>
      </c>
      <c r="BF18">
        <v>54983</v>
      </c>
      <c r="BG18" t="s">
        <v>73</v>
      </c>
      <c r="BH18" t="s">
        <v>73</v>
      </c>
      <c r="BI18" t="s">
        <v>73</v>
      </c>
      <c r="BJ18" t="s">
        <v>73</v>
      </c>
      <c r="BK18">
        <v>18702</v>
      </c>
      <c r="BL18">
        <v>10167</v>
      </c>
      <c r="BM18">
        <v>6957916</v>
      </c>
      <c r="BN18">
        <v>45159</v>
      </c>
      <c r="BO18">
        <v>104756</v>
      </c>
      <c r="BP18">
        <v>108126</v>
      </c>
      <c r="BQ18">
        <v>18420138</v>
      </c>
      <c r="BR18">
        <v>38811</v>
      </c>
      <c r="BS18">
        <v>29766</v>
      </c>
      <c r="BT18">
        <v>17135</v>
      </c>
      <c r="BU18">
        <v>7779514</v>
      </c>
      <c r="BV18">
        <v>22138</v>
      </c>
      <c r="BW18">
        <v>13907</v>
      </c>
      <c r="BX18">
        <v>10653</v>
      </c>
      <c r="BY18">
        <v>2800128</v>
      </c>
      <c r="BZ18">
        <v>14329</v>
      </c>
      <c r="CA18" t="s">
        <v>73</v>
      </c>
      <c r="CB18" t="s">
        <v>73</v>
      </c>
      <c r="CC18" t="s">
        <v>73</v>
      </c>
      <c r="CD18" t="s">
        <v>73</v>
      </c>
      <c r="CE18" t="s">
        <v>73</v>
      </c>
      <c r="CF18" t="s">
        <v>73</v>
      </c>
      <c r="CG18" t="s">
        <v>73</v>
      </c>
      <c r="CH18" t="s">
        <v>73</v>
      </c>
      <c r="CI18">
        <v>203147</v>
      </c>
      <c r="CJ18">
        <v>139806</v>
      </c>
      <c r="CK18">
        <v>18386150</v>
      </c>
      <c r="CL18">
        <v>99936</v>
      </c>
      <c r="CM18">
        <v>96759</v>
      </c>
      <c r="CN18">
        <v>60203</v>
      </c>
      <c r="CO18">
        <v>7674113</v>
      </c>
      <c r="CP18">
        <v>44696</v>
      </c>
      <c r="CQ18">
        <v>273582</v>
      </c>
      <c r="CR18">
        <v>109343</v>
      </c>
      <c r="CS18">
        <v>17488825</v>
      </c>
      <c r="CT18">
        <v>136173</v>
      </c>
      <c r="CU18" t="s">
        <v>73</v>
      </c>
      <c r="CV18" t="s">
        <v>73</v>
      </c>
      <c r="CW18" t="s">
        <v>73</v>
      </c>
      <c r="CX18" t="s">
        <v>73</v>
      </c>
      <c r="CY18">
        <v>167638</v>
      </c>
      <c r="CZ18">
        <v>230282</v>
      </c>
      <c r="DA18">
        <v>32381855</v>
      </c>
      <c r="DB18">
        <v>78534</v>
      </c>
      <c r="DC18">
        <v>399519</v>
      </c>
      <c r="DD18">
        <v>403961</v>
      </c>
      <c r="DE18">
        <v>43233</v>
      </c>
      <c r="DF18">
        <v>44644</v>
      </c>
      <c r="DG18">
        <v>22452</v>
      </c>
      <c r="DH18">
        <v>6371237</v>
      </c>
      <c r="DI18">
        <v>5147</v>
      </c>
      <c r="DJ18">
        <v>23914</v>
      </c>
      <c r="DK18">
        <v>24881</v>
      </c>
      <c r="DL18">
        <v>3249116</v>
      </c>
      <c r="DM18">
        <v>24025</v>
      </c>
      <c r="DN18">
        <v>4123</v>
      </c>
      <c r="DO18">
        <v>3704</v>
      </c>
      <c r="DP18">
        <v>1079511</v>
      </c>
      <c r="DQ18">
        <v>5101</v>
      </c>
      <c r="DR18">
        <v>8448</v>
      </c>
      <c r="DS18">
        <v>4822</v>
      </c>
      <c r="DT18">
        <v>844116</v>
      </c>
      <c r="DU18">
        <v>3181</v>
      </c>
      <c r="DV18" t="s">
        <v>73</v>
      </c>
      <c r="DW18" t="s">
        <v>73</v>
      </c>
      <c r="DX18" t="s">
        <v>73</v>
      </c>
      <c r="DY18" t="s">
        <v>73</v>
      </c>
      <c r="DZ18">
        <v>227311</v>
      </c>
      <c r="EA18">
        <v>9533</v>
      </c>
      <c r="EB18">
        <v>575295</v>
      </c>
      <c r="EC18">
        <v>38177</v>
      </c>
      <c r="ED18">
        <v>313406</v>
      </c>
      <c r="EE18">
        <v>287487</v>
      </c>
      <c r="EF18">
        <v>46553</v>
      </c>
      <c r="EG18">
        <v>24888</v>
      </c>
      <c r="EH18">
        <v>24149</v>
      </c>
      <c r="EI18">
        <v>5499734</v>
      </c>
      <c r="EJ18">
        <v>12234</v>
      </c>
      <c r="EK18">
        <v>16065</v>
      </c>
      <c r="EL18">
        <v>16157</v>
      </c>
      <c r="EM18">
        <v>5045647</v>
      </c>
      <c r="EN18">
        <v>25315</v>
      </c>
      <c r="EO18">
        <v>10542</v>
      </c>
      <c r="EP18">
        <v>6924</v>
      </c>
      <c r="EQ18">
        <v>1832037</v>
      </c>
      <c r="ER18">
        <v>8754</v>
      </c>
      <c r="ES18">
        <v>17962</v>
      </c>
      <c r="ET18">
        <v>16611</v>
      </c>
      <c r="EU18">
        <v>3024291</v>
      </c>
      <c r="EV18">
        <v>10600</v>
      </c>
      <c r="EW18">
        <v>22672</v>
      </c>
      <c r="EX18">
        <v>11321</v>
      </c>
      <c r="EY18">
        <v>3812922</v>
      </c>
      <c r="EZ18">
        <v>10964</v>
      </c>
      <c r="FA18">
        <v>3454</v>
      </c>
      <c r="FB18">
        <v>3621</v>
      </c>
      <c r="FC18">
        <v>1751132</v>
      </c>
      <c r="FD18">
        <v>3224</v>
      </c>
      <c r="FE18">
        <v>25461</v>
      </c>
      <c r="FF18">
        <v>20228</v>
      </c>
      <c r="FG18">
        <v>5130993</v>
      </c>
      <c r="FH18">
        <v>20420</v>
      </c>
      <c r="FI18">
        <v>21647</v>
      </c>
      <c r="FJ18">
        <v>19425</v>
      </c>
      <c r="FK18">
        <v>5750298</v>
      </c>
      <c r="FL18">
        <v>15748</v>
      </c>
      <c r="FM18">
        <v>13101</v>
      </c>
      <c r="FN18">
        <v>13905</v>
      </c>
      <c r="FO18">
        <v>1766241</v>
      </c>
      <c r="FP18">
        <v>8493</v>
      </c>
      <c r="FQ18">
        <v>24663</v>
      </c>
      <c r="FR18">
        <v>13359</v>
      </c>
      <c r="FS18">
        <v>1393573</v>
      </c>
      <c r="FT18">
        <v>9058</v>
      </c>
      <c r="FU18">
        <v>10675</v>
      </c>
      <c r="FV18">
        <v>11311</v>
      </c>
      <c r="FW18">
        <v>1774105</v>
      </c>
      <c r="FX18">
        <v>9337</v>
      </c>
      <c r="FY18">
        <v>180035</v>
      </c>
      <c r="FZ18">
        <v>174460</v>
      </c>
      <c r="GA18">
        <v>17364</v>
      </c>
      <c r="GB18">
        <v>57386</v>
      </c>
      <c r="GC18">
        <v>41225</v>
      </c>
      <c r="GD18">
        <v>20997</v>
      </c>
      <c r="GE18">
        <v>265187</v>
      </c>
      <c r="GF18">
        <v>121557</v>
      </c>
      <c r="GG18">
        <v>47110</v>
      </c>
    </row>
    <row r="19" spans="1:189" x14ac:dyDescent="0.4">
      <c r="A19" s="1" t="s">
        <v>26</v>
      </c>
      <c r="B19" s="1" t="s">
        <v>27</v>
      </c>
      <c r="C19">
        <v>95929</v>
      </c>
      <c r="D19">
        <v>91666</v>
      </c>
      <c r="E19">
        <v>22113009</v>
      </c>
      <c r="F19">
        <v>236458</v>
      </c>
      <c r="G19">
        <v>50617</v>
      </c>
      <c r="H19">
        <v>49781</v>
      </c>
      <c r="I19">
        <v>10959056</v>
      </c>
      <c r="J19">
        <v>119346</v>
      </c>
      <c r="K19">
        <v>5583</v>
      </c>
      <c r="L19">
        <v>5860</v>
      </c>
      <c r="M19">
        <v>1496863</v>
      </c>
      <c r="N19">
        <v>26559</v>
      </c>
      <c r="O19">
        <v>44906</v>
      </c>
      <c r="P19">
        <v>40072</v>
      </c>
      <c r="Q19">
        <v>9642391</v>
      </c>
      <c r="R19">
        <v>67036</v>
      </c>
      <c r="S19">
        <v>6362</v>
      </c>
      <c r="T19">
        <v>6296</v>
      </c>
      <c r="U19">
        <v>1738523</v>
      </c>
      <c r="V19">
        <v>7730</v>
      </c>
      <c r="W19">
        <v>24902</v>
      </c>
      <c r="X19">
        <v>19878</v>
      </c>
      <c r="Y19">
        <v>7434430</v>
      </c>
      <c r="Z19">
        <v>66652</v>
      </c>
      <c r="AA19">
        <v>148715</v>
      </c>
      <c r="AB19">
        <v>139018</v>
      </c>
      <c r="AC19">
        <v>31212223</v>
      </c>
      <c r="AD19">
        <v>326225</v>
      </c>
      <c r="AE19">
        <v>10110</v>
      </c>
      <c r="AF19">
        <v>7495</v>
      </c>
      <c r="AG19">
        <v>2833752</v>
      </c>
      <c r="AH19">
        <v>31436</v>
      </c>
      <c r="AI19">
        <v>16991</v>
      </c>
      <c r="AJ19">
        <v>12352</v>
      </c>
      <c r="AK19">
        <v>4583846</v>
      </c>
      <c r="AL19">
        <v>64052</v>
      </c>
      <c r="AM19">
        <v>8458</v>
      </c>
      <c r="AN19">
        <v>7941</v>
      </c>
      <c r="AO19">
        <v>2461031</v>
      </c>
      <c r="AP19">
        <v>39297</v>
      </c>
      <c r="AQ19">
        <v>8379</v>
      </c>
      <c r="AR19">
        <v>8072</v>
      </c>
      <c r="AS19">
        <v>3476281</v>
      </c>
      <c r="AT19">
        <v>7103</v>
      </c>
      <c r="AU19" t="s">
        <v>73</v>
      </c>
      <c r="AV19" t="s">
        <v>73</v>
      </c>
      <c r="AW19" t="s">
        <v>73</v>
      </c>
      <c r="AX19" t="s">
        <v>73</v>
      </c>
      <c r="AY19">
        <v>11171</v>
      </c>
      <c r="AZ19">
        <v>8317</v>
      </c>
      <c r="BA19">
        <v>5845169</v>
      </c>
      <c r="BB19">
        <v>35876</v>
      </c>
      <c r="BC19">
        <v>27646</v>
      </c>
      <c r="BD19">
        <v>21299</v>
      </c>
      <c r="BE19">
        <v>6890621</v>
      </c>
      <c r="BF19">
        <v>60719</v>
      </c>
      <c r="BG19" t="s">
        <v>73</v>
      </c>
      <c r="BH19" t="s">
        <v>73</v>
      </c>
      <c r="BI19" t="s">
        <v>73</v>
      </c>
      <c r="BJ19" t="s">
        <v>73</v>
      </c>
      <c r="BK19">
        <v>16988</v>
      </c>
      <c r="BL19">
        <v>10016</v>
      </c>
      <c r="BM19">
        <v>6942610</v>
      </c>
      <c r="BN19">
        <v>45925</v>
      </c>
      <c r="BO19">
        <v>104052</v>
      </c>
      <c r="BP19">
        <v>79612</v>
      </c>
      <c r="BQ19">
        <v>13283586</v>
      </c>
      <c r="BR19">
        <v>56646</v>
      </c>
      <c r="BS19">
        <v>27985</v>
      </c>
      <c r="BT19">
        <v>26377</v>
      </c>
      <c r="BU19">
        <v>10982102</v>
      </c>
      <c r="BV19">
        <v>14243</v>
      </c>
      <c r="BW19">
        <v>17420</v>
      </c>
      <c r="BX19">
        <v>11150</v>
      </c>
      <c r="BY19">
        <v>3297295</v>
      </c>
      <c r="BZ19">
        <v>16783</v>
      </c>
      <c r="CA19" t="s">
        <v>73</v>
      </c>
      <c r="CB19" t="s">
        <v>73</v>
      </c>
      <c r="CC19" t="s">
        <v>73</v>
      </c>
      <c r="CD19" t="s">
        <v>73</v>
      </c>
      <c r="CE19" t="s">
        <v>73</v>
      </c>
      <c r="CF19" t="s">
        <v>73</v>
      </c>
      <c r="CG19" t="s">
        <v>73</v>
      </c>
      <c r="CH19" t="s">
        <v>73</v>
      </c>
      <c r="CI19">
        <v>224395</v>
      </c>
      <c r="CJ19">
        <v>139624</v>
      </c>
      <c r="CK19">
        <v>16698422</v>
      </c>
      <c r="CL19">
        <v>91987</v>
      </c>
      <c r="CM19">
        <v>100100</v>
      </c>
      <c r="CN19">
        <v>49208</v>
      </c>
      <c r="CO19">
        <v>5776724</v>
      </c>
      <c r="CP19">
        <v>45331</v>
      </c>
      <c r="CQ19">
        <v>298085</v>
      </c>
      <c r="CR19">
        <v>125905</v>
      </c>
      <c r="CS19">
        <v>15822532</v>
      </c>
      <c r="CT19">
        <v>149464</v>
      </c>
      <c r="CU19" t="s">
        <v>73</v>
      </c>
      <c r="CV19" t="s">
        <v>73</v>
      </c>
      <c r="CW19" t="s">
        <v>73</v>
      </c>
      <c r="CX19" t="s">
        <v>73</v>
      </c>
      <c r="CY19">
        <v>142401</v>
      </c>
      <c r="CZ19">
        <v>180019</v>
      </c>
      <c r="DA19">
        <v>23498824</v>
      </c>
      <c r="DB19">
        <v>87441</v>
      </c>
      <c r="DC19">
        <v>403660</v>
      </c>
      <c r="DD19">
        <v>419055</v>
      </c>
      <c r="DE19">
        <v>42549</v>
      </c>
      <c r="DF19">
        <v>46144</v>
      </c>
      <c r="DG19">
        <v>18140</v>
      </c>
      <c r="DH19">
        <v>5147058</v>
      </c>
      <c r="DI19">
        <v>7670</v>
      </c>
      <c r="DJ19">
        <v>22473</v>
      </c>
      <c r="DK19">
        <v>18068</v>
      </c>
      <c r="DL19">
        <v>2318283</v>
      </c>
      <c r="DM19">
        <v>27022</v>
      </c>
      <c r="DN19">
        <v>4580</v>
      </c>
      <c r="DO19">
        <v>3124</v>
      </c>
      <c r="DP19">
        <v>925795</v>
      </c>
      <c r="DQ19">
        <v>5870</v>
      </c>
      <c r="DR19">
        <v>9273</v>
      </c>
      <c r="DS19">
        <v>4886</v>
      </c>
      <c r="DT19">
        <v>835481</v>
      </c>
      <c r="DU19">
        <v>4007</v>
      </c>
      <c r="DV19" t="s">
        <v>73</v>
      </c>
      <c r="DW19" t="s">
        <v>73</v>
      </c>
      <c r="DX19" t="s">
        <v>73</v>
      </c>
      <c r="DY19" t="s">
        <v>73</v>
      </c>
      <c r="DZ19">
        <v>289848</v>
      </c>
      <c r="EA19">
        <v>15294</v>
      </c>
      <c r="EB19">
        <v>914964</v>
      </c>
      <c r="EC19">
        <v>33457</v>
      </c>
      <c r="ED19">
        <v>329725</v>
      </c>
      <c r="EE19">
        <v>325227</v>
      </c>
      <c r="EF19">
        <v>50411</v>
      </c>
      <c r="EG19">
        <v>26906</v>
      </c>
      <c r="EH19">
        <v>21375</v>
      </c>
      <c r="EI19">
        <v>5119799</v>
      </c>
      <c r="EJ19">
        <v>12840</v>
      </c>
      <c r="EK19">
        <v>16016</v>
      </c>
      <c r="EL19">
        <v>12975</v>
      </c>
      <c r="EM19">
        <v>4297223</v>
      </c>
      <c r="EN19">
        <v>25983</v>
      </c>
      <c r="EO19">
        <v>10267</v>
      </c>
      <c r="EP19">
        <v>7221</v>
      </c>
      <c r="EQ19">
        <v>1736875</v>
      </c>
      <c r="ER19">
        <v>9658</v>
      </c>
      <c r="ES19">
        <v>13983</v>
      </c>
      <c r="ET19">
        <v>13487</v>
      </c>
      <c r="EU19">
        <v>2407305</v>
      </c>
      <c r="EV19">
        <v>11024</v>
      </c>
      <c r="EW19">
        <v>23140</v>
      </c>
      <c r="EX19">
        <v>7450</v>
      </c>
      <c r="EY19">
        <v>2548897</v>
      </c>
      <c r="EZ19">
        <v>13983</v>
      </c>
      <c r="FA19">
        <v>5011</v>
      </c>
      <c r="FB19">
        <v>3556</v>
      </c>
      <c r="FC19">
        <v>1579927</v>
      </c>
      <c r="FD19">
        <v>4670</v>
      </c>
      <c r="FE19">
        <v>26390</v>
      </c>
      <c r="FF19">
        <v>19834</v>
      </c>
      <c r="FG19">
        <v>4936668</v>
      </c>
      <c r="FH19">
        <v>23518</v>
      </c>
      <c r="FI19">
        <v>21895</v>
      </c>
      <c r="FJ19">
        <v>14870</v>
      </c>
      <c r="FK19">
        <v>4255133</v>
      </c>
      <c r="FL19">
        <v>21341</v>
      </c>
      <c r="FM19">
        <v>12829</v>
      </c>
      <c r="FN19">
        <v>12432</v>
      </c>
      <c r="FO19">
        <v>1777439</v>
      </c>
      <c r="FP19">
        <v>8815</v>
      </c>
      <c r="FQ19">
        <v>28600</v>
      </c>
      <c r="FR19">
        <v>9362</v>
      </c>
      <c r="FS19">
        <v>1033059</v>
      </c>
      <c r="FT19">
        <v>8455</v>
      </c>
      <c r="FU19">
        <v>15129</v>
      </c>
      <c r="FV19">
        <v>17305</v>
      </c>
      <c r="FW19">
        <v>2563310</v>
      </c>
      <c r="FX19">
        <v>7046</v>
      </c>
      <c r="FY19">
        <v>180798</v>
      </c>
      <c r="FZ19">
        <v>163373</v>
      </c>
      <c r="GA19">
        <v>19979</v>
      </c>
      <c r="GB19">
        <v>56438</v>
      </c>
      <c r="GC19">
        <v>44379</v>
      </c>
      <c r="GD19">
        <v>17580</v>
      </c>
      <c r="GE19">
        <v>283611</v>
      </c>
      <c r="GF19">
        <v>114616</v>
      </c>
      <c r="GG19">
        <v>47841</v>
      </c>
    </row>
    <row r="20" spans="1:189" x14ac:dyDescent="0.4">
      <c r="A20" s="1" t="s">
        <v>28</v>
      </c>
      <c r="B20" s="1" t="s">
        <v>29</v>
      </c>
      <c r="C20">
        <v>75087</v>
      </c>
      <c r="D20">
        <v>94202</v>
      </c>
      <c r="E20">
        <v>24728139</v>
      </c>
      <c r="F20">
        <v>218200</v>
      </c>
      <c r="G20">
        <v>72371</v>
      </c>
      <c r="H20">
        <v>60911</v>
      </c>
      <c r="I20">
        <v>13275151</v>
      </c>
      <c r="J20">
        <v>133349</v>
      </c>
      <c r="K20">
        <v>11297</v>
      </c>
      <c r="L20">
        <v>10854</v>
      </c>
      <c r="M20">
        <v>3083619</v>
      </c>
      <c r="N20">
        <v>27000</v>
      </c>
      <c r="O20">
        <v>36373</v>
      </c>
      <c r="P20">
        <v>38234</v>
      </c>
      <c r="Q20">
        <v>8309414</v>
      </c>
      <c r="R20">
        <v>64359</v>
      </c>
      <c r="S20">
        <v>7796</v>
      </c>
      <c r="T20">
        <v>8411</v>
      </c>
      <c r="U20">
        <v>2245978</v>
      </c>
      <c r="V20">
        <v>6872</v>
      </c>
      <c r="W20">
        <v>27151</v>
      </c>
      <c r="X20">
        <v>24520</v>
      </c>
      <c r="Y20">
        <v>9113675</v>
      </c>
      <c r="Z20">
        <v>67235</v>
      </c>
      <c r="AA20">
        <v>160656</v>
      </c>
      <c r="AB20">
        <v>158674</v>
      </c>
      <c r="AC20">
        <v>35388854</v>
      </c>
      <c r="AD20">
        <v>330149</v>
      </c>
      <c r="AE20">
        <v>9869</v>
      </c>
      <c r="AF20">
        <v>8631</v>
      </c>
      <c r="AG20">
        <v>3142807</v>
      </c>
      <c r="AH20">
        <v>32674</v>
      </c>
      <c r="AI20">
        <v>15488</v>
      </c>
      <c r="AJ20">
        <v>14148</v>
      </c>
      <c r="AK20">
        <v>5295178</v>
      </c>
      <c r="AL20">
        <v>65318</v>
      </c>
      <c r="AM20">
        <v>7680</v>
      </c>
      <c r="AN20">
        <v>7190</v>
      </c>
      <c r="AO20">
        <v>2189645</v>
      </c>
      <c r="AP20">
        <v>39354</v>
      </c>
      <c r="AQ20">
        <v>8159</v>
      </c>
      <c r="AR20">
        <v>8753</v>
      </c>
      <c r="AS20">
        <v>3623491</v>
      </c>
      <c r="AT20">
        <v>7038</v>
      </c>
      <c r="AU20" t="s">
        <v>73</v>
      </c>
      <c r="AV20" t="s">
        <v>73</v>
      </c>
      <c r="AW20" t="s">
        <v>73</v>
      </c>
      <c r="AX20" t="s">
        <v>73</v>
      </c>
      <c r="AY20">
        <v>8761</v>
      </c>
      <c r="AZ20">
        <v>7743</v>
      </c>
      <c r="BA20">
        <v>5377133</v>
      </c>
      <c r="BB20">
        <v>36894</v>
      </c>
      <c r="BC20">
        <v>25374</v>
      </c>
      <c r="BD20">
        <v>22343</v>
      </c>
      <c r="BE20">
        <v>7144698</v>
      </c>
      <c r="BF20">
        <v>63250</v>
      </c>
      <c r="BG20" t="s">
        <v>73</v>
      </c>
      <c r="BH20" t="s">
        <v>73</v>
      </c>
      <c r="BI20" t="s">
        <v>73</v>
      </c>
      <c r="BJ20" t="s">
        <v>73</v>
      </c>
      <c r="BK20">
        <v>18191</v>
      </c>
      <c r="BL20">
        <v>11073</v>
      </c>
      <c r="BM20">
        <v>7726591</v>
      </c>
      <c r="BN20">
        <v>47763</v>
      </c>
      <c r="BO20">
        <v>94883</v>
      </c>
      <c r="BP20">
        <v>94208</v>
      </c>
      <c r="BQ20">
        <v>15533700</v>
      </c>
      <c r="BR20">
        <v>51497</v>
      </c>
      <c r="BS20">
        <v>44317</v>
      </c>
      <c r="BT20">
        <v>22890</v>
      </c>
      <c r="BU20">
        <v>9431921</v>
      </c>
      <c r="BV20">
        <v>24460</v>
      </c>
      <c r="BW20">
        <v>15455</v>
      </c>
      <c r="BX20">
        <v>9709</v>
      </c>
      <c r="BY20">
        <v>3146776</v>
      </c>
      <c r="BZ20">
        <v>20573</v>
      </c>
      <c r="CA20" t="s">
        <v>73</v>
      </c>
      <c r="CB20" t="s">
        <v>73</v>
      </c>
      <c r="CC20" t="s">
        <v>73</v>
      </c>
      <c r="CD20" t="s">
        <v>73</v>
      </c>
      <c r="CE20" t="s">
        <v>73</v>
      </c>
      <c r="CF20" t="s">
        <v>73</v>
      </c>
      <c r="CG20" t="s">
        <v>73</v>
      </c>
      <c r="CH20" t="s">
        <v>73</v>
      </c>
      <c r="CI20">
        <v>215456</v>
      </c>
      <c r="CJ20">
        <v>149478</v>
      </c>
      <c r="CK20">
        <v>17184059</v>
      </c>
      <c r="CL20">
        <v>84981</v>
      </c>
      <c r="CM20">
        <v>101586</v>
      </c>
      <c r="CN20">
        <v>62371</v>
      </c>
      <c r="CO20">
        <v>7224855</v>
      </c>
      <c r="CP20">
        <v>37097</v>
      </c>
      <c r="CQ20">
        <v>310542</v>
      </c>
      <c r="CR20">
        <v>164581</v>
      </c>
      <c r="CS20">
        <v>19827537</v>
      </c>
      <c r="CT20">
        <v>129417</v>
      </c>
      <c r="CU20" t="s">
        <v>73</v>
      </c>
      <c r="CV20" t="s">
        <v>73</v>
      </c>
      <c r="CW20" t="s">
        <v>73</v>
      </c>
      <c r="CX20" t="s">
        <v>73</v>
      </c>
      <c r="CY20">
        <v>171454</v>
      </c>
      <c r="CZ20">
        <v>218639</v>
      </c>
      <c r="DA20">
        <v>25552949</v>
      </c>
      <c r="DB20">
        <v>97121</v>
      </c>
      <c r="DC20">
        <v>389957</v>
      </c>
      <c r="DD20">
        <v>392234</v>
      </c>
      <c r="DE20">
        <v>37577</v>
      </c>
      <c r="DF20">
        <v>47598</v>
      </c>
      <c r="DG20">
        <v>23900</v>
      </c>
      <c r="DH20">
        <v>6917488</v>
      </c>
      <c r="DI20">
        <v>7419</v>
      </c>
      <c r="DJ20">
        <v>21622</v>
      </c>
      <c r="DK20">
        <v>21548</v>
      </c>
      <c r="DL20">
        <v>2752350</v>
      </c>
      <c r="DM20">
        <v>25518</v>
      </c>
      <c r="DN20">
        <v>4716</v>
      </c>
      <c r="DO20">
        <v>3459</v>
      </c>
      <c r="DP20">
        <v>934201</v>
      </c>
      <c r="DQ20">
        <v>6253</v>
      </c>
      <c r="DR20">
        <v>7816</v>
      </c>
      <c r="DS20">
        <v>4820</v>
      </c>
      <c r="DT20">
        <v>888098</v>
      </c>
      <c r="DU20">
        <v>4184</v>
      </c>
      <c r="DV20" t="s">
        <v>73</v>
      </c>
      <c r="DW20" t="s">
        <v>73</v>
      </c>
      <c r="DX20" t="s">
        <v>73</v>
      </c>
      <c r="DY20" t="s">
        <v>73</v>
      </c>
      <c r="DZ20">
        <v>249166</v>
      </c>
      <c r="EA20">
        <v>14140</v>
      </c>
      <c r="EB20">
        <v>856175</v>
      </c>
      <c r="EC20">
        <v>37867</v>
      </c>
      <c r="ED20">
        <v>324803</v>
      </c>
      <c r="EE20">
        <v>317486</v>
      </c>
      <c r="EF20">
        <v>51304</v>
      </c>
      <c r="EG20">
        <v>26570</v>
      </c>
      <c r="EH20">
        <v>20368</v>
      </c>
      <c r="EI20">
        <v>4880040</v>
      </c>
      <c r="EJ20">
        <v>13543</v>
      </c>
      <c r="EK20">
        <v>17844</v>
      </c>
      <c r="EL20">
        <v>14768</v>
      </c>
      <c r="EM20">
        <v>4731878</v>
      </c>
      <c r="EN20">
        <v>26325</v>
      </c>
      <c r="EO20">
        <v>8400</v>
      </c>
      <c r="EP20">
        <v>6640</v>
      </c>
      <c r="EQ20">
        <v>1697302</v>
      </c>
      <c r="ER20">
        <v>9574</v>
      </c>
      <c r="ES20">
        <v>15683</v>
      </c>
      <c r="ET20">
        <v>15544</v>
      </c>
      <c r="EU20">
        <v>2723745</v>
      </c>
      <c r="EV20">
        <v>11116</v>
      </c>
      <c r="EW20">
        <v>31280</v>
      </c>
      <c r="EX20">
        <v>11486</v>
      </c>
      <c r="EY20">
        <v>3701314</v>
      </c>
      <c r="EZ20">
        <v>19605</v>
      </c>
      <c r="FA20">
        <v>3278</v>
      </c>
      <c r="FB20">
        <v>3304</v>
      </c>
      <c r="FC20">
        <v>1306362</v>
      </c>
      <c r="FD20">
        <v>4639</v>
      </c>
      <c r="FE20">
        <v>15944</v>
      </c>
      <c r="FF20">
        <v>16382</v>
      </c>
      <c r="FG20">
        <v>3901899</v>
      </c>
      <c r="FH20">
        <v>16195</v>
      </c>
      <c r="FI20">
        <v>8532</v>
      </c>
      <c r="FJ20">
        <v>15871</v>
      </c>
      <c r="FK20">
        <v>4762243</v>
      </c>
      <c r="FL20">
        <v>11346</v>
      </c>
      <c r="FM20">
        <v>14056</v>
      </c>
      <c r="FN20">
        <v>7727</v>
      </c>
      <c r="FO20">
        <v>867791</v>
      </c>
      <c r="FP20">
        <v>15288</v>
      </c>
      <c r="FQ20">
        <v>30253</v>
      </c>
      <c r="FR20">
        <v>10208</v>
      </c>
      <c r="FS20">
        <v>997774</v>
      </c>
      <c r="FT20">
        <v>9611</v>
      </c>
      <c r="FU20">
        <v>16590</v>
      </c>
      <c r="FV20">
        <v>15424</v>
      </c>
      <c r="FW20">
        <v>2262749</v>
      </c>
      <c r="FX20">
        <v>8328</v>
      </c>
      <c r="FY20">
        <v>184441</v>
      </c>
      <c r="FZ20">
        <v>166366</v>
      </c>
      <c r="GA20">
        <v>18971</v>
      </c>
      <c r="GB20">
        <v>58157</v>
      </c>
      <c r="GC20">
        <v>51780</v>
      </c>
      <c r="GD20">
        <v>17687</v>
      </c>
      <c r="GE20">
        <v>268074</v>
      </c>
      <c r="GF20">
        <v>113548</v>
      </c>
      <c r="GG20">
        <v>40318</v>
      </c>
    </row>
    <row r="21" spans="1:189" x14ac:dyDescent="0.4">
      <c r="A21" s="1" t="s">
        <v>30</v>
      </c>
      <c r="B21" s="1" t="s">
        <v>31</v>
      </c>
      <c r="C21">
        <v>97921</v>
      </c>
      <c r="D21">
        <v>95204</v>
      </c>
      <c r="E21">
        <v>25397688</v>
      </c>
      <c r="F21">
        <v>227290</v>
      </c>
      <c r="G21">
        <v>68282</v>
      </c>
      <c r="H21">
        <v>65710</v>
      </c>
      <c r="I21">
        <v>14286543</v>
      </c>
      <c r="J21">
        <v>138781</v>
      </c>
      <c r="K21">
        <v>3509</v>
      </c>
      <c r="L21">
        <v>7051</v>
      </c>
      <c r="M21">
        <v>1820554</v>
      </c>
      <c r="N21">
        <v>23457</v>
      </c>
      <c r="O21">
        <v>37335</v>
      </c>
      <c r="P21">
        <v>38818</v>
      </c>
      <c r="Q21">
        <v>8459526</v>
      </c>
      <c r="R21">
        <v>61502</v>
      </c>
      <c r="S21">
        <v>7233</v>
      </c>
      <c r="T21">
        <v>6730</v>
      </c>
      <c r="U21">
        <v>1882264</v>
      </c>
      <c r="V21">
        <v>7085</v>
      </c>
      <c r="W21">
        <v>29884</v>
      </c>
      <c r="X21">
        <v>25814</v>
      </c>
      <c r="Y21">
        <v>9705506</v>
      </c>
      <c r="Z21">
        <v>69203</v>
      </c>
      <c r="AA21">
        <v>173823</v>
      </c>
      <c r="AB21">
        <v>163966</v>
      </c>
      <c r="AC21">
        <v>36638951</v>
      </c>
      <c r="AD21">
        <v>342281</v>
      </c>
      <c r="AE21">
        <v>9289</v>
      </c>
      <c r="AF21">
        <v>9356</v>
      </c>
      <c r="AG21">
        <v>3762931</v>
      </c>
      <c r="AH21">
        <v>32605</v>
      </c>
      <c r="AI21">
        <v>11413</v>
      </c>
      <c r="AJ21">
        <v>14430</v>
      </c>
      <c r="AK21">
        <v>5503032</v>
      </c>
      <c r="AL21">
        <v>62302</v>
      </c>
      <c r="AM21">
        <v>3718</v>
      </c>
      <c r="AN21">
        <v>8868</v>
      </c>
      <c r="AO21">
        <v>2715232</v>
      </c>
      <c r="AP21">
        <v>33515</v>
      </c>
      <c r="AQ21">
        <v>7116</v>
      </c>
      <c r="AR21">
        <v>8976</v>
      </c>
      <c r="AS21">
        <v>3771037</v>
      </c>
      <c r="AT21">
        <v>5892</v>
      </c>
      <c r="AU21" t="s">
        <v>73</v>
      </c>
      <c r="AV21" t="s">
        <v>73</v>
      </c>
      <c r="AW21" t="s">
        <v>73</v>
      </c>
      <c r="AX21" t="s">
        <v>73</v>
      </c>
      <c r="AY21">
        <v>5056</v>
      </c>
      <c r="AZ21">
        <v>10251</v>
      </c>
      <c r="BA21">
        <v>7117684</v>
      </c>
      <c r="BB21">
        <v>31699</v>
      </c>
      <c r="BC21">
        <v>22346</v>
      </c>
      <c r="BD21">
        <v>24676</v>
      </c>
      <c r="BE21">
        <v>7983713</v>
      </c>
      <c r="BF21">
        <v>60363</v>
      </c>
      <c r="BG21" t="s">
        <v>73</v>
      </c>
      <c r="BH21" t="s">
        <v>73</v>
      </c>
      <c r="BI21" t="s">
        <v>73</v>
      </c>
      <c r="BJ21" t="s">
        <v>73</v>
      </c>
      <c r="BK21">
        <v>10089</v>
      </c>
      <c r="BL21">
        <v>11728</v>
      </c>
      <c r="BM21">
        <v>7379693</v>
      </c>
      <c r="BN21">
        <v>46029</v>
      </c>
      <c r="BO21">
        <v>102741</v>
      </c>
      <c r="BP21">
        <v>97753</v>
      </c>
      <c r="BQ21">
        <v>15675825</v>
      </c>
      <c r="BR21">
        <v>52194</v>
      </c>
      <c r="BS21">
        <v>36289</v>
      </c>
      <c r="BT21">
        <v>31410</v>
      </c>
      <c r="BU21">
        <v>10553490</v>
      </c>
      <c r="BV21">
        <v>21296</v>
      </c>
      <c r="BW21">
        <v>14415</v>
      </c>
      <c r="BX21">
        <v>8611</v>
      </c>
      <c r="BY21">
        <v>2266956</v>
      </c>
      <c r="BZ21">
        <v>26370</v>
      </c>
      <c r="CA21" t="s">
        <v>73</v>
      </c>
      <c r="CB21" t="s">
        <v>73</v>
      </c>
      <c r="CC21" t="s">
        <v>73</v>
      </c>
      <c r="CD21" t="s">
        <v>73</v>
      </c>
      <c r="CE21" t="s">
        <v>73</v>
      </c>
      <c r="CF21" t="s">
        <v>73</v>
      </c>
      <c r="CG21" t="s">
        <v>73</v>
      </c>
      <c r="CH21" t="s">
        <v>73</v>
      </c>
      <c r="CI21">
        <v>247378</v>
      </c>
      <c r="CJ21">
        <v>142538</v>
      </c>
      <c r="CK21">
        <v>16342787</v>
      </c>
      <c r="CL21">
        <v>103071</v>
      </c>
      <c r="CM21">
        <v>106076</v>
      </c>
      <c r="CN21">
        <v>65410</v>
      </c>
      <c r="CO21">
        <v>6878859</v>
      </c>
      <c r="CP21">
        <v>33093</v>
      </c>
      <c r="CQ21">
        <v>337478</v>
      </c>
      <c r="CR21">
        <v>134090</v>
      </c>
      <c r="CS21">
        <v>16097361</v>
      </c>
      <c r="CT21">
        <v>133396</v>
      </c>
      <c r="CU21" t="s">
        <v>73</v>
      </c>
      <c r="CV21" t="s">
        <v>73</v>
      </c>
      <c r="CW21" t="s">
        <v>73</v>
      </c>
      <c r="CX21" t="s">
        <v>73</v>
      </c>
      <c r="CY21">
        <v>217213</v>
      </c>
      <c r="CZ21">
        <v>263319</v>
      </c>
      <c r="DA21">
        <v>31962948</v>
      </c>
      <c r="DB21">
        <v>117317</v>
      </c>
      <c r="DC21">
        <v>414558</v>
      </c>
      <c r="DD21">
        <v>405967</v>
      </c>
      <c r="DE21">
        <v>43639</v>
      </c>
      <c r="DF21">
        <v>54997</v>
      </c>
      <c r="DG21">
        <v>24339</v>
      </c>
      <c r="DH21">
        <v>7184755</v>
      </c>
      <c r="DI21">
        <v>7685</v>
      </c>
      <c r="DJ21">
        <v>27549</v>
      </c>
      <c r="DK21">
        <v>22396</v>
      </c>
      <c r="DL21">
        <v>2896310</v>
      </c>
      <c r="DM21">
        <v>29628</v>
      </c>
      <c r="DN21">
        <v>4449</v>
      </c>
      <c r="DO21">
        <v>3748</v>
      </c>
      <c r="DP21">
        <v>1094786</v>
      </c>
      <c r="DQ21">
        <v>5759</v>
      </c>
      <c r="DR21">
        <v>6480</v>
      </c>
      <c r="DS21">
        <v>1739</v>
      </c>
      <c r="DT21">
        <v>340727</v>
      </c>
      <c r="DU21">
        <v>4539</v>
      </c>
      <c r="DV21" t="s">
        <v>73</v>
      </c>
      <c r="DW21" t="s">
        <v>73</v>
      </c>
      <c r="DX21" t="s">
        <v>73</v>
      </c>
      <c r="DY21" t="s">
        <v>73</v>
      </c>
      <c r="DZ21">
        <v>251405</v>
      </c>
      <c r="EA21">
        <v>20582</v>
      </c>
      <c r="EB21">
        <v>1111363</v>
      </c>
      <c r="EC21">
        <v>40979</v>
      </c>
      <c r="ED21">
        <v>345301</v>
      </c>
      <c r="EE21">
        <v>341142</v>
      </c>
      <c r="EF21">
        <v>46962</v>
      </c>
      <c r="EG21">
        <v>22492</v>
      </c>
      <c r="EH21">
        <v>20930</v>
      </c>
      <c r="EI21">
        <v>4738632</v>
      </c>
      <c r="EJ21">
        <v>10561</v>
      </c>
      <c r="EK21">
        <v>18155</v>
      </c>
      <c r="EL21">
        <v>17379</v>
      </c>
      <c r="EM21">
        <v>5547357</v>
      </c>
      <c r="EN21">
        <v>24165</v>
      </c>
      <c r="EO21">
        <v>9720</v>
      </c>
      <c r="EP21">
        <v>8910</v>
      </c>
      <c r="EQ21">
        <v>2288634</v>
      </c>
      <c r="ER21">
        <v>8559</v>
      </c>
      <c r="ES21">
        <v>12316</v>
      </c>
      <c r="ET21">
        <v>13362</v>
      </c>
      <c r="EU21">
        <v>2394354</v>
      </c>
      <c r="EV21">
        <v>10017</v>
      </c>
      <c r="EW21">
        <v>27543</v>
      </c>
      <c r="EX21">
        <v>15412</v>
      </c>
      <c r="EY21">
        <v>5422152</v>
      </c>
      <c r="EZ21">
        <v>20753</v>
      </c>
      <c r="FA21">
        <v>2309</v>
      </c>
      <c r="FB21">
        <v>4205</v>
      </c>
      <c r="FC21">
        <v>1777870</v>
      </c>
      <c r="FD21">
        <v>2731</v>
      </c>
      <c r="FE21">
        <v>21286</v>
      </c>
      <c r="FF21">
        <v>16510</v>
      </c>
      <c r="FG21">
        <v>3846603</v>
      </c>
      <c r="FH21">
        <v>14282</v>
      </c>
      <c r="FI21">
        <v>24782</v>
      </c>
      <c r="FJ21">
        <v>20941</v>
      </c>
      <c r="FK21">
        <v>5886288</v>
      </c>
      <c r="FL21">
        <v>12792</v>
      </c>
      <c r="FM21">
        <v>11670</v>
      </c>
      <c r="FN21">
        <v>13211</v>
      </c>
      <c r="FO21">
        <v>1786835</v>
      </c>
      <c r="FP21">
        <v>13671</v>
      </c>
      <c r="FQ21">
        <v>35437</v>
      </c>
      <c r="FR21">
        <v>11748</v>
      </c>
      <c r="FS21">
        <v>1268737</v>
      </c>
      <c r="FT21">
        <v>6479</v>
      </c>
      <c r="FU21">
        <v>17103</v>
      </c>
      <c r="FV21">
        <v>15644</v>
      </c>
      <c r="FW21">
        <v>2348071</v>
      </c>
      <c r="FX21">
        <v>9759</v>
      </c>
      <c r="FY21">
        <v>202660</v>
      </c>
      <c r="FZ21">
        <v>162750</v>
      </c>
      <c r="GA21">
        <v>22867</v>
      </c>
      <c r="GB21">
        <v>54553</v>
      </c>
      <c r="GC21">
        <v>44971</v>
      </c>
      <c r="GD21">
        <v>17139</v>
      </c>
      <c r="GE21">
        <v>291073</v>
      </c>
      <c r="GF21">
        <v>112283</v>
      </c>
      <c r="GG21">
        <v>39187</v>
      </c>
    </row>
    <row r="22" spans="1:189" x14ac:dyDescent="0.4">
      <c r="A22" s="1" t="s">
        <v>32</v>
      </c>
      <c r="B22" s="1" t="s">
        <v>33</v>
      </c>
      <c r="C22">
        <v>103680</v>
      </c>
      <c r="D22">
        <v>101878</v>
      </c>
      <c r="E22">
        <v>24637017</v>
      </c>
      <c r="F22">
        <v>229088</v>
      </c>
      <c r="G22">
        <v>52061</v>
      </c>
      <c r="H22">
        <v>54435</v>
      </c>
      <c r="I22">
        <v>11817703</v>
      </c>
      <c r="J22">
        <v>140066</v>
      </c>
      <c r="K22">
        <v>11500</v>
      </c>
      <c r="L22">
        <v>10105</v>
      </c>
      <c r="M22">
        <v>2632900</v>
      </c>
      <c r="N22">
        <v>24850</v>
      </c>
      <c r="O22">
        <v>46629</v>
      </c>
      <c r="P22">
        <v>41862</v>
      </c>
      <c r="Q22">
        <v>8714803</v>
      </c>
      <c r="R22">
        <v>65628</v>
      </c>
      <c r="S22">
        <v>7547</v>
      </c>
      <c r="T22">
        <v>7185</v>
      </c>
      <c r="U22">
        <v>1986197</v>
      </c>
      <c r="V22">
        <v>7095</v>
      </c>
      <c r="W22">
        <v>24392</v>
      </c>
      <c r="X22">
        <v>21595</v>
      </c>
      <c r="Y22">
        <v>8124194</v>
      </c>
      <c r="Z22">
        <v>69984</v>
      </c>
      <c r="AA22">
        <v>170547</v>
      </c>
      <c r="AB22">
        <v>168672</v>
      </c>
      <c r="AC22">
        <v>37462374</v>
      </c>
      <c r="AD22">
        <v>346294</v>
      </c>
      <c r="AE22">
        <v>10050</v>
      </c>
      <c r="AF22">
        <v>7720</v>
      </c>
      <c r="AG22">
        <v>3142209</v>
      </c>
      <c r="AH22">
        <v>34935</v>
      </c>
      <c r="AI22">
        <v>8707</v>
      </c>
      <c r="AJ22">
        <v>16676</v>
      </c>
      <c r="AK22">
        <v>6376298</v>
      </c>
      <c r="AL22">
        <v>54328</v>
      </c>
      <c r="AM22">
        <v>13233</v>
      </c>
      <c r="AN22">
        <v>8910</v>
      </c>
      <c r="AO22">
        <v>2760731</v>
      </c>
      <c r="AP22">
        <v>36012</v>
      </c>
      <c r="AQ22">
        <v>7488</v>
      </c>
      <c r="AR22">
        <v>8588</v>
      </c>
      <c r="AS22">
        <v>3723287</v>
      </c>
      <c r="AT22">
        <v>5337</v>
      </c>
      <c r="AU22" t="s">
        <v>73</v>
      </c>
      <c r="AV22" t="s">
        <v>73</v>
      </c>
      <c r="AW22" t="s">
        <v>73</v>
      </c>
      <c r="AX22" t="s">
        <v>73</v>
      </c>
      <c r="AY22">
        <v>4968</v>
      </c>
      <c r="AZ22">
        <v>8508</v>
      </c>
      <c r="BA22">
        <v>6056048</v>
      </c>
      <c r="BB22">
        <v>28159</v>
      </c>
      <c r="BC22">
        <v>19219</v>
      </c>
      <c r="BD22">
        <v>22726</v>
      </c>
      <c r="BE22">
        <v>7496419</v>
      </c>
      <c r="BF22">
        <v>56569</v>
      </c>
      <c r="BG22" t="s">
        <v>73</v>
      </c>
      <c r="BH22" t="s">
        <v>73</v>
      </c>
      <c r="BI22" t="s">
        <v>73</v>
      </c>
      <c r="BJ22" t="s">
        <v>73</v>
      </c>
      <c r="BK22">
        <v>6620</v>
      </c>
      <c r="BL22">
        <v>11578</v>
      </c>
      <c r="BM22">
        <v>6686260</v>
      </c>
      <c r="BN22">
        <v>40822</v>
      </c>
      <c r="BO22">
        <v>109899</v>
      </c>
      <c r="BP22">
        <v>119129</v>
      </c>
      <c r="BQ22">
        <v>18930116</v>
      </c>
      <c r="BR22">
        <v>37607</v>
      </c>
      <c r="BS22">
        <v>29809</v>
      </c>
      <c r="BT22">
        <v>17176</v>
      </c>
      <c r="BU22">
        <v>5650680</v>
      </c>
      <c r="BV22">
        <v>20106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 t="s">
        <v>73</v>
      </c>
      <c r="CE22" t="s">
        <v>73</v>
      </c>
      <c r="CF22" t="s">
        <v>73</v>
      </c>
      <c r="CG22" t="s">
        <v>73</v>
      </c>
      <c r="CH22" t="s">
        <v>73</v>
      </c>
      <c r="CI22">
        <v>253226</v>
      </c>
      <c r="CJ22">
        <v>156518</v>
      </c>
      <c r="CK22">
        <v>18093706</v>
      </c>
      <c r="CL22">
        <v>114123</v>
      </c>
      <c r="CM22">
        <v>103955</v>
      </c>
      <c r="CN22">
        <v>49088</v>
      </c>
      <c r="CO22">
        <v>5186406</v>
      </c>
      <c r="CP22">
        <v>37768</v>
      </c>
      <c r="CQ22">
        <v>364606</v>
      </c>
      <c r="CR22">
        <v>149728</v>
      </c>
      <c r="CS22">
        <v>17899709</v>
      </c>
      <c r="CT22">
        <v>139531</v>
      </c>
      <c r="CU22" t="s">
        <v>73</v>
      </c>
      <c r="CV22" t="s">
        <v>73</v>
      </c>
      <c r="CW22" t="s">
        <v>73</v>
      </c>
      <c r="CX22" t="s">
        <v>73</v>
      </c>
      <c r="CY22">
        <v>224404</v>
      </c>
      <c r="CZ22">
        <v>290367</v>
      </c>
      <c r="DA22">
        <v>35215622</v>
      </c>
      <c r="DB22">
        <v>113778</v>
      </c>
      <c r="DC22">
        <v>430329</v>
      </c>
      <c r="DD22">
        <v>421927</v>
      </c>
      <c r="DE22">
        <v>46610</v>
      </c>
      <c r="DF22">
        <v>55653</v>
      </c>
      <c r="DG22">
        <v>23111</v>
      </c>
      <c r="DH22">
        <v>6779144</v>
      </c>
      <c r="DI22">
        <v>8816</v>
      </c>
      <c r="DJ22">
        <v>29975</v>
      </c>
      <c r="DK22">
        <v>26729</v>
      </c>
      <c r="DL22">
        <v>3483696</v>
      </c>
      <c r="DM22">
        <v>30694</v>
      </c>
      <c r="DN22">
        <v>4611</v>
      </c>
      <c r="DO22">
        <v>3436</v>
      </c>
      <c r="DP22">
        <v>992374</v>
      </c>
      <c r="DQ22">
        <v>5857</v>
      </c>
      <c r="DR22">
        <v>8726</v>
      </c>
      <c r="DS22">
        <v>5699</v>
      </c>
      <c r="DT22">
        <v>1056783</v>
      </c>
      <c r="DU22">
        <v>3467</v>
      </c>
      <c r="DV22" t="s">
        <v>73</v>
      </c>
      <c r="DW22" t="s">
        <v>73</v>
      </c>
      <c r="DX22" t="s">
        <v>73</v>
      </c>
      <c r="DY22" t="s">
        <v>73</v>
      </c>
      <c r="DZ22">
        <v>243522</v>
      </c>
      <c r="EA22">
        <v>19589</v>
      </c>
      <c r="EB22">
        <v>1091329</v>
      </c>
      <c r="EC22">
        <v>33430</v>
      </c>
      <c r="ED22">
        <v>357570</v>
      </c>
      <c r="EE22">
        <v>341239</v>
      </c>
      <c r="EF22">
        <v>48351</v>
      </c>
      <c r="EG22">
        <v>26147</v>
      </c>
      <c r="EH22">
        <v>20038</v>
      </c>
      <c r="EI22">
        <v>4586479</v>
      </c>
      <c r="EJ22">
        <v>11277</v>
      </c>
      <c r="EK22">
        <v>19334</v>
      </c>
      <c r="EL22">
        <v>15138</v>
      </c>
      <c r="EM22">
        <v>4856638</v>
      </c>
      <c r="EN22">
        <v>25523</v>
      </c>
      <c r="EO22">
        <v>9882</v>
      </c>
      <c r="EP22">
        <v>5438</v>
      </c>
      <c r="EQ22">
        <v>1455555</v>
      </c>
      <c r="ER22">
        <v>10672</v>
      </c>
      <c r="ES22">
        <v>12910</v>
      </c>
      <c r="ET22">
        <v>13557</v>
      </c>
      <c r="EU22">
        <v>2440426</v>
      </c>
      <c r="EV22">
        <v>9254</v>
      </c>
      <c r="EW22">
        <v>23409</v>
      </c>
      <c r="EX22">
        <v>12501</v>
      </c>
      <c r="EY22">
        <v>4103461</v>
      </c>
      <c r="EZ22">
        <v>17155</v>
      </c>
      <c r="FA22">
        <v>3178</v>
      </c>
      <c r="FB22">
        <v>3212</v>
      </c>
      <c r="FC22">
        <v>1192570</v>
      </c>
      <c r="FD22">
        <v>2693</v>
      </c>
      <c r="FE22">
        <v>24017</v>
      </c>
      <c r="FF22">
        <v>14844</v>
      </c>
      <c r="FG22">
        <v>3741684</v>
      </c>
      <c r="FH22">
        <v>17117</v>
      </c>
      <c r="FI22">
        <v>22217</v>
      </c>
      <c r="FJ22">
        <v>18275</v>
      </c>
      <c r="FK22">
        <v>5199938</v>
      </c>
      <c r="FL22">
        <v>15005</v>
      </c>
      <c r="FM22">
        <v>11255</v>
      </c>
      <c r="FN22">
        <v>11628</v>
      </c>
      <c r="FO22">
        <v>1510481</v>
      </c>
      <c r="FP22">
        <v>13429</v>
      </c>
      <c r="FQ22">
        <v>38934</v>
      </c>
      <c r="FR22">
        <v>10852</v>
      </c>
      <c r="FS22">
        <v>1199905</v>
      </c>
      <c r="FT22">
        <v>9123</v>
      </c>
      <c r="FU22">
        <v>16596</v>
      </c>
      <c r="FV22">
        <v>15590</v>
      </c>
      <c r="FW22">
        <v>2354224</v>
      </c>
      <c r="FX22">
        <v>10684</v>
      </c>
      <c r="FY22">
        <v>205650</v>
      </c>
      <c r="FZ22">
        <v>159871</v>
      </c>
      <c r="GA22">
        <v>23504</v>
      </c>
      <c r="GB22">
        <v>54052</v>
      </c>
      <c r="GC22">
        <v>42114</v>
      </c>
      <c r="GD22">
        <v>20884</v>
      </c>
      <c r="GE22">
        <v>289898</v>
      </c>
      <c r="GF22">
        <v>105162</v>
      </c>
      <c r="GG22">
        <v>42719</v>
      </c>
    </row>
    <row r="23" spans="1:189" x14ac:dyDescent="0.4">
      <c r="A23" s="1" t="s">
        <v>34</v>
      </c>
      <c r="B23" s="1" t="s">
        <v>35</v>
      </c>
      <c r="C23">
        <v>112130</v>
      </c>
      <c r="D23">
        <v>107673</v>
      </c>
      <c r="E23">
        <v>26167940</v>
      </c>
      <c r="F23">
        <v>234063</v>
      </c>
      <c r="G23">
        <v>65241</v>
      </c>
      <c r="H23">
        <v>57990</v>
      </c>
      <c r="I23">
        <v>12680941</v>
      </c>
      <c r="J23">
        <v>149235</v>
      </c>
      <c r="K23">
        <v>12628</v>
      </c>
      <c r="L23">
        <v>11001</v>
      </c>
      <c r="M23">
        <v>2938295</v>
      </c>
      <c r="N23">
        <v>26474</v>
      </c>
      <c r="O23">
        <v>37882</v>
      </c>
      <c r="P23">
        <v>41711</v>
      </c>
      <c r="Q23">
        <v>9192631</v>
      </c>
      <c r="R23">
        <v>60991</v>
      </c>
      <c r="S23">
        <v>8764</v>
      </c>
      <c r="T23">
        <v>8281</v>
      </c>
      <c r="U23">
        <v>2235640</v>
      </c>
      <c r="V23">
        <v>7277</v>
      </c>
      <c r="W23">
        <v>21250</v>
      </c>
      <c r="X23">
        <v>20170</v>
      </c>
      <c r="Y23">
        <v>7653436</v>
      </c>
      <c r="Z23">
        <v>69281</v>
      </c>
      <c r="AA23">
        <v>171800</v>
      </c>
      <c r="AB23">
        <v>170029</v>
      </c>
      <c r="AC23">
        <v>37709715</v>
      </c>
      <c r="AD23">
        <v>350443</v>
      </c>
      <c r="AE23">
        <v>9926</v>
      </c>
      <c r="AF23">
        <v>8039</v>
      </c>
      <c r="AG23">
        <v>3552380</v>
      </c>
      <c r="AH23">
        <v>36819</v>
      </c>
      <c r="AI23">
        <v>19182</v>
      </c>
      <c r="AJ23">
        <v>15480</v>
      </c>
      <c r="AK23">
        <v>5782843</v>
      </c>
      <c r="AL23">
        <v>58004</v>
      </c>
      <c r="AM23">
        <v>10547</v>
      </c>
      <c r="AN23">
        <v>7715</v>
      </c>
      <c r="AO23">
        <v>2385999</v>
      </c>
      <c r="AP23">
        <v>36494</v>
      </c>
      <c r="AQ23">
        <v>7889</v>
      </c>
      <c r="AR23">
        <v>8134</v>
      </c>
      <c r="AS23">
        <v>3425906</v>
      </c>
      <c r="AT23">
        <v>5696</v>
      </c>
      <c r="AU23" t="s">
        <v>73</v>
      </c>
      <c r="AV23" t="s">
        <v>73</v>
      </c>
      <c r="AW23" t="s">
        <v>73</v>
      </c>
      <c r="AX23" t="s">
        <v>73</v>
      </c>
      <c r="AY23">
        <v>10323</v>
      </c>
      <c r="AZ23">
        <v>9287</v>
      </c>
      <c r="BA23">
        <v>6575530</v>
      </c>
      <c r="BB23">
        <v>29195</v>
      </c>
      <c r="BC23">
        <v>27485</v>
      </c>
      <c r="BD23">
        <v>20065</v>
      </c>
      <c r="BE23">
        <v>6586210</v>
      </c>
      <c r="BF23">
        <v>63386</v>
      </c>
      <c r="BG23" t="s">
        <v>73</v>
      </c>
      <c r="BH23" t="s">
        <v>73</v>
      </c>
      <c r="BI23" t="s">
        <v>73</v>
      </c>
      <c r="BJ23" t="s">
        <v>73</v>
      </c>
      <c r="BK23">
        <v>15715</v>
      </c>
      <c r="BL23">
        <v>11089</v>
      </c>
      <c r="BM23">
        <v>7160184</v>
      </c>
      <c r="BN23">
        <v>39881</v>
      </c>
      <c r="BO23">
        <v>133350</v>
      </c>
      <c r="BP23">
        <v>115005</v>
      </c>
      <c r="BQ23">
        <v>18511795</v>
      </c>
      <c r="BR23">
        <v>49580</v>
      </c>
      <c r="BS23">
        <v>37186</v>
      </c>
      <c r="BT23">
        <v>21224</v>
      </c>
      <c r="BU23">
        <v>6884066</v>
      </c>
      <c r="BV23">
        <v>19380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 t="s">
        <v>73</v>
      </c>
      <c r="CE23" t="s">
        <v>73</v>
      </c>
      <c r="CF23" t="s">
        <v>73</v>
      </c>
      <c r="CG23" t="s">
        <v>73</v>
      </c>
      <c r="CH23" t="s">
        <v>73</v>
      </c>
      <c r="CI23">
        <v>259309</v>
      </c>
      <c r="CJ23">
        <v>168764</v>
      </c>
      <c r="CK23">
        <v>19247699</v>
      </c>
      <c r="CL23">
        <v>107186</v>
      </c>
      <c r="CM23">
        <v>102712</v>
      </c>
      <c r="CN23">
        <v>53561</v>
      </c>
      <c r="CO23">
        <v>5745678</v>
      </c>
      <c r="CP23">
        <v>37900</v>
      </c>
      <c r="CQ23">
        <v>350780</v>
      </c>
      <c r="CR23">
        <v>135903</v>
      </c>
      <c r="CS23">
        <v>16565867</v>
      </c>
      <c r="CT23">
        <v>150439</v>
      </c>
      <c r="CU23" t="s">
        <v>73</v>
      </c>
      <c r="CV23" t="s">
        <v>73</v>
      </c>
      <c r="CW23" t="s">
        <v>73</v>
      </c>
      <c r="CX23" t="s">
        <v>73</v>
      </c>
      <c r="CY23">
        <v>234201</v>
      </c>
      <c r="CZ23">
        <v>310972</v>
      </c>
      <c r="DA23">
        <v>38394462</v>
      </c>
      <c r="DB23">
        <v>100658</v>
      </c>
      <c r="DC23">
        <v>467515</v>
      </c>
      <c r="DD23">
        <v>442050</v>
      </c>
      <c r="DE23">
        <v>45794</v>
      </c>
      <c r="DF23">
        <v>48857</v>
      </c>
      <c r="DG23">
        <v>20070</v>
      </c>
      <c r="DH23">
        <v>5863899</v>
      </c>
      <c r="DI23">
        <v>10708</v>
      </c>
      <c r="DJ23">
        <v>25275</v>
      </c>
      <c r="DK23">
        <v>27306</v>
      </c>
      <c r="DL23">
        <v>3592439</v>
      </c>
      <c r="DM23">
        <v>27543</v>
      </c>
      <c r="DN23">
        <v>4448</v>
      </c>
      <c r="DO23">
        <v>3510</v>
      </c>
      <c r="DP23">
        <v>906373</v>
      </c>
      <c r="DQ23">
        <v>5844</v>
      </c>
      <c r="DR23">
        <v>11829</v>
      </c>
      <c r="DS23">
        <v>6381</v>
      </c>
      <c r="DT23">
        <v>1039261</v>
      </c>
      <c r="DU23">
        <v>4204</v>
      </c>
      <c r="DV23" t="s">
        <v>73</v>
      </c>
      <c r="DW23" t="s">
        <v>73</v>
      </c>
      <c r="DX23" t="s">
        <v>73</v>
      </c>
      <c r="DY23" t="s">
        <v>73</v>
      </c>
      <c r="DZ23">
        <v>284582</v>
      </c>
      <c r="EA23">
        <v>17054</v>
      </c>
      <c r="EB23">
        <v>1002110</v>
      </c>
      <c r="EC23">
        <v>35326</v>
      </c>
      <c r="ED23">
        <v>373072</v>
      </c>
      <c r="EE23">
        <v>339431</v>
      </c>
      <c r="EF23">
        <v>50065</v>
      </c>
      <c r="EG23">
        <v>28238</v>
      </c>
      <c r="EH23">
        <v>21108</v>
      </c>
      <c r="EI23">
        <v>4707162</v>
      </c>
      <c r="EJ23">
        <v>13539</v>
      </c>
      <c r="EK23">
        <v>18582</v>
      </c>
      <c r="EL23">
        <v>15123</v>
      </c>
      <c r="EM23">
        <v>4942574</v>
      </c>
      <c r="EN23">
        <v>26139</v>
      </c>
      <c r="EO23">
        <v>7620</v>
      </c>
      <c r="EP23">
        <v>7726</v>
      </c>
      <c r="EQ23">
        <v>2048277</v>
      </c>
      <c r="ER23">
        <v>8944</v>
      </c>
      <c r="ES23">
        <v>15230</v>
      </c>
      <c r="ET23">
        <v>14004</v>
      </c>
      <c r="EU23">
        <v>2501493</v>
      </c>
      <c r="EV23">
        <v>10405</v>
      </c>
      <c r="EW23">
        <v>26622</v>
      </c>
      <c r="EX23">
        <v>8961</v>
      </c>
      <c r="EY23">
        <v>2789522</v>
      </c>
      <c r="EZ23">
        <v>17382</v>
      </c>
      <c r="FA23">
        <v>5481</v>
      </c>
      <c r="FB23">
        <v>5212</v>
      </c>
      <c r="FC23">
        <v>2398610</v>
      </c>
      <c r="FD23">
        <v>2950</v>
      </c>
      <c r="FE23">
        <v>22903</v>
      </c>
      <c r="FF23">
        <v>16658</v>
      </c>
      <c r="FG23">
        <v>4090172</v>
      </c>
      <c r="FH23">
        <v>19475</v>
      </c>
      <c r="FI23">
        <v>22840</v>
      </c>
      <c r="FJ23">
        <v>18175</v>
      </c>
      <c r="FK23">
        <v>4951949</v>
      </c>
      <c r="FL23">
        <v>17933</v>
      </c>
      <c r="FM23">
        <v>12962</v>
      </c>
      <c r="FN23">
        <v>13307</v>
      </c>
      <c r="FO23">
        <v>1767537</v>
      </c>
      <c r="FP23">
        <v>13084</v>
      </c>
      <c r="FQ23">
        <v>35712</v>
      </c>
      <c r="FR23">
        <v>8643</v>
      </c>
      <c r="FS23">
        <v>1000563</v>
      </c>
      <c r="FT23">
        <v>8539</v>
      </c>
      <c r="FU23">
        <v>17517</v>
      </c>
      <c r="FV23">
        <v>14817</v>
      </c>
      <c r="FW23">
        <v>2171386</v>
      </c>
      <c r="FX23">
        <v>13351</v>
      </c>
      <c r="FY23">
        <v>221217</v>
      </c>
      <c r="FZ23">
        <v>175214</v>
      </c>
      <c r="GA23">
        <v>21649</v>
      </c>
      <c r="GB23">
        <v>66168</v>
      </c>
      <c r="GC23">
        <v>46255</v>
      </c>
      <c r="GD23">
        <v>18223</v>
      </c>
      <c r="GE23">
        <v>334494</v>
      </c>
      <c r="GF23">
        <v>124921</v>
      </c>
      <c r="GG23">
        <v>47454</v>
      </c>
    </row>
    <row r="24" spans="1:189" x14ac:dyDescent="0.4">
      <c r="A24" s="1" t="s">
        <v>36</v>
      </c>
      <c r="B24" s="1" t="s">
        <v>37</v>
      </c>
      <c r="C24">
        <v>119386</v>
      </c>
      <c r="D24">
        <v>104838</v>
      </c>
      <c r="E24">
        <v>25224256</v>
      </c>
      <c r="F24">
        <v>249421</v>
      </c>
      <c r="G24">
        <v>64325</v>
      </c>
      <c r="H24">
        <v>56859</v>
      </c>
      <c r="I24">
        <v>12432781</v>
      </c>
      <c r="J24">
        <v>157721</v>
      </c>
      <c r="K24">
        <v>10070</v>
      </c>
      <c r="L24">
        <v>10078</v>
      </c>
      <c r="M24">
        <v>2758204</v>
      </c>
      <c r="N24">
        <v>26464</v>
      </c>
      <c r="O24">
        <v>43655</v>
      </c>
      <c r="P24">
        <v>41703</v>
      </c>
      <c r="Q24">
        <v>9476094</v>
      </c>
      <c r="R24">
        <v>61933</v>
      </c>
      <c r="S24">
        <v>6991</v>
      </c>
      <c r="T24">
        <v>5822</v>
      </c>
      <c r="U24">
        <v>1663610</v>
      </c>
      <c r="V24">
        <v>8113</v>
      </c>
      <c r="W24">
        <v>26998</v>
      </c>
      <c r="X24">
        <v>21259</v>
      </c>
      <c r="Y24">
        <v>8220943</v>
      </c>
      <c r="Z24">
        <v>73313</v>
      </c>
      <c r="AA24">
        <v>200727</v>
      </c>
      <c r="AB24">
        <v>173619</v>
      </c>
      <c r="AC24">
        <v>38536344</v>
      </c>
      <c r="AD24">
        <v>379431</v>
      </c>
      <c r="AE24">
        <v>8720</v>
      </c>
      <c r="AF24">
        <v>8160</v>
      </c>
      <c r="AG24">
        <v>3318853</v>
      </c>
      <c r="AH24">
        <v>37380</v>
      </c>
      <c r="AI24">
        <v>21507</v>
      </c>
      <c r="AJ24">
        <v>17226</v>
      </c>
      <c r="AK24">
        <v>6272388</v>
      </c>
      <c r="AL24">
        <v>62272</v>
      </c>
      <c r="AM24">
        <v>7096</v>
      </c>
      <c r="AN24">
        <v>7956</v>
      </c>
      <c r="AO24">
        <v>2435494</v>
      </c>
      <c r="AP24">
        <v>35230</v>
      </c>
      <c r="AQ24">
        <v>8211</v>
      </c>
      <c r="AR24">
        <v>8169</v>
      </c>
      <c r="AS24">
        <v>3667454</v>
      </c>
      <c r="AT24">
        <v>6189</v>
      </c>
      <c r="AU24" t="s">
        <v>73</v>
      </c>
      <c r="AV24" t="s">
        <v>73</v>
      </c>
      <c r="AW24" t="s">
        <v>73</v>
      </c>
      <c r="AX24" t="s">
        <v>73</v>
      </c>
      <c r="AY24">
        <v>11533</v>
      </c>
      <c r="AZ24">
        <v>6800</v>
      </c>
      <c r="BA24">
        <v>5188726</v>
      </c>
      <c r="BB24">
        <v>33928</v>
      </c>
      <c r="BC24">
        <v>27590</v>
      </c>
      <c r="BD24">
        <v>20193</v>
      </c>
      <c r="BE24">
        <v>6573070</v>
      </c>
      <c r="BF24">
        <v>70172</v>
      </c>
      <c r="BG24" t="s">
        <v>73</v>
      </c>
      <c r="BH24" t="s">
        <v>73</v>
      </c>
      <c r="BI24" t="s">
        <v>73</v>
      </c>
      <c r="BJ24" t="s">
        <v>73</v>
      </c>
      <c r="BK24">
        <v>19670</v>
      </c>
      <c r="BL24">
        <v>11823</v>
      </c>
      <c r="BM24">
        <v>7277841</v>
      </c>
      <c r="BN24">
        <v>42762</v>
      </c>
      <c r="BO24">
        <v>124103</v>
      </c>
      <c r="BP24">
        <v>110903</v>
      </c>
      <c r="BQ24">
        <v>18532990</v>
      </c>
      <c r="BR24">
        <v>57471</v>
      </c>
      <c r="BS24">
        <v>33465</v>
      </c>
      <c r="BT24">
        <v>21006</v>
      </c>
      <c r="BU24">
        <v>7749650</v>
      </c>
      <c r="BV24">
        <v>24450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 t="s">
        <v>73</v>
      </c>
      <c r="CE24" t="s">
        <v>73</v>
      </c>
      <c r="CF24" t="s">
        <v>73</v>
      </c>
      <c r="CG24" t="s">
        <v>73</v>
      </c>
      <c r="CH24" t="s">
        <v>73</v>
      </c>
      <c r="CI24">
        <v>255319</v>
      </c>
      <c r="CJ24">
        <v>165212</v>
      </c>
      <c r="CK24">
        <v>19263483</v>
      </c>
      <c r="CL24">
        <v>103380</v>
      </c>
      <c r="CM24">
        <v>109131</v>
      </c>
      <c r="CN24">
        <v>62624</v>
      </c>
      <c r="CO24">
        <v>7140274</v>
      </c>
      <c r="CP24">
        <v>38875</v>
      </c>
      <c r="CQ24">
        <v>343736</v>
      </c>
      <c r="CR24">
        <v>118315</v>
      </c>
      <c r="CS24">
        <v>15547711</v>
      </c>
      <c r="CT24">
        <v>140321</v>
      </c>
      <c r="CU24" t="s">
        <v>73</v>
      </c>
      <c r="CV24" t="s">
        <v>73</v>
      </c>
      <c r="CW24" t="s">
        <v>73</v>
      </c>
      <c r="CX24" t="s">
        <v>73</v>
      </c>
      <c r="CY24">
        <v>238015</v>
      </c>
      <c r="CZ24">
        <v>290433</v>
      </c>
      <c r="DA24">
        <v>36941990</v>
      </c>
      <c r="DB24">
        <v>109834</v>
      </c>
      <c r="DC24">
        <v>465927</v>
      </c>
      <c r="DD24">
        <v>445077</v>
      </c>
      <c r="DE24">
        <v>45596</v>
      </c>
      <c r="DF24">
        <v>37116</v>
      </c>
      <c r="DG24">
        <v>19494</v>
      </c>
      <c r="DH24">
        <v>5816133</v>
      </c>
      <c r="DI24">
        <v>8227</v>
      </c>
      <c r="DJ24">
        <v>16227</v>
      </c>
      <c r="DK24">
        <v>14507</v>
      </c>
      <c r="DL24">
        <v>1923094</v>
      </c>
      <c r="DM24">
        <v>28692</v>
      </c>
      <c r="DN24">
        <v>4343</v>
      </c>
      <c r="DO24">
        <v>2998</v>
      </c>
      <c r="DP24">
        <v>921937</v>
      </c>
      <c r="DQ24">
        <v>6699</v>
      </c>
      <c r="DR24">
        <v>8433</v>
      </c>
      <c r="DS24">
        <v>5771</v>
      </c>
      <c r="DT24">
        <v>983101</v>
      </c>
      <c r="DU24">
        <v>4089</v>
      </c>
      <c r="DV24" t="s">
        <v>73</v>
      </c>
      <c r="DW24" t="s">
        <v>73</v>
      </c>
      <c r="DX24" t="s">
        <v>73</v>
      </c>
      <c r="DY24" t="s">
        <v>73</v>
      </c>
      <c r="DZ24">
        <v>305965</v>
      </c>
      <c r="EA24">
        <v>15435</v>
      </c>
      <c r="EB24">
        <v>928833</v>
      </c>
      <c r="EC24">
        <v>35841</v>
      </c>
      <c r="ED24">
        <v>377260</v>
      </c>
      <c r="EE24">
        <v>357529</v>
      </c>
      <c r="EF24">
        <v>52134</v>
      </c>
      <c r="EG24">
        <v>27195</v>
      </c>
      <c r="EH24">
        <v>21680</v>
      </c>
      <c r="EI24">
        <v>4852286</v>
      </c>
      <c r="EJ24">
        <v>13535</v>
      </c>
      <c r="EK24">
        <v>19007</v>
      </c>
      <c r="EL24">
        <v>15023</v>
      </c>
      <c r="EM24">
        <v>4464456</v>
      </c>
      <c r="EN24">
        <v>28351</v>
      </c>
      <c r="EO24">
        <v>10668</v>
      </c>
      <c r="EP24">
        <v>7398</v>
      </c>
      <c r="EQ24">
        <v>1909299</v>
      </c>
      <c r="ER24">
        <v>9786</v>
      </c>
      <c r="ES24">
        <v>16431</v>
      </c>
      <c r="ET24">
        <v>15338</v>
      </c>
      <c r="EU24">
        <v>2654648</v>
      </c>
      <c r="EV24">
        <v>11409</v>
      </c>
      <c r="EW24">
        <v>23345</v>
      </c>
      <c r="EX24">
        <v>12146</v>
      </c>
      <c r="EY24">
        <v>3456138</v>
      </c>
      <c r="EZ24">
        <v>15360</v>
      </c>
      <c r="FA24">
        <v>6242</v>
      </c>
      <c r="FB24">
        <v>4398</v>
      </c>
      <c r="FC24">
        <v>1896126</v>
      </c>
      <c r="FD24">
        <v>4790</v>
      </c>
      <c r="FE24">
        <v>21899</v>
      </c>
      <c r="FF24">
        <v>20772</v>
      </c>
      <c r="FG24">
        <v>5253118</v>
      </c>
      <c r="FH24">
        <v>15999</v>
      </c>
      <c r="FI24">
        <v>15977</v>
      </c>
      <c r="FJ24">
        <v>15762</v>
      </c>
      <c r="FK24">
        <v>4372871</v>
      </c>
      <c r="FL24">
        <v>16705</v>
      </c>
      <c r="FM24">
        <v>13909</v>
      </c>
      <c r="FN24">
        <v>14338</v>
      </c>
      <c r="FO24">
        <v>1955696</v>
      </c>
      <c r="FP24">
        <v>12655</v>
      </c>
      <c r="FQ24">
        <v>37652</v>
      </c>
      <c r="FR24">
        <v>8480</v>
      </c>
      <c r="FS24">
        <v>1145424</v>
      </c>
      <c r="FT24">
        <v>10097</v>
      </c>
      <c r="FU24">
        <v>20593</v>
      </c>
      <c r="FV24">
        <v>20131</v>
      </c>
      <c r="FW24">
        <v>2959827</v>
      </c>
      <c r="FX24">
        <v>13786</v>
      </c>
      <c r="FY24">
        <v>220405</v>
      </c>
      <c r="FZ24">
        <v>171589</v>
      </c>
      <c r="GA24">
        <v>21767</v>
      </c>
      <c r="GB24">
        <v>65801</v>
      </c>
      <c r="GC24">
        <v>42602</v>
      </c>
      <c r="GD24">
        <v>17975</v>
      </c>
      <c r="GE24">
        <v>322459</v>
      </c>
      <c r="GF24">
        <v>121146</v>
      </c>
      <c r="GG24">
        <v>55978</v>
      </c>
    </row>
    <row r="25" spans="1:189" x14ac:dyDescent="0.4">
      <c r="A25" s="1" t="s">
        <v>38</v>
      </c>
      <c r="B25" s="1" t="s">
        <v>39</v>
      </c>
      <c r="C25">
        <v>92134</v>
      </c>
      <c r="D25">
        <v>96766</v>
      </c>
      <c r="E25">
        <v>23435373</v>
      </c>
      <c r="F25">
        <v>245324</v>
      </c>
      <c r="G25">
        <v>60820</v>
      </c>
      <c r="H25">
        <v>57798</v>
      </c>
      <c r="I25">
        <v>12520049</v>
      </c>
      <c r="J25">
        <v>162101</v>
      </c>
      <c r="K25">
        <v>12893</v>
      </c>
      <c r="L25">
        <v>14292</v>
      </c>
      <c r="M25">
        <v>3960718</v>
      </c>
      <c r="N25">
        <v>25065</v>
      </c>
      <c r="O25">
        <v>48056</v>
      </c>
      <c r="P25">
        <v>40052</v>
      </c>
      <c r="Q25">
        <v>8512177</v>
      </c>
      <c r="R25">
        <v>68901</v>
      </c>
      <c r="S25">
        <v>6986</v>
      </c>
      <c r="T25">
        <v>6333</v>
      </c>
      <c r="U25">
        <v>1744170</v>
      </c>
      <c r="V25">
        <v>8453</v>
      </c>
      <c r="W25">
        <v>21416</v>
      </c>
      <c r="X25">
        <v>21786</v>
      </c>
      <c r="Y25">
        <v>8257305</v>
      </c>
      <c r="Z25">
        <v>70874</v>
      </c>
      <c r="AA25">
        <v>153135</v>
      </c>
      <c r="AB25">
        <v>167262</v>
      </c>
      <c r="AC25">
        <v>36797084</v>
      </c>
      <c r="AD25">
        <v>367704</v>
      </c>
      <c r="AE25">
        <v>5469</v>
      </c>
      <c r="AF25">
        <v>7907</v>
      </c>
      <c r="AG25">
        <v>3281821</v>
      </c>
      <c r="AH25">
        <v>34942</v>
      </c>
      <c r="AI25">
        <v>14316</v>
      </c>
      <c r="AJ25">
        <v>14738</v>
      </c>
      <c r="AK25">
        <v>5375509</v>
      </c>
      <c r="AL25">
        <v>61850</v>
      </c>
      <c r="AM25">
        <v>5841</v>
      </c>
      <c r="AN25">
        <v>8742</v>
      </c>
      <c r="AO25">
        <v>2684630</v>
      </c>
      <c r="AP25">
        <v>32328</v>
      </c>
      <c r="AQ25">
        <v>6860</v>
      </c>
      <c r="AR25">
        <v>6906</v>
      </c>
      <c r="AS25">
        <v>3001820</v>
      </c>
      <c r="AT25">
        <v>6086</v>
      </c>
      <c r="AU25" t="s">
        <v>73</v>
      </c>
      <c r="AV25" t="s">
        <v>73</v>
      </c>
      <c r="AW25" t="s">
        <v>73</v>
      </c>
      <c r="AX25" t="s">
        <v>73</v>
      </c>
      <c r="AY25">
        <v>9371</v>
      </c>
      <c r="AZ25">
        <v>8526</v>
      </c>
      <c r="BA25">
        <v>6434410</v>
      </c>
      <c r="BB25">
        <v>34773</v>
      </c>
      <c r="BC25">
        <v>11783</v>
      </c>
      <c r="BD25">
        <v>22901</v>
      </c>
      <c r="BE25">
        <v>7443797</v>
      </c>
      <c r="BF25">
        <v>58550</v>
      </c>
      <c r="BG25" t="s">
        <v>73</v>
      </c>
      <c r="BH25" t="s">
        <v>73</v>
      </c>
      <c r="BI25" t="s">
        <v>73</v>
      </c>
      <c r="BJ25" t="s">
        <v>73</v>
      </c>
      <c r="BK25">
        <v>18402</v>
      </c>
      <c r="BL25">
        <v>12141</v>
      </c>
      <c r="BM25">
        <v>8235377</v>
      </c>
      <c r="BN25">
        <v>44580</v>
      </c>
      <c r="BO25">
        <v>78037</v>
      </c>
      <c r="BP25">
        <v>92421</v>
      </c>
      <c r="BQ25">
        <v>16004488</v>
      </c>
      <c r="BR25">
        <v>40353</v>
      </c>
      <c r="BS25">
        <v>24772</v>
      </c>
      <c r="BT25">
        <v>21438</v>
      </c>
      <c r="BU25">
        <v>7773004</v>
      </c>
      <c r="BV25">
        <v>20394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 t="s">
        <v>73</v>
      </c>
      <c r="CE25" t="s">
        <v>73</v>
      </c>
      <c r="CF25" t="s">
        <v>73</v>
      </c>
      <c r="CG25" t="s">
        <v>73</v>
      </c>
      <c r="CH25" t="s">
        <v>73</v>
      </c>
      <c r="CI25">
        <v>205549</v>
      </c>
      <c r="CJ25">
        <v>150947</v>
      </c>
      <c r="CK25">
        <v>17494125</v>
      </c>
      <c r="CL25">
        <v>110331</v>
      </c>
      <c r="CM25">
        <v>90289</v>
      </c>
      <c r="CN25">
        <v>56101</v>
      </c>
      <c r="CO25">
        <v>6335076</v>
      </c>
      <c r="CP25">
        <v>35508</v>
      </c>
      <c r="CQ25">
        <v>274106</v>
      </c>
      <c r="CR25">
        <v>83599</v>
      </c>
      <c r="CS25">
        <v>10521983</v>
      </c>
      <c r="CT25">
        <v>145160</v>
      </c>
      <c r="CU25" t="s">
        <v>73</v>
      </c>
      <c r="CV25" t="s">
        <v>73</v>
      </c>
      <c r="CW25" t="s">
        <v>73</v>
      </c>
      <c r="CX25" t="s">
        <v>73</v>
      </c>
      <c r="CY25">
        <v>164571</v>
      </c>
      <c r="CZ25">
        <v>217369</v>
      </c>
      <c r="DA25">
        <v>28002962</v>
      </c>
      <c r="DB25">
        <v>86620</v>
      </c>
      <c r="DC25">
        <v>407639</v>
      </c>
      <c r="DD25">
        <v>401147</v>
      </c>
      <c r="DE25">
        <v>41094</v>
      </c>
      <c r="DF25">
        <v>39734</v>
      </c>
      <c r="DG25">
        <v>20971</v>
      </c>
      <c r="DH25">
        <v>6276728</v>
      </c>
      <c r="DI25">
        <v>6330</v>
      </c>
      <c r="DJ25">
        <v>16961</v>
      </c>
      <c r="DK25">
        <v>19402</v>
      </c>
      <c r="DL25">
        <v>2581373</v>
      </c>
      <c r="DM25">
        <v>26976</v>
      </c>
      <c r="DN25">
        <v>4134</v>
      </c>
      <c r="DO25">
        <v>3558</v>
      </c>
      <c r="DP25">
        <v>957458</v>
      </c>
      <c r="DQ25">
        <v>6309</v>
      </c>
      <c r="DR25">
        <v>6975</v>
      </c>
      <c r="DS25">
        <v>3942</v>
      </c>
      <c r="DT25">
        <v>685836</v>
      </c>
      <c r="DU25">
        <v>3275</v>
      </c>
      <c r="DV25" t="s">
        <v>73</v>
      </c>
      <c r="DW25" t="s">
        <v>73</v>
      </c>
      <c r="DX25" t="s">
        <v>73</v>
      </c>
      <c r="DY25" t="s">
        <v>73</v>
      </c>
      <c r="DZ25">
        <v>261918</v>
      </c>
      <c r="EA25">
        <v>6526</v>
      </c>
      <c r="EB25">
        <v>292570</v>
      </c>
      <c r="EC25">
        <v>37430</v>
      </c>
      <c r="ED25">
        <v>319739</v>
      </c>
      <c r="EE25">
        <v>311953</v>
      </c>
      <c r="EF25">
        <v>48760</v>
      </c>
      <c r="EG25">
        <v>22114</v>
      </c>
      <c r="EH25">
        <v>17749</v>
      </c>
      <c r="EI25">
        <v>3904746</v>
      </c>
      <c r="EJ25">
        <v>12521</v>
      </c>
      <c r="EK25">
        <v>18081</v>
      </c>
      <c r="EL25">
        <v>15064</v>
      </c>
      <c r="EM25">
        <v>4407609</v>
      </c>
      <c r="EN25">
        <v>28890</v>
      </c>
      <c r="EO25">
        <v>9393</v>
      </c>
      <c r="EP25">
        <v>7380</v>
      </c>
      <c r="EQ25">
        <v>1970373</v>
      </c>
      <c r="ER25">
        <v>10232</v>
      </c>
      <c r="ES25">
        <v>14395</v>
      </c>
      <c r="ET25">
        <v>14320</v>
      </c>
      <c r="EU25">
        <v>2424110</v>
      </c>
      <c r="EV25">
        <v>11408</v>
      </c>
      <c r="EW25">
        <v>19156</v>
      </c>
      <c r="EX25">
        <v>8017</v>
      </c>
      <c r="EY25">
        <v>2383859</v>
      </c>
      <c r="EZ25">
        <v>13506</v>
      </c>
      <c r="FA25">
        <v>3228</v>
      </c>
      <c r="FB25">
        <v>4217</v>
      </c>
      <c r="FC25">
        <v>2014947</v>
      </c>
      <c r="FD25">
        <v>3830</v>
      </c>
      <c r="FE25">
        <v>15820</v>
      </c>
      <c r="FF25">
        <v>12620</v>
      </c>
      <c r="FG25">
        <v>3175679</v>
      </c>
      <c r="FH25">
        <v>15213</v>
      </c>
      <c r="FI25">
        <v>19051</v>
      </c>
      <c r="FJ25">
        <v>16705</v>
      </c>
      <c r="FK25">
        <v>4715598</v>
      </c>
      <c r="FL25">
        <v>17605</v>
      </c>
      <c r="FM25">
        <v>8296</v>
      </c>
      <c r="FN25">
        <v>10161</v>
      </c>
      <c r="FO25">
        <v>1524710</v>
      </c>
      <c r="FP25">
        <v>10788</v>
      </c>
      <c r="FQ25">
        <v>32997</v>
      </c>
      <c r="FR25">
        <v>8075</v>
      </c>
      <c r="FS25">
        <v>1085792</v>
      </c>
      <c r="FT25">
        <v>9140</v>
      </c>
      <c r="FU25">
        <v>14959</v>
      </c>
      <c r="FV25">
        <v>17405</v>
      </c>
      <c r="FW25">
        <v>2539073</v>
      </c>
      <c r="FX25">
        <v>11318</v>
      </c>
      <c r="FY25">
        <v>189459</v>
      </c>
      <c r="FZ25">
        <v>148224</v>
      </c>
      <c r="GA25">
        <v>22922</v>
      </c>
      <c r="GB25">
        <v>55808</v>
      </c>
      <c r="GC25">
        <v>34266</v>
      </c>
      <c r="GD25">
        <v>23955</v>
      </c>
      <c r="GE25">
        <v>280228</v>
      </c>
      <c r="GF25">
        <v>107605</v>
      </c>
      <c r="GG25">
        <v>57329</v>
      </c>
    </row>
    <row r="26" spans="1:189" x14ac:dyDescent="0.4">
      <c r="A26" s="1" t="s">
        <v>40</v>
      </c>
      <c r="B26" s="1" t="s">
        <v>41</v>
      </c>
      <c r="C26">
        <v>95570</v>
      </c>
      <c r="D26">
        <v>106671</v>
      </c>
      <c r="E26">
        <v>25746347</v>
      </c>
      <c r="F26">
        <v>234994</v>
      </c>
      <c r="G26">
        <v>68254</v>
      </c>
      <c r="H26">
        <v>66978</v>
      </c>
      <c r="I26">
        <v>14451371</v>
      </c>
      <c r="J26">
        <v>165653</v>
      </c>
      <c r="K26">
        <v>10950</v>
      </c>
      <c r="L26">
        <v>10952</v>
      </c>
      <c r="M26">
        <v>3029943</v>
      </c>
      <c r="N26">
        <v>25063</v>
      </c>
      <c r="O26">
        <v>46384</v>
      </c>
      <c r="P26">
        <v>44395</v>
      </c>
      <c r="Q26">
        <v>9406853</v>
      </c>
      <c r="R26">
        <v>69891</v>
      </c>
      <c r="S26">
        <v>7205</v>
      </c>
      <c r="T26">
        <v>8012</v>
      </c>
      <c r="U26">
        <v>2150164</v>
      </c>
      <c r="V26">
        <v>7395</v>
      </c>
      <c r="W26">
        <v>17801</v>
      </c>
      <c r="X26">
        <v>22784</v>
      </c>
      <c r="Y26">
        <v>8829125</v>
      </c>
      <c r="Z26">
        <v>63798</v>
      </c>
      <c r="AA26">
        <v>175179</v>
      </c>
      <c r="AB26">
        <v>178522</v>
      </c>
      <c r="AC26">
        <v>39340022</v>
      </c>
      <c r="AD26">
        <v>366219</v>
      </c>
      <c r="AE26">
        <v>6741</v>
      </c>
      <c r="AF26">
        <v>8602</v>
      </c>
      <c r="AG26">
        <v>4119605</v>
      </c>
      <c r="AH26">
        <v>33081</v>
      </c>
      <c r="AI26">
        <v>12586</v>
      </c>
      <c r="AJ26">
        <v>16377</v>
      </c>
      <c r="AK26">
        <v>5967294</v>
      </c>
      <c r="AL26">
        <v>58052</v>
      </c>
      <c r="AM26">
        <v>8359</v>
      </c>
      <c r="AN26">
        <v>10166</v>
      </c>
      <c r="AO26">
        <v>3065116</v>
      </c>
      <c r="AP26">
        <v>30521</v>
      </c>
      <c r="AQ26">
        <v>7413</v>
      </c>
      <c r="AR26">
        <v>7107</v>
      </c>
      <c r="AS26">
        <v>2985075</v>
      </c>
      <c r="AT26">
        <v>6314</v>
      </c>
      <c r="AU26" t="s">
        <v>73</v>
      </c>
      <c r="AV26" t="s">
        <v>73</v>
      </c>
      <c r="AW26" t="s">
        <v>73</v>
      </c>
      <c r="AX26" t="s">
        <v>73</v>
      </c>
      <c r="AY26">
        <v>12336</v>
      </c>
      <c r="AZ26">
        <v>10012</v>
      </c>
      <c r="BA26">
        <v>7510004</v>
      </c>
      <c r="BB26">
        <v>37097</v>
      </c>
      <c r="BC26">
        <v>18713</v>
      </c>
      <c r="BD26">
        <v>22097</v>
      </c>
      <c r="BE26">
        <v>7201859</v>
      </c>
      <c r="BF26">
        <v>54842</v>
      </c>
      <c r="BG26" t="s">
        <v>73</v>
      </c>
      <c r="BH26" t="s">
        <v>73</v>
      </c>
      <c r="BI26" t="s">
        <v>73</v>
      </c>
      <c r="BJ26" t="s">
        <v>73</v>
      </c>
      <c r="BK26">
        <v>16784</v>
      </c>
      <c r="BL26">
        <v>11626</v>
      </c>
      <c r="BM26">
        <v>9157257</v>
      </c>
      <c r="BN26">
        <v>46603</v>
      </c>
      <c r="BO26">
        <v>100709</v>
      </c>
      <c r="BP26">
        <v>85755</v>
      </c>
      <c r="BQ26">
        <v>14767503</v>
      </c>
      <c r="BR26">
        <v>48594</v>
      </c>
      <c r="BS26">
        <v>30115</v>
      </c>
      <c r="BT26">
        <v>13958</v>
      </c>
      <c r="BU26">
        <v>4881593</v>
      </c>
      <c r="BV26">
        <v>23930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 t="s">
        <v>73</v>
      </c>
      <c r="CE26" t="s">
        <v>73</v>
      </c>
      <c r="CF26" t="s">
        <v>73</v>
      </c>
      <c r="CG26" t="s">
        <v>73</v>
      </c>
      <c r="CH26" t="s">
        <v>73</v>
      </c>
      <c r="CI26">
        <v>233177</v>
      </c>
      <c r="CJ26">
        <v>169058</v>
      </c>
      <c r="CK26">
        <v>18730883</v>
      </c>
      <c r="CL26">
        <v>114447</v>
      </c>
      <c r="CM26">
        <v>87334</v>
      </c>
      <c r="CN26">
        <v>47720</v>
      </c>
      <c r="CO26">
        <v>5215074</v>
      </c>
      <c r="CP26">
        <v>43135</v>
      </c>
      <c r="CQ26">
        <v>309587</v>
      </c>
      <c r="CR26">
        <v>125684</v>
      </c>
      <c r="CS26">
        <v>15409928</v>
      </c>
      <c r="CT26">
        <v>126627</v>
      </c>
      <c r="CU26" t="s">
        <v>73</v>
      </c>
      <c r="CV26" t="s">
        <v>73</v>
      </c>
      <c r="CW26" t="s">
        <v>73</v>
      </c>
      <c r="CX26" t="s">
        <v>73</v>
      </c>
      <c r="CY26">
        <v>204473</v>
      </c>
      <c r="CZ26">
        <v>248964</v>
      </c>
      <c r="DA26">
        <v>30433124</v>
      </c>
      <c r="DB26">
        <v>82525</v>
      </c>
      <c r="DC26">
        <v>446632</v>
      </c>
      <c r="DD26">
        <v>425538</v>
      </c>
      <c r="DE26">
        <v>47359</v>
      </c>
      <c r="DF26">
        <v>44725</v>
      </c>
      <c r="DG26">
        <v>19851</v>
      </c>
      <c r="DH26">
        <v>6032019</v>
      </c>
      <c r="DI26">
        <v>9046</v>
      </c>
      <c r="DJ26">
        <v>24477</v>
      </c>
      <c r="DK26">
        <v>22179</v>
      </c>
      <c r="DL26">
        <v>3069688</v>
      </c>
      <c r="DM26">
        <v>29486</v>
      </c>
      <c r="DN26">
        <v>1367</v>
      </c>
      <c r="DO26">
        <v>2595</v>
      </c>
      <c r="DP26">
        <v>922929</v>
      </c>
      <c r="DQ26">
        <v>4945</v>
      </c>
      <c r="DR26">
        <v>6111</v>
      </c>
      <c r="DS26">
        <v>3242</v>
      </c>
      <c r="DT26">
        <v>562802</v>
      </c>
      <c r="DU26">
        <v>4535</v>
      </c>
      <c r="DV26" t="s">
        <v>73</v>
      </c>
      <c r="DW26" t="s">
        <v>73</v>
      </c>
      <c r="DX26" t="s">
        <v>73</v>
      </c>
      <c r="DY26" t="s">
        <v>73</v>
      </c>
      <c r="DZ26">
        <v>272297</v>
      </c>
      <c r="EA26">
        <v>1272</v>
      </c>
      <c r="EB26">
        <v>72881</v>
      </c>
      <c r="EC26">
        <v>36294</v>
      </c>
      <c r="ED26">
        <v>365711</v>
      </c>
      <c r="EE26">
        <v>337923</v>
      </c>
      <c r="EF26">
        <v>53748</v>
      </c>
      <c r="EG26">
        <v>25389</v>
      </c>
      <c r="EH26">
        <v>17749</v>
      </c>
      <c r="EI26">
        <v>3941212</v>
      </c>
      <c r="EJ26">
        <v>14332</v>
      </c>
      <c r="EK26">
        <v>16647</v>
      </c>
      <c r="EL26">
        <v>15620</v>
      </c>
      <c r="EM26">
        <v>4618021</v>
      </c>
      <c r="EN26">
        <v>28224</v>
      </c>
      <c r="EO26">
        <v>4271</v>
      </c>
      <c r="EP26">
        <v>6446</v>
      </c>
      <c r="EQ26">
        <v>1670309</v>
      </c>
      <c r="ER26">
        <v>6175</v>
      </c>
      <c r="ES26">
        <v>16376</v>
      </c>
      <c r="ET26">
        <v>15674</v>
      </c>
      <c r="EU26">
        <v>2557783</v>
      </c>
      <c r="EV26">
        <v>12061</v>
      </c>
      <c r="EW26">
        <v>23032</v>
      </c>
      <c r="EX26">
        <v>9660</v>
      </c>
      <c r="EY26">
        <v>3286063</v>
      </c>
      <c r="EZ26">
        <v>14226</v>
      </c>
      <c r="FA26">
        <v>3663</v>
      </c>
      <c r="FB26">
        <v>4527</v>
      </c>
      <c r="FC26">
        <v>2047832</v>
      </c>
      <c r="FD26">
        <v>2937</v>
      </c>
      <c r="FE26">
        <v>21070</v>
      </c>
      <c r="FF26">
        <v>14503</v>
      </c>
      <c r="FG26">
        <v>3662232</v>
      </c>
      <c r="FH26">
        <v>15733</v>
      </c>
      <c r="FI26">
        <v>20354</v>
      </c>
      <c r="FJ26">
        <v>18578</v>
      </c>
      <c r="FK26">
        <v>5299229</v>
      </c>
      <c r="FL26">
        <v>17615</v>
      </c>
      <c r="FM26">
        <v>10112</v>
      </c>
      <c r="FN26">
        <v>11996</v>
      </c>
      <c r="FO26">
        <v>2070334</v>
      </c>
      <c r="FP26">
        <v>9041</v>
      </c>
      <c r="FQ26">
        <v>34436</v>
      </c>
      <c r="FR26">
        <v>6090</v>
      </c>
      <c r="FS26">
        <v>939277</v>
      </c>
      <c r="FT26">
        <v>7672</v>
      </c>
      <c r="FU26">
        <v>21685</v>
      </c>
      <c r="FV26">
        <v>18218</v>
      </c>
      <c r="FW26">
        <v>2716980</v>
      </c>
      <c r="FX26">
        <v>14761</v>
      </c>
      <c r="FY26">
        <v>207657</v>
      </c>
      <c r="FZ26">
        <v>171472</v>
      </c>
      <c r="GA26">
        <v>21809</v>
      </c>
      <c r="GB26">
        <v>60913</v>
      </c>
      <c r="GC26">
        <v>38334</v>
      </c>
      <c r="GD26">
        <v>24348</v>
      </c>
      <c r="GE26">
        <v>334243</v>
      </c>
      <c r="GF26">
        <v>125007</v>
      </c>
      <c r="GG26">
        <v>54461</v>
      </c>
    </row>
    <row r="27" spans="1:189" x14ac:dyDescent="0.4">
      <c r="A27" s="1" t="s">
        <v>42</v>
      </c>
      <c r="B27" s="1" t="s">
        <v>43</v>
      </c>
      <c r="C27">
        <v>107886</v>
      </c>
      <c r="D27">
        <v>113640</v>
      </c>
      <c r="E27">
        <v>28201456</v>
      </c>
      <c r="F27">
        <v>230257</v>
      </c>
      <c r="G27">
        <v>68113</v>
      </c>
      <c r="H27">
        <v>59456</v>
      </c>
      <c r="I27">
        <v>13478632</v>
      </c>
      <c r="J27">
        <v>176873</v>
      </c>
      <c r="K27">
        <v>11411</v>
      </c>
      <c r="L27">
        <v>12696</v>
      </c>
      <c r="M27">
        <v>3856193</v>
      </c>
      <c r="N27">
        <v>23776</v>
      </c>
      <c r="O27">
        <v>47694</v>
      </c>
      <c r="P27">
        <v>44299</v>
      </c>
      <c r="Q27">
        <v>9275135</v>
      </c>
      <c r="R27">
        <v>72556</v>
      </c>
      <c r="S27">
        <v>6396</v>
      </c>
      <c r="T27">
        <v>5900</v>
      </c>
      <c r="U27">
        <v>1664927</v>
      </c>
      <c r="V27">
        <v>7656</v>
      </c>
      <c r="W27">
        <v>28442</v>
      </c>
      <c r="X27">
        <v>25404</v>
      </c>
      <c r="Y27">
        <v>9722999</v>
      </c>
      <c r="Z27">
        <v>65110</v>
      </c>
      <c r="AA27">
        <v>191918</v>
      </c>
      <c r="AB27">
        <v>181240</v>
      </c>
      <c r="AC27">
        <v>40805378</v>
      </c>
      <c r="AD27">
        <v>378806</v>
      </c>
      <c r="AE27">
        <v>8269</v>
      </c>
      <c r="AF27">
        <v>7864</v>
      </c>
      <c r="AG27">
        <v>3239825</v>
      </c>
      <c r="AH27">
        <v>33486</v>
      </c>
      <c r="AI27">
        <v>12553</v>
      </c>
      <c r="AJ27">
        <v>17960</v>
      </c>
      <c r="AK27">
        <v>6484378</v>
      </c>
      <c r="AL27">
        <v>52645</v>
      </c>
      <c r="AM27">
        <v>11497</v>
      </c>
      <c r="AN27">
        <v>9156</v>
      </c>
      <c r="AO27">
        <v>2788997</v>
      </c>
      <c r="AP27">
        <v>31747</v>
      </c>
      <c r="AQ27">
        <v>7954</v>
      </c>
      <c r="AR27">
        <v>7971</v>
      </c>
      <c r="AS27">
        <v>3347784</v>
      </c>
      <c r="AT27">
        <v>6319</v>
      </c>
      <c r="AU27" t="s">
        <v>73</v>
      </c>
      <c r="AV27" t="s">
        <v>73</v>
      </c>
      <c r="AW27" t="s">
        <v>73</v>
      </c>
      <c r="AX27" t="s">
        <v>73</v>
      </c>
      <c r="AY27">
        <v>11069</v>
      </c>
      <c r="AZ27">
        <v>7361</v>
      </c>
      <c r="BA27">
        <v>5322315</v>
      </c>
      <c r="BB27">
        <v>40805</v>
      </c>
      <c r="BC27">
        <v>25736</v>
      </c>
      <c r="BD27">
        <v>23600</v>
      </c>
      <c r="BE27">
        <v>7577512</v>
      </c>
      <c r="BF27">
        <v>56476</v>
      </c>
      <c r="BG27" t="s">
        <v>73</v>
      </c>
      <c r="BH27" t="s">
        <v>73</v>
      </c>
      <c r="BI27" t="s">
        <v>73</v>
      </c>
      <c r="BJ27" t="s">
        <v>73</v>
      </c>
      <c r="BK27">
        <v>11784</v>
      </c>
      <c r="BL27">
        <v>10782</v>
      </c>
      <c r="BM27">
        <v>6507284</v>
      </c>
      <c r="BN27">
        <v>43972</v>
      </c>
      <c r="BO27">
        <v>107584</v>
      </c>
      <c r="BP27">
        <v>107892</v>
      </c>
      <c r="BQ27">
        <v>16941724</v>
      </c>
      <c r="BR27">
        <v>41400</v>
      </c>
      <c r="BS27">
        <v>36033</v>
      </c>
      <c r="BT27">
        <v>19663</v>
      </c>
      <c r="BU27">
        <v>5826137</v>
      </c>
      <c r="BV27">
        <v>25410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 t="s">
        <v>73</v>
      </c>
      <c r="CE27" t="s">
        <v>73</v>
      </c>
      <c r="CF27" t="s">
        <v>73</v>
      </c>
      <c r="CG27" t="s">
        <v>73</v>
      </c>
      <c r="CH27" t="s">
        <v>73</v>
      </c>
      <c r="CI27">
        <v>262209</v>
      </c>
      <c r="CJ27">
        <v>184300</v>
      </c>
      <c r="CK27">
        <v>19784379</v>
      </c>
      <c r="CL27">
        <v>108362</v>
      </c>
      <c r="CM27">
        <v>102811</v>
      </c>
      <c r="CN27">
        <v>70775</v>
      </c>
      <c r="CO27">
        <v>7211881</v>
      </c>
      <c r="CP27">
        <v>41367</v>
      </c>
      <c r="CQ27">
        <v>331359</v>
      </c>
      <c r="CR27">
        <v>144133</v>
      </c>
      <c r="CS27">
        <v>16628001</v>
      </c>
      <c r="CT27">
        <v>130199</v>
      </c>
      <c r="CU27" t="s">
        <v>73</v>
      </c>
      <c r="CV27" t="s">
        <v>73</v>
      </c>
      <c r="CW27" t="s">
        <v>73</v>
      </c>
      <c r="CX27" t="s">
        <v>73</v>
      </c>
      <c r="CY27">
        <v>209236</v>
      </c>
      <c r="CZ27">
        <v>270359</v>
      </c>
      <c r="DA27">
        <v>29935675</v>
      </c>
      <c r="DB27">
        <v>75728</v>
      </c>
      <c r="DC27">
        <v>452400</v>
      </c>
      <c r="DD27">
        <v>431531</v>
      </c>
      <c r="DE27">
        <v>44149</v>
      </c>
      <c r="DF27">
        <v>44253</v>
      </c>
      <c r="DG27">
        <v>22343</v>
      </c>
      <c r="DH27">
        <v>6621426</v>
      </c>
      <c r="DI27">
        <v>9262</v>
      </c>
      <c r="DJ27">
        <v>20922</v>
      </c>
      <c r="DK27">
        <v>21672</v>
      </c>
      <c r="DL27">
        <v>2766776</v>
      </c>
      <c r="DM27">
        <v>27939</v>
      </c>
      <c r="DN27">
        <v>3735</v>
      </c>
      <c r="DO27">
        <v>3022</v>
      </c>
      <c r="DP27">
        <v>921216</v>
      </c>
      <c r="DQ27">
        <v>4500</v>
      </c>
      <c r="DR27">
        <v>3765</v>
      </c>
      <c r="DS27">
        <v>2909</v>
      </c>
      <c r="DT27">
        <v>489305</v>
      </c>
      <c r="DU27">
        <v>4247</v>
      </c>
      <c r="DV27" t="s">
        <v>73</v>
      </c>
      <c r="DW27" t="s">
        <v>73</v>
      </c>
      <c r="DX27" t="s">
        <v>73</v>
      </c>
      <c r="DY27" t="s">
        <v>73</v>
      </c>
      <c r="DZ27">
        <v>273816</v>
      </c>
      <c r="EA27">
        <v>1489</v>
      </c>
      <c r="EB27">
        <v>51826</v>
      </c>
      <c r="EC27">
        <v>31191</v>
      </c>
      <c r="ED27">
        <v>363030</v>
      </c>
      <c r="EE27">
        <v>344436</v>
      </c>
      <c r="EF27">
        <v>52111</v>
      </c>
      <c r="EG27">
        <v>26274</v>
      </c>
      <c r="EH27">
        <v>21855</v>
      </c>
      <c r="EI27">
        <v>4467774</v>
      </c>
      <c r="EJ27">
        <v>10918</v>
      </c>
      <c r="EK27">
        <v>19457</v>
      </c>
      <c r="EL27">
        <v>16148</v>
      </c>
      <c r="EM27">
        <v>4797231</v>
      </c>
      <c r="EN27">
        <v>28178</v>
      </c>
      <c r="EO27">
        <v>8347</v>
      </c>
      <c r="EP27">
        <v>7228</v>
      </c>
      <c r="EQ27">
        <v>1865557</v>
      </c>
      <c r="ER27">
        <v>5077</v>
      </c>
      <c r="ES27">
        <v>16159</v>
      </c>
      <c r="ET27">
        <v>16360</v>
      </c>
      <c r="EU27">
        <v>2631008</v>
      </c>
      <c r="EV27">
        <v>11797</v>
      </c>
      <c r="EW27">
        <v>27534</v>
      </c>
      <c r="EX27">
        <v>7471</v>
      </c>
      <c r="EY27">
        <v>2031842</v>
      </c>
      <c r="EZ27">
        <v>18589</v>
      </c>
      <c r="FA27">
        <v>5115</v>
      </c>
      <c r="FB27">
        <v>4365</v>
      </c>
      <c r="FC27">
        <v>1906864</v>
      </c>
      <c r="FD27">
        <v>3686</v>
      </c>
      <c r="FE27">
        <v>22976</v>
      </c>
      <c r="FF27">
        <v>18837</v>
      </c>
      <c r="FG27">
        <v>4387163</v>
      </c>
      <c r="FH27">
        <v>16517</v>
      </c>
      <c r="FI27">
        <v>21109</v>
      </c>
      <c r="FJ27">
        <v>19025</v>
      </c>
      <c r="FK27">
        <v>5268035</v>
      </c>
      <c r="FL27">
        <v>16324</v>
      </c>
      <c r="FM27">
        <v>14355</v>
      </c>
      <c r="FN27">
        <v>14673</v>
      </c>
      <c r="FO27">
        <v>2208457</v>
      </c>
      <c r="FP27">
        <v>8722</v>
      </c>
      <c r="FQ27">
        <v>30780</v>
      </c>
      <c r="FR27">
        <v>7737</v>
      </c>
      <c r="FS27">
        <v>1158734</v>
      </c>
      <c r="FT27">
        <v>6891</v>
      </c>
      <c r="FU27">
        <v>15550</v>
      </c>
      <c r="FV27">
        <v>16685</v>
      </c>
      <c r="FW27">
        <v>2467412</v>
      </c>
      <c r="FX27">
        <v>13576</v>
      </c>
      <c r="FY27">
        <v>214594</v>
      </c>
      <c r="FZ27">
        <v>175424</v>
      </c>
      <c r="GA27">
        <v>25661</v>
      </c>
      <c r="GB27">
        <v>63403</v>
      </c>
      <c r="GC27">
        <v>43394</v>
      </c>
      <c r="GD27">
        <v>22293</v>
      </c>
      <c r="GE27">
        <v>326668</v>
      </c>
      <c r="GF27">
        <v>108895</v>
      </c>
      <c r="GG27">
        <v>49786</v>
      </c>
    </row>
    <row r="28" spans="1:189" x14ac:dyDescent="0.4">
      <c r="A28" s="1" t="s">
        <v>44</v>
      </c>
      <c r="B28" s="1" t="s">
        <v>45</v>
      </c>
      <c r="C28">
        <v>111372</v>
      </c>
      <c r="D28">
        <v>104316</v>
      </c>
      <c r="E28">
        <v>24812410</v>
      </c>
      <c r="F28">
        <v>238022</v>
      </c>
      <c r="G28">
        <v>42448</v>
      </c>
      <c r="H28">
        <v>50411</v>
      </c>
      <c r="I28">
        <v>11231195</v>
      </c>
      <c r="J28">
        <v>171559</v>
      </c>
      <c r="K28">
        <v>14168</v>
      </c>
      <c r="L28">
        <v>12190</v>
      </c>
      <c r="M28">
        <v>3401069</v>
      </c>
      <c r="N28">
        <v>25747</v>
      </c>
      <c r="O28">
        <v>37805</v>
      </c>
      <c r="P28">
        <v>38899</v>
      </c>
      <c r="Q28">
        <v>8095513</v>
      </c>
      <c r="R28">
        <v>70542</v>
      </c>
      <c r="S28">
        <v>7313</v>
      </c>
      <c r="T28">
        <v>7279</v>
      </c>
      <c r="U28">
        <v>1934776</v>
      </c>
      <c r="V28">
        <v>7488</v>
      </c>
      <c r="W28">
        <v>24340</v>
      </c>
      <c r="X28">
        <v>21135</v>
      </c>
      <c r="Y28">
        <v>8118866</v>
      </c>
      <c r="Z28">
        <v>66900</v>
      </c>
      <c r="AA28">
        <v>169361</v>
      </c>
      <c r="AB28">
        <v>166712</v>
      </c>
      <c r="AC28">
        <v>37554834</v>
      </c>
      <c r="AD28">
        <v>383036</v>
      </c>
      <c r="AE28">
        <v>3428</v>
      </c>
      <c r="AF28">
        <v>6468</v>
      </c>
      <c r="AG28">
        <v>2568267</v>
      </c>
      <c r="AH28">
        <v>30445</v>
      </c>
      <c r="AI28">
        <v>19714</v>
      </c>
      <c r="AJ28">
        <v>14972</v>
      </c>
      <c r="AK28">
        <v>5466383</v>
      </c>
      <c r="AL28">
        <v>57386</v>
      </c>
      <c r="AM28">
        <v>11712</v>
      </c>
      <c r="AN28">
        <v>8547</v>
      </c>
      <c r="AO28">
        <v>2558452</v>
      </c>
      <c r="AP28">
        <v>33315</v>
      </c>
      <c r="AQ28">
        <v>8345</v>
      </c>
      <c r="AR28">
        <v>7614</v>
      </c>
      <c r="AS28">
        <v>3118628</v>
      </c>
      <c r="AT28">
        <v>7280</v>
      </c>
      <c r="AU28" t="s">
        <v>73</v>
      </c>
      <c r="AV28" t="s">
        <v>73</v>
      </c>
      <c r="AW28" t="s">
        <v>73</v>
      </c>
      <c r="AX28" t="s">
        <v>73</v>
      </c>
      <c r="AY28">
        <v>7593</v>
      </c>
      <c r="AZ28">
        <v>7371</v>
      </c>
      <c r="BA28">
        <v>5586708</v>
      </c>
      <c r="BB28">
        <v>41027</v>
      </c>
      <c r="BC28">
        <v>30329</v>
      </c>
      <c r="BD28">
        <v>21539</v>
      </c>
      <c r="BE28">
        <v>6901554</v>
      </c>
      <c r="BF28">
        <v>64586</v>
      </c>
      <c r="BG28" t="s">
        <v>73</v>
      </c>
      <c r="BH28" t="s">
        <v>73</v>
      </c>
      <c r="BI28" t="s">
        <v>73</v>
      </c>
      <c r="BJ28" t="s">
        <v>73</v>
      </c>
      <c r="BK28">
        <v>5532</v>
      </c>
      <c r="BL28">
        <v>9582</v>
      </c>
      <c r="BM28">
        <v>7123250</v>
      </c>
      <c r="BN28">
        <v>39638</v>
      </c>
      <c r="BO28">
        <v>111915</v>
      </c>
      <c r="BP28">
        <v>104087</v>
      </c>
      <c r="BQ28">
        <v>17259952</v>
      </c>
      <c r="BR28">
        <v>43053</v>
      </c>
      <c r="BS28">
        <v>18577</v>
      </c>
      <c r="BT28">
        <v>16166</v>
      </c>
      <c r="BU28">
        <v>4629456</v>
      </c>
      <c r="BV28">
        <v>18258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 t="s">
        <v>73</v>
      </c>
      <c r="CE28" t="s">
        <v>73</v>
      </c>
      <c r="CF28" t="s">
        <v>73</v>
      </c>
      <c r="CG28" t="s">
        <v>73</v>
      </c>
      <c r="CH28" t="s">
        <v>73</v>
      </c>
      <c r="CI28">
        <v>208344</v>
      </c>
      <c r="CJ28">
        <v>124965</v>
      </c>
      <c r="CK28">
        <v>11760341</v>
      </c>
      <c r="CL28">
        <v>125058</v>
      </c>
      <c r="CM28">
        <v>92111</v>
      </c>
      <c r="CN28">
        <v>50801</v>
      </c>
      <c r="CO28">
        <v>5071447</v>
      </c>
      <c r="CP28">
        <v>50555</v>
      </c>
      <c r="CQ28">
        <v>270735</v>
      </c>
      <c r="CR28">
        <v>118987</v>
      </c>
      <c r="CS28">
        <v>13851927</v>
      </c>
      <c r="CT28">
        <v>122384</v>
      </c>
      <c r="CU28" t="s">
        <v>73</v>
      </c>
      <c r="CV28" t="s">
        <v>73</v>
      </c>
      <c r="CW28" t="s">
        <v>73</v>
      </c>
      <c r="CX28" t="s">
        <v>73</v>
      </c>
      <c r="CY28">
        <v>152202</v>
      </c>
      <c r="CZ28">
        <v>208823</v>
      </c>
      <c r="DA28">
        <v>24666863</v>
      </c>
      <c r="DB28">
        <v>61644</v>
      </c>
      <c r="DC28">
        <v>417542</v>
      </c>
      <c r="DD28">
        <v>379433</v>
      </c>
      <c r="DE28">
        <v>43638</v>
      </c>
      <c r="DF28">
        <v>55333</v>
      </c>
      <c r="DG28">
        <v>18689</v>
      </c>
      <c r="DH28">
        <v>5420184</v>
      </c>
      <c r="DI28">
        <v>12380</v>
      </c>
      <c r="DJ28">
        <v>31618</v>
      </c>
      <c r="DK28">
        <v>26407</v>
      </c>
      <c r="DL28">
        <v>3147473</v>
      </c>
      <c r="DM28">
        <v>31461</v>
      </c>
      <c r="DN28">
        <v>4495</v>
      </c>
      <c r="DO28">
        <v>3500</v>
      </c>
      <c r="DP28">
        <v>1110526</v>
      </c>
      <c r="DQ28">
        <v>4870</v>
      </c>
      <c r="DR28">
        <v>10380</v>
      </c>
      <c r="DS28">
        <v>7605</v>
      </c>
      <c r="DT28">
        <v>1252100</v>
      </c>
      <c r="DU28">
        <v>3347</v>
      </c>
      <c r="DV28" t="s">
        <v>73</v>
      </c>
      <c r="DW28" t="s">
        <v>73</v>
      </c>
      <c r="DX28" t="s">
        <v>73</v>
      </c>
      <c r="DY28" t="s">
        <v>73</v>
      </c>
      <c r="DZ28">
        <v>201749</v>
      </c>
      <c r="EA28">
        <v>6862</v>
      </c>
      <c r="EB28">
        <v>229553</v>
      </c>
      <c r="EC28">
        <v>32292</v>
      </c>
      <c r="ED28">
        <v>328905</v>
      </c>
      <c r="EE28">
        <v>323266</v>
      </c>
      <c r="EF28">
        <v>55197</v>
      </c>
      <c r="EG28">
        <v>26661</v>
      </c>
      <c r="EH28">
        <v>22354</v>
      </c>
      <c r="EI28">
        <v>4637934</v>
      </c>
      <c r="EJ28">
        <v>14365</v>
      </c>
      <c r="EK28">
        <v>14751</v>
      </c>
      <c r="EL28">
        <v>13500</v>
      </c>
      <c r="EM28">
        <v>4520946</v>
      </c>
      <c r="EN28">
        <v>28514</v>
      </c>
      <c r="EO28">
        <v>8961</v>
      </c>
      <c r="EP28">
        <v>5628</v>
      </c>
      <c r="EQ28">
        <v>1649823</v>
      </c>
      <c r="ER28">
        <v>6759</v>
      </c>
      <c r="ES28">
        <v>14862</v>
      </c>
      <c r="ET28">
        <v>15026</v>
      </c>
      <c r="EU28">
        <v>2508757</v>
      </c>
      <c r="EV28">
        <v>11573</v>
      </c>
      <c r="EW28">
        <v>15291</v>
      </c>
      <c r="EX28">
        <v>7666</v>
      </c>
      <c r="EY28">
        <v>2271168</v>
      </c>
      <c r="EZ28">
        <v>14524</v>
      </c>
      <c r="FA28">
        <v>4170</v>
      </c>
      <c r="FB28">
        <v>4551</v>
      </c>
      <c r="FC28">
        <v>2033949</v>
      </c>
      <c r="FD28">
        <v>3299</v>
      </c>
      <c r="FE28">
        <v>22081</v>
      </c>
      <c r="FF28">
        <v>18180</v>
      </c>
      <c r="FG28">
        <v>4239581</v>
      </c>
      <c r="FH28">
        <v>17113</v>
      </c>
      <c r="FI28">
        <v>19303</v>
      </c>
      <c r="FJ28">
        <v>16194</v>
      </c>
      <c r="FK28">
        <v>4324543</v>
      </c>
      <c r="FL28">
        <v>17724</v>
      </c>
      <c r="FM28">
        <v>11381</v>
      </c>
      <c r="FN28">
        <v>10292</v>
      </c>
      <c r="FO28">
        <v>1146042</v>
      </c>
      <c r="FP28">
        <v>10203</v>
      </c>
      <c r="FQ28">
        <v>33587</v>
      </c>
      <c r="FR28">
        <v>9173</v>
      </c>
      <c r="FS28">
        <v>951577</v>
      </c>
      <c r="FT28">
        <v>8055</v>
      </c>
      <c r="FU28">
        <v>14875</v>
      </c>
      <c r="FV28">
        <v>14498</v>
      </c>
      <c r="FW28">
        <v>2094435</v>
      </c>
      <c r="FX28">
        <v>14075</v>
      </c>
      <c r="FY28">
        <v>197723</v>
      </c>
      <c r="FZ28">
        <v>173034</v>
      </c>
      <c r="GA28">
        <v>21848</v>
      </c>
      <c r="GB28">
        <v>57858</v>
      </c>
      <c r="GC28">
        <v>40085</v>
      </c>
      <c r="GD28">
        <v>17531</v>
      </c>
      <c r="GE28">
        <v>297571</v>
      </c>
      <c r="GF28">
        <v>97711</v>
      </c>
      <c r="GG28">
        <v>56060</v>
      </c>
    </row>
    <row r="29" spans="1:189" x14ac:dyDescent="0.4">
      <c r="A29" s="1" t="s">
        <v>46</v>
      </c>
      <c r="B29" s="1" t="s">
        <v>47</v>
      </c>
      <c r="C29">
        <v>74909</v>
      </c>
      <c r="D29">
        <v>87790</v>
      </c>
      <c r="E29">
        <v>22452717</v>
      </c>
      <c r="F29">
        <v>225633</v>
      </c>
      <c r="G29">
        <v>30319</v>
      </c>
      <c r="H29">
        <v>50435</v>
      </c>
      <c r="I29">
        <v>10958313</v>
      </c>
      <c r="J29">
        <v>151551</v>
      </c>
      <c r="K29">
        <v>6088</v>
      </c>
      <c r="L29">
        <v>7861</v>
      </c>
      <c r="M29">
        <v>2047315</v>
      </c>
      <c r="N29">
        <v>23969</v>
      </c>
      <c r="O29">
        <v>33057</v>
      </c>
      <c r="P29">
        <v>38396</v>
      </c>
      <c r="Q29">
        <v>7844001</v>
      </c>
      <c r="R29">
        <v>64838</v>
      </c>
      <c r="S29">
        <v>6875</v>
      </c>
      <c r="T29">
        <v>7159</v>
      </c>
      <c r="U29">
        <v>1937195</v>
      </c>
      <c r="V29">
        <v>6999</v>
      </c>
      <c r="W29">
        <v>23553</v>
      </c>
      <c r="X29">
        <v>22909</v>
      </c>
      <c r="Y29">
        <v>8911708</v>
      </c>
      <c r="Z29">
        <v>66127</v>
      </c>
      <c r="AA29">
        <v>124714</v>
      </c>
      <c r="AB29">
        <v>147804</v>
      </c>
      <c r="AC29">
        <v>32464647</v>
      </c>
      <c r="AD29">
        <v>361624</v>
      </c>
      <c r="AE29">
        <v>3575</v>
      </c>
      <c r="AF29">
        <v>6782</v>
      </c>
      <c r="AG29">
        <v>2683623</v>
      </c>
      <c r="AH29">
        <v>27238</v>
      </c>
      <c r="AI29">
        <v>18987</v>
      </c>
      <c r="AJ29">
        <v>16685</v>
      </c>
      <c r="AK29">
        <v>6922646</v>
      </c>
      <c r="AL29">
        <v>59648</v>
      </c>
      <c r="AM29">
        <v>5875</v>
      </c>
      <c r="AN29">
        <v>7130</v>
      </c>
      <c r="AO29">
        <v>2142072</v>
      </c>
      <c r="AP29">
        <v>31591</v>
      </c>
      <c r="AQ29">
        <v>7173</v>
      </c>
      <c r="AR29">
        <v>6665</v>
      </c>
      <c r="AS29">
        <v>2836686</v>
      </c>
      <c r="AT29">
        <v>7749</v>
      </c>
      <c r="AU29" t="s">
        <v>73</v>
      </c>
      <c r="AV29" t="s">
        <v>73</v>
      </c>
      <c r="AW29" t="s">
        <v>73</v>
      </c>
      <c r="AX29" t="s">
        <v>73</v>
      </c>
      <c r="AY29">
        <v>6950</v>
      </c>
      <c r="AZ29">
        <v>9873</v>
      </c>
      <c r="BA29">
        <v>7516450</v>
      </c>
      <c r="BB29">
        <v>38104</v>
      </c>
      <c r="BC29">
        <v>24425</v>
      </c>
      <c r="BD29">
        <v>23684</v>
      </c>
      <c r="BE29">
        <v>7650065</v>
      </c>
      <c r="BF29">
        <v>64753</v>
      </c>
      <c r="BG29" t="s">
        <v>73</v>
      </c>
      <c r="BH29" t="s">
        <v>73</v>
      </c>
      <c r="BI29" t="s">
        <v>73</v>
      </c>
      <c r="BJ29" t="s">
        <v>73</v>
      </c>
      <c r="BK29">
        <v>9932</v>
      </c>
      <c r="BL29">
        <v>8450</v>
      </c>
      <c r="BM29">
        <v>7602503</v>
      </c>
      <c r="BN29">
        <v>37655</v>
      </c>
      <c r="BO29">
        <v>105384</v>
      </c>
      <c r="BP29">
        <v>98315</v>
      </c>
      <c r="BQ29">
        <v>15528488</v>
      </c>
      <c r="BR29">
        <v>47618</v>
      </c>
      <c r="BS29">
        <v>34944</v>
      </c>
      <c r="BT29">
        <v>17827</v>
      </c>
      <c r="BU29">
        <v>5320138</v>
      </c>
      <c r="BV29">
        <v>20641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 t="s">
        <v>73</v>
      </c>
      <c r="CE29" t="s">
        <v>73</v>
      </c>
      <c r="CF29" t="s">
        <v>73</v>
      </c>
      <c r="CG29" t="s">
        <v>73</v>
      </c>
      <c r="CH29" t="s">
        <v>73</v>
      </c>
      <c r="CI29">
        <v>198214</v>
      </c>
      <c r="CJ29">
        <v>131290</v>
      </c>
      <c r="CK29">
        <v>11918516</v>
      </c>
      <c r="CL29">
        <v>105689</v>
      </c>
      <c r="CM29">
        <v>70791</v>
      </c>
      <c r="CN29">
        <v>42711</v>
      </c>
      <c r="CO29">
        <v>4330754</v>
      </c>
      <c r="CP29">
        <v>48847</v>
      </c>
      <c r="CQ29">
        <v>239518</v>
      </c>
      <c r="CR29">
        <v>94508</v>
      </c>
      <c r="CS29">
        <v>11287256</v>
      </c>
      <c r="CT29">
        <v>115629</v>
      </c>
      <c r="CU29" t="s">
        <v>73</v>
      </c>
      <c r="CV29" t="s">
        <v>73</v>
      </c>
      <c r="CW29" t="s">
        <v>73</v>
      </c>
      <c r="CX29" t="s">
        <v>73</v>
      </c>
      <c r="CY29">
        <v>159975</v>
      </c>
      <c r="CZ29">
        <v>197499</v>
      </c>
      <c r="DA29">
        <v>24366392</v>
      </c>
      <c r="DB29">
        <v>62702</v>
      </c>
      <c r="DC29">
        <v>357846</v>
      </c>
      <c r="DD29">
        <v>335413</v>
      </c>
      <c r="DE29">
        <v>47713</v>
      </c>
      <c r="DF29">
        <v>33889</v>
      </c>
      <c r="DG29">
        <v>19108</v>
      </c>
      <c r="DH29">
        <v>5418468</v>
      </c>
      <c r="DI29">
        <v>8579</v>
      </c>
      <c r="DJ29">
        <v>14016</v>
      </c>
      <c r="DK29">
        <v>16822</v>
      </c>
      <c r="DL29">
        <v>2031155</v>
      </c>
      <c r="DM29">
        <v>27599</v>
      </c>
      <c r="DN29">
        <v>4332</v>
      </c>
      <c r="DO29">
        <v>2949</v>
      </c>
      <c r="DP29">
        <v>906212</v>
      </c>
      <c r="DQ29">
        <v>5378</v>
      </c>
      <c r="DR29">
        <v>9820</v>
      </c>
      <c r="DS29">
        <v>6526</v>
      </c>
      <c r="DT29">
        <v>1019583</v>
      </c>
      <c r="DU29">
        <v>3011</v>
      </c>
      <c r="DV29" t="s">
        <v>73</v>
      </c>
      <c r="DW29" t="s">
        <v>73</v>
      </c>
      <c r="DX29" t="s">
        <v>73</v>
      </c>
      <c r="DY29" t="s">
        <v>73</v>
      </c>
      <c r="DZ29">
        <v>200091</v>
      </c>
      <c r="EA29">
        <v>11204</v>
      </c>
      <c r="EB29">
        <v>434513</v>
      </c>
      <c r="EC29">
        <v>29282</v>
      </c>
      <c r="ED29">
        <v>291031</v>
      </c>
      <c r="EE29">
        <v>302495</v>
      </c>
      <c r="EF29">
        <v>52567</v>
      </c>
      <c r="EG29">
        <v>25995</v>
      </c>
      <c r="EH29">
        <v>25840</v>
      </c>
      <c r="EI29">
        <v>5264276</v>
      </c>
      <c r="EJ29">
        <v>12598</v>
      </c>
      <c r="EK29">
        <v>15000</v>
      </c>
      <c r="EL29">
        <v>15105</v>
      </c>
      <c r="EM29">
        <v>4932767</v>
      </c>
      <c r="EN29">
        <v>25974</v>
      </c>
      <c r="EO29">
        <v>6877</v>
      </c>
      <c r="EP29">
        <v>5130</v>
      </c>
      <c r="EQ29">
        <v>1505909</v>
      </c>
      <c r="ER29">
        <v>6898</v>
      </c>
      <c r="ES29">
        <v>15601</v>
      </c>
      <c r="ET29">
        <v>15886</v>
      </c>
      <c r="EU29">
        <v>2614455</v>
      </c>
      <c r="EV29">
        <v>11221</v>
      </c>
      <c r="EW29">
        <v>24190</v>
      </c>
      <c r="EX29">
        <v>10640</v>
      </c>
      <c r="EY29">
        <v>2858793</v>
      </c>
      <c r="EZ29">
        <v>14372</v>
      </c>
      <c r="FA29">
        <v>4601</v>
      </c>
      <c r="FB29">
        <v>3246</v>
      </c>
      <c r="FC29">
        <v>1603486</v>
      </c>
      <c r="FD29">
        <v>4647</v>
      </c>
      <c r="FE29">
        <v>15302</v>
      </c>
      <c r="FF29">
        <v>12777</v>
      </c>
      <c r="FG29">
        <v>2867455</v>
      </c>
      <c r="FH29">
        <v>15529</v>
      </c>
      <c r="FI29">
        <v>17054</v>
      </c>
      <c r="FJ29">
        <v>17579</v>
      </c>
      <c r="FK29">
        <v>4807447</v>
      </c>
      <c r="FL29">
        <v>15547</v>
      </c>
      <c r="FM29">
        <v>12298</v>
      </c>
      <c r="FN29">
        <v>11633</v>
      </c>
      <c r="FO29">
        <v>1390636</v>
      </c>
      <c r="FP29">
        <v>10866</v>
      </c>
      <c r="FQ29">
        <v>36948</v>
      </c>
      <c r="FR29">
        <v>7630</v>
      </c>
      <c r="FS29">
        <v>788893</v>
      </c>
      <c r="FT29">
        <v>9505</v>
      </c>
      <c r="FU29">
        <v>19378</v>
      </c>
      <c r="FV29">
        <v>18080</v>
      </c>
      <c r="FW29">
        <v>2561635</v>
      </c>
      <c r="FX29">
        <v>15340</v>
      </c>
      <c r="FY29">
        <v>162329</v>
      </c>
      <c r="FZ29">
        <v>133603</v>
      </c>
      <c r="GA29">
        <v>20740</v>
      </c>
      <c r="GB29">
        <v>46608</v>
      </c>
      <c r="GC29">
        <v>33020</v>
      </c>
      <c r="GD29">
        <v>11193</v>
      </c>
      <c r="GE29">
        <v>270677</v>
      </c>
      <c r="GF29">
        <v>87294</v>
      </c>
      <c r="GG29">
        <v>55566</v>
      </c>
    </row>
    <row r="30" spans="1:189" x14ac:dyDescent="0.4">
      <c r="A30" s="1" t="s">
        <v>48</v>
      </c>
      <c r="B30" s="1" t="s">
        <v>49</v>
      </c>
      <c r="C30">
        <v>92978</v>
      </c>
      <c r="D30">
        <v>92769</v>
      </c>
      <c r="E30">
        <v>23961970</v>
      </c>
      <c r="F30">
        <v>226603</v>
      </c>
      <c r="G30">
        <v>41437</v>
      </c>
      <c r="H30">
        <v>48809</v>
      </c>
      <c r="I30">
        <v>10462456</v>
      </c>
      <c r="J30">
        <v>144885</v>
      </c>
      <c r="K30">
        <v>4550</v>
      </c>
      <c r="L30">
        <v>7029</v>
      </c>
      <c r="M30">
        <v>1861178</v>
      </c>
      <c r="N30">
        <v>21487</v>
      </c>
      <c r="O30">
        <v>43604</v>
      </c>
      <c r="P30">
        <v>46110</v>
      </c>
      <c r="Q30">
        <v>8924076</v>
      </c>
      <c r="R30">
        <v>61331</v>
      </c>
      <c r="S30">
        <v>6775</v>
      </c>
      <c r="T30">
        <v>6915</v>
      </c>
      <c r="U30">
        <v>1917504</v>
      </c>
      <c r="V30">
        <v>6668</v>
      </c>
      <c r="W30">
        <v>23949</v>
      </c>
      <c r="X30">
        <v>27500</v>
      </c>
      <c r="Y30">
        <v>9492559</v>
      </c>
      <c r="Z30">
        <v>60380</v>
      </c>
      <c r="AA30">
        <v>146921</v>
      </c>
      <c r="AB30">
        <v>167489</v>
      </c>
      <c r="AC30">
        <v>36127475</v>
      </c>
      <c r="AD30">
        <v>343037</v>
      </c>
      <c r="AE30">
        <v>6467</v>
      </c>
      <c r="AF30">
        <v>7678</v>
      </c>
      <c r="AG30">
        <v>2943862</v>
      </c>
      <c r="AH30">
        <v>26027</v>
      </c>
      <c r="AI30">
        <v>15758</v>
      </c>
      <c r="AJ30">
        <v>15960</v>
      </c>
      <c r="AK30">
        <v>5845830</v>
      </c>
      <c r="AL30">
        <v>59447</v>
      </c>
      <c r="AM30">
        <v>7953</v>
      </c>
      <c r="AN30">
        <v>7442</v>
      </c>
      <c r="AO30">
        <v>2247772</v>
      </c>
      <c r="AP30">
        <v>32103</v>
      </c>
      <c r="AQ30">
        <v>7825</v>
      </c>
      <c r="AR30">
        <v>7865</v>
      </c>
      <c r="AS30">
        <v>3172823</v>
      </c>
      <c r="AT30">
        <v>7691</v>
      </c>
      <c r="AU30" t="s">
        <v>73</v>
      </c>
      <c r="AV30" t="s">
        <v>73</v>
      </c>
      <c r="AW30" t="s">
        <v>73</v>
      </c>
      <c r="AX30" t="s">
        <v>73</v>
      </c>
      <c r="AY30">
        <v>11886</v>
      </c>
      <c r="AZ30">
        <v>8271</v>
      </c>
      <c r="BA30">
        <v>6288289</v>
      </c>
      <c r="BB30">
        <v>41719</v>
      </c>
      <c r="BC30">
        <v>19416</v>
      </c>
      <c r="BD30">
        <v>24904</v>
      </c>
      <c r="BE30">
        <v>7747760</v>
      </c>
      <c r="BF30">
        <v>58752</v>
      </c>
      <c r="BG30" t="s">
        <v>73</v>
      </c>
      <c r="BH30" t="s">
        <v>73</v>
      </c>
      <c r="BI30" t="s">
        <v>73</v>
      </c>
      <c r="BJ30" t="s">
        <v>73</v>
      </c>
      <c r="BK30">
        <v>8929</v>
      </c>
      <c r="BL30">
        <v>10435</v>
      </c>
      <c r="BM30">
        <v>6468123</v>
      </c>
      <c r="BN30">
        <v>31615</v>
      </c>
      <c r="BO30">
        <v>108411</v>
      </c>
      <c r="BP30">
        <v>104154</v>
      </c>
      <c r="BQ30">
        <v>17077805</v>
      </c>
      <c r="BR30">
        <v>47162</v>
      </c>
      <c r="BS30">
        <v>28717</v>
      </c>
      <c r="BT30">
        <v>19729</v>
      </c>
      <c r="BU30">
        <v>6172709</v>
      </c>
      <c r="BV30">
        <v>19056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 t="s">
        <v>73</v>
      </c>
      <c r="CE30" t="s">
        <v>73</v>
      </c>
      <c r="CF30" t="s">
        <v>73</v>
      </c>
      <c r="CG30" t="s">
        <v>73</v>
      </c>
      <c r="CH30" t="s">
        <v>73</v>
      </c>
      <c r="CI30">
        <v>199645</v>
      </c>
      <c r="CJ30">
        <v>115825</v>
      </c>
      <c r="CK30">
        <v>10596403</v>
      </c>
      <c r="CL30">
        <v>101185</v>
      </c>
      <c r="CM30">
        <v>67739</v>
      </c>
      <c r="CN30">
        <v>49918</v>
      </c>
      <c r="CO30">
        <v>4879034</v>
      </c>
      <c r="CP30">
        <v>32102</v>
      </c>
      <c r="CQ30">
        <v>258713</v>
      </c>
      <c r="CR30">
        <v>93334</v>
      </c>
      <c r="CS30">
        <v>10746945</v>
      </c>
      <c r="CT30">
        <v>131985</v>
      </c>
      <c r="CU30" t="s">
        <v>73</v>
      </c>
      <c r="CV30" t="s">
        <v>73</v>
      </c>
      <c r="CW30" t="s">
        <v>73</v>
      </c>
      <c r="CX30" t="s">
        <v>73</v>
      </c>
      <c r="CY30">
        <v>161723</v>
      </c>
      <c r="CZ30">
        <v>228597</v>
      </c>
      <c r="DA30">
        <v>28318136</v>
      </c>
      <c r="DB30">
        <v>51406</v>
      </c>
      <c r="DC30">
        <v>386737</v>
      </c>
      <c r="DD30">
        <v>388069</v>
      </c>
      <c r="DE30">
        <v>41553</v>
      </c>
      <c r="DF30">
        <v>40643</v>
      </c>
      <c r="DG30">
        <v>21676</v>
      </c>
      <c r="DH30">
        <v>6106260</v>
      </c>
      <c r="DI30">
        <v>6102</v>
      </c>
      <c r="DJ30">
        <v>16948</v>
      </c>
      <c r="DK30">
        <v>13696</v>
      </c>
      <c r="DL30">
        <v>1665123</v>
      </c>
      <c r="DM30">
        <v>29547</v>
      </c>
      <c r="DN30">
        <v>4701</v>
      </c>
      <c r="DO30">
        <v>4175</v>
      </c>
      <c r="DP30">
        <v>1090787</v>
      </c>
      <c r="DQ30">
        <v>4975</v>
      </c>
      <c r="DR30">
        <v>11683</v>
      </c>
      <c r="DS30">
        <v>4908</v>
      </c>
      <c r="DT30">
        <v>786093</v>
      </c>
      <c r="DU30">
        <v>4885</v>
      </c>
      <c r="DV30" t="s">
        <v>73</v>
      </c>
      <c r="DW30" t="s">
        <v>73</v>
      </c>
      <c r="DX30" t="s">
        <v>73</v>
      </c>
      <c r="DY30" t="s">
        <v>73</v>
      </c>
      <c r="DZ30">
        <v>259552</v>
      </c>
      <c r="EA30">
        <v>1222</v>
      </c>
      <c r="EB30">
        <v>45433</v>
      </c>
      <c r="EC30">
        <v>32948</v>
      </c>
      <c r="ED30">
        <v>293299</v>
      </c>
      <c r="EE30">
        <v>296143</v>
      </c>
      <c r="EF30">
        <v>52323</v>
      </c>
      <c r="EG30">
        <v>24536</v>
      </c>
      <c r="EH30">
        <v>16344</v>
      </c>
      <c r="EI30">
        <v>3712007</v>
      </c>
      <c r="EJ30">
        <v>14775</v>
      </c>
      <c r="EK30">
        <v>17528</v>
      </c>
      <c r="EL30">
        <v>15888</v>
      </c>
      <c r="EM30">
        <v>5105509</v>
      </c>
      <c r="EN30">
        <v>24793</v>
      </c>
      <c r="EO30">
        <v>9765</v>
      </c>
      <c r="EP30">
        <v>8913</v>
      </c>
      <c r="EQ30">
        <v>2551753</v>
      </c>
      <c r="ER30">
        <v>6772</v>
      </c>
      <c r="ES30">
        <v>16345</v>
      </c>
      <c r="ET30">
        <v>14816</v>
      </c>
      <c r="EU30">
        <v>2442082</v>
      </c>
      <c r="EV30">
        <v>12685</v>
      </c>
      <c r="EW30">
        <v>20803</v>
      </c>
      <c r="EX30">
        <v>9498</v>
      </c>
      <c r="EY30">
        <v>2449635</v>
      </c>
      <c r="EZ30">
        <v>13760</v>
      </c>
      <c r="FA30">
        <v>2953</v>
      </c>
      <c r="FB30">
        <v>3504</v>
      </c>
      <c r="FC30">
        <v>1819337</v>
      </c>
      <c r="FD30">
        <v>4090</v>
      </c>
      <c r="FE30">
        <v>13933</v>
      </c>
      <c r="FF30">
        <v>14869</v>
      </c>
      <c r="FG30">
        <v>3545677</v>
      </c>
      <c r="FH30">
        <v>14044</v>
      </c>
      <c r="FI30">
        <v>18141</v>
      </c>
      <c r="FJ30">
        <v>18355</v>
      </c>
      <c r="FK30">
        <v>4806189</v>
      </c>
      <c r="FL30">
        <v>13589</v>
      </c>
      <c r="FM30">
        <v>9905</v>
      </c>
      <c r="FN30">
        <v>11765</v>
      </c>
      <c r="FO30">
        <v>1582372</v>
      </c>
      <c r="FP30">
        <v>9006</v>
      </c>
      <c r="FQ30">
        <v>33915</v>
      </c>
      <c r="FR30">
        <v>9290</v>
      </c>
      <c r="FS30">
        <v>1023278</v>
      </c>
      <c r="FT30">
        <v>6952</v>
      </c>
      <c r="FU30">
        <v>19971</v>
      </c>
      <c r="FV30">
        <v>22815</v>
      </c>
      <c r="FW30">
        <v>3177462</v>
      </c>
      <c r="FX30">
        <v>12439</v>
      </c>
      <c r="FY30">
        <v>169347</v>
      </c>
      <c r="FZ30">
        <v>149225</v>
      </c>
      <c r="GA30">
        <v>20549</v>
      </c>
      <c r="GB30">
        <v>53006</v>
      </c>
      <c r="GC30">
        <v>37095</v>
      </c>
      <c r="GD30">
        <v>17633</v>
      </c>
      <c r="GE30">
        <v>285077</v>
      </c>
      <c r="GF30">
        <v>93919</v>
      </c>
      <c r="GG30">
        <v>52927</v>
      </c>
    </row>
    <row r="31" spans="1:189" x14ac:dyDescent="0.4">
      <c r="A31" s="1" t="s">
        <v>50</v>
      </c>
      <c r="B31" s="1" t="s">
        <v>51</v>
      </c>
      <c r="C31">
        <v>93512</v>
      </c>
      <c r="D31">
        <v>89044</v>
      </c>
      <c r="E31">
        <v>21653617</v>
      </c>
      <c r="F31">
        <v>231570</v>
      </c>
      <c r="G31">
        <v>45625</v>
      </c>
      <c r="H31">
        <v>46542</v>
      </c>
      <c r="I31">
        <v>9988645</v>
      </c>
      <c r="J31">
        <v>147058</v>
      </c>
      <c r="K31">
        <v>14762</v>
      </c>
      <c r="L31">
        <v>9500</v>
      </c>
      <c r="M31">
        <v>2859392</v>
      </c>
      <c r="N31">
        <v>26746</v>
      </c>
      <c r="O31">
        <v>45083</v>
      </c>
      <c r="P31">
        <v>35668</v>
      </c>
      <c r="Q31">
        <v>6844188</v>
      </c>
      <c r="R31">
        <v>70078</v>
      </c>
      <c r="S31">
        <v>6183</v>
      </c>
      <c r="T31">
        <v>6029</v>
      </c>
      <c r="U31">
        <v>1649482</v>
      </c>
      <c r="V31">
        <v>6638</v>
      </c>
      <c r="W31">
        <v>24955</v>
      </c>
      <c r="X31">
        <v>18518</v>
      </c>
      <c r="Y31">
        <v>7188917</v>
      </c>
      <c r="Z31">
        <v>65718</v>
      </c>
      <c r="AA31">
        <v>149790</v>
      </c>
      <c r="AB31">
        <v>146347</v>
      </c>
      <c r="AC31">
        <v>32812334</v>
      </c>
      <c r="AD31">
        <v>348722</v>
      </c>
      <c r="AE31">
        <v>10054</v>
      </c>
      <c r="AF31">
        <v>6039</v>
      </c>
      <c r="AG31">
        <v>2557708</v>
      </c>
      <c r="AH31">
        <v>30043</v>
      </c>
      <c r="AI31">
        <v>16381</v>
      </c>
      <c r="AJ31">
        <v>11328</v>
      </c>
      <c r="AK31">
        <v>4291608</v>
      </c>
      <c r="AL31">
        <v>64502</v>
      </c>
      <c r="AM31">
        <v>11950</v>
      </c>
      <c r="AN31">
        <v>5969</v>
      </c>
      <c r="AO31">
        <v>1781612</v>
      </c>
      <c r="AP31">
        <v>37366</v>
      </c>
      <c r="AQ31">
        <v>8659</v>
      </c>
      <c r="AR31">
        <v>7974</v>
      </c>
      <c r="AS31">
        <v>3246842</v>
      </c>
      <c r="AT31">
        <v>8336</v>
      </c>
      <c r="AU31" t="s">
        <v>73</v>
      </c>
      <c r="AV31" t="s">
        <v>73</v>
      </c>
      <c r="AW31" t="s">
        <v>73</v>
      </c>
      <c r="AX31" t="s">
        <v>73</v>
      </c>
      <c r="AY31">
        <v>11308</v>
      </c>
      <c r="AZ31">
        <v>8762</v>
      </c>
      <c r="BA31">
        <v>6792855</v>
      </c>
      <c r="BB31">
        <v>44265</v>
      </c>
      <c r="BC31">
        <v>20804</v>
      </c>
      <c r="BD31">
        <v>20556</v>
      </c>
      <c r="BE31">
        <v>6561626</v>
      </c>
      <c r="BF31">
        <v>58459</v>
      </c>
      <c r="BG31" t="s">
        <v>73</v>
      </c>
      <c r="BH31" t="s">
        <v>73</v>
      </c>
      <c r="BI31" t="s">
        <v>73</v>
      </c>
      <c r="BJ31" t="s">
        <v>73</v>
      </c>
      <c r="BK31">
        <v>8301</v>
      </c>
      <c r="BL31">
        <v>9389</v>
      </c>
      <c r="BM31">
        <v>5884101</v>
      </c>
      <c r="BN31">
        <v>30409</v>
      </c>
      <c r="BO31">
        <v>122347</v>
      </c>
      <c r="BP31">
        <v>110317</v>
      </c>
      <c r="BQ31">
        <v>18051019</v>
      </c>
      <c r="BR31">
        <v>51426</v>
      </c>
      <c r="BS31">
        <v>25326</v>
      </c>
      <c r="BT31">
        <v>16703</v>
      </c>
      <c r="BU31">
        <v>5171213</v>
      </c>
      <c r="BV31">
        <v>17585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 t="s">
        <v>73</v>
      </c>
      <c r="CE31" t="s">
        <v>73</v>
      </c>
      <c r="CF31" t="s">
        <v>73</v>
      </c>
      <c r="CG31" t="s">
        <v>73</v>
      </c>
      <c r="CH31" t="s">
        <v>73</v>
      </c>
      <c r="CI31">
        <v>224034</v>
      </c>
      <c r="CJ31">
        <v>133978</v>
      </c>
      <c r="CK31">
        <v>13044824</v>
      </c>
      <c r="CL31">
        <v>101915</v>
      </c>
      <c r="CM31">
        <v>88729</v>
      </c>
      <c r="CN31">
        <v>44768</v>
      </c>
      <c r="CO31">
        <v>4575878</v>
      </c>
      <c r="CP31">
        <v>43180</v>
      </c>
      <c r="CQ31">
        <v>305894</v>
      </c>
      <c r="CR31">
        <v>145807</v>
      </c>
      <c r="CS31">
        <v>16907988</v>
      </c>
      <c r="CT31">
        <v>120049</v>
      </c>
      <c r="CU31" t="s">
        <v>73</v>
      </c>
      <c r="CV31" t="s">
        <v>73</v>
      </c>
      <c r="CW31" t="s">
        <v>73</v>
      </c>
      <c r="CX31" t="s">
        <v>73</v>
      </c>
      <c r="CY31">
        <v>163147</v>
      </c>
      <c r="CZ31">
        <v>203932</v>
      </c>
      <c r="DA31">
        <v>25305438</v>
      </c>
      <c r="DB31">
        <v>69504</v>
      </c>
      <c r="DC31">
        <v>418340</v>
      </c>
      <c r="DD31">
        <v>424538</v>
      </c>
      <c r="DE31">
        <v>40729</v>
      </c>
      <c r="DF31">
        <v>43940</v>
      </c>
      <c r="DG31">
        <v>16422</v>
      </c>
      <c r="DH31">
        <v>4436437</v>
      </c>
      <c r="DI31">
        <v>8019</v>
      </c>
      <c r="DJ31">
        <v>28250</v>
      </c>
      <c r="DK31">
        <v>27927</v>
      </c>
      <c r="DL31">
        <v>3313078</v>
      </c>
      <c r="DM31">
        <v>28216</v>
      </c>
      <c r="DN31">
        <v>4113</v>
      </c>
      <c r="DO31">
        <v>2953</v>
      </c>
      <c r="DP31">
        <v>828451</v>
      </c>
      <c r="DQ31">
        <v>5424</v>
      </c>
      <c r="DR31">
        <v>11044</v>
      </c>
      <c r="DS31">
        <v>6560</v>
      </c>
      <c r="DT31">
        <v>1089868</v>
      </c>
      <c r="DU31">
        <v>5179</v>
      </c>
      <c r="DV31" t="s">
        <v>73</v>
      </c>
      <c r="DW31" t="s">
        <v>73</v>
      </c>
      <c r="DX31" t="s">
        <v>73</v>
      </c>
      <c r="DY31" t="s">
        <v>73</v>
      </c>
      <c r="DZ31">
        <v>253478</v>
      </c>
      <c r="EA31">
        <v>2151</v>
      </c>
      <c r="EB31">
        <v>99552</v>
      </c>
      <c r="EC31">
        <v>37818</v>
      </c>
      <c r="ED31">
        <v>324002</v>
      </c>
      <c r="EE31">
        <v>307773</v>
      </c>
      <c r="EF31">
        <v>48768</v>
      </c>
      <c r="EG31">
        <v>22886</v>
      </c>
      <c r="EH31">
        <v>22511</v>
      </c>
      <c r="EI31">
        <v>4489428</v>
      </c>
      <c r="EJ31">
        <v>11241</v>
      </c>
      <c r="EK31">
        <v>15591</v>
      </c>
      <c r="EL31">
        <v>11999</v>
      </c>
      <c r="EM31">
        <v>3997102</v>
      </c>
      <c r="EN31">
        <v>26370</v>
      </c>
      <c r="EO31">
        <v>10107</v>
      </c>
      <c r="EP31">
        <v>8315</v>
      </c>
      <c r="EQ31">
        <v>2104254</v>
      </c>
      <c r="ER31">
        <v>7012</v>
      </c>
      <c r="ES31">
        <v>15863</v>
      </c>
      <c r="ET31">
        <v>15269</v>
      </c>
      <c r="EU31">
        <v>2493965</v>
      </c>
      <c r="EV31">
        <v>13211</v>
      </c>
      <c r="EW31">
        <v>21299</v>
      </c>
      <c r="EX31">
        <v>14822</v>
      </c>
      <c r="EY31">
        <v>4955722</v>
      </c>
      <c r="EZ31">
        <v>10348</v>
      </c>
      <c r="FA31">
        <v>3147</v>
      </c>
      <c r="FB31">
        <v>2069</v>
      </c>
      <c r="FC31">
        <v>950356</v>
      </c>
      <c r="FD31">
        <v>5159</v>
      </c>
      <c r="FE31">
        <v>20514</v>
      </c>
      <c r="FF31">
        <v>17358</v>
      </c>
      <c r="FG31">
        <v>3956454</v>
      </c>
      <c r="FH31">
        <v>12004</v>
      </c>
      <c r="FI31">
        <v>23623</v>
      </c>
      <c r="FJ31">
        <v>14802</v>
      </c>
      <c r="FK31">
        <v>4000504</v>
      </c>
      <c r="FL31">
        <v>19509</v>
      </c>
      <c r="FM31">
        <v>15180</v>
      </c>
      <c r="FN31">
        <v>14850</v>
      </c>
      <c r="FO31">
        <v>1947517</v>
      </c>
      <c r="FP31">
        <v>9331</v>
      </c>
      <c r="FQ31">
        <v>36304</v>
      </c>
      <c r="FR31">
        <v>9878</v>
      </c>
      <c r="FS31">
        <v>1133245</v>
      </c>
      <c r="FT31">
        <v>6753</v>
      </c>
      <c r="FU31">
        <v>20534</v>
      </c>
      <c r="FV31">
        <v>17566</v>
      </c>
      <c r="FW31">
        <v>2481364</v>
      </c>
      <c r="FX31">
        <v>15407</v>
      </c>
      <c r="FY31">
        <v>180372</v>
      </c>
      <c r="FZ31">
        <v>179518</v>
      </c>
      <c r="GA31">
        <v>20233</v>
      </c>
      <c r="GB31">
        <v>58168</v>
      </c>
      <c r="GC31">
        <v>43753</v>
      </c>
      <c r="GD31">
        <v>16784</v>
      </c>
      <c r="GE31">
        <v>303394</v>
      </c>
      <c r="GF31">
        <v>118030</v>
      </c>
      <c r="GG31">
        <v>49049</v>
      </c>
    </row>
    <row r="32" spans="1:189" x14ac:dyDescent="0.4">
      <c r="A32" s="1" t="s">
        <v>52</v>
      </c>
      <c r="B32" s="1" t="s">
        <v>53</v>
      </c>
      <c r="C32">
        <v>81885</v>
      </c>
      <c r="D32">
        <v>90895</v>
      </c>
      <c r="E32">
        <v>21224238</v>
      </c>
      <c r="F32">
        <v>222305</v>
      </c>
      <c r="G32">
        <v>57081</v>
      </c>
      <c r="H32">
        <v>58773</v>
      </c>
      <c r="I32">
        <v>12374341</v>
      </c>
      <c r="J32">
        <v>147867</v>
      </c>
      <c r="K32">
        <v>7901</v>
      </c>
      <c r="L32">
        <v>10121</v>
      </c>
      <c r="M32">
        <v>2852405</v>
      </c>
      <c r="N32">
        <v>24526</v>
      </c>
      <c r="O32">
        <v>49127</v>
      </c>
      <c r="P32">
        <v>43486</v>
      </c>
      <c r="Q32">
        <v>8274409</v>
      </c>
      <c r="R32">
        <v>74794</v>
      </c>
      <c r="S32">
        <v>8036</v>
      </c>
      <c r="T32">
        <v>8292</v>
      </c>
      <c r="U32">
        <v>2201024</v>
      </c>
      <c r="V32">
        <v>6153</v>
      </c>
      <c r="W32">
        <v>29052</v>
      </c>
      <c r="X32">
        <v>23360</v>
      </c>
      <c r="Y32">
        <v>9000060</v>
      </c>
      <c r="Z32">
        <v>69180</v>
      </c>
      <c r="AA32">
        <v>164653</v>
      </c>
      <c r="AB32">
        <v>169400</v>
      </c>
      <c r="AC32">
        <v>37183954</v>
      </c>
      <c r="AD32">
        <v>346397</v>
      </c>
      <c r="AE32">
        <v>9523</v>
      </c>
      <c r="AF32">
        <v>8348</v>
      </c>
      <c r="AG32">
        <v>3305790</v>
      </c>
      <c r="AH32">
        <v>31217</v>
      </c>
      <c r="AI32">
        <v>15431</v>
      </c>
      <c r="AJ32">
        <v>16063</v>
      </c>
      <c r="AK32">
        <v>5790228</v>
      </c>
      <c r="AL32">
        <v>63871</v>
      </c>
      <c r="AM32">
        <v>8150</v>
      </c>
      <c r="AN32">
        <v>8476</v>
      </c>
      <c r="AO32">
        <v>2428816</v>
      </c>
      <c r="AP32">
        <v>35265</v>
      </c>
      <c r="AQ32">
        <v>8503</v>
      </c>
      <c r="AR32">
        <v>8587</v>
      </c>
      <c r="AS32">
        <v>3560875</v>
      </c>
      <c r="AT32">
        <v>8201</v>
      </c>
      <c r="AU32" t="s">
        <v>73</v>
      </c>
      <c r="AV32" t="s">
        <v>73</v>
      </c>
      <c r="AW32" t="s">
        <v>73</v>
      </c>
      <c r="AX32" t="s">
        <v>73</v>
      </c>
      <c r="AY32">
        <v>8199</v>
      </c>
      <c r="AZ32">
        <v>11090</v>
      </c>
      <c r="BA32">
        <v>8480294</v>
      </c>
      <c r="BB32">
        <v>41374</v>
      </c>
      <c r="BC32">
        <v>27059</v>
      </c>
      <c r="BD32">
        <v>27494</v>
      </c>
      <c r="BE32">
        <v>8498184</v>
      </c>
      <c r="BF32">
        <v>57564</v>
      </c>
      <c r="BG32" t="s">
        <v>73</v>
      </c>
      <c r="BH32" t="s">
        <v>73</v>
      </c>
      <c r="BI32" t="s">
        <v>73</v>
      </c>
      <c r="BJ32" t="s">
        <v>73</v>
      </c>
      <c r="BK32">
        <v>12133</v>
      </c>
      <c r="BL32">
        <v>11458</v>
      </c>
      <c r="BM32">
        <v>7175479</v>
      </c>
      <c r="BN32">
        <v>30991</v>
      </c>
      <c r="BO32">
        <v>119103</v>
      </c>
      <c r="BP32">
        <v>117151</v>
      </c>
      <c r="BQ32">
        <v>19676723</v>
      </c>
      <c r="BR32">
        <v>46383</v>
      </c>
      <c r="BS32">
        <v>29030</v>
      </c>
      <c r="BT32">
        <v>17116</v>
      </c>
      <c r="BU32">
        <v>5446073</v>
      </c>
      <c r="BV32">
        <v>20898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 t="s">
        <v>73</v>
      </c>
      <c r="CE32" t="s">
        <v>73</v>
      </c>
      <c r="CF32" t="s">
        <v>73</v>
      </c>
      <c r="CG32" t="s">
        <v>73</v>
      </c>
      <c r="CH32" t="s">
        <v>73</v>
      </c>
      <c r="CI32">
        <v>233133</v>
      </c>
      <c r="CJ32">
        <v>141727</v>
      </c>
      <c r="CK32">
        <v>14163342</v>
      </c>
      <c r="CL32">
        <v>106421</v>
      </c>
      <c r="CM32">
        <v>104119</v>
      </c>
      <c r="CN32">
        <v>56272</v>
      </c>
      <c r="CO32">
        <v>5595138</v>
      </c>
      <c r="CP32">
        <v>46729</v>
      </c>
      <c r="CQ32">
        <v>307138</v>
      </c>
      <c r="CR32">
        <v>153026</v>
      </c>
      <c r="CS32">
        <v>17239174</v>
      </c>
      <c r="CT32">
        <v>111973</v>
      </c>
      <c r="CU32" t="s">
        <v>73</v>
      </c>
      <c r="CV32" t="s">
        <v>73</v>
      </c>
      <c r="CW32" t="s">
        <v>73</v>
      </c>
      <c r="CX32" t="s">
        <v>73</v>
      </c>
      <c r="CY32">
        <v>165854</v>
      </c>
      <c r="CZ32">
        <v>208393</v>
      </c>
      <c r="DA32">
        <v>25927301</v>
      </c>
      <c r="DB32">
        <v>65615</v>
      </c>
      <c r="DC32">
        <v>430910</v>
      </c>
      <c r="DD32">
        <v>413743</v>
      </c>
      <c r="DE32">
        <v>44618</v>
      </c>
      <c r="DF32">
        <v>47449</v>
      </c>
      <c r="DG32">
        <v>20983</v>
      </c>
      <c r="DH32">
        <v>5809111</v>
      </c>
      <c r="DI32">
        <v>8622</v>
      </c>
      <c r="DJ32">
        <v>27019</v>
      </c>
      <c r="DK32">
        <v>26707</v>
      </c>
      <c r="DL32">
        <v>3234395</v>
      </c>
      <c r="DM32">
        <v>27462</v>
      </c>
      <c r="DN32">
        <v>4978</v>
      </c>
      <c r="DO32">
        <v>4185</v>
      </c>
      <c r="DP32">
        <v>959534</v>
      </c>
      <c r="DQ32">
        <v>5440</v>
      </c>
      <c r="DR32">
        <v>9719</v>
      </c>
      <c r="DS32">
        <v>5142</v>
      </c>
      <c r="DT32">
        <v>776218</v>
      </c>
      <c r="DU32">
        <v>6834</v>
      </c>
      <c r="DV32" t="s">
        <v>73</v>
      </c>
      <c r="DW32" t="s">
        <v>73</v>
      </c>
      <c r="DX32" t="s">
        <v>73</v>
      </c>
      <c r="DY32" t="s">
        <v>73</v>
      </c>
      <c r="DZ32">
        <v>275251</v>
      </c>
      <c r="EA32">
        <v>102</v>
      </c>
      <c r="EB32">
        <v>4712</v>
      </c>
      <c r="EC32">
        <v>36134</v>
      </c>
      <c r="ED32">
        <v>348701</v>
      </c>
      <c r="EE32">
        <v>331427</v>
      </c>
      <c r="EF32">
        <v>50585</v>
      </c>
      <c r="EG32">
        <v>31880</v>
      </c>
      <c r="EH32">
        <v>24550</v>
      </c>
      <c r="EI32">
        <v>4983598</v>
      </c>
      <c r="EJ32">
        <v>12821</v>
      </c>
      <c r="EK32">
        <v>17844</v>
      </c>
      <c r="EL32">
        <v>14839</v>
      </c>
      <c r="EM32">
        <v>4732734</v>
      </c>
      <c r="EN32">
        <v>26642</v>
      </c>
      <c r="EO32">
        <v>10206</v>
      </c>
      <c r="EP32">
        <v>7778</v>
      </c>
      <c r="EQ32">
        <v>2006894</v>
      </c>
      <c r="ER32">
        <v>7178</v>
      </c>
      <c r="ES32">
        <v>13512</v>
      </c>
      <c r="ET32">
        <v>14282</v>
      </c>
      <c r="EU32">
        <v>2349213</v>
      </c>
      <c r="EV32">
        <v>12385</v>
      </c>
      <c r="EW32">
        <v>23899</v>
      </c>
      <c r="EX32">
        <v>4943</v>
      </c>
      <c r="EY32">
        <v>1434172</v>
      </c>
      <c r="EZ32">
        <v>17721</v>
      </c>
      <c r="FA32">
        <v>3028</v>
      </c>
      <c r="FB32">
        <v>2830</v>
      </c>
      <c r="FC32">
        <v>1072454</v>
      </c>
      <c r="FD32">
        <v>5357</v>
      </c>
      <c r="FE32">
        <v>21573</v>
      </c>
      <c r="FF32">
        <v>18927</v>
      </c>
      <c r="FG32">
        <v>4313001</v>
      </c>
      <c r="FH32">
        <v>11145</v>
      </c>
      <c r="FI32">
        <v>19097</v>
      </c>
      <c r="FJ32">
        <v>17589</v>
      </c>
      <c r="FK32">
        <v>4809829</v>
      </c>
      <c r="FL32">
        <v>18280</v>
      </c>
      <c r="FM32">
        <v>12584</v>
      </c>
      <c r="FN32">
        <v>9133</v>
      </c>
      <c r="FO32">
        <v>1539446</v>
      </c>
      <c r="FP32">
        <v>12782</v>
      </c>
      <c r="FQ32">
        <v>31965</v>
      </c>
      <c r="FR32">
        <v>6340</v>
      </c>
      <c r="FS32">
        <v>936716</v>
      </c>
      <c r="FT32">
        <v>9079</v>
      </c>
      <c r="FU32">
        <v>13769</v>
      </c>
      <c r="FV32">
        <v>13987</v>
      </c>
      <c r="FW32">
        <v>1969815</v>
      </c>
      <c r="FX32">
        <v>14361</v>
      </c>
      <c r="FY32">
        <v>209108</v>
      </c>
      <c r="FZ32">
        <v>183303</v>
      </c>
      <c r="GA32">
        <v>22403</v>
      </c>
      <c r="GB32">
        <v>58705</v>
      </c>
      <c r="GC32">
        <v>45186</v>
      </c>
      <c r="GD32">
        <v>17835</v>
      </c>
      <c r="GE32">
        <v>308738</v>
      </c>
      <c r="GF32">
        <v>114726</v>
      </c>
      <c r="GG32">
        <v>43868</v>
      </c>
    </row>
    <row r="33" spans="1:189" x14ac:dyDescent="0.4">
      <c r="A33" s="1" t="s">
        <v>54</v>
      </c>
      <c r="B33" s="1" t="s">
        <v>55</v>
      </c>
      <c r="C33">
        <v>118867</v>
      </c>
      <c r="D33">
        <v>116840</v>
      </c>
      <c r="E33">
        <v>28598173</v>
      </c>
      <c r="F33">
        <v>225292</v>
      </c>
      <c r="G33">
        <v>60340</v>
      </c>
      <c r="H33">
        <v>58243</v>
      </c>
      <c r="I33">
        <v>12703418</v>
      </c>
      <c r="J33">
        <v>151066</v>
      </c>
      <c r="K33">
        <v>9593</v>
      </c>
      <c r="L33">
        <v>11180</v>
      </c>
      <c r="M33">
        <v>3399477</v>
      </c>
      <c r="N33">
        <v>22639</v>
      </c>
      <c r="O33">
        <v>39441</v>
      </c>
      <c r="P33">
        <v>42491</v>
      </c>
      <c r="Q33">
        <v>7959711</v>
      </c>
      <c r="R33">
        <v>70821</v>
      </c>
      <c r="S33">
        <v>7203</v>
      </c>
      <c r="T33">
        <v>7073</v>
      </c>
      <c r="U33">
        <v>1948192</v>
      </c>
      <c r="V33">
        <v>6025</v>
      </c>
      <c r="W33">
        <v>27549</v>
      </c>
      <c r="X33">
        <v>25785</v>
      </c>
      <c r="Y33">
        <v>9952958</v>
      </c>
      <c r="Z33">
        <v>69183</v>
      </c>
      <c r="AA33">
        <v>198566</v>
      </c>
      <c r="AB33">
        <v>184788</v>
      </c>
      <c r="AC33">
        <v>40234440</v>
      </c>
      <c r="AD33">
        <v>361786</v>
      </c>
      <c r="AE33">
        <v>9164</v>
      </c>
      <c r="AF33">
        <v>8176</v>
      </c>
      <c r="AG33">
        <v>3154653</v>
      </c>
      <c r="AH33">
        <v>32205</v>
      </c>
      <c r="AI33">
        <v>15969</v>
      </c>
      <c r="AJ33">
        <v>16055</v>
      </c>
      <c r="AK33">
        <v>5815464</v>
      </c>
      <c r="AL33">
        <v>63785</v>
      </c>
      <c r="AM33">
        <v>9853</v>
      </c>
      <c r="AN33">
        <v>9849</v>
      </c>
      <c r="AO33">
        <v>2856038</v>
      </c>
      <c r="AP33">
        <v>34031</v>
      </c>
      <c r="AQ33">
        <v>7857</v>
      </c>
      <c r="AR33">
        <v>9218</v>
      </c>
      <c r="AS33">
        <v>3777070</v>
      </c>
      <c r="AT33">
        <v>7218</v>
      </c>
      <c r="AU33" t="s">
        <v>73</v>
      </c>
      <c r="AV33" t="s">
        <v>73</v>
      </c>
      <c r="AW33" t="s">
        <v>73</v>
      </c>
      <c r="AX33" t="s">
        <v>73</v>
      </c>
      <c r="AY33">
        <v>5180</v>
      </c>
      <c r="AZ33">
        <v>8447</v>
      </c>
      <c r="BA33">
        <v>6520448</v>
      </c>
      <c r="BB33">
        <v>38107</v>
      </c>
      <c r="BC33">
        <v>23402</v>
      </c>
      <c r="BD33">
        <v>25513</v>
      </c>
      <c r="BE33">
        <v>7773660</v>
      </c>
      <c r="BF33">
        <v>55015</v>
      </c>
      <c r="BG33" t="s">
        <v>73</v>
      </c>
      <c r="BH33" t="s">
        <v>73</v>
      </c>
      <c r="BI33" t="s">
        <v>73</v>
      </c>
      <c r="BJ33" t="s">
        <v>73</v>
      </c>
      <c r="BK33">
        <v>14850</v>
      </c>
      <c r="BL33">
        <v>10488</v>
      </c>
      <c r="BM33">
        <v>6312416</v>
      </c>
      <c r="BN33">
        <v>31552</v>
      </c>
      <c r="BO33">
        <v>117204</v>
      </c>
      <c r="BP33">
        <v>103248</v>
      </c>
      <c r="BQ33">
        <v>16516611</v>
      </c>
      <c r="BR33">
        <v>55667</v>
      </c>
      <c r="BS33">
        <v>19472</v>
      </c>
      <c r="BT33">
        <v>12301</v>
      </c>
      <c r="BU33">
        <v>3772533</v>
      </c>
      <c r="BV33">
        <v>23327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 t="s">
        <v>73</v>
      </c>
      <c r="CE33" t="s">
        <v>73</v>
      </c>
      <c r="CF33" t="s">
        <v>73</v>
      </c>
      <c r="CG33" t="s">
        <v>73</v>
      </c>
      <c r="CH33" t="s">
        <v>73</v>
      </c>
      <c r="CI33">
        <v>234072</v>
      </c>
      <c r="CJ33">
        <v>138187</v>
      </c>
      <c r="CK33">
        <v>13477422</v>
      </c>
      <c r="CL33">
        <v>112088</v>
      </c>
      <c r="CM33">
        <v>100243</v>
      </c>
      <c r="CN33">
        <v>59086</v>
      </c>
      <c r="CO33">
        <v>5955057</v>
      </c>
      <c r="CP33">
        <v>48909</v>
      </c>
      <c r="CQ33">
        <v>340211</v>
      </c>
      <c r="CR33">
        <v>124119</v>
      </c>
      <c r="CS33">
        <v>13964824</v>
      </c>
      <c r="CT33">
        <v>135893</v>
      </c>
      <c r="CU33" t="s">
        <v>73</v>
      </c>
      <c r="CV33" t="s">
        <v>73</v>
      </c>
      <c r="CW33" t="s">
        <v>73</v>
      </c>
      <c r="CX33" t="s">
        <v>73</v>
      </c>
      <c r="CY33">
        <v>191683</v>
      </c>
      <c r="CZ33">
        <v>221454</v>
      </c>
      <c r="DA33">
        <v>27115495</v>
      </c>
      <c r="DB33">
        <v>82894</v>
      </c>
      <c r="DC33">
        <v>452851</v>
      </c>
      <c r="DD33">
        <v>440127</v>
      </c>
      <c r="DE33">
        <v>45064</v>
      </c>
      <c r="DF33">
        <v>56821</v>
      </c>
      <c r="DG33">
        <v>21754</v>
      </c>
      <c r="DH33">
        <v>6154629</v>
      </c>
      <c r="DI33">
        <v>9176</v>
      </c>
      <c r="DJ33">
        <v>33059</v>
      </c>
      <c r="DK33">
        <v>28367</v>
      </c>
      <c r="DL33">
        <v>3446034</v>
      </c>
      <c r="DM33">
        <v>32275</v>
      </c>
      <c r="DN33">
        <v>5416</v>
      </c>
      <c r="DO33">
        <v>4444</v>
      </c>
      <c r="DP33">
        <v>1076735</v>
      </c>
      <c r="DQ33">
        <v>5563</v>
      </c>
      <c r="DR33">
        <v>4660</v>
      </c>
      <c r="DS33">
        <v>1583</v>
      </c>
      <c r="DT33">
        <v>221327</v>
      </c>
      <c r="DU33">
        <v>5122</v>
      </c>
      <c r="DV33" t="s">
        <v>73</v>
      </c>
      <c r="DW33" t="s">
        <v>73</v>
      </c>
      <c r="DX33" t="s">
        <v>73</v>
      </c>
      <c r="DY33" t="s">
        <v>73</v>
      </c>
      <c r="DZ33">
        <v>291104</v>
      </c>
      <c r="EA33">
        <v>7337</v>
      </c>
      <c r="EB33">
        <v>204193</v>
      </c>
      <c r="EC33">
        <v>40484</v>
      </c>
      <c r="ED33">
        <v>375106</v>
      </c>
      <c r="EE33">
        <v>352340</v>
      </c>
      <c r="EF33">
        <v>54932</v>
      </c>
      <c r="EG33">
        <v>29184</v>
      </c>
      <c r="EH33">
        <v>18250</v>
      </c>
      <c r="EI33">
        <v>3709041</v>
      </c>
      <c r="EJ33">
        <v>18093</v>
      </c>
      <c r="EK33">
        <v>19674</v>
      </c>
      <c r="EL33">
        <v>16736</v>
      </c>
      <c r="EM33">
        <v>5367543</v>
      </c>
      <c r="EN33">
        <v>26502</v>
      </c>
      <c r="EO33">
        <v>9188</v>
      </c>
      <c r="EP33">
        <v>7313</v>
      </c>
      <c r="EQ33">
        <v>1946756</v>
      </c>
      <c r="ER33">
        <v>7069</v>
      </c>
      <c r="ES33">
        <v>12145</v>
      </c>
      <c r="ET33">
        <v>12636</v>
      </c>
      <c r="EU33">
        <v>2131311</v>
      </c>
      <c r="EV33">
        <v>11836</v>
      </c>
      <c r="EW33">
        <v>16905</v>
      </c>
      <c r="EX33">
        <v>7874</v>
      </c>
      <c r="EY33">
        <v>2445021</v>
      </c>
      <c r="EZ33">
        <v>20856</v>
      </c>
      <c r="FA33" t="s">
        <v>73</v>
      </c>
      <c r="FB33" t="s">
        <v>73</v>
      </c>
      <c r="FC33" t="s">
        <v>73</v>
      </c>
      <c r="FD33" t="s">
        <v>73</v>
      </c>
      <c r="FE33">
        <v>22082</v>
      </c>
      <c r="FF33">
        <v>15557</v>
      </c>
      <c r="FG33">
        <v>3502583</v>
      </c>
      <c r="FH33">
        <v>13221</v>
      </c>
      <c r="FI33">
        <v>17515</v>
      </c>
      <c r="FJ33">
        <v>17705</v>
      </c>
      <c r="FK33">
        <v>4749116</v>
      </c>
      <c r="FL33">
        <v>15775</v>
      </c>
      <c r="FM33">
        <v>13380</v>
      </c>
      <c r="FN33">
        <v>13446</v>
      </c>
      <c r="FO33">
        <v>2025230</v>
      </c>
      <c r="FP33">
        <v>12716</v>
      </c>
      <c r="FQ33">
        <v>34004</v>
      </c>
      <c r="FR33">
        <v>8222</v>
      </c>
      <c r="FS33">
        <v>970510</v>
      </c>
      <c r="FT33">
        <v>9434</v>
      </c>
      <c r="FU33">
        <v>17084</v>
      </c>
      <c r="FV33">
        <v>16873</v>
      </c>
      <c r="FW33">
        <v>2413736</v>
      </c>
      <c r="FX33">
        <v>14478</v>
      </c>
      <c r="FY33">
        <v>225054</v>
      </c>
      <c r="FZ33">
        <v>183507</v>
      </c>
      <c r="GA33">
        <v>18115</v>
      </c>
      <c r="GB33">
        <v>63986</v>
      </c>
      <c r="GC33">
        <v>43331</v>
      </c>
      <c r="GD33">
        <v>21976</v>
      </c>
      <c r="GE33">
        <v>337458</v>
      </c>
      <c r="GF33">
        <v>114163</v>
      </c>
      <c r="GG33">
        <v>48211</v>
      </c>
    </row>
    <row r="34" spans="1:189" x14ac:dyDescent="0.4">
      <c r="A34" s="1" t="s">
        <v>56</v>
      </c>
      <c r="B34" s="1" t="s">
        <v>57</v>
      </c>
      <c r="C34">
        <v>105712</v>
      </c>
      <c r="D34">
        <v>106520</v>
      </c>
      <c r="E34">
        <v>25579311</v>
      </c>
      <c r="F34">
        <v>225076</v>
      </c>
      <c r="G34">
        <v>61562</v>
      </c>
      <c r="H34">
        <v>51564</v>
      </c>
      <c r="I34">
        <v>11124837</v>
      </c>
      <c r="J34">
        <v>163036</v>
      </c>
      <c r="K34">
        <v>14867</v>
      </c>
      <c r="L34">
        <v>11870</v>
      </c>
      <c r="M34">
        <v>3271176</v>
      </c>
      <c r="N34">
        <v>25359</v>
      </c>
      <c r="O34">
        <v>38844</v>
      </c>
      <c r="P34">
        <v>38171</v>
      </c>
      <c r="Q34">
        <v>7276597</v>
      </c>
      <c r="R34">
        <v>70798</v>
      </c>
      <c r="S34">
        <v>7429</v>
      </c>
      <c r="T34">
        <v>6832</v>
      </c>
      <c r="U34">
        <v>1882946</v>
      </c>
      <c r="V34">
        <v>6374</v>
      </c>
      <c r="W34">
        <v>26663</v>
      </c>
      <c r="X34">
        <v>21175</v>
      </c>
      <c r="Y34">
        <v>8176326</v>
      </c>
      <c r="Z34">
        <v>72388</v>
      </c>
      <c r="AA34">
        <v>182332</v>
      </c>
      <c r="AB34">
        <v>163872</v>
      </c>
      <c r="AC34">
        <v>36326013</v>
      </c>
      <c r="AD34">
        <v>382456</v>
      </c>
      <c r="AE34">
        <v>7980</v>
      </c>
      <c r="AF34">
        <v>6822</v>
      </c>
      <c r="AG34">
        <v>2247070</v>
      </c>
      <c r="AH34">
        <v>33365</v>
      </c>
      <c r="AI34">
        <v>19504</v>
      </c>
      <c r="AJ34">
        <v>18866</v>
      </c>
      <c r="AK34">
        <v>6687816</v>
      </c>
      <c r="AL34">
        <v>64424</v>
      </c>
      <c r="AM34">
        <v>5717</v>
      </c>
      <c r="AN34">
        <v>8567</v>
      </c>
      <c r="AO34">
        <v>2529606</v>
      </c>
      <c r="AP34">
        <v>31179</v>
      </c>
      <c r="AQ34">
        <v>6416</v>
      </c>
      <c r="AR34">
        <v>8499</v>
      </c>
      <c r="AS34">
        <v>3458616</v>
      </c>
      <c r="AT34">
        <v>5512</v>
      </c>
      <c r="AU34" t="s">
        <v>73</v>
      </c>
      <c r="AV34" t="s">
        <v>73</v>
      </c>
      <c r="AW34" t="s">
        <v>73</v>
      </c>
      <c r="AX34" t="s">
        <v>73</v>
      </c>
      <c r="AY34">
        <v>5924</v>
      </c>
      <c r="AZ34">
        <v>9738</v>
      </c>
      <c r="BA34">
        <v>7519311</v>
      </c>
      <c r="BB34">
        <v>34293</v>
      </c>
      <c r="BC34">
        <v>27098</v>
      </c>
      <c r="BD34">
        <v>22871</v>
      </c>
      <c r="BE34">
        <v>7062015</v>
      </c>
      <c r="BF34">
        <v>59019</v>
      </c>
      <c r="BG34" t="s">
        <v>73</v>
      </c>
      <c r="BH34" t="s">
        <v>73</v>
      </c>
      <c r="BI34" t="s">
        <v>73</v>
      </c>
      <c r="BJ34" t="s">
        <v>73</v>
      </c>
      <c r="BK34">
        <v>16163</v>
      </c>
      <c r="BL34">
        <v>10143</v>
      </c>
      <c r="BM34">
        <v>6949309</v>
      </c>
      <c r="BN34">
        <v>34786</v>
      </c>
      <c r="BO34">
        <v>115967</v>
      </c>
      <c r="BP34">
        <v>124469</v>
      </c>
      <c r="BQ34">
        <v>19442761</v>
      </c>
      <c r="BR34">
        <v>40803</v>
      </c>
      <c r="BS34">
        <v>15204</v>
      </c>
      <c r="BT34">
        <v>12199</v>
      </c>
      <c r="BU34">
        <v>3629103</v>
      </c>
      <c r="BV34">
        <v>13456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 t="s">
        <v>73</v>
      </c>
      <c r="CE34" t="s">
        <v>73</v>
      </c>
      <c r="CF34" t="s">
        <v>73</v>
      </c>
      <c r="CG34" t="s">
        <v>73</v>
      </c>
      <c r="CH34" t="s">
        <v>73</v>
      </c>
      <c r="CI34">
        <v>226472</v>
      </c>
      <c r="CJ34">
        <v>147621</v>
      </c>
      <c r="CK34">
        <v>14550035</v>
      </c>
      <c r="CL34">
        <v>104574</v>
      </c>
      <c r="CM34">
        <v>89818</v>
      </c>
      <c r="CN34">
        <v>64112</v>
      </c>
      <c r="CO34">
        <v>6770319</v>
      </c>
      <c r="CP34">
        <v>46095</v>
      </c>
      <c r="CQ34">
        <v>325253</v>
      </c>
      <c r="CR34">
        <v>181617</v>
      </c>
      <c r="CS34">
        <v>21699282</v>
      </c>
      <c r="CT34">
        <v>113374</v>
      </c>
      <c r="CU34" t="s">
        <v>73</v>
      </c>
      <c r="CV34" t="s">
        <v>73</v>
      </c>
      <c r="CW34" t="s">
        <v>73</v>
      </c>
      <c r="CX34" t="s">
        <v>73</v>
      </c>
      <c r="CY34">
        <v>169058</v>
      </c>
      <c r="CZ34">
        <v>228664</v>
      </c>
      <c r="DA34">
        <v>29338944</v>
      </c>
      <c r="DB34">
        <v>69984</v>
      </c>
      <c r="DC34">
        <v>449316</v>
      </c>
      <c r="DD34">
        <v>431834</v>
      </c>
      <c r="DE34">
        <v>39337</v>
      </c>
      <c r="DF34">
        <v>54457</v>
      </c>
      <c r="DG34">
        <v>20649</v>
      </c>
      <c r="DH34">
        <v>5832735</v>
      </c>
      <c r="DI34">
        <v>11039</v>
      </c>
      <c r="DJ34">
        <v>32006</v>
      </c>
      <c r="DK34">
        <v>24706</v>
      </c>
      <c r="DL34">
        <v>3058142</v>
      </c>
      <c r="DM34">
        <v>38155</v>
      </c>
      <c r="DN34">
        <v>5116</v>
      </c>
      <c r="DO34">
        <v>3319</v>
      </c>
      <c r="DP34">
        <v>806936</v>
      </c>
      <c r="DQ34">
        <v>6287</v>
      </c>
      <c r="DR34">
        <v>8933</v>
      </c>
      <c r="DS34">
        <v>4540</v>
      </c>
      <c r="DT34">
        <v>722070</v>
      </c>
      <c r="DU34">
        <v>5916</v>
      </c>
      <c r="DV34" t="s">
        <v>73</v>
      </c>
      <c r="DW34" t="s">
        <v>73</v>
      </c>
      <c r="DX34" t="s">
        <v>73</v>
      </c>
      <c r="DY34" t="s">
        <v>73</v>
      </c>
      <c r="DZ34">
        <v>251670</v>
      </c>
      <c r="EA34">
        <v>520</v>
      </c>
      <c r="EB34">
        <v>19278</v>
      </c>
      <c r="EC34">
        <v>39373</v>
      </c>
      <c r="ED34">
        <v>370394</v>
      </c>
      <c r="EE34">
        <v>346547</v>
      </c>
      <c r="EF34">
        <v>54804</v>
      </c>
      <c r="EG34">
        <v>28917</v>
      </c>
      <c r="EH34">
        <v>23550</v>
      </c>
      <c r="EI34">
        <v>4911439</v>
      </c>
      <c r="EJ34">
        <v>17692</v>
      </c>
      <c r="EK34">
        <v>18854</v>
      </c>
      <c r="EL34">
        <v>14314</v>
      </c>
      <c r="EM34">
        <v>4641279</v>
      </c>
      <c r="EN34">
        <v>28015</v>
      </c>
      <c r="EO34">
        <v>11101</v>
      </c>
      <c r="EP34">
        <v>6778</v>
      </c>
      <c r="EQ34">
        <v>1801558</v>
      </c>
      <c r="ER34">
        <v>9036</v>
      </c>
      <c r="ES34">
        <v>12010</v>
      </c>
      <c r="ET34">
        <v>13206</v>
      </c>
      <c r="EU34">
        <v>2104351</v>
      </c>
      <c r="EV34">
        <v>10558</v>
      </c>
      <c r="EW34">
        <v>14886</v>
      </c>
      <c r="EX34">
        <v>12113</v>
      </c>
      <c r="EY34">
        <v>3535161</v>
      </c>
      <c r="EZ34">
        <v>17591</v>
      </c>
      <c r="FA34" t="s">
        <v>73</v>
      </c>
      <c r="FB34" t="s">
        <v>73</v>
      </c>
      <c r="FC34" t="s">
        <v>73</v>
      </c>
      <c r="FD34" t="s">
        <v>73</v>
      </c>
      <c r="FE34">
        <v>16709</v>
      </c>
      <c r="FF34">
        <v>12660</v>
      </c>
      <c r="FG34">
        <v>2880950</v>
      </c>
      <c r="FH34">
        <v>14796</v>
      </c>
      <c r="FI34">
        <v>20095</v>
      </c>
      <c r="FJ34">
        <v>15719</v>
      </c>
      <c r="FK34">
        <v>4136568</v>
      </c>
      <c r="FL34">
        <v>16953</v>
      </c>
      <c r="FM34">
        <v>9903</v>
      </c>
      <c r="FN34">
        <v>12100</v>
      </c>
      <c r="FO34">
        <v>1884940</v>
      </c>
      <c r="FP34">
        <v>10518</v>
      </c>
      <c r="FQ34">
        <v>35162</v>
      </c>
      <c r="FR34">
        <v>9002</v>
      </c>
      <c r="FS34">
        <v>1433903</v>
      </c>
      <c r="FT34">
        <v>9338</v>
      </c>
      <c r="FU34">
        <v>18168</v>
      </c>
      <c r="FV34">
        <v>17781</v>
      </c>
      <c r="FW34">
        <v>2527745</v>
      </c>
      <c r="FX34">
        <v>14754</v>
      </c>
      <c r="FY34">
        <v>217389</v>
      </c>
      <c r="FZ34">
        <v>176724</v>
      </c>
      <c r="GA34">
        <v>19719</v>
      </c>
      <c r="GB34">
        <v>59941</v>
      </c>
      <c r="GC34">
        <v>40101</v>
      </c>
      <c r="GD34">
        <v>21492</v>
      </c>
      <c r="GE34">
        <v>310205</v>
      </c>
      <c r="GF34">
        <v>109741</v>
      </c>
      <c r="GG34">
        <v>51503</v>
      </c>
    </row>
    <row r="35" spans="1:189" x14ac:dyDescent="0.4">
      <c r="A35" s="1" t="s">
        <v>58</v>
      </c>
      <c r="B35" s="1" t="s">
        <v>59</v>
      </c>
      <c r="C35">
        <v>110742</v>
      </c>
      <c r="D35">
        <v>102085</v>
      </c>
      <c r="E35">
        <v>25143085</v>
      </c>
      <c r="F35">
        <v>234266</v>
      </c>
      <c r="G35">
        <v>54165</v>
      </c>
      <c r="H35">
        <v>51559</v>
      </c>
      <c r="I35">
        <v>11183533</v>
      </c>
      <c r="J35">
        <v>167808</v>
      </c>
      <c r="K35">
        <v>14198</v>
      </c>
      <c r="L35">
        <v>11560</v>
      </c>
      <c r="M35">
        <v>3456714</v>
      </c>
      <c r="N35">
        <v>27837</v>
      </c>
      <c r="O35">
        <v>35526</v>
      </c>
      <c r="P35">
        <v>39575</v>
      </c>
      <c r="Q35">
        <v>7615184</v>
      </c>
      <c r="R35">
        <v>65906</v>
      </c>
      <c r="S35">
        <v>8471</v>
      </c>
      <c r="T35">
        <v>8211</v>
      </c>
      <c r="U35">
        <v>2196932</v>
      </c>
      <c r="V35">
        <v>6338</v>
      </c>
      <c r="W35">
        <v>28457</v>
      </c>
      <c r="X35">
        <v>22213</v>
      </c>
      <c r="Y35">
        <v>8470613</v>
      </c>
      <c r="Z35">
        <v>76593</v>
      </c>
      <c r="AA35">
        <v>180172</v>
      </c>
      <c r="AB35">
        <v>171969</v>
      </c>
      <c r="AC35">
        <v>38415344</v>
      </c>
      <c r="AD35">
        <v>393373</v>
      </c>
      <c r="AE35">
        <v>7544</v>
      </c>
      <c r="AF35">
        <v>7765</v>
      </c>
      <c r="AG35">
        <v>3104143</v>
      </c>
      <c r="AH35">
        <v>33144</v>
      </c>
      <c r="AI35">
        <v>19597</v>
      </c>
      <c r="AJ35">
        <v>16720</v>
      </c>
      <c r="AK35">
        <v>6106003</v>
      </c>
      <c r="AL35">
        <v>67302</v>
      </c>
      <c r="AM35">
        <v>7659</v>
      </c>
      <c r="AN35">
        <v>8290</v>
      </c>
      <c r="AO35">
        <v>2396665</v>
      </c>
      <c r="AP35">
        <v>30548</v>
      </c>
      <c r="AQ35">
        <v>7766</v>
      </c>
      <c r="AR35">
        <v>8225</v>
      </c>
      <c r="AS35">
        <v>3278236</v>
      </c>
      <c r="AT35">
        <v>6018</v>
      </c>
      <c r="AU35" t="s">
        <v>73</v>
      </c>
      <c r="AV35" t="s">
        <v>73</v>
      </c>
      <c r="AW35" t="s">
        <v>73</v>
      </c>
      <c r="AX35" t="s">
        <v>73</v>
      </c>
      <c r="AY35">
        <v>11970</v>
      </c>
      <c r="AZ35">
        <v>10269</v>
      </c>
      <c r="BA35">
        <v>7955742</v>
      </c>
      <c r="BB35">
        <v>35994</v>
      </c>
      <c r="BC35">
        <v>27072</v>
      </c>
      <c r="BD35">
        <v>23246</v>
      </c>
      <c r="BE35">
        <v>7109765</v>
      </c>
      <c r="BF35">
        <v>63608</v>
      </c>
      <c r="BG35" t="s">
        <v>73</v>
      </c>
      <c r="BH35" t="s">
        <v>73</v>
      </c>
      <c r="BI35" t="s">
        <v>73</v>
      </c>
      <c r="BJ35" t="s">
        <v>73</v>
      </c>
      <c r="BK35">
        <v>12503</v>
      </c>
      <c r="BL35">
        <v>10262</v>
      </c>
      <c r="BM35">
        <v>7113310</v>
      </c>
      <c r="BN35">
        <v>34357</v>
      </c>
      <c r="BO35">
        <v>121147</v>
      </c>
      <c r="BP35">
        <v>112869</v>
      </c>
      <c r="BQ35">
        <v>17798883</v>
      </c>
      <c r="BR35">
        <v>42206</v>
      </c>
      <c r="BS35">
        <v>32061</v>
      </c>
      <c r="BT35">
        <v>16574</v>
      </c>
      <c r="BU35">
        <v>4587952</v>
      </c>
      <c r="BV35">
        <v>9531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 t="s">
        <v>73</v>
      </c>
      <c r="CE35" t="s">
        <v>73</v>
      </c>
      <c r="CF35" t="s">
        <v>73</v>
      </c>
      <c r="CG35" t="s">
        <v>73</v>
      </c>
      <c r="CH35" t="s">
        <v>73</v>
      </c>
      <c r="CI35">
        <v>244863</v>
      </c>
      <c r="CJ35">
        <v>164742</v>
      </c>
      <c r="CK35">
        <v>16332380</v>
      </c>
      <c r="CL35">
        <v>96322</v>
      </c>
      <c r="CM35">
        <v>96766</v>
      </c>
      <c r="CN35">
        <v>57724</v>
      </c>
      <c r="CO35">
        <v>5980273</v>
      </c>
      <c r="CP35">
        <v>50750</v>
      </c>
      <c r="CQ35">
        <v>337021</v>
      </c>
      <c r="CR35">
        <v>146248</v>
      </c>
      <c r="CS35">
        <v>17325981</v>
      </c>
      <c r="CT35">
        <v>131895</v>
      </c>
      <c r="CU35" t="s">
        <v>73</v>
      </c>
      <c r="CV35" t="s">
        <v>73</v>
      </c>
      <c r="CW35" t="s">
        <v>73</v>
      </c>
      <c r="CX35" t="s">
        <v>73</v>
      </c>
      <c r="CY35">
        <v>195914</v>
      </c>
      <c r="CZ35">
        <v>210462</v>
      </c>
      <c r="DA35">
        <v>27100293</v>
      </c>
      <c r="DB35">
        <v>94203</v>
      </c>
      <c r="DC35">
        <v>457624</v>
      </c>
      <c r="DD35">
        <v>443555</v>
      </c>
      <c r="DE35">
        <v>40268</v>
      </c>
      <c r="DF35">
        <v>43616</v>
      </c>
      <c r="DG35">
        <v>18377</v>
      </c>
      <c r="DH35">
        <v>5173679</v>
      </c>
      <c r="DI35">
        <v>10827</v>
      </c>
      <c r="DJ35">
        <v>23135</v>
      </c>
      <c r="DK35">
        <v>26702</v>
      </c>
      <c r="DL35">
        <v>3249384</v>
      </c>
      <c r="DM35">
        <v>33469</v>
      </c>
      <c r="DN35">
        <v>4943</v>
      </c>
      <c r="DO35">
        <v>3874</v>
      </c>
      <c r="DP35">
        <v>967080</v>
      </c>
      <c r="DQ35">
        <v>6549</v>
      </c>
      <c r="DR35">
        <v>10286</v>
      </c>
      <c r="DS35">
        <v>6353</v>
      </c>
      <c r="DT35">
        <v>1005187</v>
      </c>
      <c r="DU35">
        <v>5592</v>
      </c>
      <c r="DV35" t="s">
        <v>73</v>
      </c>
      <c r="DW35" t="s">
        <v>73</v>
      </c>
      <c r="DX35" t="s">
        <v>73</v>
      </c>
      <c r="DY35" t="s">
        <v>73</v>
      </c>
      <c r="DZ35">
        <v>278231</v>
      </c>
      <c r="EA35">
        <v>4357</v>
      </c>
      <c r="EB35">
        <v>150504</v>
      </c>
      <c r="EC35">
        <v>35512</v>
      </c>
      <c r="ED35">
        <v>379959</v>
      </c>
      <c r="EE35">
        <v>355135</v>
      </c>
      <c r="EF35">
        <v>53736</v>
      </c>
      <c r="EG35">
        <v>29345</v>
      </c>
      <c r="EH35">
        <v>20144</v>
      </c>
      <c r="EI35">
        <v>3920977</v>
      </c>
      <c r="EJ35">
        <v>21612</v>
      </c>
      <c r="EK35">
        <v>18457</v>
      </c>
      <c r="EL35">
        <v>13954</v>
      </c>
      <c r="EM35">
        <v>4577191</v>
      </c>
      <c r="EN35">
        <v>29413</v>
      </c>
      <c r="EO35">
        <v>11558</v>
      </c>
      <c r="EP35">
        <v>10773</v>
      </c>
      <c r="EQ35">
        <v>2802331</v>
      </c>
      <c r="ER35">
        <v>8669</v>
      </c>
      <c r="ES35">
        <v>13929</v>
      </c>
      <c r="ET35">
        <v>13364</v>
      </c>
      <c r="EU35">
        <v>2058620</v>
      </c>
      <c r="EV35">
        <v>11058</v>
      </c>
      <c r="EW35">
        <v>23797</v>
      </c>
      <c r="EX35">
        <v>11431</v>
      </c>
      <c r="EY35">
        <v>3350894</v>
      </c>
      <c r="EZ35">
        <v>18304</v>
      </c>
      <c r="FA35" t="s">
        <v>73</v>
      </c>
      <c r="FB35" t="s">
        <v>73</v>
      </c>
      <c r="FC35" t="s">
        <v>73</v>
      </c>
      <c r="FD35" t="s">
        <v>73</v>
      </c>
      <c r="FE35">
        <v>20855</v>
      </c>
      <c r="FF35">
        <v>20750</v>
      </c>
      <c r="FG35">
        <v>4965447</v>
      </c>
      <c r="FH35">
        <v>13607</v>
      </c>
      <c r="FI35">
        <v>16756</v>
      </c>
      <c r="FJ35">
        <v>15331</v>
      </c>
      <c r="FK35">
        <v>4221391</v>
      </c>
      <c r="FL35">
        <v>16416</v>
      </c>
      <c r="FM35">
        <v>11144</v>
      </c>
      <c r="FN35">
        <v>9365</v>
      </c>
      <c r="FO35">
        <v>1443813</v>
      </c>
      <c r="FP35">
        <v>12297</v>
      </c>
      <c r="FQ35">
        <v>28477</v>
      </c>
      <c r="FR35">
        <v>7201</v>
      </c>
      <c r="FS35">
        <v>986325</v>
      </c>
      <c r="FT35">
        <v>9559</v>
      </c>
      <c r="FU35">
        <v>13404</v>
      </c>
      <c r="FV35">
        <v>16829</v>
      </c>
      <c r="FW35">
        <v>2421887</v>
      </c>
      <c r="FX35">
        <v>11282</v>
      </c>
      <c r="FY35">
        <v>219838</v>
      </c>
      <c r="FZ35">
        <v>175153</v>
      </c>
      <c r="GA35">
        <v>20231</v>
      </c>
      <c r="GB35">
        <v>62675</v>
      </c>
      <c r="GC35">
        <v>45196</v>
      </c>
      <c r="GD35">
        <v>19669</v>
      </c>
      <c r="GE35">
        <v>321074</v>
      </c>
      <c r="GF35">
        <v>117245</v>
      </c>
      <c r="GG35">
        <v>48254</v>
      </c>
    </row>
    <row r="36" spans="1:189" x14ac:dyDescent="0.4">
      <c r="A36" s="1" t="s">
        <v>60</v>
      </c>
      <c r="B36" s="1" t="s">
        <v>61</v>
      </c>
      <c r="C36">
        <v>114151</v>
      </c>
      <c r="D36">
        <v>99236</v>
      </c>
      <c r="E36">
        <v>24672103</v>
      </c>
      <c r="F36">
        <v>261918</v>
      </c>
      <c r="G36">
        <v>52680</v>
      </c>
      <c r="H36">
        <v>49350</v>
      </c>
      <c r="I36">
        <v>10507358</v>
      </c>
      <c r="J36">
        <v>172213</v>
      </c>
      <c r="K36">
        <v>11431</v>
      </c>
      <c r="L36">
        <v>11510</v>
      </c>
      <c r="M36">
        <v>3485652</v>
      </c>
      <c r="N36">
        <v>27498</v>
      </c>
      <c r="O36">
        <v>42850</v>
      </c>
      <c r="P36">
        <v>38296</v>
      </c>
      <c r="Q36">
        <v>7319698</v>
      </c>
      <c r="R36">
        <v>69686</v>
      </c>
      <c r="S36">
        <v>6283</v>
      </c>
      <c r="T36">
        <v>5356</v>
      </c>
      <c r="U36">
        <v>1525991</v>
      </c>
      <c r="V36">
        <v>7001</v>
      </c>
      <c r="W36">
        <v>27098</v>
      </c>
      <c r="X36">
        <v>21572</v>
      </c>
      <c r="Y36">
        <v>8454275</v>
      </c>
      <c r="Z36">
        <v>80360</v>
      </c>
      <c r="AA36">
        <v>184027</v>
      </c>
      <c r="AB36">
        <v>169611</v>
      </c>
      <c r="AC36">
        <v>37509909</v>
      </c>
      <c r="AD36">
        <v>410023</v>
      </c>
      <c r="AE36">
        <v>8310</v>
      </c>
      <c r="AF36">
        <v>7327</v>
      </c>
      <c r="AG36">
        <v>3069997</v>
      </c>
      <c r="AH36">
        <v>34128</v>
      </c>
      <c r="AI36">
        <v>18985</v>
      </c>
      <c r="AJ36">
        <v>16613</v>
      </c>
      <c r="AK36">
        <v>5820051</v>
      </c>
      <c r="AL36">
        <v>69674</v>
      </c>
      <c r="AM36">
        <v>12581</v>
      </c>
      <c r="AN36">
        <v>8271</v>
      </c>
      <c r="AO36">
        <v>2442250</v>
      </c>
      <c r="AP36">
        <v>33695</v>
      </c>
      <c r="AQ36">
        <v>8299</v>
      </c>
      <c r="AR36">
        <v>7681</v>
      </c>
      <c r="AS36">
        <v>3244324</v>
      </c>
      <c r="AT36">
        <v>6625</v>
      </c>
      <c r="AU36" t="s">
        <v>73</v>
      </c>
      <c r="AV36" t="s">
        <v>73</v>
      </c>
      <c r="AW36" t="s">
        <v>73</v>
      </c>
      <c r="AX36" t="s">
        <v>73</v>
      </c>
      <c r="AY36">
        <v>11065</v>
      </c>
      <c r="AZ36">
        <v>9159</v>
      </c>
      <c r="BA36">
        <v>7095226</v>
      </c>
      <c r="BB36">
        <v>37900</v>
      </c>
      <c r="BC36">
        <v>26537</v>
      </c>
      <c r="BD36">
        <v>20002</v>
      </c>
      <c r="BE36">
        <v>6139981</v>
      </c>
      <c r="BF36">
        <v>69579</v>
      </c>
      <c r="BG36" t="s">
        <v>73</v>
      </c>
      <c r="BH36" t="s">
        <v>73</v>
      </c>
      <c r="BI36" t="s">
        <v>73</v>
      </c>
      <c r="BJ36" t="s">
        <v>73</v>
      </c>
      <c r="BK36">
        <v>16045</v>
      </c>
      <c r="BL36">
        <v>9726</v>
      </c>
      <c r="BM36">
        <v>6161918</v>
      </c>
      <c r="BN36">
        <v>37411</v>
      </c>
      <c r="BO36">
        <v>121985</v>
      </c>
      <c r="BP36">
        <v>101025</v>
      </c>
      <c r="BQ36">
        <v>16438335</v>
      </c>
      <c r="BR36">
        <v>56292</v>
      </c>
      <c r="BS36">
        <v>33636</v>
      </c>
      <c r="BT36">
        <v>16236</v>
      </c>
      <c r="BU36">
        <v>4393249</v>
      </c>
      <c r="BV36">
        <v>12850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 t="s">
        <v>73</v>
      </c>
      <c r="CE36" t="s">
        <v>73</v>
      </c>
      <c r="CF36" t="s">
        <v>73</v>
      </c>
      <c r="CG36" t="s">
        <v>73</v>
      </c>
      <c r="CH36" t="s">
        <v>73</v>
      </c>
      <c r="CI36">
        <v>264631</v>
      </c>
      <c r="CJ36">
        <v>158736</v>
      </c>
      <c r="CK36">
        <v>16206518</v>
      </c>
      <c r="CL36">
        <v>109432</v>
      </c>
      <c r="CM36">
        <v>99288</v>
      </c>
      <c r="CN36">
        <v>55590</v>
      </c>
      <c r="CO36">
        <v>5727390</v>
      </c>
      <c r="CP36">
        <v>58256</v>
      </c>
      <c r="CQ36">
        <v>340063</v>
      </c>
      <c r="CR36">
        <v>157090</v>
      </c>
      <c r="CS36">
        <v>18886034</v>
      </c>
      <c r="CT36">
        <v>127740</v>
      </c>
      <c r="CU36" t="s">
        <v>73</v>
      </c>
      <c r="CV36" t="s">
        <v>73</v>
      </c>
      <c r="CW36" t="s">
        <v>73</v>
      </c>
      <c r="CX36" t="s">
        <v>73</v>
      </c>
      <c r="CY36">
        <v>220386</v>
      </c>
      <c r="CZ36">
        <v>268912</v>
      </c>
      <c r="DA36">
        <v>36008699</v>
      </c>
      <c r="DB36">
        <v>90115</v>
      </c>
      <c r="DC36">
        <v>433350</v>
      </c>
      <c r="DD36">
        <v>392212</v>
      </c>
      <c r="DE36">
        <v>41591</v>
      </c>
      <c r="DF36">
        <v>30692</v>
      </c>
      <c r="DG36">
        <v>17898</v>
      </c>
      <c r="DH36">
        <v>5034328</v>
      </c>
      <c r="DI36">
        <v>7672</v>
      </c>
      <c r="DJ36">
        <v>12122</v>
      </c>
      <c r="DK36">
        <v>17823</v>
      </c>
      <c r="DL36">
        <v>2062135</v>
      </c>
      <c r="DM36">
        <v>26379</v>
      </c>
      <c r="DN36">
        <v>4913</v>
      </c>
      <c r="DO36">
        <v>3460</v>
      </c>
      <c r="DP36">
        <v>867643</v>
      </c>
      <c r="DQ36">
        <v>7347</v>
      </c>
      <c r="DR36">
        <v>9590</v>
      </c>
      <c r="DS36">
        <v>5995</v>
      </c>
      <c r="DT36">
        <v>918985</v>
      </c>
      <c r="DU36">
        <v>4631</v>
      </c>
      <c r="DV36" t="s">
        <v>73</v>
      </c>
      <c r="DW36" t="s">
        <v>73</v>
      </c>
      <c r="DX36" t="s">
        <v>73</v>
      </c>
      <c r="DY36" t="s">
        <v>73</v>
      </c>
      <c r="DZ36">
        <v>286447</v>
      </c>
      <c r="EA36">
        <v>2932</v>
      </c>
      <c r="EB36">
        <v>95755</v>
      </c>
      <c r="EC36">
        <v>35067</v>
      </c>
      <c r="ED36">
        <v>364693</v>
      </c>
      <c r="EE36">
        <v>335742</v>
      </c>
      <c r="EF36">
        <v>55226</v>
      </c>
      <c r="EG36">
        <v>20255</v>
      </c>
      <c r="EH36">
        <v>18607</v>
      </c>
      <c r="EI36">
        <v>3832130</v>
      </c>
      <c r="EJ36">
        <v>18275</v>
      </c>
      <c r="EK36">
        <v>16160</v>
      </c>
      <c r="EL36">
        <v>13655</v>
      </c>
      <c r="EM36">
        <v>4502096</v>
      </c>
      <c r="EN36">
        <v>29041</v>
      </c>
      <c r="EO36">
        <v>10722</v>
      </c>
      <c r="EP36">
        <v>8039</v>
      </c>
      <c r="EQ36">
        <v>2298791</v>
      </c>
      <c r="ER36">
        <v>9588</v>
      </c>
      <c r="ES36">
        <v>16697</v>
      </c>
      <c r="ET36">
        <v>16495</v>
      </c>
      <c r="EU36">
        <v>2726864</v>
      </c>
      <c r="EV36">
        <v>11210</v>
      </c>
      <c r="EW36">
        <v>23277</v>
      </c>
      <c r="EX36">
        <v>8207</v>
      </c>
      <c r="EY36">
        <v>2705675</v>
      </c>
      <c r="EZ36">
        <v>18152</v>
      </c>
      <c r="FA36" t="s">
        <v>73</v>
      </c>
      <c r="FB36" t="s">
        <v>73</v>
      </c>
      <c r="FC36" t="s">
        <v>73</v>
      </c>
      <c r="FD36" t="s">
        <v>73</v>
      </c>
      <c r="FE36">
        <v>23844</v>
      </c>
      <c r="FF36">
        <v>18637</v>
      </c>
      <c r="FG36">
        <v>4473012</v>
      </c>
      <c r="FH36">
        <v>15334</v>
      </c>
      <c r="FI36">
        <v>21408</v>
      </c>
      <c r="FJ36">
        <v>16932</v>
      </c>
      <c r="FK36">
        <v>4544988</v>
      </c>
      <c r="FL36">
        <v>19178</v>
      </c>
      <c r="FM36">
        <v>9547</v>
      </c>
      <c r="FN36">
        <v>11828</v>
      </c>
      <c r="FO36">
        <v>1804693</v>
      </c>
      <c r="FP36">
        <v>10016</v>
      </c>
      <c r="FQ36">
        <v>37194</v>
      </c>
      <c r="FR36">
        <v>7923</v>
      </c>
      <c r="FS36">
        <v>1009558</v>
      </c>
      <c r="FT36">
        <v>10338</v>
      </c>
      <c r="FU36">
        <v>19765</v>
      </c>
      <c r="FV36">
        <v>16578</v>
      </c>
      <c r="FW36">
        <v>2391918</v>
      </c>
      <c r="FX36">
        <v>14437</v>
      </c>
      <c r="FY36">
        <v>206872</v>
      </c>
      <c r="FZ36">
        <v>154090</v>
      </c>
      <c r="GA36">
        <v>23104</v>
      </c>
      <c r="GB36">
        <v>56578</v>
      </c>
      <c r="GC36">
        <v>42711</v>
      </c>
      <c r="GD36">
        <v>16539</v>
      </c>
      <c r="GE36">
        <v>308517</v>
      </c>
      <c r="GF36">
        <v>103002</v>
      </c>
      <c r="GG36">
        <v>45696</v>
      </c>
    </row>
    <row r="37" spans="1:189" x14ac:dyDescent="0.4">
      <c r="A37" s="1" t="s">
        <v>62</v>
      </c>
      <c r="B37" s="1" t="s">
        <v>63</v>
      </c>
      <c r="C37">
        <v>79763</v>
      </c>
      <c r="D37">
        <v>94954</v>
      </c>
      <c r="E37">
        <v>22671635</v>
      </c>
      <c r="F37">
        <v>247371</v>
      </c>
      <c r="G37">
        <v>38055</v>
      </c>
      <c r="H37">
        <v>52419</v>
      </c>
      <c r="I37">
        <v>11435628</v>
      </c>
      <c r="J37">
        <v>160184</v>
      </c>
      <c r="K37">
        <v>5929</v>
      </c>
      <c r="L37">
        <v>7237</v>
      </c>
      <c r="M37">
        <v>1917982</v>
      </c>
      <c r="N37">
        <v>25948</v>
      </c>
      <c r="O37">
        <v>40805</v>
      </c>
      <c r="P37">
        <v>37744</v>
      </c>
      <c r="Q37">
        <v>7370808</v>
      </c>
      <c r="R37">
        <v>72031</v>
      </c>
      <c r="S37">
        <v>7355</v>
      </c>
      <c r="T37">
        <v>6100</v>
      </c>
      <c r="U37">
        <v>1674842</v>
      </c>
      <c r="V37">
        <v>7993</v>
      </c>
      <c r="W37">
        <v>19757</v>
      </c>
      <c r="X37">
        <v>22599</v>
      </c>
      <c r="Y37">
        <v>8724402</v>
      </c>
      <c r="Z37">
        <v>79758</v>
      </c>
      <c r="AA37">
        <v>145629</v>
      </c>
      <c r="AB37">
        <v>168952</v>
      </c>
      <c r="AC37">
        <v>38113360</v>
      </c>
      <c r="AD37">
        <v>388804</v>
      </c>
      <c r="AE37">
        <v>8492</v>
      </c>
      <c r="AF37">
        <v>7208</v>
      </c>
      <c r="AG37">
        <v>2766033</v>
      </c>
      <c r="AH37">
        <v>35411</v>
      </c>
      <c r="AI37">
        <v>10546</v>
      </c>
      <c r="AJ37">
        <v>17142</v>
      </c>
      <c r="AK37">
        <v>6121253</v>
      </c>
      <c r="AL37">
        <v>63078</v>
      </c>
      <c r="AM37">
        <v>6287</v>
      </c>
      <c r="AN37">
        <v>8152</v>
      </c>
      <c r="AO37">
        <v>2426333</v>
      </c>
      <c r="AP37">
        <v>31635</v>
      </c>
      <c r="AQ37">
        <v>6626</v>
      </c>
      <c r="AR37">
        <v>6287</v>
      </c>
      <c r="AS37">
        <v>2557952</v>
      </c>
      <c r="AT37">
        <v>6976</v>
      </c>
      <c r="AU37" t="s">
        <v>73</v>
      </c>
      <c r="AV37" t="s">
        <v>73</v>
      </c>
      <c r="AW37" t="s">
        <v>73</v>
      </c>
      <c r="AX37" t="s">
        <v>73</v>
      </c>
      <c r="AY37">
        <v>10788</v>
      </c>
      <c r="AZ37">
        <v>9926</v>
      </c>
      <c r="BA37">
        <v>7646110</v>
      </c>
      <c r="BB37">
        <v>38762</v>
      </c>
      <c r="BC37">
        <v>11939</v>
      </c>
      <c r="BD37">
        <v>21119</v>
      </c>
      <c r="BE37">
        <v>6475743</v>
      </c>
      <c r="BF37">
        <v>59881</v>
      </c>
      <c r="BG37" t="s">
        <v>73</v>
      </c>
      <c r="BH37" t="s">
        <v>73</v>
      </c>
      <c r="BI37" t="s">
        <v>73</v>
      </c>
      <c r="BJ37" t="s">
        <v>73</v>
      </c>
      <c r="BK37">
        <v>16134</v>
      </c>
      <c r="BL37">
        <v>9523</v>
      </c>
      <c r="BM37">
        <v>7115602</v>
      </c>
      <c r="BN37">
        <v>40481</v>
      </c>
      <c r="BO37">
        <v>76321</v>
      </c>
      <c r="BP37">
        <v>85278</v>
      </c>
      <c r="BQ37">
        <v>13967316</v>
      </c>
      <c r="BR37">
        <v>43034</v>
      </c>
      <c r="BS37">
        <v>29477</v>
      </c>
      <c r="BT37">
        <v>19058</v>
      </c>
      <c r="BU37">
        <v>5153395</v>
      </c>
      <c r="BV37">
        <v>10174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 t="s">
        <v>73</v>
      </c>
      <c r="CE37" t="s">
        <v>73</v>
      </c>
      <c r="CF37" t="s">
        <v>73</v>
      </c>
      <c r="CG37" t="s">
        <v>73</v>
      </c>
      <c r="CH37" t="s">
        <v>73</v>
      </c>
      <c r="CI37">
        <v>205489</v>
      </c>
      <c r="CJ37">
        <v>137957</v>
      </c>
      <c r="CK37">
        <v>14751715</v>
      </c>
      <c r="CL37">
        <v>104814</v>
      </c>
      <c r="CM37">
        <v>80275</v>
      </c>
      <c r="CN37">
        <v>51404</v>
      </c>
      <c r="CO37">
        <v>5541357</v>
      </c>
      <c r="CP37">
        <v>49747</v>
      </c>
      <c r="CQ37">
        <v>288289</v>
      </c>
      <c r="CR37">
        <v>126843</v>
      </c>
      <c r="CS37">
        <v>14905693</v>
      </c>
      <c r="CT37">
        <v>123106</v>
      </c>
      <c r="CU37" t="s">
        <v>73</v>
      </c>
      <c r="CV37" t="s">
        <v>73</v>
      </c>
      <c r="CW37" t="s">
        <v>73</v>
      </c>
      <c r="CX37" t="s">
        <v>73</v>
      </c>
      <c r="CY37">
        <v>189516</v>
      </c>
      <c r="CZ37">
        <v>223566</v>
      </c>
      <c r="DA37">
        <v>30157061</v>
      </c>
      <c r="DB37">
        <v>93586</v>
      </c>
      <c r="DC37">
        <v>334261</v>
      </c>
      <c r="DD37">
        <v>265138</v>
      </c>
      <c r="DE37">
        <v>40822</v>
      </c>
      <c r="DF37">
        <v>36221</v>
      </c>
      <c r="DG37">
        <v>18525</v>
      </c>
      <c r="DH37">
        <v>5236727</v>
      </c>
      <c r="DI37">
        <v>4666</v>
      </c>
      <c r="DJ37">
        <v>16279</v>
      </c>
      <c r="DK37">
        <v>14107</v>
      </c>
      <c r="DL37">
        <v>1750507</v>
      </c>
      <c r="DM37">
        <v>27236</v>
      </c>
      <c r="DN37">
        <v>4270</v>
      </c>
      <c r="DO37">
        <v>2914</v>
      </c>
      <c r="DP37">
        <v>824671</v>
      </c>
      <c r="DQ37">
        <v>7618</v>
      </c>
      <c r="DR37">
        <v>6570</v>
      </c>
      <c r="DS37">
        <v>3177</v>
      </c>
      <c r="DT37">
        <v>410497</v>
      </c>
      <c r="DU37">
        <v>4623</v>
      </c>
      <c r="DV37" t="s">
        <v>73</v>
      </c>
      <c r="DW37" t="s">
        <v>73</v>
      </c>
      <c r="DX37" t="s">
        <v>73</v>
      </c>
      <c r="DY37" t="s">
        <v>73</v>
      </c>
      <c r="DZ37">
        <v>252769</v>
      </c>
      <c r="EA37">
        <v>4817</v>
      </c>
      <c r="EB37">
        <v>150833</v>
      </c>
      <c r="EC37">
        <v>39708</v>
      </c>
      <c r="ED37">
        <v>275715</v>
      </c>
      <c r="EE37">
        <v>224262</v>
      </c>
      <c r="EF37">
        <v>59343</v>
      </c>
      <c r="EG37">
        <v>14602</v>
      </c>
      <c r="EH37">
        <v>16124</v>
      </c>
      <c r="EI37">
        <v>3241109</v>
      </c>
      <c r="EJ37">
        <v>14576</v>
      </c>
      <c r="EK37">
        <v>18153</v>
      </c>
      <c r="EL37">
        <v>13377</v>
      </c>
      <c r="EM37">
        <v>4454833</v>
      </c>
      <c r="EN37">
        <v>30875</v>
      </c>
      <c r="EO37">
        <v>8978</v>
      </c>
      <c r="EP37">
        <v>8294</v>
      </c>
      <c r="EQ37">
        <v>2329382</v>
      </c>
      <c r="ER37">
        <v>8741</v>
      </c>
      <c r="ES37">
        <v>13812</v>
      </c>
      <c r="ET37">
        <v>12087</v>
      </c>
      <c r="EU37">
        <v>2093315</v>
      </c>
      <c r="EV37">
        <v>12873</v>
      </c>
      <c r="EW37">
        <v>20770</v>
      </c>
      <c r="EX37">
        <v>7332</v>
      </c>
      <c r="EY37">
        <v>2329288</v>
      </c>
      <c r="EZ37">
        <v>17499</v>
      </c>
      <c r="FA37" t="s">
        <v>73</v>
      </c>
      <c r="FB37" t="s">
        <v>73</v>
      </c>
      <c r="FC37" t="s">
        <v>73</v>
      </c>
      <c r="FD37" t="s">
        <v>73</v>
      </c>
      <c r="FE37">
        <v>18218</v>
      </c>
      <c r="FF37">
        <v>11776</v>
      </c>
      <c r="FG37">
        <v>2848668</v>
      </c>
      <c r="FH37">
        <v>16965</v>
      </c>
      <c r="FI37">
        <v>15779</v>
      </c>
      <c r="FJ37">
        <v>16245</v>
      </c>
      <c r="FK37">
        <v>4251719</v>
      </c>
      <c r="FL37">
        <v>16024</v>
      </c>
      <c r="FM37">
        <v>8097</v>
      </c>
      <c r="FN37">
        <v>8740</v>
      </c>
      <c r="FO37">
        <v>1218443</v>
      </c>
      <c r="FP37">
        <v>9372</v>
      </c>
      <c r="FQ37">
        <v>22431</v>
      </c>
      <c r="FR37">
        <v>5826</v>
      </c>
      <c r="FS37">
        <v>865184</v>
      </c>
      <c r="FT37">
        <v>9651</v>
      </c>
      <c r="FU37">
        <v>11418</v>
      </c>
      <c r="FV37">
        <v>12814</v>
      </c>
      <c r="FW37">
        <v>1839187</v>
      </c>
      <c r="FX37">
        <v>13009</v>
      </c>
      <c r="FY37">
        <v>156369</v>
      </c>
      <c r="FZ37">
        <v>98424</v>
      </c>
      <c r="GA37">
        <v>22588</v>
      </c>
      <c r="GB37">
        <v>44195</v>
      </c>
      <c r="GC37">
        <v>27674</v>
      </c>
      <c r="GD37">
        <v>20761</v>
      </c>
      <c r="GE37">
        <v>246228</v>
      </c>
      <c r="GF37">
        <v>45222</v>
      </c>
      <c r="GG37">
        <v>44657</v>
      </c>
    </row>
    <row r="38" spans="1:189" x14ac:dyDescent="0.4">
      <c r="A38" s="1" t="s">
        <v>64</v>
      </c>
      <c r="B38" s="1" t="s">
        <v>65</v>
      </c>
      <c r="C38">
        <v>55721</v>
      </c>
      <c r="D38">
        <v>93958</v>
      </c>
      <c r="E38">
        <v>23272596</v>
      </c>
      <c r="F38">
        <v>209244</v>
      </c>
      <c r="G38">
        <v>27906</v>
      </c>
      <c r="H38">
        <v>56397</v>
      </c>
      <c r="I38">
        <v>11970515</v>
      </c>
      <c r="J38">
        <v>133279</v>
      </c>
      <c r="K38">
        <v>6310</v>
      </c>
      <c r="L38">
        <v>9375</v>
      </c>
      <c r="M38">
        <v>2700477</v>
      </c>
      <c r="N38">
        <v>22526</v>
      </c>
      <c r="O38">
        <v>35567</v>
      </c>
      <c r="P38">
        <v>43626</v>
      </c>
      <c r="Q38">
        <v>8132352</v>
      </c>
      <c r="R38">
        <v>63091</v>
      </c>
      <c r="S38">
        <v>7218</v>
      </c>
      <c r="T38">
        <v>8013</v>
      </c>
      <c r="U38">
        <v>2127278</v>
      </c>
      <c r="V38">
        <v>6934</v>
      </c>
      <c r="W38">
        <v>17170</v>
      </c>
      <c r="X38">
        <v>25379</v>
      </c>
      <c r="Y38">
        <v>9665945</v>
      </c>
      <c r="Z38">
        <v>67357</v>
      </c>
      <c r="AA38">
        <v>123562</v>
      </c>
      <c r="AB38">
        <v>164636</v>
      </c>
      <c r="AC38">
        <v>37328516</v>
      </c>
      <c r="AD38">
        <v>350395</v>
      </c>
      <c r="AE38">
        <v>6594</v>
      </c>
      <c r="AF38">
        <v>8768</v>
      </c>
      <c r="AG38">
        <v>3792359</v>
      </c>
      <c r="AH38">
        <v>33238</v>
      </c>
      <c r="AI38">
        <v>8293</v>
      </c>
      <c r="AJ38">
        <v>17079</v>
      </c>
      <c r="AK38">
        <v>6291914</v>
      </c>
      <c r="AL38">
        <v>53993</v>
      </c>
      <c r="AM38">
        <v>1500</v>
      </c>
      <c r="AN38">
        <v>8765</v>
      </c>
      <c r="AO38">
        <v>2587578</v>
      </c>
      <c r="AP38">
        <v>24291</v>
      </c>
      <c r="AQ38">
        <v>5877</v>
      </c>
      <c r="AR38">
        <v>6893</v>
      </c>
      <c r="AS38">
        <v>2892665</v>
      </c>
      <c r="AT38">
        <v>5891</v>
      </c>
      <c r="AU38" t="s">
        <v>73</v>
      </c>
      <c r="AV38" t="s">
        <v>73</v>
      </c>
      <c r="AW38" t="s">
        <v>73</v>
      </c>
      <c r="AX38" t="s">
        <v>73</v>
      </c>
      <c r="AY38">
        <v>11820</v>
      </c>
      <c r="AZ38">
        <v>12485</v>
      </c>
      <c r="BA38">
        <v>9688218</v>
      </c>
      <c r="BB38">
        <v>38097</v>
      </c>
      <c r="BC38">
        <v>17089</v>
      </c>
      <c r="BD38">
        <v>20805</v>
      </c>
      <c r="BE38">
        <v>6552956</v>
      </c>
      <c r="BF38">
        <v>56726</v>
      </c>
      <c r="BG38" t="s">
        <v>73</v>
      </c>
      <c r="BH38" t="s">
        <v>73</v>
      </c>
      <c r="BI38" t="s">
        <v>73</v>
      </c>
      <c r="BJ38" t="s">
        <v>73</v>
      </c>
      <c r="BK38">
        <v>12271</v>
      </c>
      <c r="BL38">
        <v>11303</v>
      </c>
      <c r="BM38">
        <v>8322916</v>
      </c>
      <c r="BN38">
        <v>38127</v>
      </c>
      <c r="BO38">
        <v>87672</v>
      </c>
      <c r="BP38">
        <v>73771</v>
      </c>
      <c r="BQ38">
        <v>12752252</v>
      </c>
      <c r="BR38">
        <v>48863</v>
      </c>
      <c r="BS38">
        <v>28211</v>
      </c>
      <c r="BT38">
        <v>13609</v>
      </c>
      <c r="BU38">
        <v>3657863</v>
      </c>
      <c r="BV38">
        <v>11918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 t="s">
        <v>73</v>
      </c>
      <c r="CE38" t="s">
        <v>73</v>
      </c>
      <c r="CF38" t="s">
        <v>73</v>
      </c>
      <c r="CG38" t="s">
        <v>73</v>
      </c>
      <c r="CH38" t="s">
        <v>73</v>
      </c>
      <c r="CI38">
        <v>193069</v>
      </c>
      <c r="CJ38">
        <v>151621</v>
      </c>
      <c r="CK38">
        <v>19009225</v>
      </c>
      <c r="CL38">
        <v>90999</v>
      </c>
      <c r="CM38">
        <v>74099</v>
      </c>
      <c r="CN38">
        <v>37688</v>
      </c>
      <c r="CO38">
        <v>4343190</v>
      </c>
      <c r="CP38">
        <v>50225</v>
      </c>
      <c r="CQ38">
        <v>278372</v>
      </c>
      <c r="CR38">
        <v>110867</v>
      </c>
      <c r="CS38">
        <v>15771160</v>
      </c>
      <c r="CT38">
        <v>132118</v>
      </c>
      <c r="CU38" t="s">
        <v>73</v>
      </c>
      <c r="CV38" t="s">
        <v>73</v>
      </c>
      <c r="CW38" t="s">
        <v>73</v>
      </c>
      <c r="CX38" t="s">
        <v>73</v>
      </c>
      <c r="CY38">
        <v>169529</v>
      </c>
      <c r="CZ38">
        <v>232345</v>
      </c>
      <c r="DA38">
        <v>36618814</v>
      </c>
      <c r="DB38">
        <v>70182</v>
      </c>
      <c r="DC38">
        <v>272611</v>
      </c>
      <c r="DD38">
        <v>216653</v>
      </c>
      <c r="DE38">
        <v>42466</v>
      </c>
      <c r="DF38">
        <v>35208</v>
      </c>
      <c r="DG38">
        <v>18017</v>
      </c>
      <c r="DH38">
        <v>5175749</v>
      </c>
      <c r="DI38">
        <v>6738</v>
      </c>
      <c r="DJ38">
        <v>18424</v>
      </c>
      <c r="DK38">
        <v>17644</v>
      </c>
      <c r="DL38">
        <v>2209560</v>
      </c>
      <c r="DM38">
        <v>25610</v>
      </c>
      <c r="DN38">
        <v>1106</v>
      </c>
      <c r="DO38">
        <v>3223</v>
      </c>
      <c r="DP38">
        <v>950289</v>
      </c>
      <c r="DQ38">
        <v>5384</v>
      </c>
      <c r="DR38">
        <v>1684</v>
      </c>
      <c r="DS38">
        <v>3689</v>
      </c>
      <c r="DT38">
        <v>621350</v>
      </c>
      <c r="DU38">
        <v>2359</v>
      </c>
      <c r="DV38" t="s">
        <v>73</v>
      </c>
      <c r="DW38" t="s">
        <v>73</v>
      </c>
      <c r="DX38" t="s">
        <v>73</v>
      </c>
      <c r="DY38" t="s">
        <v>73</v>
      </c>
      <c r="DZ38">
        <v>228714</v>
      </c>
      <c r="EA38">
        <v>8765</v>
      </c>
      <c r="EB38">
        <v>258576</v>
      </c>
      <c r="EC38">
        <v>37009</v>
      </c>
      <c r="ED38">
        <v>239359</v>
      </c>
      <c r="EE38">
        <v>209556</v>
      </c>
      <c r="EF38">
        <v>52122</v>
      </c>
      <c r="EG38">
        <v>15235</v>
      </c>
      <c r="EH38">
        <v>17669</v>
      </c>
      <c r="EI38">
        <v>3649611</v>
      </c>
      <c r="EJ38">
        <v>10638</v>
      </c>
      <c r="EK38">
        <v>15118</v>
      </c>
      <c r="EL38">
        <v>15347</v>
      </c>
      <c r="EM38">
        <v>5092737</v>
      </c>
      <c r="EN38">
        <v>28687</v>
      </c>
      <c r="EO38">
        <v>6264</v>
      </c>
      <c r="EP38">
        <v>8113</v>
      </c>
      <c r="EQ38">
        <v>2252179</v>
      </c>
      <c r="ER38">
        <v>6018</v>
      </c>
      <c r="ES38">
        <v>16384</v>
      </c>
      <c r="ET38">
        <v>18529</v>
      </c>
      <c r="EU38">
        <v>2806290</v>
      </c>
      <c r="EV38">
        <v>10673</v>
      </c>
      <c r="EW38">
        <v>20875</v>
      </c>
      <c r="EX38">
        <v>9739</v>
      </c>
      <c r="EY38">
        <v>3180670</v>
      </c>
      <c r="EZ38">
        <v>12074</v>
      </c>
      <c r="FA38" t="s">
        <v>73</v>
      </c>
      <c r="FB38" t="s">
        <v>73</v>
      </c>
      <c r="FC38" t="s">
        <v>73</v>
      </c>
      <c r="FD38" t="s">
        <v>73</v>
      </c>
      <c r="FE38">
        <v>16903</v>
      </c>
      <c r="FF38">
        <v>13414</v>
      </c>
      <c r="FG38">
        <v>3658634</v>
      </c>
      <c r="FH38">
        <v>15122</v>
      </c>
      <c r="FI38">
        <v>18766</v>
      </c>
      <c r="FJ38">
        <v>17239</v>
      </c>
      <c r="FK38">
        <v>4747076</v>
      </c>
      <c r="FL38">
        <v>14900</v>
      </c>
      <c r="FM38">
        <v>7929</v>
      </c>
      <c r="FN38">
        <v>11184</v>
      </c>
      <c r="FO38">
        <v>1974205</v>
      </c>
      <c r="FP38">
        <v>6187</v>
      </c>
      <c r="FQ38">
        <v>20280</v>
      </c>
      <c r="FR38">
        <v>5762</v>
      </c>
      <c r="FS38">
        <v>799581</v>
      </c>
      <c r="FT38">
        <v>9424</v>
      </c>
      <c r="FU38">
        <v>7720</v>
      </c>
      <c r="FV38">
        <v>9925</v>
      </c>
      <c r="FW38">
        <v>1445407</v>
      </c>
      <c r="FX38">
        <v>11697</v>
      </c>
      <c r="FY38">
        <v>138690</v>
      </c>
      <c r="FZ38">
        <v>91970</v>
      </c>
      <c r="GA38">
        <v>19591</v>
      </c>
      <c r="GB38">
        <v>40248</v>
      </c>
      <c r="GC38">
        <v>28871</v>
      </c>
      <c r="GD38">
        <v>21702</v>
      </c>
      <c r="GE38">
        <v>212311</v>
      </c>
      <c r="GF38">
        <v>39083</v>
      </c>
      <c r="GG38">
        <v>46384</v>
      </c>
    </row>
    <row r="39" spans="1:189" x14ac:dyDescent="0.4">
      <c r="A39" s="1"/>
      <c r="B39" s="1"/>
    </row>
    <row r="40" spans="1:189" x14ac:dyDescent="0.4">
      <c r="A40" s="1"/>
      <c r="B40" s="1"/>
    </row>
  </sheetData>
  <phoneticPr fontId="2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1AFD7-F86A-4DCC-A14D-BD423303CEB9}">
  <dimension ref="A1:CD40"/>
  <sheetViews>
    <sheetView workbookViewId="0">
      <selection activeCell="C9" sqref="C9"/>
    </sheetView>
  </sheetViews>
  <sheetFormatPr defaultColWidth="15.625" defaultRowHeight="18.75" x14ac:dyDescent="0.4"/>
  <sheetData>
    <row r="1" spans="1:82" x14ac:dyDescent="0.4">
      <c r="A1" s="1" t="s">
        <v>66</v>
      </c>
      <c r="B1" s="1"/>
    </row>
    <row r="2" spans="1:82" x14ac:dyDescent="0.4">
      <c r="A2" s="4" t="str">
        <f>HYPERLINK("#'目次(Contents)'!A3","目次に戻る(Return to Contents)")</f>
        <v>目次に戻る(Return to Contents)</v>
      </c>
      <c r="B2" s="1"/>
    </row>
    <row r="3" spans="1:82" x14ac:dyDescent="0.4">
      <c r="A3" s="1"/>
      <c r="B3" s="2" t="s">
        <v>0</v>
      </c>
      <c r="C3" t="s">
        <v>2486</v>
      </c>
      <c r="D3" t="s">
        <v>2486</v>
      </c>
      <c r="E3" t="s">
        <v>2486</v>
      </c>
      <c r="F3" t="s">
        <v>2486</v>
      </c>
      <c r="G3" t="s">
        <v>2488</v>
      </c>
      <c r="H3" t="s">
        <v>2488</v>
      </c>
      <c r="I3" t="s">
        <v>2488</v>
      </c>
      <c r="J3" t="s">
        <v>2488</v>
      </c>
      <c r="K3" t="s">
        <v>2490</v>
      </c>
      <c r="L3" t="s">
        <v>2490</v>
      </c>
      <c r="M3" t="s">
        <v>2490</v>
      </c>
      <c r="N3" t="s">
        <v>2490</v>
      </c>
      <c r="O3" t="s">
        <v>2492</v>
      </c>
      <c r="P3" t="s">
        <v>2492</v>
      </c>
      <c r="Q3" t="s">
        <v>2492</v>
      </c>
      <c r="R3" t="s">
        <v>2492</v>
      </c>
      <c r="S3" t="s">
        <v>2494</v>
      </c>
      <c r="T3" t="s">
        <v>2494</v>
      </c>
      <c r="U3" t="s">
        <v>2494</v>
      </c>
      <c r="V3" t="s">
        <v>2494</v>
      </c>
      <c r="W3" t="s">
        <v>2496</v>
      </c>
      <c r="X3" t="s">
        <v>2496</v>
      </c>
      <c r="Y3" t="s">
        <v>2496</v>
      </c>
      <c r="Z3" t="s">
        <v>2496</v>
      </c>
      <c r="AA3" t="s">
        <v>2498</v>
      </c>
      <c r="AB3" t="s">
        <v>2498</v>
      </c>
      <c r="AC3" t="s">
        <v>2498</v>
      </c>
      <c r="AD3" t="s">
        <v>2498</v>
      </c>
      <c r="AE3" t="s">
        <v>2500</v>
      </c>
      <c r="AF3" t="s">
        <v>2500</v>
      </c>
      <c r="AG3" t="s">
        <v>2500</v>
      </c>
      <c r="AH3" t="s">
        <v>2500</v>
      </c>
      <c r="AI3" t="s">
        <v>2502</v>
      </c>
      <c r="AJ3" t="s">
        <v>2502</v>
      </c>
      <c r="AK3" t="s">
        <v>2502</v>
      </c>
      <c r="AL3" t="s">
        <v>2502</v>
      </c>
      <c r="AM3" t="s">
        <v>2504</v>
      </c>
      <c r="AN3" t="s">
        <v>2504</v>
      </c>
      <c r="AO3" t="s">
        <v>2504</v>
      </c>
      <c r="AP3" t="s">
        <v>2504</v>
      </c>
      <c r="AQ3" t="s">
        <v>2506</v>
      </c>
      <c r="AR3" t="s">
        <v>2506</v>
      </c>
      <c r="AS3" t="s">
        <v>2506</v>
      </c>
      <c r="AT3" t="s">
        <v>2506</v>
      </c>
      <c r="AU3" t="s">
        <v>2508</v>
      </c>
      <c r="AV3" t="s">
        <v>2508</v>
      </c>
      <c r="AW3" t="s">
        <v>2508</v>
      </c>
      <c r="AX3" t="s">
        <v>2508</v>
      </c>
      <c r="AY3" t="s">
        <v>2510</v>
      </c>
      <c r="AZ3" t="s">
        <v>2510</v>
      </c>
      <c r="BA3" t="s">
        <v>2510</v>
      </c>
      <c r="BB3" t="s">
        <v>2510</v>
      </c>
      <c r="BC3" t="s">
        <v>2512</v>
      </c>
      <c r="BD3" t="s">
        <v>2512</v>
      </c>
      <c r="BE3" t="s">
        <v>2512</v>
      </c>
      <c r="BF3" t="s">
        <v>2512</v>
      </c>
      <c r="BG3" t="s">
        <v>2514</v>
      </c>
      <c r="BH3" t="s">
        <v>2514</v>
      </c>
      <c r="BI3" t="s">
        <v>2514</v>
      </c>
      <c r="BJ3" t="s">
        <v>2514</v>
      </c>
      <c r="BK3" t="s">
        <v>2516</v>
      </c>
      <c r="BL3" t="s">
        <v>2516</v>
      </c>
      <c r="BM3" t="s">
        <v>2516</v>
      </c>
      <c r="BN3" t="s">
        <v>2516</v>
      </c>
      <c r="BO3" t="s">
        <v>2518</v>
      </c>
      <c r="BP3" t="s">
        <v>2518</v>
      </c>
      <c r="BQ3" t="s">
        <v>2518</v>
      </c>
      <c r="BR3" t="s">
        <v>2518</v>
      </c>
      <c r="BS3" t="s">
        <v>2520</v>
      </c>
      <c r="BT3" t="s">
        <v>2520</v>
      </c>
      <c r="BU3" t="s">
        <v>2520</v>
      </c>
      <c r="BV3" t="s">
        <v>2520</v>
      </c>
      <c r="BW3" t="s">
        <v>2522</v>
      </c>
      <c r="BX3" t="s">
        <v>2522</v>
      </c>
      <c r="BY3" t="s">
        <v>2522</v>
      </c>
      <c r="BZ3" t="s">
        <v>2522</v>
      </c>
      <c r="CA3" t="s">
        <v>2524</v>
      </c>
      <c r="CB3" t="s">
        <v>2524</v>
      </c>
      <c r="CC3" t="s">
        <v>2524</v>
      </c>
      <c r="CD3" t="s">
        <v>2524</v>
      </c>
    </row>
    <row r="4" spans="1:82" x14ac:dyDescent="0.4">
      <c r="A4" s="1"/>
      <c r="B4" s="2" t="s">
        <v>1</v>
      </c>
      <c r="C4" t="s">
        <v>2487</v>
      </c>
      <c r="D4" t="s">
        <v>2487</v>
      </c>
      <c r="E4" t="s">
        <v>2487</v>
      </c>
      <c r="F4" t="s">
        <v>2487</v>
      </c>
      <c r="G4" t="s">
        <v>2489</v>
      </c>
      <c r="H4" t="s">
        <v>2489</v>
      </c>
      <c r="I4" t="s">
        <v>2489</v>
      </c>
      <c r="J4" t="s">
        <v>2489</v>
      </c>
      <c r="K4" t="s">
        <v>2491</v>
      </c>
      <c r="L4" t="s">
        <v>2491</v>
      </c>
      <c r="M4" t="s">
        <v>2491</v>
      </c>
      <c r="N4" t="s">
        <v>2491</v>
      </c>
      <c r="O4" t="s">
        <v>2493</v>
      </c>
      <c r="P4" t="s">
        <v>2493</v>
      </c>
      <c r="Q4" t="s">
        <v>2493</v>
      </c>
      <c r="R4" t="s">
        <v>2493</v>
      </c>
      <c r="S4" t="s">
        <v>2495</v>
      </c>
      <c r="T4" t="s">
        <v>2495</v>
      </c>
      <c r="U4" t="s">
        <v>2495</v>
      </c>
      <c r="V4" t="s">
        <v>2495</v>
      </c>
      <c r="W4" t="s">
        <v>2497</v>
      </c>
      <c r="X4" t="s">
        <v>2497</v>
      </c>
      <c r="Y4" t="s">
        <v>2497</v>
      </c>
      <c r="Z4" t="s">
        <v>2497</v>
      </c>
      <c r="AA4" t="s">
        <v>2499</v>
      </c>
      <c r="AB4" t="s">
        <v>2499</v>
      </c>
      <c r="AC4" t="s">
        <v>2499</v>
      </c>
      <c r="AD4" t="s">
        <v>2499</v>
      </c>
      <c r="AE4" t="s">
        <v>2501</v>
      </c>
      <c r="AF4" t="s">
        <v>2501</v>
      </c>
      <c r="AG4" t="s">
        <v>2501</v>
      </c>
      <c r="AH4" t="s">
        <v>2501</v>
      </c>
      <c r="AI4" t="s">
        <v>2503</v>
      </c>
      <c r="AJ4" t="s">
        <v>2503</v>
      </c>
      <c r="AK4" t="s">
        <v>2503</v>
      </c>
      <c r="AL4" t="s">
        <v>2503</v>
      </c>
      <c r="AM4" t="s">
        <v>2505</v>
      </c>
      <c r="AN4" t="s">
        <v>2505</v>
      </c>
      <c r="AO4" t="s">
        <v>2505</v>
      </c>
      <c r="AP4" t="s">
        <v>2505</v>
      </c>
      <c r="AQ4" t="s">
        <v>2507</v>
      </c>
      <c r="AR4" t="s">
        <v>2507</v>
      </c>
      <c r="AS4" t="s">
        <v>2507</v>
      </c>
      <c r="AT4" t="s">
        <v>2507</v>
      </c>
      <c r="AU4" t="s">
        <v>2509</v>
      </c>
      <c r="AV4" t="s">
        <v>2509</v>
      </c>
      <c r="AW4" t="s">
        <v>2509</v>
      </c>
      <c r="AX4" t="s">
        <v>2509</v>
      </c>
      <c r="AY4" t="s">
        <v>2511</v>
      </c>
      <c r="AZ4" t="s">
        <v>2511</v>
      </c>
      <c r="BA4" t="s">
        <v>2511</v>
      </c>
      <c r="BB4" t="s">
        <v>2511</v>
      </c>
      <c r="BC4" t="s">
        <v>2513</v>
      </c>
      <c r="BD4" t="s">
        <v>2513</v>
      </c>
      <c r="BE4" t="s">
        <v>2513</v>
      </c>
      <c r="BF4" t="s">
        <v>2513</v>
      </c>
      <c r="BG4" t="s">
        <v>2515</v>
      </c>
      <c r="BH4" t="s">
        <v>2515</v>
      </c>
      <c r="BI4" t="s">
        <v>2515</v>
      </c>
      <c r="BJ4" t="s">
        <v>2515</v>
      </c>
      <c r="BK4" t="s">
        <v>2517</v>
      </c>
      <c r="BL4" t="s">
        <v>2517</v>
      </c>
      <c r="BM4" t="s">
        <v>2517</v>
      </c>
      <c r="BN4" t="s">
        <v>2517</v>
      </c>
      <c r="BO4" t="s">
        <v>2519</v>
      </c>
      <c r="BP4" t="s">
        <v>2519</v>
      </c>
      <c r="BQ4" t="s">
        <v>2519</v>
      </c>
      <c r="BR4" t="s">
        <v>2519</v>
      </c>
      <c r="BS4" t="s">
        <v>2521</v>
      </c>
      <c r="BT4" t="s">
        <v>2521</v>
      </c>
      <c r="BU4" t="s">
        <v>2521</v>
      </c>
      <c r="BV4" t="s">
        <v>2521</v>
      </c>
      <c r="BW4" t="s">
        <v>2523</v>
      </c>
      <c r="BX4" t="s">
        <v>2523</v>
      </c>
      <c r="BY4" t="s">
        <v>2523</v>
      </c>
      <c r="BZ4" t="s">
        <v>2523</v>
      </c>
      <c r="CA4" t="s">
        <v>2525</v>
      </c>
      <c r="CB4" t="s">
        <v>2525</v>
      </c>
      <c r="CC4" t="s">
        <v>2525</v>
      </c>
      <c r="CD4" t="s">
        <v>2525</v>
      </c>
    </row>
    <row r="5" spans="1:8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</row>
    <row r="6" spans="1:8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</row>
    <row r="7" spans="1:8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339</v>
      </c>
      <c r="BX7" t="s">
        <v>339</v>
      </c>
      <c r="BY7" t="s">
        <v>341</v>
      </c>
      <c r="BZ7" t="s">
        <v>339</v>
      </c>
      <c r="CA7" t="s">
        <v>339</v>
      </c>
      <c r="CB7" t="s">
        <v>339</v>
      </c>
      <c r="CC7" t="s">
        <v>341</v>
      </c>
      <c r="CD7" t="s">
        <v>339</v>
      </c>
    </row>
    <row r="8" spans="1:8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339</v>
      </c>
      <c r="BX8" t="s">
        <v>339</v>
      </c>
      <c r="BY8" t="s">
        <v>342</v>
      </c>
      <c r="BZ8" t="s">
        <v>339</v>
      </c>
      <c r="CA8" t="s">
        <v>339</v>
      </c>
      <c r="CB8" t="s">
        <v>339</v>
      </c>
      <c r="CC8" t="s">
        <v>342</v>
      </c>
      <c r="CD8" t="s">
        <v>339</v>
      </c>
    </row>
    <row r="9" spans="1:82" x14ac:dyDescent="0.4">
      <c r="A9" s="1" t="s">
        <v>6</v>
      </c>
      <c r="B9" s="3" t="s">
        <v>7</v>
      </c>
      <c r="C9">
        <v>65810</v>
      </c>
      <c r="D9">
        <v>20333</v>
      </c>
      <c r="E9">
        <v>2731573</v>
      </c>
      <c r="F9">
        <v>4185</v>
      </c>
      <c r="G9">
        <v>67609</v>
      </c>
      <c r="H9">
        <v>53101</v>
      </c>
      <c r="I9">
        <v>8108990</v>
      </c>
      <c r="J9">
        <v>3324</v>
      </c>
      <c r="K9">
        <v>124341</v>
      </c>
      <c r="L9">
        <v>112000</v>
      </c>
      <c r="M9">
        <v>22936196</v>
      </c>
      <c r="N9">
        <v>5890</v>
      </c>
      <c r="O9">
        <v>58062</v>
      </c>
      <c r="P9">
        <v>58521</v>
      </c>
      <c r="Q9">
        <v>21334856</v>
      </c>
      <c r="R9">
        <v>2986</v>
      </c>
      <c r="S9">
        <v>137264</v>
      </c>
      <c r="T9">
        <v>137015</v>
      </c>
      <c r="U9">
        <v>21667502</v>
      </c>
      <c r="V9">
        <v>15309</v>
      </c>
      <c r="W9">
        <v>7389</v>
      </c>
      <c r="X9">
        <v>6615</v>
      </c>
      <c r="Y9">
        <v>9377436</v>
      </c>
      <c r="Z9">
        <v>880</v>
      </c>
      <c r="AA9">
        <v>4746</v>
      </c>
      <c r="AB9">
        <v>4975</v>
      </c>
      <c r="AC9">
        <v>14521483</v>
      </c>
      <c r="AD9">
        <v>814</v>
      </c>
      <c r="AE9">
        <v>31296</v>
      </c>
      <c r="AF9">
        <v>31830</v>
      </c>
      <c r="AG9">
        <v>14583218</v>
      </c>
      <c r="AH9">
        <v>9180</v>
      </c>
      <c r="AI9">
        <v>155928</v>
      </c>
      <c r="AJ9">
        <v>158496</v>
      </c>
      <c r="AK9">
        <v>56781560</v>
      </c>
      <c r="AL9">
        <v>29893</v>
      </c>
      <c r="AM9">
        <v>576425</v>
      </c>
      <c r="AN9">
        <v>575029</v>
      </c>
      <c r="AO9">
        <v>85634769</v>
      </c>
      <c r="AP9">
        <v>61513</v>
      </c>
      <c r="AQ9">
        <v>26640</v>
      </c>
      <c r="AR9">
        <v>21544</v>
      </c>
      <c r="AS9">
        <v>13819825</v>
      </c>
      <c r="AT9">
        <v>5685</v>
      </c>
      <c r="AU9">
        <v>524469</v>
      </c>
      <c r="AV9">
        <v>468887</v>
      </c>
      <c r="AW9">
        <v>11143113</v>
      </c>
      <c r="AX9">
        <v>12845</v>
      </c>
      <c r="AY9">
        <v>597825</v>
      </c>
      <c r="AZ9">
        <v>623534</v>
      </c>
      <c r="BA9">
        <v>15131719</v>
      </c>
      <c r="BB9">
        <v>15430</v>
      </c>
      <c r="BC9">
        <v>9221</v>
      </c>
      <c r="BD9">
        <v>6244</v>
      </c>
      <c r="BE9">
        <v>17631966</v>
      </c>
      <c r="BF9">
        <v>1041</v>
      </c>
      <c r="BG9">
        <v>338858</v>
      </c>
      <c r="BH9">
        <v>341558</v>
      </c>
      <c r="BI9">
        <v>9575362</v>
      </c>
      <c r="BJ9">
        <v>18779</v>
      </c>
      <c r="BK9">
        <v>178846</v>
      </c>
      <c r="BL9">
        <v>141677</v>
      </c>
      <c r="BM9">
        <v>17583562</v>
      </c>
      <c r="BN9">
        <v>16379</v>
      </c>
      <c r="BO9">
        <v>4029216</v>
      </c>
      <c r="BP9">
        <v>3925653</v>
      </c>
      <c r="BQ9">
        <v>5937512</v>
      </c>
      <c r="BR9">
        <v>220016</v>
      </c>
      <c r="BS9">
        <v>6118301</v>
      </c>
      <c r="BT9">
        <v>5460718</v>
      </c>
      <c r="BU9">
        <v>41112783</v>
      </c>
      <c r="BV9">
        <v>274229</v>
      </c>
      <c r="BW9">
        <v>19483622</v>
      </c>
      <c r="BX9">
        <v>20275789</v>
      </c>
      <c r="BY9">
        <v>3181147</v>
      </c>
      <c r="BZ9">
        <v>615543</v>
      </c>
      <c r="CA9">
        <v>7914179</v>
      </c>
      <c r="CB9">
        <v>8842712</v>
      </c>
      <c r="CC9">
        <v>4279162</v>
      </c>
      <c r="CD9">
        <v>606227</v>
      </c>
    </row>
    <row r="10" spans="1:82" x14ac:dyDescent="0.4">
      <c r="A10" s="1" t="s">
        <v>8</v>
      </c>
      <c r="B10" s="3" t="s">
        <v>9</v>
      </c>
      <c r="C10">
        <v>68963</v>
      </c>
      <c r="D10">
        <v>12248</v>
      </c>
      <c r="E10">
        <v>1526465</v>
      </c>
      <c r="F10">
        <v>3280</v>
      </c>
      <c r="G10">
        <v>66310</v>
      </c>
      <c r="H10">
        <v>52496</v>
      </c>
      <c r="I10">
        <v>11349117</v>
      </c>
      <c r="J10">
        <v>3682</v>
      </c>
      <c r="K10">
        <v>114603</v>
      </c>
      <c r="L10">
        <v>96354</v>
      </c>
      <c r="M10">
        <v>23919342</v>
      </c>
      <c r="N10">
        <v>6441</v>
      </c>
      <c r="O10">
        <v>54131</v>
      </c>
      <c r="P10">
        <v>56011</v>
      </c>
      <c r="Q10">
        <v>27218069</v>
      </c>
      <c r="R10">
        <v>3102</v>
      </c>
      <c r="S10">
        <v>124778</v>
      </c>
      <c r="T10">
        <v>112376</v>
      </c>
      <c r="U10">
        <v>21167126</v>
      </c>
      <c r="V10">
        <v>18621</v>
      </c>
      <c r="W10">
        <v>7097</v>
      </c>
      <c r="X10">
        <v>6632</v>
      </c>
      <c r="Y10">
        <v>9754012</v>
      </c>
      <c r="Z10">
        <v>955</v>
      </c>
      <c r="AA10">
        <v>4200</v>
      </c>
      <c r="AB10">
        <v>4417</v>
      </c>
      <c r="AC10">
        <v>12148478</v>
      </c>
      <c r="AD10">
        <v>828</v>
      </c>
      <c r="AE10">
        <v>30125</v>
      </c>
      <c r="AF10">
        <v>27916</v>
      </c>
      <c r="AG10">
        <v>13982165</v>
      </c>
      <c r="AH10">
        <v>10342</v>
      </c>
      <c r="AI10">
        <v>147220</v>
      </c>
      <c r="AJ10">
        <v>144249</v>
      </c>
      <c r="AK10">
        <v>59502717</v>
      </c>
      <c r="AL10">
        <v>33823</v>
      </c>
      <c r="AM10">
        <v>562803</v>
      </c>
      <c r="AN10">
        <v>560086</v>
      </c>
      <c r="AO10">
        <v>108434217</v>
      </c>
      <c r="AP10">
        <v>62992</v>
      </c>
      <c r="AQ10">
        <v>22935</v>
      </c>
      <c r="AR10">
        <v>21233</v>
      </c>
      <c r="AS10">
        <v>14057265</v>
      </c>
      <c r="AT10">
        <v>6753</v>
      </c>
      <c r="AU10">
        <v>526627</v>
      </c>
      <c r="AV10">
        <v>471208</v>
      </c>
      <c r="AW10">
        <v>11641125</v>
      </c>
      <c r="AX10">
        <v>12393</v>
      </c>
      <c r="AY10">
        <v>593792</v>
      </c>
      <c r="AZ10">
        <v>617995</v>
      </c>
      <c r="BA10">
        <v>15402551</v>
      </c>
      <c r="BB10">
        <v>14581</v>
      </c>
      <c r="BC10">
        <v>9857</v>
      </c>
      <c r="BD10">
        <v>7493</v>
      </c>
      <c r="BE10">
        <v>28553049</v>
      </c>
      <c r="BF10">
        <v>1346</v>
      </c>
      <c r="BG10">
        <v>322759</v>
      </c>
      <c r="BH10">
        <v>319628</v>
      </c>
      <c r="BI10">
        <v>9363935</v>
      </c>
      <c r="BJ10">
        <v>18673</v>
      </c>
      <c r="BK10">
        <v>174676</v>
      </c>
      <c r="BL10">
        <v>138950</v>
      </c>
      <c r="BM10">
        <v>18490431</v>
      </c>
      <c r="BN10">
        <v>20121</v>
      </c>
      <c r="BO10">
        <v>4137108</v>
      </c>
      <c r="BP10">
        <v>4043966</v>
      </c>
      <c r="BQ10">
        <v>6214543</v>
      </c>
      <c r="BR10">
        <v>222198</v>
      </c>
      <c r="BS10">
        <v>6331607</v>
      </c>
      <c r="BT10">
        <v>5724937</v>
      </c>
      <c r="BU10">
        <v>51439243</v>
      </c>
      <c r="BV10">
        <v>286928</v>
      </c>
      <c r="BW10">
        <v>19746780</v>
      </c>
      <c r="BX10">
        <v>21513823</v>
      </c>
      <c r="BY10">
        <v>3455334</v>
      </c>
      <c r="BZ10">
        <v>664844</v>
      </c>
      <c r="CA10">
        <v>7441762</v>
      </c>
      <c r="CB10">
        <v>8309251</v>
      </c>
      <c r="CC10">
        <v>4220237</v>
      </c>
      <c r="CD10">
        <v>400184</v>
      </c>
    </row>
    <row r="11" spans="1:82" x14ac:dyDescent="0.4">
      <c r="A11" s="1" t="s">
        <v>10</v>
      </c>
      <c r="B11" s="3" t="s">
        <v>11</v>
      </c>
      <c r="C11">
        <v>48514</v>
      </c>
      <c r="D11">
        <v>11638</v>
      </c>
      <c r="E11">
        <v>1787020</v>
      </c>
      <c r="F11">
        <v>2589</v>
      </c>
      <c r="G11">
        <v>53712</v>
      </c>
      <c r="H11">
        <v>43464</v>
      </c>
      <c r="I11">
        <v>11653822</v>
      </c>
      <c r="J11">
        <v>3529</v>
      </c>
      <c r="K11">
        <v>85957</v>
      </c>
      <c r="L11">
        <v>72140</v>
      </c>
      <c r="M11">
        <v>19215647</v>
      </c>
      <c r="N11">
        <v>6807</v>
      </c>
      <c r="O11">
        <v>48531</v>
      </c>
      <c r="P11">
        <v>53352</v>
      </c>
      <c r="Q11">
        <v>22661798</v>
      </c>
      <c r="R11">
        <v>2896</v>
      </c>
      <c r="S11">
        <v>115043</v>
      </c>
      <c r="T11">
        <v>96804</v>
      </c>
      <c r="U11">
        <v>20675377</v>
      </c>
      <c r="V11">
        <v>25791</v>
      </c>
      <c r="W11">
        <v>6325</v>
      </c>
      <c r="X11">
        <v>6251</v>
      </c>
      <c r="Y11">
        <v>10169057</v>
      </c>
      <c r="Z11">
        <v>847</v>
      </c>
      <c r="AA11">
        <v>3860</v>
      </c>
      <c r="AB11">
        <v>4054</v>
      </c>
      <c r="AC11">
        <v>14374759</v>
      </c>
      <c r="AD11">
        <v>861</v>
      </c>
      <c r="AE11">
        <v>24507</v>
      </c>
      <c r="AF11">
        <v>22897</v>
      </c>
      <c r="AG11">
        <v>13410682</v>
      </c>
      <c r="AH11">
        <v>11828</v>
      </c>
      <c r="AI11">
        <v>140707</v>
      </c>
      <c r="AJ11">
        <v>138822</v>
      </c>
      <c r="AK11">
        <v>66240131</v>
      </c>
      <c r="AL11">
        <v>36742</v>
      </c>
      <c r="AM11">
        <v>547743</v>
      </c>
      <c r="AN11">
        <v>551136</v>
      </c>
      <c r="AO11">
        <v>115732048</v>
      </c>
      <c r="AP11">
        <v>60945</v>
      </c>
      <c r="AQ11">
        <v>21182</v>
      </c>
      <c r="AR11">
        <v>18790</v>
      </c>
      <c r="AS11">
        <v>13059351</v>
      </c>
      <c r="AT11">
        <v>5590</v>
      </c>
      <c r="AU11">
        <v>495563</v>
      </c>
      <c r="AV11">
        <v>444440</v>
      </c>
      <c r="AW11">
        <v>12284143</v>
      </c>
      <c r="AX11">
        <v>10851</v>
      </c>
      <c r="AY11">
        <v>589675</v>
      </c>
      <c r="AZ11">
        <v>617165</v>
      </c>
      <c r="BA11">
        <v>16963142</v>
      </c>
      <c r="BB11">
        <v>14327</v>
      </c>
      <c r="BC11">
        <v>9273</v>
      </c>
      <c r="BD11">
        <v>6741</v>
      </c>
      <c r="BE11">
        <v>36124655</v>
      </c>
      <c r="BF11">
        <v>1814</v>
      </c>
      <c r="BG11">
        <v>294301</v>
      </c>
      <c r="BH11">
        <v>298144</v>
      </c>
      <c r="BI11">
        <v>9805908</v>
      </c>
      <c r="BJ11">
        <v>18117</v>
      </c>
      <c r="BK11">
        <v>138845</v>
      </c>
      <c r="BL11">
        <v>117406</v>
      </c>
      <c r="BM11">
        <v>19804375</v>
      </c>
      <c r="BN11">
        <v>19812</v>
      </c>
      <c r="BO11">
        <v>3689656</v>
      </c>
      <c r="BP11">
        <v>3606406</v>
      </c>
      <c r="BQ11">
        <v>5685591</v>
      </c>
      <c r="BR11">
        <v>208842</v>
      </c>
      <c r="BS11">
        <v>5848734</v>
      </c>
      <c r="BT11">
        <v>5286538</v>
      </c>
      <c r="BU11">
        <v>41250819</v>
      </c>
      <c r="BV11">
        <v>298421</v>
      </c>
      <c r="BW11">
        <v>17902364</v>
      </c>
      <c r="BX11">
        <v>19380664</v>
      </c>
      <c r="BY11">
        <v>3481232</v>
      </c>
      <c r="BZ11">
        <v>632735</v>
      </c>
      <c r="CA11">
        <v>7755317</v>
      </c>
      <c r="CB11">
        <v>8336399</v>
      </c>
      <c r="CC11">
        <v>5010032</v>
      </c>
      <c r="CD11">
        <v>505819</v>
      </c>
    </row>
    <row r="12" spans="1:82" x14ac:dyDescent="0.4">
      <c r="A12" s="1" t="s">
        <v>12</v>
      </c>
      <c r="B12" s="3" t="s">
        <v>13</v>
      </c>
      <c r="C12">
        <v>52216</v>
      </c>
      <c r="D12">
        <v>9872</v>
      </c>
      <c r="E12">
        <v>1654650</v>
      </c>
      <c r="F12">
        <v>3543</v>
      </c>
      <c r="G12">
        <v>52839</v>
      </c>
      <c r="H12">
        <v>42684</v>
      </c>
      <c r="I12">
        <v>11753397</v>
      </c>
      <c r="J12">
        <v>3148</v>
      </c>
      <c r="K12">
        <v>90798</v>
      </c>
      <c r="L12">
        <v>76034</v>
      </c>
      <c r="M12">
        <v>19456248</v>
      </c>
      <c r="N12">
        <v>7517</v>
      </c>
      <c r="O12">
        <v>50848</v>
      </c>
      <c r="P12">
        <v>50592</v>
      </c>
      <c r="Q12">
        <v>23304166</v>
      </c>
      <c r="R12">
        <v>3546</v>
      </c>
      <c r="S12">
        <v>114278</v>
      </c>
      <c r="T12">
        <v>103968</v>
      </c>
      <c r="U12">
        <v>21147320</v>
      </c>
      <c r="V12">
        <v>23973</v>
      </c>
      <c r="W12">
        <v>7169</v>
      </c>
      <c r="X12">
        <v>6580</v>
      </c>
      <c r="Y12">
        <v>10965744</v>
      </c>
      <c r="Z12">
        <v>884</v>
      </c>
      <c r="AA12">
        <v>3719</v>
      </c>
      <c r="AB12">
        <v>4068</v>
      </c>
      <c r="AC12">
        <v>14987589</v>
      </c>
      <c r="AD12">
        <v>778</v>
      </c>
      <c r="AE12">
        <v>24199</v>
      </c>
      <c r="AF12">
        <v>26414</v>
      </c>
      <c r="AG12">
        <v>14609312</v>
      </c>
      <c r="AH12">
        <v>9583</v>
      </c>
      <c r="AI12">
        <v>141738</v>
      </c>
      <c r="AJ12">
        <v>133230</v>
      </c>
      <c r="AK12">
        <v>68580246</v>
      </c>
      <c r="AL12">
        <v>45133</v>
      </c>
      <c r="AM12">
        <v>519080</v>
      </c>
      <c r="AN12">
        <v>524989</v>
      </c>
      <c r="AO12">
        <v>126954093</v>
      </c>
      <c r="AP12">
        <v>54776</v>
      </c>
      <c r="AQ12">
        <v>20815</v>
      </c>
      <c r="AR12">
        <v>18134</v>
      </c>
      <c r="AS12">
        <v>12962390</v>
      </c>
      <c r="AT12">
        <v>4944</v>
      </c>
      <c r="AU12">
        <v>498549</v>
      </c>
      <c r="AV12">
        <v>444282</v>
      </c>
      <c r="AW12">
        <v>12595766</v>
      </c>
      <c r="AX12">
        <v>10898</v>
      </c>
      <c r="AY12">
        <v>589639</v>
      </c>
      <c r="AZ12">
        <v>620190</v>
      </c>
      <c r="BA12">
        <v>18215981</v>
      </c>
      <c r="BB12">
        <v>16048</v>
      </c>
      <c r="BC12">
        <v>8800</v>
      </c>
      <c r="BD12">
        <v>7046</v>
      </c>
      <c r="BE12">
        <v>46065881</v>
      </c>
      <c r="BF12">
        <v>2007</v>
      </c>
      <c r="BG12">
        <v>292229</v>
      </c>
      <c r="BH12">
        <v>295891</v>
      </c>
      <c r="BI12">
        <v>9694794</v>
      </c>
      <c r="BJ12">
        <v>18092</v>
      </c>
      <c r="BK12">
        <v>136601</v>
      </c>
      <c r="BL12">
        <v>120060</v>
      </c>
      <c r="BM12">
        <v>20901828</v>
      </c>
      <c r="BN12">
        <v>18497</v>
      </c>
      <c r="BO12">
        <v>3492247</v>
      </c>
      <c r="BP12">
        <v>3388520</v>
      </c>
      <c r="BQ12">
        <v>5388096</v>
      </c>
      <c r="BR12">
        <v>231752</v>
      </c>
      <c r="BS12">
        <v>6224254</v>
      </c>
      <c r="BT12">
        <v>5808452</v>
      </c>
      <c r="BU12">
        <v>42071895</v>
      </c>
      <c r="BV12">
        <v>260018</v>
      </c>
      <c r="BW12">
        <v>16903780</v>
      </c>
      <c r="BX12">
        <v>18503787</v>
      </c>
      <c r="BY12">
        <v>3443963</v>
      </c>
      <c r="BZ12">
        <v>715858</v>
      </c>
      <c r="CA12">
        <v>7531085</v>
      </c>
      <c r="CB12">
        <v>8407159</v>
      </c>
      <c r="CC12">
        <v>5322627</v>
      </c>
      <c r="CD12">
        <v>321196</v>
      </c>
    </row>
    <row r="13" spans="1:82" x14ac:dyDescent="0.4">
      <c r="A13" s="1" t="s">
        <v>14</v>
      </c>
      <c r="B13" s="3" t="s">
        <v>15</v>
      </c>
      <c r="C13">
        <v>53854</v>
      </c>
      <c r="D13">
        <v>9656</v>
      </c>
      <c r="E13">
        <v>1872957</v>
      </c>
      <c r="F13">
        <v>2439</v>
      </c>
      <c r="G13">
        <v>51580</v>
      </c>
      <c r="H13">
        <v>42015</v>
      </c>
      <c r="I13">
        <v>11728873</v>
      </c>
      <c r="J13">
        <v>3172</v>
      </c>
      <c r="K13">
        <v>89269</v>
      </c>
      <c r="L13">
        <v>73204</v>
      </c>
      <c r="M13">
        <v>18722802</v>
      </c>
      <c r="N13">
        <v>6653</v>
      </c>
      <c r="O13">
        <v>49589</v>
      </c>
      <c r="P13">
        <v>50590</v>
      </c>
      <c r="Q13">
        <v>24039096</v>
      </c>
      <c r="R13">
        <v>2942</v>
      </c>
      <c r="S13">
        <v>109274</v>
      </c>
      <c r="T13">
        <v>92995</v>
      </c>
      <c r="U13">
        <v>20523797</v>
      </c>
      <c r="V13">
        <v>24240</v>
      </c>
      <c r="W13">
        <v>6919</v>
      </c>
      <c r="X13">
        <v>6339</v>
      </c>
      <c r="Y13">
        <v>10566380</v>
      </c>
      <c r="Z13">
        <v>803</v>
      </c>
      <c r="AA13">
        <v>3746</v>
      </c>
      <c r="AB13">
        <v>3905</v>
      </c>
      <c r="AC13">
        <v>15502766</v>
      </c>
      <c r="AD13">
        <v>678</v>
      </c>
      <c r="AE13">
        <v>24742</v>
      </c>
      <c r="AF13">
        <v>19699</v>
      </c>
      <c r="AG13">
        <v>13234149</v>
      </c>
      <c r="AH13">
        <v>14603</v>
      </c>
      <c r="AI13">
        <v>132089</v>
      </c>
      <c r="AJ13">
        <v>128899</v>
      </c>
      <c r="AK13">
        <v>64536902</v>
      </c>
      <c r="AL13">
        <v>48215</v>
      </c>
      <c r="AM13">
        <v>516185</v>
      </c>
      <c r="AN13">
        <v>514617</v>
      </c>
      <c r="AO13">
        <v>120582204</v>
      </c>
      <c r="AP13">
        <v>55718</v>
      </c>
      <c r="AQ13">
        <v>19602</v>
      </c>
      <c r="AR13">
        <v>16180</v>
      </c>
      <c r="AS13">
        <v>13788117</v>
      </c>
      <c r="AT13">
        <v>4502</v>
      </c>
      <c r="AU13">
        <v>492179</v>
      </c>
      <c r="AV13">
        <v>437944</v>
      </c>
      <c r="AW13">
        <v>13295254</v>
      </c>
      <c r="AX13">
        <v>10939</v>
      </c>
      <c r="AY13">
        <v>587628</v>
      </c>
      <c r="AZ13">
        <v>620954</v>
      </c>
      <c r="BA13">
        <v>20681606</v>
      </c>
      <c r="BB13">
        <v>15619</v>
      </c>
      <c r="BC13">
        <v>8822</v>
      </c>
      <c r="BD13">
        <v>7343</v>
      </c>
      <c r="BE13">
        <v>51706687</v>
      </c>
      <c r="BF13">
        <v>1836</v>
      </c>
      <c r="BG13">
        <v>285916</v>
      </c>
      <c r="BH13">
        <v>285874</v>
      </c>
      <c r="BI13">
        <v>9305546</v>
      </c>
      <c r="BJ13">
        <v>17193</v>
      </c>
      <c r="BK13">
        <v>134206</v>
      </c>
      <c r="BL13">
        <v>113209</v>
      </c>
      <c r="BM13">
        <v>21090672</v>
      </c>
      <c r="BN13">
        <v>21612</v>
      </c>
      <c r="BO13">
        <v>3347943</v>
      </c>
      <c r="BP13">
        <v>3285946</v>
      </c>
      <c r="BQ13">
        <v>5292757</v>
      </c>
      <c r="BR13">
        <v>202291</v>
      </c>
      <c r="BS13">
        <v>5656786</v>
      </c>
      <c r="BT13">
        <v>5278967</v>
      </c>
      <c r="BU13">
        <v>43680791</v>
      </c>
      <c r="BV13">
        <v>211098</v>
      </c>
      <c r="BW13">
        <v>16152326</v>
      </c>
      <c r="BX13">
        <v>17926499</v>
      </c>
      <c r="BY13">
        <v>3357293</v>
      </c>
      <c r="BZ13">
        <v>505782</v>
      </c>
      <c r="CA13">
        <v>7559965</v>
      </c>
      <c r="CB13">
        <v>8213893</v>
      </c>
      <c r="CC13">
        <v>5886451</v>
      </c>
      <c r="CD13">
        <v>426457</v>
      </c>
    </row>
    <row r="14" spans="1:82" x14ac:dyDescent="0.4">
      <c r="A14" s="1" t="s">
        <v>16</v>
      </c>
      <c r="B14" s="1" t="s">
        <v>17</v>
      </c>
      <c r="C14">
        <v>3725</v>
      </c>
      <c r="D14">
        <v>859</v>
      </c>
      <c r="E14">
        <v>145930</v>
      </c>
      <c r="F14">
        <v>3514</v>
      </c>
      <c r="G14">
        <v>4319</v>
      </c>
      <c r="H14">
        <v>4037</v>
      </c>
      <c r="I14">
        <v>1087664</v>
      </c>
      <c r="J14">
        <v>2701</v>
      </c>
      <c r="K14">
        <v>6187</v>
      </c>
      <c r="L14">
        <v>6076</v>
      </c>
      <c r="M14">
        <v>1544775</v>
      </c>
      <c r="N14">
        <v>6780</v>
      </c>
      <c r="O14">
        <v>4289</v>
      </c>
      <c r="P14">
        <v>4120</v>
      </c>
      <c r="Q14">
        <v>1709250</v>
      </c>
      <c r="R14">
        <v>2955</v>
      </c>
      <c r="S14">
        <v>9052</v>
      </c>
      <c r="T14">
        <v>9435</v>
      </c>
      <c r="U14">
        <v>1825053</v>
      </c>
      <c r="V14">
        <v>25409</v>
      </c>
      <c r="W14">
        <v>622</v>
      </c>
      <c r="X14">
        <v>562</v>
      </c>
      <c r="Y14">
        <v>904648</v>
      </c>
      <c r="Z14">
        <v>837</v>
      </c>
      <c r="AA14">
        <v>329</v>
      </c>
      <c r="AB14">
        <v>344</v>
      </c>
      <c r="AC14">
        <v>1061135</v>
      </c>
      <c r="AD14">
        <v>750</v>
      </c>
      <c r="AE14">
        <v>1557</v>
      </c>
      <c r="AF14">
        <v>3282</v>
      </c>
      <c r="AG14">
        <v>1671333</v>
      </c>
      <c r="AH14">
        <v>8464</v>
      </c>
      <c r="AI14">
        <v>15179</v>
      </c>
      <c r="AJ14">
        <v>10792</v>
      </c>
      <c r="AK14">
        <v>5678272</v>
      </c>
      <c r="AL14">
        <v>48744</v>
      </c>
      <c r="AM14">
        <v>46252</v>
      </c>
      <c r="AN14">
        <v>45303</v>
      </c>
      <c r="AO14">
        <v>10572112</v>
      </c>
      <c r="AP14">
        <v>65217</v>
      </c>
      <c r="AQ14">
        <v>1896</v>
      </c>
      <c r="AR14">
        <v>1879</v>
      </c>
      <c r="AS14">
        <v>1320430</v>
      </c>
      <c r="AT14">
        <v>5198</v>
      </c>
      <c r="AU14">
        <v>43646</v>
      </c>
      <c r="AV14">
        <v>39017</v>
      </c>
      <c r="AW14">
        <v>1091301</v>
      </c>
      <c r="AX14">
        <v>10449</v>
      </c>
      <c r="AY14">
        <v>52017</v>
      </c>
      <c r="AZ14">
        <v>54006</v>
      </c>
      <c r="BA14">
        <v>1529295</v>
      </c>
      <c r="BB14">
        <v>16525</v>
      </c>
      <c r="BC14">
        <v>757</v>
      </c>
      <c r="BD14">
        <v>462</v>
      </c>
      <c r="BE14">
        <v>3012141</v>
      </c>
      <c r="BF14">
        <v>2069</v>
      </c>
      <c r="BG14">
        <v>22540</v>
      </c>
      <c r="BH14">
        <v>23059</v>
      </c>
      <c r="BI14">
        <v>753375</v>
      </c>
      <c r="BJ14">
        <v>17498</v>
      </c>
      <c r="BK14">
        <v>10607</v>
      </c>
      <c r="BL14">
        <v>11179</v>
      </c>
      <c r="BM14">
        <v>1852948</v>
      </c>
      <c r="BN14">
        <v>22746</v>
      </c>
      <c r="BO14">
        <v>299330</v>
      </c>
      <c r="BP14">
        <v>285614</v>
      </c>
      <c r="BQ14">
        <v>467848</v>
      </c>
      <c r="BR14">
        <v>231066</v>
      </c>
      <c r="BS14">
        <v>524344</v>
      </c>
      <c r="BT14">
        <v>470589</v>
      </c>
      <c r="BU14">
        <v>3456756</v>
      </c>
      <c r="BV14">
        <v>312240</v>
      </c>
      <c r="BW14">
        <v>1391964</v>
      </c>
      <c r="BX14">
        <v>1564116</v>
      </c>
      <c r="BY14">
        <v>293093</v>
      </c>
      <c r="BZ14">
        <v>647062</v>
      </c>
      <c r="CA14">
        <v>754732</v>
      </c>
      <c r="CB14">
        <v>917813</v>
      </c>
      <c r="CC14">
        <v>671911</v>
      </c>
      <c r="CD14">
        <v>457577</v>
      </c>
    </row>
    <row r="15" spans="1:82" x14ac:dyDescent="0.4">
      <c r="A15" s="1" t="s">
        <v>18</v>
      </c>
      <c r="B15" s="1" t="s">
        <v>19</v>
      </c>
      <c r="C15">
        <v>4959</v>
      </c>
      <c r="D15">
        <v>574</v>
      </c>
      <c r="E15">
        <v>95412</v>
      </c>
      <c r="F15">
        <v>3564</v>
      </c>
      <c r="G15">
        <v>5727</v>
      </c>
      <c r="H15">
        <v>4236</v>
      </c>
      <c r="I15">
        <v>1159855</v>
      </c>
      <c r="J15">
        <v>3131</v>
      </c>
      <c r="K15">
        <v>6837</v>
      </c>
      <c r="L15">
        <v>6158</v>
      </c>
      <c r="M15">
        <v>1559697</v>
      </c>
      <c r="N15">
        <v>5903</v>
      </c>
      <c r="O15">
        <v>3927</v>
      </c>
      <c r="P15">
        <v>4083</v>
      </c>
      <c r="Q15">
        <v>1804444</v>
      </c>
      <c r="R15">
        <v>2814</v>
      </c>
      <c r="S15">
        <v>9389</v>
      </c>
      <c r="T15">
        <v>8206</v>
      </c>
      <c r="U15">
        <v>1787584</v>
      </c>
      <c r="V15">
        <v>25653</v>
      </c>
      <c r="W15">
        <v>656</v>
      </c>
      <c r="X15">
        <v>589</v>
      </c>
      <c r="Y15">
        <v>1002076</v>
      </c>
      <c r="Z15">
        <v>854</v>
      </c>
      <c r="AA15">
        <v>310</v>
      </c>
      <c r="AB15">
        <v>387</v>
      </c>
      <c r="AC15">
        <v>1647322</v>
      </c>
      <c r="AD15">
        <v>728</v>
      </c>
      <c r="AE15">
        <v>2234</v>
      </c>
      <c r="AF15">
        <v>1865</v>
      </c>
      <c r="AG15">
        <v>987947</v>
      </c>
      <c r="AH15">
        <v>7544</v>
      </c>
      <c r="AI15">
        <v>12439</v>
      </c>
      <c r="AJ15">
        <v>12027</v>
      </c>
      <c r="AK15">
        <v>6188235</v>
      </c>
      <c r="AL15">
        <v>30302</v>
      </c>
      <c r="AM15">
        <v>42491</v>
      </c>
      <c r="AN15">
        <v>45466</v>
      </c>
      <c r="AO15">
        <v>11147136</v>
      </c>
      <c r="AP15">
        <v>62148</v>
      </c>
      <c r="AQ15">
        <v>1802</v>
      </c>
      <c r="AR15">
        <v>1346</v>
      </c>
      <c r="AS15">
        <v>953879</v>
      </c>
      <c r="AT15">
        <v>5294</v>
      </c>
      <c r="AU15">
        <v>41277</v>
      </c>
      <c r="AV15">
        <v>36217</v>
      </c>
      <c r="AW15">
        <v>1024539</v>
      </c>
      <c r="AX15">
        <v>11406</v>
      </c>
      <c r="AY15">
        <v>51359</v>
      </c>
      <c r="AZ15">
        <v>53113</v>
      </c>
      <c r="BA15">
        <v>1568556</v>
      </c>
      <c r="BB15">
        <v>16505</v>
      </c>
      <c r="BC15">
        <v>710</v>
      </c>
      <c r="BD15">
        <v>596</v>
      </c>
      <c r="BE15">
        <v>3577544</v>
      </c>
      <c r="BF15">
        <v>2099</v>
      </c>
      <c r="BG15">
        <v>26638</v>
      </c>
      <c r="BH15">
        <v>27070</v>
      </c>
      <c r="BI15">
        <v>860688</v>
      </c>
      <c r="BJ15">
        <v>17458</v>
      </c>
      <c r="BK15">
        <v>13236</v>
      </c>
      <c r="BL15">
        <v>8482</v>
      </c>
      <c r="BM15">
        <v>1624853</v>
      </c>
      <c r="BN15">
        <v>23672</v>
      </c>
      <c r="BO15">
        <v>262365</v>
      </c>
      <c r="BP15">
        <v>266982</v>
      </c>
      <c r="BQ15">
        <v>442546</v>
      </c>
      <c r="BR15">
        <v>212405</v>
      </c>
      <c r="BS15">
        <v>531938</v>
      </c>
      <c r="BT15">
        <v>507949</v>
      </c>
      <c r="BU15">
        <v>3269443</v>
      </c>
      <c r="BV15">
        <v>287998</v>
      </c>
      <c r="BW15">
        <v>1343973</v>
      </c>
      <c r="BX15">
        <v>1509284</v>
      </c>
      <c r="BY15">
        <v>275488</v>
      </c>
      <c r="BZ15">
        <v>630100</v>
      </c>
      <c r="CA15">
        <v>567518</v>
      </c>
      <c r="CB15">
        <v>602327</v>
      </c>
      <c r="CC15">
        <v>317618</v>
      </c>
      <c r="CD15">
        <v>452093</v>
      </c>
    </row>
    <row r="16" spans="1:82" x14ac:dyDescent="0.4">
      <c r="A16" s="1" t="s">
        <v>20</v>
      </c>
      <c r="B16" s="1" t="s">
        <v>21</v>
      </c>
      <c r="C16">
        <v>3408</v>
      </c>
      <c r="D16">
        <v>428</v>
      </c>
      <c r="E16">
        <v>73644</v>
      </c>
      <c r="F16">
        <v>3856</v>
      </c>
      <c r="G16">
        <v>3191</v>
      </c>
      <c r="H16">
        <v>2893</v>
      </c>
      <c r="I16">
        <v>786882</v>
      </c>
      <c r="J16">
        <v>2795</v>
      </c>
      <c r="K16">
        <v>8326</v>
      </c>
      <c r="L16">
        <v>6044</v>
      </c>
      <c r="M16">
        <v>1546847</v>
      </c>
      <c r="N16">
        <v>7617</v>
      </c>
      <c r="O16">
        <v>4113</v>
      </c>
      <c r="P16">
        <v>3994</v>
      </c>
      <c r="Q16">
        <v>1908593</v>
      </c>
      <c r="R16">
        <v>2950</v>
      </c>
      <c r="S16">
        <v>9275</v>
      </c>
      <c r="T16">
        <v>8280</v>
      </c>
      <c r="U16">
        <v>1917432</v>
      </c>
      <c r="V16">
        <v>25764</v>
      </c>
      <c r="W16">
        <v>532</v>
      </c>
      <c r="X16">
        <v>550</v>
      </c>
      <c r="Y16">
        <v>943456</v>
      </c>
      <c r="Z16">
        <v>778</v>
      </c>
      <c r="AA16">
        <v>299</v>
      </c>
      <c r="AB16">
        <v>334</v>
      </c>
      <c r="AC16">
        <v>1046086</v>
      </c>
      <c r="AD16">
        <v>708</v>
      </c>
      <c r="AE16">
        <v>2501</v>
      </c>
      <c r="AF16">
        <v>2446</v>
      </c>
      <c r="AG16">
        <v>1329869</v>
      </c>
      <c r="AH16">
        <v>7392</v>
      </c>
      <c r="AI16">
        <v>15285</v>
      </c>
      <c r="AJ16">
        <v>12659</v>
      </c>
      <c r="AK16">
        <v>6426086</v>
      </c>
      <c r="AL16">
        <v>33622</v>
      </c>
      <c r="AM16">
        <v>44263</v>
      </c>
      <c r="AN16">
        <v>40709</v>
      </c>
      <c r="AO16">
        <v>9853361</v>
      </c>
      <c r="AP16">
        <v>65732</v>
      </c>
      <c r="AQ16">
        <v>1692</v>
      </c>
      <c r="AR16">
        <v>1601</v>
      </c>
      <c r="AS16">
        <v>1053842</v>
      </c>
      <c r="AT16">
        <v>5048</v>
      </c>
      <c r="AU16">
        <v>40804</v>
      </c>
      <c r="AV16">
        <v>36034</v>
      </c>
      <c r="AW16">
        <v>1022134</v>
      </c>
      <c r="AX16">
        <v>11619</v>
      </c>
      <c r="AY16">
        <v>47296</v>
      </c>
      <c r="AZ16">
        <v>49560</v>
      </c>
      <c r="BA16">
        <v>1464484</v>
      </c>
      <c r="BB16">
        <v>17238</v>
      </c>
      <c r="BC16">
        <v>840</v>
      </c>
      <c r="BD16">
        <v>685</v>
      </c>
      <c r="BE16">
        <v>4148562</v>
      </c>
      <c r="BF16">
        <v>2096</v>
      </c>
      <c r="BG16">
        <v>21973</v>
      </c>
      <c r="BH16">
        <v>22029</v>
      </c>
      <c r="BI16">
        <v>712475</v>
      </c>
      <c r="BJ16">
        <v>17611</v>
      </c>
      <c r="BK16">
        <v>6251</v>
      </c>
      <c r="BL16">
        <v>10209</v>
      </c>
      <c r="BM16">
        <v>1723575</v>
      </c>
      <c r="BN16">
        <v>19132</v>
      </c>
      <c r="BO16">
        <v>245758</v>
      </c>
      <c r="BP16">
        <v>253429</v>
      </c>
      <c r="BQ16">
        <v>436041</v>
      </c>
      <c r="BR16">
        <v>198771</v>
      </c>
      <c r="BS16">
        <v>549036</v>
      </c>
      <c r="BT16">
        <v>573893</v>
      </c>
      <c r="BU16">
        <v>3831235</v>
      </c>
      <c r="BV16">
        <v>224577</v>
      </c>
      <c r="BW16">
        <v>1504305</v>
      </c>
      <c r="BX16">
        <v>1627319</v>
      </c>
      <c r="BY16">
        <v>301994</v>
      </c>
      <c r="BZ16">
        <v>635610</v>
      </c>
      <c r="CA16">
        <v>528038</v>
      </c>
      <c r="CB16">
        <v>617044</v>
      </c>
      <c r="CC16">
        <v>334614</v>
      </c>
      <c r="CD16">
        <v>443737</v>
      </c>
    </row>
    <row r="17" spans="1:82" x14ac:dyDescent="0.4">
      <c r="A17" s="1" t="s">
        <v>22</v>
      </c>
      <c r="B17" s="1" t="s">
        <v>23</v>
      </c>
      <c r="C17">
        <v>2614</v>
      </c>
      <c r="D17">
        <v>772</v>
      </c>
      <c r="E17">
        <v>124365</v>
      </c>
      <c r="F17">
        <v>3098</v>
      </c>
      <c r="G17">
        <v>3248</v>
      </c>
      <c r="H17">
        <v>2207</v>
      </c>
      <c r="I17">
        <v>610994</v>
      </c>
      <c r="J17">
        <v>2931</v>
      </c>
      <c r="K17">
        <v>4849</v>
      </c>
      <c r="L17">
        <v>6297</v>
      </c>
      <c r="M17">
        <v>1587824</v>
      </c>
      <c r="N17">
        <v>5647</v>
      </c>
      <c r="O17">
        <v>4379</v>
      </c>
      <c r="P17">
        <v>3822</v>
      </c>
      <c r="Q17">
        <v>1890522</v>
      </c>
      <c r="R17">
        <v>3607</v>
      </c>
      <c r="S17">
        <v>9635</v>
      </c>
      <c r="T17">
        <v>8788</v>
      </c>
      <c r="U17">
        <v>1809324</v>
      </c>
      <c r="V17">
        <v>25883</v>
      </c>
      <c r="W17">
        <v>658</v>
      </c>
      <c r="X17">
        <v>563</v>
      </c>
      <c r="Y17">
        <v>954340</v>
      </c>
      <c r="Z17">
        <v>819</v>
      </c>
      <c r="AA17">
        <v>341</v>
      </c>
      <c r="AB17">
        <v>347</v>
      </c>
      <c r="AC17">
        <v>1306348</v>
      </c>
      <c r="AD17">
        <v>808</v>
      </c>
      <c r="AE17">
        <v>2401</v>
      </c>
      <c r="AF17">
        <v>2098</v>
      </c>
      <c r="AG17">
        <v>1186845</v>
      </c>
      <c r="AH17">
        <v>9185</v>
      </c>
      <c r="AI17">
        <v>12254</v>
      </c>
      <c r="AJ17">
        <v>11828</v>
      </c>
      <c r="AK17">
        <v>6088801</v>
      </c>
      <c r="AL17">
        <v>52194</v>
      </c>
      <c r="AM17">
        <v>46634</v>
      </c>
      <c r="AN17">
        <v>44162</v>
      </c>
      <c r="AO17">
        <v>10345079</v>
      </c>
      <c r="AP17">
        <v>68187</v>
      </c>
      <c r="AQ17">
        <v>1649</v>
      </c>
      <c r="AR17">
        <v>1563</v>
      </c>
      <c r="AS17">
        <v>1151464</v>
      </c>
      <c r="AT17">
        <v>5047</v>
      </c>
      <c r="AU17">
        <v>36609</v>
      </c>
      <c r="AV17">
        <v>33929</v>
      </c>
      <c r="AW17">
        <v>958842</v>
      </c>
      <c r="AX17">
        <v>10428</v>
      </c>
      <c r="AY17">
        <v>45611</v>
      </c>
      <c r="AZ17">
        <v>48525</v>
      </c>
      <c r="BA17">
        <v>1430542</v>
      </c>
      <c r="BB17">
        <v>17155</v>
      </c>
      <c r="BC17">
        <v>709</v>
      </c>
      <c r="BD17">
        <v>626</v>
      </c>
      <c r="BE17">
        <v>4165019</v>
      </c>
      <c r="BF17">
        <v>2059</v>
      </c>
      <c r="BG17">
        <v>25466</v>
      </c>
      <c r="BH17">
        <v>24928</v>
      </c>
      <c r="BI17">
        <v>785041</v>
      </c>
      <c r="BJ17">
        <v>18095</v>
      </c>
      <c r="BK17">
        <v>9895</v>
      </c>
      <c r="BL17">
        <v>10999</v>
      </c>
      <c r="BM17">
        <v>1813811</v>
      </c>
      <c r="BN17">
        <v>18345</v>
      </c>
      <c r="BO17">
        <v>248578</v>
      </c>
      <c r="BP17">
        <v>243198</v>
      </c>
      <c r="BQ17">
        <v>406417</v>
      </c>
      <c r="BR17">
        <v>206622</v>
      </c>
      <c r="BS17">
        <v>543771</v>
      </c>
      <c r="BT17">
        <v>454159</v>
      </c>
      <c r="BU17">
        <v>3191248</v>
      </c>
      <c r="BV17">
        <v>274082</v>
      </c>
      <c r="BW17">
        <v>1431999</v>
      </c>
      <c r="BX17">
        <v>1586360</v>
      </c>
      <c r="BY17">
        <v>297885</v>
      </c>
      <c r="BZ17">
        <v>625798</v>
      </c>
      <c r="CA17">
        <v>591371</v>
      </c>
      <c r="CB17">
        <v>639646</v>
      </c>
      <c r="CC17">
        <v>357890</v>
      </c>
      <c r="CD17">
        <v>459911</v>
      </c>
    </row>
    <row r="18" spans="1:82" x14ac:dyDescent="0.4">
      <c r="A18" s="1" t="s">
        <v>24</v>
      </c>
      <c r="B18" s="1" t="s">
        <v>25</v>
      </c>
      <c r="C18">
        <v>3589</v>
      </c>
      <c r="D18">
        <v>817</v>
      </c>
      <c r="E18">
        <v>127656</v>
      </c>
      <c r="F18">
        <v>2462</v>
      </c>
      <c r="G18">
        <v>5655</v>
      </c>
      <c r="H18">
        <v>4404</v>
      </c>
      <c r="I18">
        <v>1211172</v>
      </c>
      <c r="J18">
        <v>2950</v>
      </c>
      <c r="K18">
        <v>6654</v>
      </c>
      <c r="L18">
        <v>6510</v>
      </c>
      <c r="M18">
        <v>1640019</v>
      </c>
      <c r="N18">
        <v>4725</v>
      </c>
      <c r="O18">
        <v>4020</v>
      </c>
      <c r="P18">
        <v>4240</v>
      </c>
      <c r="Q18">
        <v>2070867</v>
      </c>
      <c r="R18">
        <v>3387</v>
      </c>
      <c r="S18">
        <v>10177</v>
      </c>
      <c r="T18">
        <v>9186</v>
      </c>
      <c r="U18">
        <v>1739482</v>
      </c>
      <c r="V18">
        <v>26037</v>
      </c>
      <c r="W18">
        <v>507</v>
      </c>
      <c r="X18">
        <v>504</v>
      </c>
      <c r="Y18">
        <v>905711</v>
      </c>
      <c r="Z18">
        <v>791</v>
      </c>
      <c r="AA18">
        <v>297</v>
      </c>
      <c r="AB18">
        <v>371</v>
      </c>
      <c r="AC18">
        <v>1362067</v>
      </c>
      <c r="AD18">
        <v>686</v>
      </c>
      <c r="AE18">
        <v>2462</v>
      </c>
      <c r="AF18">
        <v>1932</v>
      </c>
      <c r="AG18">
        <v>1147462</v>
      </c>
      <c r="AH18">
        <v>9714</v>
      </c>
      <c r="AI18">
        <v>13399</v>
      </c>
      <c r="AJ18">
        <v>13677</v>
      </c>
      <c r="AK18">
        <v>6920743</v>
      </c>
      <c r="AL18">
        <v>51910</v>
      </c>
      <c r="AM18">
        <v>45405</v>
      </c>
      <c r="AN18">
        <v>47857</v>
      </c>
      <c r="AO18">
        <v>11688510</v>
      </c>
      <c r="AP18">
        <v>65734</v>
      </c>
      <c r="AQ18">
        <v>1982</v>
      </c>
      <c r="AR18">
        <v>1458</v>
      </c>
      <c r="AS18">
        <v>1076762</v>
      </c>
      <c r="AT18">
        <v>5172</v>
      </c>
      <c r="AU18">
        <v>44163</v>
      </c>
      <c r="AV18">
        <v>38272</v>
      </c>
      <c r="AW18">
        <v>1097007</v>
      </c>
      <c r="AX18">
        <v>11406</v>
      </c>
      <c r="AY18">
        <v>54337</v>
      </c>
      <c r="AZ18">
        <v>59453</v>
      </c>
      <c r="BA18">
        <v>1743957</v>
      </c>
      <c r="BB18">
        <v>14636</v>
      </c>
      <c r="BC18">
        <v>811</v>
      </c>
      <c r="BD18">
        <v>805</v>
      </c>
      <c r="BE18">
        <v>5059078</v>
      </c>
      <c r="BF18">
        <v>1917</v>
      </c>
      <c r="BG18">
        <v>25184</v>
      </c>
      <c r="BH18">
        <v>26111</v>
      </c>
      <c r="BI18">
        <v>855335</v>
      </c>
      <c r="BJ18">
        <v>17413</v>
      </c>
      <c r="BK18">
        <v>12273</v>
      </c>
      <c r="BL18">
        <v>10985</v>
      </c>
      <c r="BM18">
        <v>1902252</v>
      </c>
      <c r="BN18">
        <v>19013</v>
      </c>
      <c r="BO18">
        <v>300886</v>
      </c>
      <c r="BP18">
        <v>289777</v>
      </c>
      <c r="BQ18">
        <v>454354</v>
      </c>
      <c r="BR18">
        <v>212587</v>
      </c>
      <c r="BS18">
        <v>521726</v>
      </c>
      <c r="BT18">
        <v>515817</v>
      </c>
      <c r="BU18">
        <v>3870024</v>
      </c>
      <c r="BV18">
        <v>239523</v>
      </c>
      <c r="BW18">
        <v>1481884</v>
      </c>
      <c r="BX18">
        <v>1555505</v>
      </c>
      <c r="BY18">
        <v>287711</v>
      </c>
      <c r="BZ18">
        <v>694513</v>
      </c>
      <c r="CA18">
        <v>682166</v>
      </c>
      <c r="CB18">
        <v>783697</v>
      </c>
      <c r="CC18">
        <v>399483</v>
      </c>
      <c r="CD18">
        <v>417185</v>
      </c>
    </row>
    <row r="19" spans="1:82" x14ac:dyDescent="0.4">
      <c r="A19" s="1" t="s">
        <v>26</v>
      </c>
      <c r="B19" s="1" t="s">
        <v>27</v>
      </c>
      <c r="C19">
        <v>5278</v>
      </c>
      <c r="D19">
        <v>1100</v>
      </c>
      <c r="E19">
        <v>167023</v>
      </c>
      <c r="F19">
        <v>2449</v>
      </c>
      <c r="G19">
        <v>4102</v>
      </c>
      <c r="H19">
        <v>3789</v>
      </c>
      <c r="I19">
        <v>1038487</v>
      </c>
      <c r="J19">
        <v>2709</v>
      </c>
      <c r="K19">
        <v>8410</v>
      </c>
      <c r="L19">
        <v>5677</v>
      </c>
      <c r="M19">
        <v>1470937</v>
      </c>
      <c r="N19">
        <v>5580</v>
      </c>
      <c r="O19">
        <v>2782</v>
      </c>
      <c r="P19">
        <v>3466</v>
      </c>
      <c r="Q19">
        <v>1566282</v>
      </c>
      <c r="R19">
        <v>2723</v>
      </c>
      <c r="S19">
        <v>8877</v>
      </c>
      <c r="T19">
        <v>7975</v>
      </c>
      <c r="U19">
        <v>1478707</v>
      </c>
      <c r="V19">
        <v>25938</v>
      </c>
      <c r="W19">
        <v>570</v>
      </c>
      <c r="X19">
        <v>491</v>
      </c>
      <c r="Y19">
        <v>844477</v>
      </c>
      <c r="Z19">
        <v>814</v>
      </c>
      <c r="AA19">
        <v>275</v>
      </c>
      <c r="AB19">
        <v>307</v>
      </c>
      <c r="AC19">
        <v>1328539</v>
      </c>
      <c r="AD19">
        <v>694</v>
      </c>
      <c r="AE19">
        <v>1920</v>
      </c>
      <c r="AF19">
        <v>2023</v>
      </c>
      <c r="AG19">
        <v>1118437</v>
      </c>
      <c r="AH19">
        <v>9609</v>
      </c>
      <c r="AI19">
        <v>12276</v>
      </c>
      <c r="AJ19">
        <v>9598</v>
      </c>
      <c r="AK19">
        <v>4945126</v>
      </c>
      <c r="AL19">
        <v>54584</v>
      </c>
      <c r="AM19">
        <v>39586</v>
      </c>
      <c r="AN19">
        <v>37434</v>
      </c>
      <c r="AO19">
        <v>9417496</v>
      </c>
      <c r="AP19">
        <v>67920</v>
      </c>
      <c r="AQ19">
        <v>1458</v>
      </c>
      <c r="AR19">
        <v>1398</v>
      </c>
      <c r="AS19">
        <v>873360</v>
      </c>
      <c r="AT19">
        <v>4891</v>
      </c>
      <c r="AU19">
        <v>41155</v>
      </c>
      <c r="AV19">
        <v>37410</v>
      </c>
      <c r="AW19">
        <v>1068128</v>
      </c>
      <c r="AX19">
        <v>10489</v>
      </c>
      <c r="AY19">
        <v>48803</v>
      </c>
      <c r="AZ19">
        <v>53388</v>
      </c>
      <c r="BA19">
        <v>1591282</v>
      </c>
      <c r="BB19">
        <v>13976</v>
      </c>
      <c r="BC19">
        <v>717</v>
      </c>
      <c r="BD19">
        <v>660</v>
      </c>
      <c r="BE19">
        <v>4536610</v>
      </c>
      <c r="BF19">
        <v>1939</v>
      </c>
      <c r="BG19">
        <v>18657</v>
      </c>
      <c r="BH19">
        <v>19905</v>
      </c>
      <c r="BI19">
        <v>694535</v>
      </c>
      <c r="BJ19">
        <v>16382</v>
      </c>
      <c r="BK19">
        <v>13872</v>
      </c>
      <c r="BL19">
        <v>10423</v>
      </c>
      <c r="BM19">
        <v>1788186</v>
      </c>
      <c r="BN19">
        <v>20963</v>
      </c>
      <c r="BO19">
        <v>319608</v>
      </c>
      <c r="BP19">
        <v>281627</v>
      </c>
      <c r="BQ19">
        <v>416857</v>
      </c>
      <c r="BR19">
        <v>242823</v>
      </c>
      <c r="BS19">
        <v>534616</v>
      </c>
      <c r="BT19">
        <v>443382</v>
      </c>
      <c r="BU19">
        <v>3262940</v>
      </c>
      <c r="BV19">
        <v>288358</v>
      </c>
      <c r="BW19">
        <v>1208879</v>
      </c>
      <c r="BX19">
        <v>1309981</v>
      </c>
      <c r="BY19">
        <v>245958</v>
      </c>
      <c r="BZ19">
        <v>698623</v>
      </c>
      <c r="CA19">
        <v>443408</v>
      </c>
      <c r="CB19">
        <v>502925</v>
      </c>
      <c r="CC19">
        <v>354562</v>
      </c>
      <c r="CD19">
        <v>392573</v>
      </c>
    </row>
    <row r="20" spans="1:82" x14ac:dyDescent="0.4">
      <c r="A20" s="1" t="s">
        <v>28</v>
      </c>
      <c r="B20" s="1" t="s">
        <v>29</v>
      </c>
      <c r="C20">
        <v>4525</v>
      </c>
      <c r="D20">
        <v>1054</v>
      </c>
      <c r="E20">
        <v>187196</v>
      </c>
      <c r="F20">
        <v>3192</v>
      </c>
      <c r="G20">
        <v>3958</v>
      </c>
      <c r="H20">
        <v>2997</v>
      </c>
      <c r="I20">
        <v>845116</v>
      </c>
      <c r="J20">
        <v>2937</v>
      </c>
      <c r="K20">
        <v>8350</v>
      </c>
      <c r="L20">
        <v>6870</v>
      </c>
      <c r="M20">
        <v>1758693</v>
      </c>
      <c r="N20">
        <v>5909</v>
      </c>
      <c r="O20">
        <v>4395</v>
      </c>
      <c r="P20">
        <v>4466</v>
      </c>
      <c r="Q20">
        <v>2001041</v>
      </c>
      <c r="R20">
        <v>2652</v>
      </c>
      <c r="S20">
        <v>9300</v>
      </c>
      <c r="T20">
        <v>9485</v>
      </c>
      <c r="U20">
        <v>1818104</v>
      </c>
      <c r="V20">
        <v>24596</v>
      </c>
      <c r="W20">
        <v>648</v>
      </c>
      <c r="X20">
        <v>559</v>
      </c>
      <c r="Y20">
        <v>896761</v>
      </c>
      <c r="Z20">
        <v>826</v>
      </c>
      <c r="AA20">
        <v>309</v>
      </c>
      <c r="AB20">
        <v>324</v>
      </c>
      <c r="AC20">
        <v>1331579</v>
      </c>
      <c r="AD20">
        <v>711</v>
      </c>
      <c r="AE20">
        <v>2513</v>
      </c>
      <c r="AF20">
        <v>1875</v>
      </c>
      <c r="AG20">
        <v>1125956</v>
      </c>
      <c r="AH20">
        <v>10247</v>
      </c>
      <c r="AI20">
        <v>12023</v>
      </c>
      <c r="AJ20">
        <v>10421</v>
      </c>
      <c r="AK20">
        <v>5348820</v>
      </c>
      <c r="AL20">
        <v>56174</v>
      </c>
      <c r="AM20">
        <v>42278</v>
      </c>
      <c r="AN20">
        <v>45758</v>
      </c>
      <c r="AO20">
        <v>11282873</v>
      </c>
      <c r="AP20">
        <v>64558</v>
      </c>
      <c r="AQ20">
        <v>1877</v>
      </c>
      <c r="AR20">
        <v>1416</v>
      </c>
      <c r="AS20">
        <v>1070699</v>
      </c>
      <c r="AT20">
        <v>5179</v>
      </c>
      <c r="AU20">
        <v>42450</v>
      </c>
      <c r="AV20">
        <v>38348</v>
      </c>
      <c r="AW20">
        <v>1090160</v>
      </c>
      <c r="AX20">
        <v>10205</v>
      </c>
      <c r="AY20">
        <v>51813</v>
      </c>
      <c r="AZ20">
        <v>54251</v>
      </c>
      <c r="BA20">
        <v>1617455</v>
      </c>
      <c r="BB20">
        <v>14039</v>
      </c>
      <c r="BC20">
        <v>731</v>
      </c>
      <c r="BD20">
        <v>746</v>
      </c>
      <c r="BE20">
        <v>4947939</v>
      </c>
      <c r="BF20">
        <v>1817</v>
      </c>
      <c r="BG20">
        <v>25324</v>
      </c>
      <c r="BH20">
        <v>26920</v>
      </c>
      <c r="BI20">
        <v>882440</v>
      </c>
      <c r="BJ20">
        <v>14831</v>
      </c>
      <c r="BK20">
        <v>8061</v>
      </c>
      <c r="BL20">
        <v>9019</v>
      </c>
      <c r="BM20">
        <v>1671180</v>
      </c>
      <c r="BN20">
        <v>17384</v>
      </c>
      <c r="BO20">
        <v>293508</v>
      </c>
      <c r="BP20">
        <v>288907</v>
      </c>
      <c r="BQ20">
        <v>459467</v>
      </c>
      <c r="BR20">
        <v>239432</v>
      </c>
      <c r="BS20">
        <v>487802</v>
      </c>
      <c r="BT20">
        <v>468416</v>
      </c>
      <c r="BU20">
        <v>3256237</v>
      </c>
      <c r="BV20">
        <v>277426</v>
      </c>
      <c r="BW20">
        <v>1461465</v>
      </c>
      <c r="BX20">
        <v>1677249</v>
      </c>
      <c r="BY20">
        <v>308908</v>
      </c>
      <c r="BZ20">
        <v>621140</v>
      </c>
      <c r="CA20">
        <v>763998</v>
      </c>
      <c r="CB20">
        <v>851978</v>
      </c>
      <c r="CC20">
        <v>626856</v>
      </c>
      <c r="CD20">
        <v>362611</v>
      </c>
    </row>
    <row r="21" spans="1:82" x14ac:dyDescent="0.4">
      <c r="A21" s="1" t="s">
        <v>30</v>
      </c>
      <c r="B21" s="1" t="s">
        <v>31</v>
      </c>
      <c r="C21">
        <v>4154</v>
      </c>
      <c r="D21">
        <v>746</v>
      </c>
      <c r="E21">
        <v>126279</v>
      </c>
      <c r="F21">
        <v>3067</v>
      </c>
      <c r="G21">
        <v>4952</v>
      </c>
      <c r="H21">
        <v>3332</v>
      </c>
      <c r="I21">
        <v>920591</v>
      </c>
      <c r="J21">
        <v>3279</v>
      </c>
      <c r="K21">
        <v>8355</v>
      </c>
      <c r="L21">
        <v>6464</v>
      </c>
      <c r="M21">
        <v>1656619</v>
      </c>
      <c r="N21">
        <v>6243</v>
      </c>
      <c r="O21">
        <v>5451</v>
      </c>
      <c r="P21">
        <v>4999</v>
      </c>
      <c r="Q21">
        <v>2373431</v>
      </c>
      <c r="R21">
        <v>3115</v>
      </c>
      <c r="S21">
        <v>10362</v>
      </c>
      <c r="T21">
        <v>9201</v>
      </c>
      <c r="U21">
        <v>1925652</v>
      </c>
      <c r="V21">
        <v>24721</v>
      </c>
      <c r="W21">
        <v>678</v>
      </c>
      <c r="X21">
        <v>646</v>
      </c>
      <c r="Y21">
        <v>1037045</v>
      </c>
      <c r="Z21">
        <v>816</v>
      </c>
      <c r="AA21">
        <v>368</v>
      </c>
      <c r="AB21">
        <v>385</v>
      </c>
      <c r="AC21">
        <v>1416770</v>
      </c>
      <c r="AD21">
        <v>732</v>
      </c>
      <c r="AE21">
        <v>1344</v>
      </c>
      <c r="AF21">
        <v>2467</v>
      </c>
      <c r="AG21">
        <v>1324339</v>
      </c>
      <c r="AH21">
        <v>9118</v>
      </c>
      <c r="AI21">
        <v>1128</v>
      </c>
      <c r="AJ21">
        <v>12384</v>
      </c>
      <c r="AK21">
        <v>6367832</v>
      </c>
      <c r="AL21">
        <v>44909</v>
      </c>
      <c r="AM21">
        <v>47829</v>
      </c>
      <c r="AN21">
        <v>48996</v>
      </c>
      <c r="AO21">
        <v>12086936</v>
      </c>
      <c r="AP21">
        <v>62897</v>
      </c>
      <c r="AQ21">
        <v>1984</v>
      </c>
      <c r="AR21">
        <v>1549</v>
      </c>
      <c r="AS21">
        <v>1196395</v>
      </c>
      <c r="AT21">
        <v>5294</v>
      </c>
      <c r="AU21">
        <v>44845</v>
      </c>
      <c r="AV21">
        <v>38947</v>
      </c>
      <c r="AW21">
        <v>1113510</v>
      </c>
      <c r="AX21">
        <v>11565</v>
      </c>
      <c r="AY21">
        <v>53629</v>
      </c>
      <c r="AZ21">
        <v>54501</v>
      </c>
      <c r="BA21">
        <v>1626645</v>
      </c>
      <c r="BB21">
        <v>16103</v>
      </c>
      <c r="BC21">
        <v>714</v>
      </c>
      <c r="BD21">
        <v>600</v>
      </c>
      <c r="BE21">
        <v>4213275</v>
      </c>
      <c r="BF21">
        <v>1780</v>
      </c>
      <c r="BG21">
        <v>27140</v>
      </c>
      <c r="BH21">
        <v>26045</v>
      </c>
      <c r="BI21">
        <v>867747</v>
      </c>
      <c r="BJ21">
        <v>16666</v>
      </c>
      <c r="BK21">
        <v>9531</v>
      </c>
      <c r="BL21">
        <v>9355</v>
      </c>
      <c r="BM21">
        <v>1709163</v>
      </c>
      <c r="BN21">
        <v>15240</v>
      </c>
      <c r="BO21">
        <v>259291</v>
      </c>
      <c r="BP21">
        <v>288121</v>
      </c>
      <c r="BQ21">
        <v>428874</v>
      </c>
      <c r="BR21">
        <v>207070</v>
      </c>
      <c r="BS21">
        <v>437214</v>
      </c>
      <c r="BT21">
        <v>447453</v>
      </c>
      <c r="BU21">
        <v>3299178</v>
      </c>
      <c r="BV21">
        <v>244133</v>
      </c>
      <c r="BW21">
        <v>1488517</v>
      </c>
      <c r="BX21">
        <v>1654939</v>
      </c>
      <c r="BY21">
        <v>308099</v>
      </c>
      <c r="BZ21">
        <v>605193</v>
      </c>
      <c r="CA21">
        <v>729470</v>
      </c>
      <c r="CB21">
        <v>792178</v>
      </c>
      <c r="CC21">
        <v>423658</v>
      </c>
      <c r="CD21">
        <v>359722</v>
      </c>
    </row>
    <row r="22" spans="1:82" x14ac:dyDescent="0.4">
      <c r="A22" s="1" t="s">
        <v>32</v>
      </c>
      <c r="B22" s="1" t="s">
        <v>33</v>
      </c>
      <c r="C22">
        <v>4173</v>
      </c>
      <c r="D22">
        <v>899</v>
      </c>
      <c r="E22">
        <v>150122</v>
      </c>
      <c r="F22">
        <v>3064</v>
      </c>
      <c r="G22">
        <v>4588</v>
      </c>
      <c r="H22">
        <v>3791</v>
      </c>
      <c r="I22">
        <v>1069055</v>
      </c>
      <c r="J22">
        <v>3152</v>
      </c>
      <c r="K22">
        <v>8188</v>
      </c>
      <c r="L22">
        <v>6676</v>
      </c>
      <c r="M22">
        <v>1712372</v>
      </c>
      <c r="N22">
        <v>7195</v>
      </c>
      <c r="O22">
        <v>4874</v>
      </c>
      <c r="P22">
        <v>4540</v>
      </c>
      <c r="Q22">
        <v>2266069</v>
      </c>
      <c r="R22">
        <v>3460</v>
      </c>
      <c r="S22">
        <v>10307</v>
      </c>
      <c r="T22">
        <v>8824</v>
      </c>
      <c r="U22">
        <v>1771998</v>
      </c>
      <c r="V22">
        <v>24752</v>
      </c>
      <c r="W22">
        <v>646</v>
      </c>
      <c r="X22">
        <v>582</v>
      </c>
      <c r="Y22">
        <v>965541</v>
      </c>
      <c r="Z22">
        <v>835</v>
      </c>
      <c r="AA22">
        <v>314</v>
      </c>
      <c r="AB22">
        <v>340</v>
      </c>
      <c r="AC22">
        <v>1195284</v>
      </c>
      <c r="AD22">
        <v>705</v>
      </c>
      <c r="AE22">
        <v>2223</v>
      </c>
      <c r="AF22">
        <v>2044</v>
      </c>
      <c r="AG22">
        <v>1164214</v>
      </c>
      <c r="AH22">
        <v>9292</v>
      </c>
      <c r="AI22">
        <v>7676</v>
      </c>
      <c r="AJ22">
        <v>10808</v>
      </c>
      <c r="AK22">
        <v>5608706</v>
      </c>
      <c r="AL22">
        <v>41768</v>
      </c>
      <c r="AM22">
        <v>36161</v>
      </c>
      <c r="AN22">
        <v>45086</v>
      </c>
      <c r="AO22">
        <v>10842868</v>
      </c>
      <c r="AP22">
        <v>54378</v>
      </c>
      <c r="AQ22">
        <v>1484</v>
      </c>
      <c r="AR22">
        <v>1554</v>
      </c>
      <c r="AS22">
        <v>1177620</v>
      </c>
      <c r="AT22">
        <v>5030</v>
      </c>
      <c r="AU22">
        <v>40972</v>
      </c>
      <c r="AV22">
        <v>37210</v>
      </c>
      <c r="AW22">
        <v>1065267</v>
      </c>
      <c r="AX22">
        <v>10775</v>
      </c>
      <c r="AY22">
        <v>46560</v>
      </c>
      <c r="AZ22">
        <v>50173</v>
      </c>
      <c r="BA22">
        <v>1494919</v>
      </c>
      <c r="BB22">
        <v>15445</v>
      </c>
      <c r="BC22">
        <v>781</v>
      </c>
      <c r="BD22">
        <v>451</v>
      </c>
      <c r="BE22">
        <v>3505819</v>
      </c>
      <c r="BF22">
        <v>1948</v>
      </c>
      <c r="BG22">
        <v>27601</v>
      </c>
      <c r="BH22">
        <v>28186</v>
      </c>
      <c r="BI22">
        <v>905881</v>
      </c>
      <c r="BJ22">
        <v>16491</v>
      </c>
      <c r="BK22">
        <v>12060</v>
      </c>
      <c r="BL22">
        <v>10025</v>
      </c>
      <c r="BM22">
        <v>1754166</v>
      </c>
      <c r="BN22">
        <v>16189</v>
      </c>
      <c r="BO22">
        <v>300602</v>
      </c>
      <c r="BP22">
        <v>283697</v>
      </c>
      <c r="BQ22">
        <v>458144</v>
      </c>
      <c r="BR22">
        <v>215784</v>
      </c>
      <c r="BS22">
        <v>478849</v>
      </c>
      <c r="BT22">
        <v>417857</v>
      </c>
      <c r="BU22">
        <v>2918282</v>
      </c>
      <c r="BV22">
        <v>279488</v>
      </c>
      <c r="BW22">
        <v>1507516</v>
      </c>
      <c r="BX22">
        <v>1594677</v>
      </c>
      <c r="BY22">
        <v>312842</v>
      </c>
      <c r="BZ22">
        <v>668233</v>
      </c>
      <c r="CA22">
        <v>692324</v>
      </c>
      <c r="CB22">
        <v>778843</v>
      </c>
      <c r="CC22">
        <v>540587</v>
      </c>
      <c r="CD22">
        <v>330656</v>
      </c>
    </row>
    <row r="23" spans="1:82" x14ac:dyDescent="0.4">
      <c r="A23" s="1" t="s">
        <v>34</v>
      </c>
      <c r="B23" s="1" t="s">
        <v>35</v>
      </c>
      <c r="C23">
        <v>5787</v>
      </c>
      <c r="D23">
        <v>673</v>
      </c>
      <c r="E23">
        <v>112381</v>
      </c>
      <c r="F23">
        <v>3543</v>
      </c>
      <c r="G23">
        <v>4387</v>
      </c>
      <c r="H23">
        <v>3710</v>
      </c>
      <c r="I23">
        <v>1048159</v>
      </c>
      <c r="J23">
        <v>3148</v>
      </c>
      <c r="K23">
        <v>8463</v>
      </c>
      <c r="L23">
        <v>6524</v>
      </c>
      <c r="M23">
        <v>1678457</v>
      </c>
      <c r="N23">
        <v>7517</v>
      </c>
      <c r="O23">
        <v>4091</v>
      </c>
      <c r="P23">
        <v>4034</v>
      </c>
      <c r="Q23">
        <v>2031566</v>
      </c>
      <c r="R23">
        <v>3546</v>
      </c>
      <c r="S23">
        <v>9323</v>
      </c>
      <c r="T23">
        <v>8820</v>
      </c>
      <c r="U23">
        <v>1696691</v>
      </c>
      <c r="V23">
        <v>23973</v>
      </c>
      <c r="W23">
        <v>604</v>
      </c>
      <c r="X23">
        <v>553</v>
      </c>
      <c r="Y23">
        <v>889704</v>
      </c>
      <c r="Z23">
        <v>884</v>
      </c>
      <c r="AA23">
        <v>308</v>
      </c>
      <c r="AB23">
        <v>307</v>
      </c>
      <c r="AC23">
        <v>1290508</v>
      </c>
      <c r="AD23">
        <v>778</v>
      </c>
      <c r="AE23">
        <v>1916</v>
      </c>
      <c r="AF23">
        <v>1624</v>
      </c>
      <c r="AG23">
        <v>956567</v>
      </c>
      <c r="AH23">
        <v>9583</v>
      </c>
      <c r="AI23">
        <v>14184</v>
      </c>
      <c r="AJ23">
        <v>10813</v>
      </c>
      <c r="AK23">
        <v>5510020</v>
      </c>
      <c r="AL23">
        <v>45133</v>
      </c>
      <c r="AM23">
        <v>38764</v>
      </c>
      <c r="AN23">
        <v>38159</v>
      </c>
      <c r="AO23">
        <v>9491847</v>
      </c>
      <c r="AP23">
        <v>54776</v>
      </c>
      <c r="AQ23">
        <v>1587</v>
      </c>
      <c r="AR23">
        <v>1472</v>
      </c>
      <c r="AS23">
        <v>1149205</v>
      </c>
      <c r="AT23">
        <v>4944</v>
      </c>
      <c r="AU23">
        <v>41949</v>
      </c>
      <c r="AV23">
        <v>37151</v>
      </c>
      <c r="AW23">
        <v>1065827</v>
      </c>
      <c r="AX23">
        <v>10898</v>
      </c>
      <c r="AY23">
        <v>49159</v>
      </c>
      <c r="AZ23">
        <v>52075</v>
      </c>
      <c r="BA23">
        <v>1551309</v>
      </c>
      <c r="BB23">
        <v>16048</v>
      </c>
      <c r="BC23">
        <v>679</v>
      </c>
      <c r="BD23">
        <v>526</v>
      </c>
      <c r="BE23">
        <v>3375352</v>
      </c>
      <c r="BF23">
        <v>2007</v>
      </c>
      <c r="BG23">
        <v>27519</v>
      </c>
      <c r="BH23">
        <v>26084</v>
      </c>
      <c r="BI23">
        <v>863851</v>
      </c>
      <c r="BJ23">
        <v>18092</v>
      </c>
      <c r="BK23">
        <v>13263</v>
      </c>
      <c r="BL23">
        <v>10110</v>
      </c>
      <c r="BM23">
        <v>1795808</v>
      </c>
      <c r="BN23">
        <v>18497</v>
      </c>
      <c r="BO23">
        <v>336439</v>
      </c>
      <c r="BP23">
        <v>311582</v>
      </c>
      <c r="BQ23">
        <v>491938</v>
      </c>
      <c r="BR23">
        <v>231752</v>
      </c>
      <c r="BS23">
        <v>546980</v>
      </c>
      <c r="BT23">
        <v>532563</v>
      </c>
      <c r="BU23">
        <v>4109559</v>
      </c>
      <c r="BV23">
        <v>260018</v>
      </c>
      <c r="BW23">
        <v>1509020</v>
      </c>
      <c r="BX23">
        <v>1662108</v>
      </c>
      <c r="BY23">
        <v>306253</v>
      </c>
      <c r="BZ23">
        <v>715858</v>
      </c>
      <c r="CA23">
        <v>645568</v>
      </c>
      <c r="CB23">
        <v>701278</v>
      </c>
      <c r="CC23">
        <v>475962</v>
      </c>
      <c r="CD23">
        <v>321196</v>
      </c>
    </row>
    <row r="24" spans="1:82" x14ac:dyDescent="0.4">
      <c r="A24" s="1" t="s">
        <v>36</v>
      </c>
      <c r="B24" s="1" t="s">
        <v>37</v>
      </c>
      <c r="C24">
        <v>3811</v>
      </c>
      <c r="D24">
        <v>835</v>
      </c>
      <c r="E24">
        <v>128345</v>
      </c>
      <c r="F24">
        <v>2388</v>
      </c>
      <c r="G24">
        <v>4835</v>
      </c>
      <c r="H24">
        <v>4022</v>
      </c>
      <c r="I24">
        <v>1116855</v>
      </c>
      <c r="J24">
        <v>3125</v>
      </c>
      <c r="K24">
        <v>8285</v>
      </c>
      <c r="L24">
        <v>5577</v>
      </c>
      <c r="M24">
        <v>1438362</v>
      </c>
      <c r="N24">
        <v>8636</v>
      </c>
      <c r="O24">
        <v>3297</v>
      </c>
      <c r="P24">
        <v>4085</v>
      </c>
      <c r="Q24">
        <v>2046467</v>
      </c>
      <c r="R24">
        <v>2807</v>
      </c>
      <c r="S24">
        <v>9254</v>
      </c>
      <c r="T24">
        <v>7048</v>
      </c>
      <c r="U24">
        <v>1710302</v>
      </c>
      <c r="V24">
        <v>24802</v>
      </c>
      <c r="W24">
        <v>563</v>
      </c>
      <c r="X24">
        <v>518</v>
      </c>
      <c r="Y24">
        <v>871612</v>
      </c>
      <c r="Z24">
        <v>849</v>
      </c>
      <c r="AA24">
        <v>256</v>
      </c>
      <c r="AB24">
        <v>352</v>
      </c>
      <c r="AC24">
        <v>1203298</v>
      </c>
      <c r="AD24">
        <v>673</v>
      </c>
      <c r="AE24">
        <v>2088</v>
      </c>
      <c r="AF24">
        <v>1586</v>
      </c>
      <c r="AG24">
        <v>984466</v>
      </c>
      <c r="AH24">
        <v>10085</v>
      </c>
      <c r="AI24">
        <v>13474</v>
      </c>
      <c r="AJ24">
        <v>10068</v>
      </c>
      <c r="AK24">
        <v>5248313</v>
      </c>
      <c r="AL24">
        <v>48535</v>
      </c>
      <c r="AM24">
        <v>42726</v>
      </c>
      <c r="AN24">
        <v>39875</v>
      </c>
      <c r="AO24">
        <v>9527537</v>
      </c>
      <c r="AP24">
        <v>57842</v>
      </c>
      <c r="AQ24">
        <v>1791</v>
      </c>
      <c r="AR24">
        <v>1254</v>
      </c>
      <c r="AS24">
        <v>877433</v>
      </c>
      <c r="AT24">
        <v>5043</v>
      </c>
      <c r="AU24">
        <v>39845</v>
      </c>
      <c r="AV24">
        <v>35540</v>
      </c>
      <c r="AW24">
        <v>1026672</v>
      </c>
      <c r="AX24">
        <v>11060</v>
      </c>
      <c r="AY24">
        <v>43565</v>
      </c>
      <c r="AZ24">
        <v>45711</v>
      </c>
      <c r="BA24">
        <v>1372321</v>
      </c>
      <c r="BB24">
        <v>16293</v>
      </c>
      <c r="BC24">
        <v>741</v>
      </c>
      <c r="BD24">
        <v>520</v>
      </c>
      <c r="BE24">
        <v>2840146</v>
      </c>
      <c r="BF24">
        <v>2122</v>
      </c>
      <c r="BG24">
        <v>21205</v>
      </c>
      <c r="BH24">
        <v>22894</v>
      </c>
      <c r="BI24">
        <v>762160</v>
      </c>
      <c r="BJ24">
        <v>16635</v>
      </c>
      <c r="BK24">
        <v>15125</v>
      </c>
      <c r="BL24">
        <v>10134</v>
      </c>
      <c r="BM24">
        <v>1700277</v>
      </c>
      <c r="BN24">
        <v>22007</v>
      </c>
      <c r="BO24">
        <v>340235</v>
      </c>
      <c r="BP24">
        <v>294290</v>
      </c>
      <c r="BQ24">
        <v>442251</v>
      </c>
      <c r="BR24">
        <v>269164</v>
      </c>
      <c r="BS24">
        <v>561692</v>
      </c>
      <c r="BT24">
        <v>526867</v>
      </c>
      <c r="BU24">
        <v>4210822</v>
      </c>
      <c r="BV24">
        <v>255035</v>
      </c>
      <c r="BW24">
        <v>1370170</v>
      </c>
      <c r="BX24">
        <v>1563251</v>
      </c>
      <c r="BY24">
        <v>279705</v>
      </c>
      <c r="BZ24">
        <v>704402</v>
      </c>
      <c r="CA24">
        <v>708555</v>
      </c>
      <c r="CB24">
        <v>697455</v>
      </c>
      <c r="CC24">
        <v>443560</v>
      </c>
      <c r="CD24">
        <v>390457</v>
      </c>
    </row>
    <row r="25" spans="1:82" x14ac:dyDescent="0.4">
      <c r="A25" s="1" t="s">
        <v>38</v>
      </c>
      <c r="B25" s="1" t="s">
        <v>39</v>
      </c>
      <c r="C25">
        <v>2426</v>
      </c>
      <c r="D25">
        <v>787</v>
      </c>
      <c r="E25">
        <v>129235</v>
      </c>
      <c r="F25">
        <v>2015</v>
      </c>
      <c r="G25">
        <v>5124</v>
      </c>
      <c r="H25">
        <v>3897</v>
      </c>
      <c r="I25">
        <v>1096568</v>
      </c>
      <c r="J25">
        <v>3343</v>
      </c>
      <c r="K25">
        <v>4408</v>
      </c>
      <c r="L25">
        <v>5642</v>
      </c>
      <c r="M25">
        <v>1435803</v>
      </c>
      <c r="N25">
        <v>6402</v>
      </c>
      <c r="O25">
        <v>4224</v>
      </c>
      <c r="P25">
        <v>3979</v>
      </c>
      <c r="Q25">
        <v>1910906</v>
      </c>
      <c r="R25">
        <v>3094</v>
      </c>
      <c r="S25">
        <v>9301</v>
      </c>
      <c r="T25">
        <v>7836</v>
      </c>
      <c r="U25">
        <v>1847659</v>
      </c>
      <c r="V25">
        <v>25043</v>
      </c>
      <c r="W25">
        <v>627</v>
      </c>
      <c r="X25">
        <v>513</v>
      </c>
      <c r="Y25">
        <v>874411</v>
      </c>
      <c r="Z25">
        <v>852</v>
      </c>
      <c r="AA25">
        <v>301</v>
      </c>
      <c r="AB25">
        <v>304</v>
      </c>
      <c r="AC25">
        <v>1320911</v>
      </c>
      <c r="AD25">
        <v>680</v>
      </c>
      <c r="AE25">
        <v>2099</v>
      </c>
      <c r="AF25">
        <v>1733</v>
      </c>
      <c r="AG25">
        <v>1090669</v>
      </c>
      <c r="AH25">
        <v>10450</v>
      </c>
      <c r="AI25">
        <v>12302</v>
      </c>
      <c r="AJ25">
        <v>12247</v>
      </c>
      <c r="AK25">
        <v>5899895</v>
      </c>
      <c r="AL25">
        <v>48581</v>
      </c>
      <c r="AM25">
        <v>40953</v>
      </c>
      <c r="AN25">
        <v>42132</v>
      </c>
      <c r="AO25">
        <v>10099964</v>
      </c>
      <c r="AP25">
        <v>56517</v>
      </c>
      <c r="AQ25">
        <v>1715</v>
      </c>
      <c r="AR25">
        <v>1377</v>
      </c>
      <c r="AS25">
        <v>1036965</v>
      </c>
      <c r="AT25">
        <v>5141</v>
      </c>
      <c r="AU25">
        <v>39768</v>
      </c>
      <c r="AV25">
        <v>34760</v>
      </c>
      <c r="AW25">
        <v>1000360</v>
      </c>
      <c r="AX25">
        <v>10883</v>
      </c>
      <c r="AY25">
        <v>39446</v>
      </c>
      <c r="AZ25">
        <v>44368</v>
      </c>
      <c r="BA25">
        <v>1353999</v>
      </c>
      <c r="BB25">
        <v>13925</v>
      </c>
      <c r="BC25">
        <v>696</v>
      </c>
      <c r="BD25">
        <v>548</v>
      </c>
      <c r="BE25">
        <v>3549013</v>
      </c>
      <c r="BF25">
        <v>2121</v>
      </c>
      <c r="BG25">
        <v>24654</v>
      </c>
      <c r="BH25">
        <v>23975</v>
      </c>
      <c r="BI25">
        <v>779030</v>
      </c>
      <c r="BJ25">
        <v>17244</v>
      </c>
      <c r="BK25">
        <v>12449</v>
      </c>
      <c r="BL25">
        <v>8646</v>
      </c>
      <c r="BM25">
        <v>1509468</v>
      </c>
      <c r="BN25">
        <v>23977</v>
      </c>
      <c r="BO25">
        <v>301694</v>
      </c>
      <c r="BP25">
        <v>284793</v>
      </c>
      <c r="BQ25">
        <v>457211</v>
      </c>
      <c r="BR25">
        <v>275448</v>
      </c>
      <c r="BS25">
        <v>443054</v>
      </c>
      <c r="BT25">
        <v>401091</v>
      </c>
      <c r="BU25">
        <v>2948913</v>
      </c>
      <c r="BV25">
        <v>264301</v>
      </c>
      <c r="BW25">
        <v>1324896</v>
      </c>
      <c r="BX25">
        <v>1457792</v>
      </c>
      <c r="BY25">
        <v>266019</v>
      </c>
      <c r="BZ25">
        <v>732206</v>
      </c>
      <c r="CA25">
        <v>715974</v>
      </c>
      <c r="CB25">
        <v>725276</v>
      </c>
      <c r="CC25">
        <v>466333</v>
      </c>
      <c r="CD25">
        <v>449810</v>
      </c>
    </row>
    <row r="26" spans="1:82" x14ac:dyDescent="0.4">
      <c r="A26" s="1" t="s">
        <v>40</v>
      </c>
      <c r="B26" s="1" t="s">
        <v>41</v>
      </c>
      <c r="C26">
        <v>4225</v>
      </c>
      <c r="D26">
        <v>954</v>
      </c>
      <c r="E26">
        <v>162947</v>
      </c>
      <c r="F26">
        <v>2650</v>
      </c>
      <c r="G26">
        <v>4513</v>
      </c>
      <c r="H26">
        <v>4129</v>
      </c>
      <c r="I26">
        <v>1165931</v>
      </c>
      <c r="J26">
        <v>2975</v>
      </c>
      <c r="K26">
        <v>4594</v>
      </c>
      <c r="L26">
        <v>5006</v>
      </c>
      <c r="M26">
        <v>1254943</v>
      </c>
      <c r="N26">
        <v>5314</v>
      </c>
      <c r="O26">
        <v>4770</v>
      </c>
      <c r="P26">
        <v>4774</v>
      </c>
      <c r="Q26">
        <v>2266421</v>
      </c>
      <c r="R26">
        <v>3143</v>
      </c>
      <c r="S26">
        <v>9193</v>
      </c>
      <c r="T26">
        <v>9177</v>
      </c>
      <c r="U26">
        <v>1953362</v>
      </c>
      <c r="V26">
        <v>23895</v>
      </c>
      <c r="W26">
        <v>631</v>
      </c>
      <c r="X26">
        <v>547</v>
      </c>
      <c r="Y26">
        <v>910161</v>
      </c>
      <c r="Z26">
        <v>866</v>
      </c>
      <c r="AA26">
        <v>323</v>
      </c>
      <c r="AB26">
        <v>306</v>
      </c>
      <c r="AC26">
        <v>1136028</v>
      </c>
      <c r="AD26">
        <v>670</v>
      </c>
      <c r="AE26">
        <v>2145</v>
      </c>
      <c r="AF26">
        <v>2179</v>
      </c>
      <c r="AG26">
        <v>1371369</v>
      </c>
      <c r="AH26">
        <v>10416</v>
      </c>
      <c r="AI26">
        <v>12637</v>
      </c>
      <c r="AJ26">
        <v>14787</v>
      </c>
      <c r="AK26">
        <v>6724609</v>
      </c>
      <c r="AL26">
        <v>46415</v>
      </c>
      <c r="AM26">
        <v>45517</v>
      </c>
      <c r="AN26">
        <v>45290</v>
      </c>
      <c r="AO26">
        <v>10780977</v>
      </c>
      <c r="AP26">
        <v>56597</v>
      </c>
      <c r="AQ26">
        <v>1974</v>
      </c>
      <c r="AR26">
        <v>1636</v>
      </c>
      <c r="AS26">
        <v>1266920</v>
      </c>
      <c r="AT26">
        <v>5220</v>
      </c>
      <c r="AU26">
        <v>43794</v>
      </c>
      <c r="AV26">
        <v>40210</v>
      </c>
      <c r="AW26">
        <v>1165094</v>
      </c>
      <c r="AX26">
        <v>9092</v>
      </c>
      <c r="AY26">
        <v>52121</v>
      </c>
      <c r="AZ26">
        <v>53418</v>
      </c>
      <c r="BA26">
        <v>1643067</v>
      </c>
      <c r="BB26">
        <v>15395</v>
      </c>
      <c r="BC26">
        <v>722</v>
      </c>
      <c r="BD26">
        <v>550</v>
      </c>
      <c r="BE26">
        <v>4228176</v>
      </c>
      <c r="BF26">
        <v>2159</v>
      </c>
      <c r="BG26">
        <v>23714</v>
      </c>
      <c r="BH26">
        <v>24205</v>
      </c>
      <c r="BI26">
        <v>764114</v>
      </c>
      <c r="BJ26">
        <v>16784</v>
      </c>
      <c r="BK26">
        <v>11343</v>
      </c>
      <c r="BL26">
        <v>9356</v>
      </c>
      <c r="BM26">
        <v>1644084</v>
      </c>
      <c r="BN26">
        <v>24493</v>
      </c>
      <c r="BO26">
        <v>284733</v>
      </c>
      <c r="BP26">
        <v>303626</v>
      </c>
      <c r="BQ26">
        <v>490913</v>
      </c>
      <c r="BR26">
        <v>247571</v>
      </c>
      <c r="BS26">
        <v>465976</v>
      </c>
      <c r="BT26">
        <v>456740</v>
      </c>
      <c r="BU26">
        <v>3775296</v>
      </c>
      <c r="BV26">
        <v>237493</v>
      </c>
      <c r="BW26">
        <v>1254361</v>
      </c>
      <c r="BX26">
        <v>1478798</v>
      </c>
      <c r="BY26">
        <v>277319</v>
      </c>
      <c r="BZ26">
        <v>645499</v>
      </c>
      <c r="CA26">
        <v>777847</v>
      </c>
      <c r="CB26">
        <v>848429</v>
      </c>
      <c r="CC26">
        <v>633826</v>
      </c>
      <c r="CD26">
        <v>438239</v>
      </c>
    </row>
    <row r="27" spans="1:82" x14ac:dyDescent="0.4">
      <c r="A27" s="1" t="s">
        <v>42</v>
      </c>
      <c r="B27" s="1" t="s">
        <v>43</v>
      </c>
      <c r="C27">
        <v>5679</v>
      </c>
      <c r="D27">
        <v>741</v>
      </c>
      <c r="E27">
        <v>149594</v>
      </c>
      <c r="F27">
        <v>3556</v>
      </c>
      <c r="G27">
        <v>4269</v>
      </c>
      <c r="H27">
        <v>3559</v>
      </c>
      <c r="I27">
        <v>1005179</v>
      </c>
      <c r="J27">
        <v>3088</v>
      </c>
      <c r="K27">
        <v>8125</v>
      </c>
      <c r="L27">
        <v>5785</v>
      </c>
      <c r="M27">
        <v>1467601</v>
      </c>
      <c r="N27">
        <v>5715</v>
      </c>
      <c r="O27">
        <v>4331</v>
      </c>
      <c r="P27">
        <v>4409</v>
      </c>
      <c r="Q27">
        <v>2002158</v>
      </c>
      <c r="R27">
        <v>3130</v>
      </c>
      <c r="S27">
        <v>9262</v>
      </c>
      <c r="T27">
        <v>8314</v>
      </c>
      <c r="U27">
        <v>1697087</v>
      </c>
      <c r="V27">
        <v>23493</v>
      </c>
      <c r="W27">
        <v>630</v>
      </c>
      <c r="X27">
        <v>530</v>
      </c>
      <c r="Y27">
        <v>915097</v>
      </c>
      <c r="Z27">
        <v>900</v>
      </c>
      <c r="AA27">
        <v>380</v>
      </c>
      <c r="AB27">
        <v>356</v>
      </c>
      <c r="AC27">
        <v>1542833</v>
      </c>
      <c r="AD27">
        <v>722</v>
      </c>
      <c r="AE27">
        <v>1947</v>
      </c>
      <c r="AF27">
        <v>1566</v>
      </c>
      <c r="AG27">
        <v>1051245</v>
      </c>
      <c r="AH27">
        <v>10791</v>
      </c>
      <c r="AI27">
        <v>12177</v>
      </c>
      <c r="AJ27">
        <v>9603</v>
      </c>
      <c r="AK27">
        <v>5017481</v>
      </c>
      <c r="AL27">
        <v>48977</v>
      </c>
      <c r="AM27">
        <v>41654</v>
      </c>
      <c r="AN27">
        <v>44878</v>
      </c>
      <c r="AO27">
        <v>10802789</v>
      </c>
      <c r="AP27">
        <v>53245</v>
      </c>
      <c r="AQ27">
        <v>1593</v>
      </c>
      <c r="AR27">
        <v>1242</v>
      </c>
      <c r="AS27">
        <v>1055140</v>
      </c>
      <c r="AT27">
        <v>5173</v>
      </c>
      <c r="AU27">
        <v>43472</v>
      </c>
      <c r="AV27">
        <v>37494</v>
      </c>
      <c r="AW27">
        <v>1110834</v>
      </c>
      <c r="AX27">
        <v>10742</v>
      </c>
      <c r="AY27">
        <v>49383</v>
      </c>
      <c r="AZ27">
        <v>52564</v>
      </c>
      <c r="BA27">
        <v>1728601</v>
      </c>
      <c r="BB27">
        <v>14776</v>
      </c>
      <c r="BC27">
        <v>792</v>
      </c>
      <c r="BD27">
        <v>776</v>
      </c>
      <c r="BE27">
        <v>5487681</v>
      </c>
      <c r="BF27">
        <v>2016</v>
      </c>
      <c r="BG27">
        <v>23793</v>
      </c>
      <c r="BH27">
        <v>23012</v>
      </c>
      <c r="BI27">
        <v>760215</v>
      </c>
      <c r="BJ27">
        <v>17091</v>
      </c>
      <c r="BK27">
        <v>12802</v>
      </c>
      <c r="BL27">
        <v>8728</v>
      </c>
      <c r="BM27">
        <v>1734651</v>
      </c>
      <c r="BN27">
        <v>25654</v>
      </c>
      <c r="BO27">
        <v>236728</v>
      </c>
      <c r="BP27">
        <v>265973</v>
      </c>
      <c r="BQ27">
        <v>449186</v>
      </c>
      <c r="BR27">
        <v>210678</v>
      </c>
      <c r="BS27">
        <v>497307</v>
      </c>
      <c r="BT27">
        <v>477648</v>
      </c>
      <c r="BU27">
        <v>3554835</v>
      </c>
      <c r="BV27">
        <v>210490</v>
      </c>
      <c r="BW27">
        <v>1426771</v>
      </c>
      <c r="BX27">
        <v>1531384</v>
      </c>
      <c r="BY27">
        <v>284869</v>
      </c>
      <c r="BZ27">
        <v>670861</v>
      </c>
      <c r="CA27">
        <v>537306</v>
      </c>
      <c r="CB27">
        <v>597503</v>
      </c>
      <c r="CC27">
        <v>364596</v>
      </c>
      <c r="CD27">
        <v>435228</v>
      </c>
    </row>
    <row r="28" spans="1:82" x14ac:dyDescent="0.4">
      <c r="A28" s="1" t="s">
        <v>44</v>
      </c>
      <c r="B28" s="1" t="s">
        <v>45</v>
      </c>
      <c r="C28">
        <v>4454</v>
      </c>
      <c r="D28">
        <v>518</v>
      </c>
      <c r="E28">
        <v>106709</v>
      </c>
      <c r="F28">
        <v>3427</v>
      </c>
      <c r="G28">
        <v>2858</v>
      </c>
      <c r="H28">
        <v>2171</v>
      </c>
      <c r="I28">
        <v>614584</v>
      </c>
      <c r="J28">
        <v>2905</v>
      </c>
      <c r="K28">
        <v>9010</v>
      </c>
      <c r="L28">
        <v>6810</v>
      </c>
      <c r="M28">
        <v>1748672</v>
      </c>
      <c r="N28">
        <v>6406</v>
      </c>
      <c r="O28">
        <v>4191</v>
      </c>
      <c r="P28">
        <v>4158</v>
      </c>
      <c r="Q28">
        <v>1807453</v>
      </c>
      <c r="R28">
        <v>3191</v>
      </c>
      <c r="S28">
        <v>9327</v>
      </c>
      <c r="T28">
        <v>7759</v>
      </c>
      <c r="U28">
        <v>1672568</v>
      </c>
      <c r="V28">
        <v>23799</v>
      </c>
      <c r="W28">
        <v>564</v>
      </c>
      <c r="X28">
        <v>507</v>
      </c>
      <c r="Y28">
        <v>864010</v>
      </c>
      <c r="Z28">
        <v>862</v>
      </c>
      <c r="AA28">
        <v>279</v>
      </c>
      <c r="AB28">
        <v>324</v>
      </c>
      <c r="AC28">
        <v>1050489</v>
      </c>
      <c r="AD28">
        <v>697</v>
      </c>
      <c r="AE28">
        <v>2419</v>
      </c>
      <c r="AF28">
        <v>1518</v>
      </c>
      <c r="AG28">
        <v>1076097</v>
      </c>
      <c r="AH28">
        <v>11684</v>
      </c>
      <c r="AI28">
        <v>14163</v>
      </c>
      <c r="AJ28">
        <v>8563</v>
      </c>
      <c r="AK28">
        <v>4478899</v>
      </c>
      <c r="AL28">
        <v>54554</v>
      </c>
      <c r="AM28">
        <v>42327</v>
      </c>
      <c r="AN28">
        <v>39707</v>
      </c>
      <c r="AO28">
        <v>9572170</v>
      </c>
      <c r="AP28">
        <v>55699</v>
      </c>
      <c r="AQ28">
        <v>1629</v>
      </c>
      <c r="AR28">
        <v>1235</v>
      </c>
      <c r="AS28">
        <v>1006654</v>
      </c>
      <c r="AT28">
        <v>4994</v>
      </c>
      <c r="AU28">
        <v>40532</v>
      </c>
      <c r="AV28">
        <v>35911</v>
      </c>
      <c r="AW28">
        <v>1076275</v>
      </c>
      <c r="AX28">
        <v>10527</v>
      </c>
      <c r="AY28">
        <v>48334</v>
      </c>
      <c r="AZ28">
        <v>50039</v>
      </c>
      <c r="BA28">
        <v>1663545</v>
      </c>
      <c r="BB28">
        <v>15862</v>
      </c>
      <c r="BC28">
        <v>806</v>
      </c>
      <c r="BD28">
        <v>723</v>
      </c>
      <c r="BE28">
        <v>4882027</v>
      </c>
      <c r="BF28">
        <v>2013</v>
      </c>
      <c r="BG28">
        <v>21164</v>
      </c>
      <c r="BH28">
        <v>21302</v>
      </c>
      <c r="BI28">
        <v>694565</v>
      </c>
      <c r="BJ28">
        <v>17110</v>
      </c>
      <c r="BK28">
        <v>8759</v>
      </c>
      <c r="BL28">
        <v>10082</v>
      </c>
      <c r="BM28">
        <v>1817136</v>
      </c>
      <c r="BN28">
        <v>23232</v>
      </c>
      <c r="BO28">
        <v>216749</v>
      </c>
      <c r="BP28">
        <v>222334</v>
      </c>
      <c r="BQ28">
        <v>400887</v>
      </c>
      <c r="BR28">
        <v>198171</v>
      </c>
      <c r="BS28">
        <v>521948</v>
      </c>
      <c r="BT28">
        <v>475976</v>
      </c>
      <c r="BU28">
        <v>3801004</v>
      </c>
      <c r="BV28">
        <v>222149</v>
      </c>
      <c r="BW28">
        <v>1338800</v>
      </c>
      <c r="BX28">
        <v>1574621</v>
      </c>
      <c r="BY28">
        <v>297652</v>
      </c>
      <c r="BZ28">
        <v>586504</v>
      </c>
      <c r="CA28">
        <v>491326</v>
      </c>
      <c r="CB28">
        <v>533941</v>
      </c>
      <c r="CC28">
        <v>441621</v>
      </c>
      <c r="CD28">
        <v>438766</v>
      </c>
    </row>
    <row r="29" spans="1:82" x14ac:dyDescent="0.4">
      <c r="A29" s="1" t="s">
        <v>46</v>
      </c>
      <c r="B29" s="1" t="s">
        <v>47</v>
      </c>
      <c r="C29">
        <v>3240</v>
      </c>
      <c r="D29">
        <v>705</v>
      </c>
      <c r="E29">
        <v>133423</v>
      </c>
      <c r="F29">
        <v>2992</v>
      </c>
      <c r="G29">
        <v>3820</v>
      </c>
      <c r="H29">
        <v>2393</v>
      </c>
      <c r="I29">
        <v>721463</v>
      </c>
      <c r="J29">
        <v>3194</v>
      </c>
      <c r="K29">
        <v>8009</v>
      </c>
      <c r="L29">
        <v>6123</v>
      </c>
      <c r="M29">
        <v>1550152</v>
      </c>
      <c r="N29">
        <v>6630</v>
      </c>
      <c r="O29">
        <v>4181</v>
      </c>
      <c r="P29">
        <v>3946</v>
      </c>
      <c r="Q29">
        <v>1722364</v>
      </c>
      <c r="R29">
        <v>3451</v>
      </c>
      <c r="S29">
        <v>10051</v>
      </c>
      <c r="T29">
        <v>8673</v>
      </c>
      <c r="U29">
        <v>1844502</v>
      </c>
      <c r="V29">
        <v>23897</v>
      </c>
      <c r="W29">
        <v>647</v>
      </c>
      <c r="X29">
        <v>564</v>
      </c>
      <c r="Y29">
        <v>930287</v>
      </c>
      <c r="Z29">
        <v>905</v>
      </c>
      <c r="AA29">
        <v>317</v>
      </c>
      <c r="AB29">
        <v>355</v>
      </c>
      <c r="AC29">
        <v>1402789</v>
      </c>
      <c r="AD29">
        <v>682</v>
      </c>
      <c r="AE29">
        <v>2294</v>
      </c>
      <c r="AF29">
        <v>1891</v>
      </c>
      <c r="AG29">
        <v>1238372</v>
      </c>
      <c r="AH29">
        <v>12086</v>
      </c>
      <c r="AI29">
        <v>12545</v>
      </c>
      <c r="AJ29">
        <v>10551</v>
      </c>
      <c r="AK29">
        <v>5348541</v>
      </c>
      <c r="AL29">
        <v>56541</v>
      </c>
      <c r="AM29">
        <v>43300</v>
      </c>
      <c r="AN29">
        <v>44611</v>
      </c>
      <c r="AO29">
        <v>10649097</v>
      </c>
      <c r="AP29">
        <v>54351</v>
      </c>
      <c r="AQ29">
        <v>1445</v>
      </c>
      <c r="AR29">
        <v>1247</v>
      </c>
      <c r="AS29">
        <v>1084140</v>
      </c>
      <c r="AT29">
        <v>5184</v>
      </c>
      <c r="AU29">
        <v>36864</v>
      </c>
      <c r="AV29">
        <v>32770</v>
      </c>
      <c r="AW29">
        <v>1002904</v>
      </c>
      <c r="AX29">
        <v>10990</v>
      </c>
      <c r="AY29">
        <v>47647</v>
      </c>
      <c r="AZ29">
        <v>50160</v>
      </c>
      <c r="BA29">
        <v>1703627</v>
      </c>
      <c r="BB29">
        <v>15738</v>
      </c>
      <c r="BC29">
        <v>708</v>
      </c>
      <c r="BD29">
        <v>626</v>
      </c>
      <c r="BE29">
        <v>4351379</v>
      </c>
      <c r="BF29">
        <v>1928</v>
      </c>
      <c r="BG29">
        <v>27260</v>
      </c>
      <c r="BH29">
        <v>26352</v>
      </c>
      <c r="BI29">
        <v>842370</v>
      </c>
      <c r="BJ29">
        <v>17832</v>
      </c>
      <c r="BK29">
        <v>10827</v>
      </c>
      <c r="BL29">
        <v>9002</v>
      </c>
      <c r="BM29">
        <v>1713004</v>
      </c>
      <c r="BN29">
        <v>24004</v>
      </c>
      <c r="BO29">
        <v>242396</v>
      </c>
      <c r="BP29">
        <v>247868</v>
      </c>
      <c r="BQ29">
        <v>435136</v>
      </c>
      <c r="BR29">
        <v>185374</v>
      </c>
      <c r="BS29">
        <v>508507</v>
      </c>
      <c r="BT29">
        <v>455665</v>
      </c>
      <c r="BU29">
        <v>3944746</v>
      </c>
      <c r="BV29">
        <v>244561</v>
      </c>
      <c r="BW29">
        <v>1352764</v>
      </c>
      <c r="BX29">
        <v>1419123</v>
      </c>
      <c r="BY29">
        <v>271251</v>
      </c>
      <c r="BZ29">
        <v>629045</v>
      </c>
      <c r="CA29">
        <v>776836</v>
      </c>
      <c r="CB29">
        <v>802480</v>
      </c>
      <c r="CC29">
        <v>606665</v>
      </c>
      <c r="CD29">
        <v>483753</v>
      </c>
    </row>
    <row r="30" spans="1:82" x14ac:dyDescent="0.4">
      <c r="A30" s="1" t="s">
        <v>48</v>
      </c>
      <c r="B30" s="1" t="s">
        <v>49</v>
      </c>
      <c r="C30">
        <v>4645</v>
      </c>
      <c r="D30">
        <v>837</v>
      </c>
      <c r="E30">
        <v>161960</v>
      </c>
      <c r="F30">
        <v>3423</v>
      </c>
      <c r="G30">
        <v>4853</v>
      </c>
      <c r="H30">
        <v>3552</v>
      </c>
      <c r="I30">
        <v>1005057</v>
      </c>
      <c r="J30">
        <v>3670</v>
      </c>
      <c r="K30">
        <v>6550</v>
      </c>
      <c r="L30">
        <v>5857</v>
      </c>
      <c r="M30">
        <v>1461994</v>
      </c>
      <c r="N30">
        <v>5976</v>
      </c>
      <c r="O30">
        <v>4447</v>
      </c>
      <c r="P30">
        <v>4285</v>
      </c>
      <c r="Q30">
        <v>1926349</v>
      </c>
      <c r="R30">
        <v>3629</v>
      </c>
      <c r="S30">
        <v>9943</v>
      </c>
      <c r="T30">
        <v>8466</v>
      </c>
      <c r="U30">
        <v>1853351</v>
      </c>
      <c r="V30">
        <v>24289</v>
      </c>
      <c r="W30">
        <v>544</v>
      </c>
      <c r="X30">
        <v>481</v>
      </c>
      <c r="Y30">
        <v>804135</v>
      </c>
      <c r="Z30">
        <v>918</v>
      </c>
      <c r="AA30">
        <v>348</v>
      </c>
      <c r="AB30">
        <v>336</v>
      </c>
      <c r="AC30">
        <v>1236759</v>
      </c>
      <c r="AD30">
        <v>738</v>
      </c>
      <c r="AE30">
        <v>2208</v>
      </c>
      <c r="AF30">
        <v>1489</v>
      </c>
      <c r="AG30">
        <v>1076902</v>
      </c>
      <c r="AH30">
        <v>12805</v>
      </c>
      <c r="AI30">
        <v>12708</v>
      </c>
      <c r="AJ30">
        <v>10943</v>
      </c>
      <c r="AK30">
        <v>5649157</v>
      </c>
      <c r="AL30">
        <v>58297</v>
      </c>
      <c r="AM30">
        <v>47397</v>
      </c>
      <c r="AN30">
        <v>46539</v>
      </c>
      <c r="AO30">
        <v>10763443</v>
      </c>
      <c r="AP30">
        <v>55120</v>
      </c>
      <c r="AQ30">
        <v>1865</v>
      </c>
      <c r="AR30">
        <v>1448</v>
      </c>
      <c r="AS30">
        <v>1268311</v>
      </c>
      <c r="AT30">
        <v>5162</v>
      </c>
      <c r="AU30">
        <v>42629</v>
      </c>
      <c r="AV30">
        <v>37359</v>
      </c>
      <c r="AW30">
        <v>1176718</v>
      </c>
      <c r="AX30">
        <v>11540</v>
      </c>
      <c r="AY30">
        <v>51824</v>
      </c>
      <c r="AZ30">
        <v>56811</v>
      </c>
      <c r="BA30">
        <v>1951221</v>
      </c>
      <c r="BB30">
        <v>14423</v>
      </c>
      <c r="BC30">
        <v>770</v>
      </c>
      <c r="BD30">
        <v>715</v>
      </c>
      <c r="BE30">
        <v>4729474</v>
      </c>
      <c r="BF30">
        <v>1789</v>
      </c>
      <c r="BG30">
        <v>25080</v>
      </c>
      <c r="BH30">
        <v>25449</v>
      </c>
      <c r="BI30">
        <v>836631</v>
      </c>
      <c r="BJ30">
        <v>17126</v>
      </c>
      <c r="BK30">
        <v>9491</v>
      </c>
      <c r="BL30">
        <v>10293</v>
      </c>
      <c r="BM30">
        <v>1951015</v>
      </c>
      <c r="BN30">
        <v>21837</v>
      </c>
      <c r="BO30">
        <v>291687</v>
      </c>
      <c r="BP30">
        <v>271586</v>
      </c>
      <c r="BQ30">
        <v>426272</v>
      </c>
      <c r="BR30">
        <v>198568</v>
      </c>
      <c r="BS30">
        <v>508395</v>
      </c>
      <c r="BT30">
        <v>455258</v>
      </c>
      <c r="BU30">
        <v>3810177</v>
      </c>
      <c r="BV30">
        <v>260430</v>
      </c>
      <c r="BW30">
        <v>1415056</v>
      </c>
      <c r="BX30">
        <v>1510662</v>
      </c>
      <c r="BY30">
        <v>287485</v>
      </c>
      <c r="BZ30">
        <v>632121</v>
      </c>
      <c r="CA30">
        <v>711515</v>
      </c>
      <c r="CB30">
        <v>781735</v>
      </c>
      <c r="CC30">
        <v>528450</v>
      </c>
      <c r="CD30">
        <v>475603</v>
      </c>
    </row>
    <row r="31" spans="1:82" x14ac:dyDescent="0.4">
      <c r="A31" s="1" t="s">
        <v>50</v>
      </c>
      <c r="B31" s="1" t="s">
        <v>51</v>
      </c>
      <c r="C31">
        <v>4539</v>
      </c>
      <c r="D31">
        <v>725</v>
      </c>
      <c r="E31">
        <v>139794</v>
      </c>
      <c r="F31">
        <v>2971</v>
      </c>
      <c r="G31">
        <v>3613</v>
      </c>
      <c r="H31">
        <v>3556</v>
      </c>
      <c r="I31">
        <v>1029684</v>
      </c>
      <c r="J31">
        <v>3140</v>
      </c>
      <c r="K31">
        <v>7451</v>
      </c>
      <c r="L31">
        <v>5752</v>
      </c>
      <c r="M31">
        <v>1466472</v>
      </c>
      <c r="N31">
        <v>5972</v>
      </c>
      <c r="O31">
        <v>3195</v>
      </c>
      <c r="P31">
        <v>3612</v>
      </c>
      <c r="Q31">
        <v>1619706</v>
      </c>
      <c r="R31">
        <v>3212</v>
      </c>
      <c r="S31">
        <v>8697</v>
      </c>
      <c r="T31">
        <v>6721</v>
      </c>
      <c r="U31">
        <v>1429284</v>
      </c>
      <c r="V31">
        <v>24895</v>
      </c>
      <c r="W31">
        <v>425</v>
      </c>
      <c r="X31">
        <v>415</v>
      </c>
      <c r="Y31">
        <v>732761</v>
      </c>
      <c r="Z31">
        <v>897</v>
      </c>
      <c r="AA31">
        <v>251</v>
      </c>
      <c r="AB31">
        <v>276</v>
      </c>
      <c r="AC31">
        <v>1031141</v>
      </c>
      <c r="AD31">
        <v>707</v>
      </c>
      <c r="AE31">
        <v>2432</v>
      </c>
      <c r="AF31">
        <v>1664</v>
      </c>
      <c r="AG31">
        <v>1088604</v>
      </c>
      <c r="AH31">
        <v>13573</v>
      </c>
      <c r="AI31">
        <v>10650</v>
      </c>
      <c r="AJ31">
        <v>9422</v>
      </c>
      <c r="AK31">
        <v>4617146</v>
      </c>
      <c r="AL31">
        <v>59520</v>
      </c>
      <c r="AM31">
        <v>42734</v>
      </c>
      <c r="AN31">
        <v>37128</v>
      </c>
      <c r="AO31">
        <v>8579427</v>
      </c>
      <c r="AP31">
        <v>60662</v>
      </c>
      <c r="AQ31">
        <v>1377</v>
      </c>
      <c r="AR31">
        <v>1020</v>
      </c>
      <c r="AS31">
        <v>760691</v>
      </c>
      <c r="AT31">
        <v>5127</v>
      </c>
      <c r="AU31">
        <v>39867</v>
      </c>
      <c r="AV31">
        <v>35553</v>
      </c>
      <c r="AW31">
        <v>1092404</v>
      </c>
      <c r="AX31">
        <v>11203</v>
      </c>
      <c r="AY31">
        <v>50494</v>
      </c>
      <c r="AZ31">
        <v>53366</v>
      </c>
      <c r="BA31">
        <v>1826984</v>
      </c>
      <c r="BB31">
        <v>14742</v>
      </c>
      <c r="BC31">
        <v>685</v>
      </c>
      <c r="BD31">
        <v>715</v>
      </c>
      <c r="BE31">
        <v>5304306</v>
      </c>
      <c r="BF31">
        <v>1671</v>
      </c>
      <c r="BG31">
        <v>20273</v>
      </c>
      <c r="BH31">
        <v>20405</v>
      </c>
      <c r="BI31">
        <v>666458</v>
      </c>
      <c r="BJ31">
        <v>16929</v>
      </c>
      <c r="BK31">
        <v>8847</v>
      </c>
      <c r="BL31">
        <v>10357</v>
      </c>
      <c r="BM31">
        <v>1904124</v>
      </c>
      <c r="BN31">
        <v>20230</v>
      </c>
      <c r="BO31">
        <v>309528</v>
      </c>
      <c r="BP31">
        <v>288153</v>
      </c>
      <c r="BQ31">
        <v>460337</v>
      </c>
      <c r="BR31">
        <v>213302</v>
      </c>
      <c r="BS31">
        <v>512215</v>
      </c>
      <c r="BT31">
        <v>476152</v>
      </c>
      <c r="BU31">
        <v>4011201</v>
      </c>
      <c r="BV31">
        <v>261259</v>
      </c>
      <c r="BW31">
        <v>1151768</v>
      </c>
      <c r="BX31">
        <v>1218354</v>
      </c>
      <c r="BY31">
        <v>234093</v>
      </c>
      <c r="BZ31">
        <v>638099</v>
      </c>
      <c r="CA31">
        <v>393804</v>
      </c>
      <c r="CB31">
        <v>466786</v>
      </c>
      <c r="CC31">
        <v>416939</v>
      </c>
      <c r="CD31">
        <v>466911</v>
      </c>
    </row>
    <row r="32" spans="1:82" x14ac:dyDescent="0.4">
      <c r="A32" s="1" t="s">
        <v>52</v>
      </c>
      <c r="B32" s="1" t="s">
        <v>53</v>
      </c>
      <c r="C32">
        <v>5774</v>
      </c>
      <c r="D32">
        <v>1175</v>
      </c>
      <c r="E32">
        <v>273617</v>
      </c>
      <c r="F32">
        <v>3155</v>
      </c>
      <c r="G32">
        <v>3326</v>
      </c>
      <c r="H32">
        <v>2947</v>
      </c>
      <c r="I32">
        <v>844965</v>
      </c>
      <c r="J32">
        <v>2921</v>
      </c>
      <c r="K32">
        <v>8015</v>
      </c>
      <c r="L32">
        <v>6019</v>
      </c>
      <c r="M32">
        <v>1536373</v>
      </c>
      <c r="N32">
        <v>5984</v>
      </c>
      <c r="O32">
        <v>4064</v>
      </c>
      <c r="P32">
        <v>4472</v>
      </c>
      <c r="Q32">
        <v>2088701</v>
      </c>
      <c r="R32">
        <v>2803</v>
      </c>
      <c r="S32">
        <v>9475</v>
      </c>
      <c r="T32">
        <v>7650</v>
      </c>
      <c r="U32">
        <v>1672452</v>
      </c>
      <c r="V32">
        <v>25280</v>
      </c>
      <c r="W32">
        <v>655</v>
      </c>
      <c r="X32">
        <v>605</v>
      </c>
      <c r="Y32">
        <v>973759</v>
      </c>
      <c r="Z32">
        <v>887</v>
      </c>
      <c r="AA32">
        <v>330</v>
      </c>
      <c r="AB32">
        <v>322</v>
      </c>
      <c r="AC32">
        <v>1413318</v>
      </c>
      <c r="AD32">
        <v>719</v>
      </c>
      <c r="AE32">
        <v>2667</v>
      </c>
      <c r="AF32">
        <v>1953</v>
      </c>
      <c r="AG32">
        <v>1314568</v>
      </c>
      <c r="AH32">
        <v>14287</v>
      </c>
      <c r="AI32">
        <v>10063</v>
      </c>
      <c r="AJ32">
        <v>11267</v>
      </c>
      <c r="AK32">
        <v>5682957</v>
      </c>
      <c r="AL32">
        <v>58311</v>
      </c>
      <c r="AM32">
        <v>42627</v>
      </c>
      <c r="AN32">
        <v>47028</v>
      </c>
      <c r="AO32">
        <v>10595986</v>
      </c>
      <c r="AP32">
        <v>56159</v>
      </c>
      <c r="AQ32">
        <v>1789</v>
      </c>
      <c r="AR32">
        <v>1433</v>
      </c>
      <c r="AS32">
        <v>1292790</v>
      </c>
      <c r="AT32">
        <v>5142</v>
      </c>
      <c r="AU32">
        <v>43974</v>
      </c>
      <c r="AV32">
        <v>38971</v>
      </c>
      <c r="AW32">
        <v>1220215</v>
      </c>
      <c r="AX32">
        <v>11555</v>
      </c>
      <c r="AY32">
        <v>53008</v>
      </c>
      <c r="AZ32">
        <v>56357</v>
      </c>
      <c r="BA32">
        <v>1937429</v>
      </c>
      <c r="BB32">
        <v>14277</v>
      </c>
      <c r="BC32">
        <v>723</v>
      </c>
      <c r="BD32">
        <v>603</v>
      </c>
      <c r="BE32">
        <v>4496930</v>
      </c>
      <c r="BF32">
        <v>1705</v>
      </c>
      <c r="BG32">
        <v>22989</v>
      </c>
      <c r="BH32">
        <v>23355</v>
      </c>
      <c r="BI32">
        <v>770271</v>
      </c>
      <c r="BJ32">
        <v>16223</v>
      </c>
      <c r="BK32">
        <v>9197</v>
      </c>
      <c r="BL32">
        <v>10343</v>
      </c>
      <c r="BM32">
        <v>1961068</v>
      </c>
      <c r="BN32">
        <v>18410</v>
      </c>
      <c r="BO32">
        <v>303288</v>
      </c>
      <c r="BP32">
        <v>277668</v>
      </c>
      <c r="BQ32">
        <v>423262</v>
      </c>
      <c r="BR32">
        <v>229846</v>
      </c>
      <c r="BS32">
        <v>491204</v>
      </c>
      <c r="BT32">
        <v>459309</v>
      </c>
      <c r="BU32">
        <v>3647417</v>
      </c>
      <c r="BV32">
        <v>257051</v>
      </c>
      <c r="BW32">
        <v>1275509</v>
      </c>
      <c r="BX32">
        <v>1445358</v>
      </c>
      <c r="BY32">
        <v>273597</v>
      </c>
      <c r="BZ32">
        <v>572122</v>
      </c>
      <c r="CA32">
        <v>763368</v>
      </c>
      <c r="CB32">
        <v>813169</v>
      </c>
      <c r="CC32">
        <v>631710</v>
      </c>
      <c r="CD32">
        <v>473588</v>
      </c>
    </row>
    <row r="33" spans="1:82" x14ac:dyDescent="0.4">
      <c r="A33" s="1" t="s">
        <v>54</v>
      </c>
      <c r="B33" s="1" t="s">
        <v>55</v>
      </c>
      <c r="C33">
        <v>5940</v>
      </c>
      <c r="D33">
        <v>939</v>
      </c>
      <c r="E33">
        <v>189392</v>
      </c>
      <c r="F33">
        <v>3220</v>
      </c>
      <c r="G33">
        <v>4666</v>
      </c>
      <c r="H33">
        <v>3819</v>
      </c>
      <c r="I33">
        <v>1005053</v>
      </c>
      <c r="J33">
        <v>2716</v>
      </c>
      <c r="K33">
        <v>8440</v>
      </c>
      <c r="L33">
        <v>6631</v>
      </c>
      <c r="M33">
        <v>1695397</v>
      </c>
      <c r="N33">
        <v>5975</v>
      </c>
      <c r="O33">
        <v>4070</v>
      </c>
      <c r="P33">
        <v>4325</v>
      </c>
      <c r="Q33">
        <v>2152342</v>
      </c>
      <c r="R33">
        <v>2562</v>
      </c>
      <c r="S33">
        <v>8745</v>
      </c>
      <c r="T33">
        <v>8193</v>
      </c>
      <c r="U33">
        <v>1853003</v>
      </c>
      <c r="V33">
        <v>24707</v>
      </c>
      <c r="W33">
        <v>598</v>
      </c>
      <c r="X33">
        <v>611</v>
      </c>
      <c r="Y33">
        <v>1013317</v>
      </c>
      <c r="Z33">
        <v>869</v>
      </c>
      <c r="AA33">
        <v>330</v>
      </c>
      <c r="AB33">
        <v>354</v>
      </c>
      <c r="AC33">
        <v>1440719</v>
      </c>
      <c r="AD33">
        <v>671</v>
      </c>
      <c r="AE33">
        <v>958</v>
      </c>
      <c r="AF33">
        <v>1518</v>
      </c>
      <c r="AG33">
        <v>1114445</v>
      </c>
      <c r="AH33">
        <v>13724</v>
      </c>
      <c r="AI33">
        <v>1662</v>
      </c>
      <c r="AJ33">
        <v>9933</v>
      </c>
      <c r="AK33">
        <v>5193608</v>
      </c>
      <c r="AL33">
        <v>50031</v>
      </c>
      <c r="AM33">
        <v>46799</v>
      </c>
      <c r="AN33">
        <v>46076</v>
      </c>
      <c r="AO33">
        <v>10600426</v>
      </c>
      <c r="AP33">
        <v>56817</v>
      </c>
      <c r="AQ33">
        <v>1698</v>
      </c>
      <c r="AR33">
        <v>1547</v>
      </c>
      <c r="AS33">
        <v>1329428</v>
      </c>
      <c r="AT33">
        <v>5148</v>
      </c>
      <c r="AU33">
        <v>43334</v>
      </c>
      <c r="AV33">
        <v>38673</v>
      </c>
      <c r="AW33">
        <v>1211395</v>
      </c>
      <c r="AX33">
        <v>11794</v>
      </c>
      <c r="AY33">
        <v>53860</v>
      </c>
      <c r="AZ33">
        <v>55327</v>
      </c>
      <c r="BA33">
        <v>1913097</v>
      </c>
      <c r="BB33">
        <v>15599</v>
      </c>
      <c r="BC33">
        <v>681</v>
      </c>
      <c r="BD33">
        <v>491</v>
      </c>
      <c r="BE33">
        <v>3898895</v>
      </c>
      <c r="BF33">
        <v>1742</v>
      </c>
      <c r="BG33">
        <v>24061</v>
      </c>
      <c r="BH33">
        <v>23917</v>
      </c>
      <c r="BI33">
        <v>783857</v>
      </c>
      <c r="BJ33">
        <v>16556</v>
      </c>
      <c r="BK33">
        <v>9796</v>
      </c>
      <c r="BL33">
        <v>8084</v>
      </c>
      <c r="BM33">
        <v>1677356</v>
      </c>
      <c r="BN33">
        <v>17510</v>
      </c>
      <c r="BO33">
        <v>252192</v>
      </c>
      <c r="BP33">
        <v>280520</v>
      </c>
      <c r="BQ33">
        <v>438083</v>
      </c>
      <c r="BR33">
        <v>193348</v>
      </c>
      <c r="BS33">
        <v>449155</v>
      </c>
      <c r="BT33">
        <v>409234</v>
      </c>
      <c r="BU33">
        <v>3609352</v>
      </c>
      <c r="BV33">
        <v>269434</v>
      </c>
      <c r="BW33">
        <v>1496453</v>
      </c>
      <c r="BX33">
        <v>1633026</v>
      </c>
      <c r="BY33">
        <v>302576</v>
      </c>
      <c r="BZ33">
        <v>579104</v>
      </c>
      <c r="CA33">
        <v>592992</v>
      </c>
      <c r="CB33">
        <v>614805</v>
      </c>
      <c r="CC33">
        <v>374840</v>
      </c>
      <c r="CD33">
        <v>525835</v>
      </c>
    </row>
    <row r="34" spans="1:82" x14ac:dyDescent="0.4">
      <c r="A34" s="1" t="s">
        <v>56</v>
      </c>
      <c r="B34" s="1" t="s">
        <v>57</v>
      </c>
      <c r="C34">
        <v>4538</v>
      </c>
      <c r="D34">
        <v>784</v>
      </c>
      <c r="E34">
        <v>142386</v>
      </c>
      <c r="F34">
        <v>2965</v>
      </c>
      <c r="G34">
        <v>5474</v>
      </c>
      <c r="H34">
        <v>4344</v>
      </c>
      <c r="I34">
        <v>1129325</v>
      </c>
      <c r="J34">
        <v>3139</v>
      </c>
      <c r="K34">
        <v>8126</v>
      </c>
      <c r="L34">
        <v>6776</v>
      </c>
      <c r="M34">
        <v>1781146</v>
      </c>
      <c r="N34">
        <v>6643</v>
      </c>
      <c r="O34">
        <v>4732</v>
      </c>
      <c r="P34">
        <v>4389</v>
      </c>
      <c r="Q34">
        <v>2303142</v>
      </c>
      <c r="R34">
        <v>2966</v>
      </c>
      <c r="S34">
        <v>8393</v>
      </c>
      <c r="T34">
        <v>7003</v>
      </c>
      <c r="U34">
        <v>1503464</v>
      </c>
      <c r="V34">
        <v>25158</v>
      </c>
      <c r="W34">
        <v>485</v>
      </c>
      <c r="X34">
        <v>532</v>
      </c>
      <c r="Y34">
        <v>852818</v>
      </c>
      <c r="Z34">
        <v>811</v>
      </c>
      <c r="AA34">
        <v>304</v>
      </c>
      <c r="AB34">
        <v>325</v>
      </c>
      <c r="AC34">
        <v>1189685</v>
      </c>
      <c r="AD34">
        <v>675</v>
      </c>
      <c r="AE34">
        <v>2256</v>
      </c>
      <c r="AF34">
        <v>1099</v>
      </c>
      <c r="AG34">
        <v>893841</v>
      </c>
      <c r="AH34">
        <v>14878</v>
      </c>
      <c r="AI34">
        <v>8969</v>
      </c>
      <c r="AJ34">
        <v>10178</v>
      </c>
      <c r="AK34">
        <v>5152876</v>
      </c>
      <c r="AL34">
        <v>48819</v>
      </c>
      <c r="AM34">
        <v>36861</v>
      </c>
      <c r="AN34">
        <v>44060</v>
      </c>
      <c r="AO34">
        <v>9916805</v>
      </c>
      <c r="AP34">
        <v>49844</v>
      </c>
      <c r="AQ34">
        <v>1263</v>
      </c>
      <c r="AR34">
        <v>1414</v>
      </c>
      <c r="AS34">
        <v>1120297</v>
      </c>
      <c r="AT34">
        <v>4714</v>
      </c>
      <c r="AU34">
        <v>37818</v>
      </c>
      <c r="AV34">
        <v>34588</v>
      </c>
      <c r="AW34">
        <v>1080402</v>
      </c>
      <c r="AX34">
        <v>10959</v>
      </c>
      <c r="AY34">
        <v>45530</v>
      </c>
      <c r="AZ34">
        <v>48057</v>
      </c>
      <c r="BA34">
        <v>1687082</v>
      </c>
      <c r="BB34">
        <v>15500</v>
      </c>
      <c r="BC34">
        <v>692</v>
      </c>
      <c r="BD34">
        <v>523</v>
      </c>
      <c r="BE34">
        <v>3886862</v>
      </c>
      <c r="BF34">
        <v>1729</v>
      </c>
      <c r="BG34">
        <v>26223</v>
      </c>
      <c r="BH34">
        <v>26349</v>
      </c>
      <c r="BI34">
        <v>841334</v>
      </c>
      <c r="BJ34">
        <v>16482</v>
      </c>
      <c r="BK34">
        <v>12741</v>
      </c>
      <c r="BL34">
        <v>8687</v>
      </c>
      <c r="BM34">
        <v>1658699</v>
      </c>
      <c r="BN34">
        <v>20116</v>
      </c>
      <c r="BO34">
        <v>265041</v>
      </c>
      <c r="BP34">
        <v>262677</v>
      </c>
      <c r="BQ34">
        <v>428718</v>
      </c>
      <c r="BR34">
        <v>191429</v>
      </c>
      <c r="BS34">
        <v>310013</v>
      </c>
      <c r="BT34">
        <v>314685</v>
      </c>
      <c r="BU34">
        <v>3106852</v>
      </c>
      <c r="BV34">
        <v>229592</v>
      </c>
      <c r="BW34">
        <v>1312577</v>
      </c>
      <c r="BX34">
        <v>1478582</v>
      </c>
      <c r="BY34">
        <v>285254</v>
      </c>
      <c r="BZ34">
        <v>531999</v>
      </c>
      <c r="CA34">
        <v>594715</v>
      </c>
      <c r="CB34">
        <v>681137</v>
      </c>
      <c r="CC34">
        <v>493189</v>
      </c>
      <c r="CD34">
        <v>501891</v>
      </c>
    </row>
    <row r="35" spans="1:82" x14ac:dyDescent="0.4">
      <c r="A35" s="1" t="s">
        <v>58</v>
      </c>
      <c r="B35" s="1" t="s">
        <v>59</v>
      </c>
      <c r="C35">
        <v>4583</v>
      </c>
      <c r="D35">
        <v>656</v>
      </c>
      <c r="E35">
        <v>155555</v>
      </c>
      <c r="F35">
        <v>2439</v>
      </c>
      <c r="G35">
        <v>4229</v>
      </c>
      <c r="H35">
        <v>3626</v>
      </c>
      <c r="I35">
        <v>994209</v>
      </c>
      <c r="J35">
        <v>3172</v>
      </c>
      <c r="K35">
        <v>8256</v>
      </c>
      <c r="L35">
        <v>7226</v>
      </c>
      <c r="M35">
        <v>1885887</v>
      </c>
      <c r="N35">
        <v>6653</v>
      </c>
      <c r="O35">
        <v>4087</v>
      </c>
      <c r="P35">
        <v>4156</v>
      </c>
      <c r="Q35">
        <v>2193087</v>
      </c>
      <c r="R35">
        <v>2942</v>
      </c>
      <c r="S35">
        <v>7633</v>
      </c>
      <c r="T35">
        <v>6155</v>
      </c>
      <c r="U35">
        <v>1486763</v>
      </c>
      <c r="V35">
        <v>24240</v>
      </c>
      <c r="W35">
        <v>550</v>
      </c>
      <c r="X35">
        <v>516</v>
      </c>
      <c r="Y35">
        <v>824012</v>
      </c>
      <c r="Z35">
        <v>803</v>
      </c>
      <c r="AA35">
        <v>327</v>
      </c>
      <c r="AB35">
        <v>295</v>
      </c>
      <c r="AC35">
        <v>1534796</v>
      </c>
      <c r="AD35">
        <v>678</v>
      </c>
      <c r="AE35">
        <v>1229</v>
      </c>
      <c r="AF35">
        <v>1503</v>
      </c>
      <c r="AG35">
        <v>933571</v>
      </c>
      <c r="AH35">
        <v>14603</v>
      </c>
      <c r="AI35">
        <v>10739</v>
      </c>
      <c r="AJ35">
        <v>11337</v>
      </c>
      <c r="AK35">
        <v>5523420</v>
      </c>
      <c r="AL35">
        <v>48215</v>
      </c>
      <c r="AM35">
        <v>43290</v>
      </c>
      <c r="AN35">
        <v>37293</v>
      </c>
      <c r="AO35">
        <v>8693583</v>
      </c>
      <c r="AP35">
        <v>55718</v>
      </c>
      <c r="AQ35">
        <v>1463</v>
      </c>
      <c r="AR35">
        <v>1327</v>
      </c>
      <c r="AS35">
        <v>1689348</v>
      </c>
      <c r="AT35">
        <v>4502</v>
      </c>
      <c r="AU35">
        <v>40282</v>
      </c>
      <c r="AV35">
        <v>36115</v>
      </c>
      <c r="AW35">
        <v>1131981</v>
      </c>
      <c r="AX35">
        <v>10939</v>
      </c>
      <c r="AY35">
        <v>52416</v>
      </c>
      <c r="AZ35">
        <v>54776</v>
      </c>
      <c r="BA35">
        <v>1900633</v>
      </c>
      <c r="BB35">
        <v>15619</v>
      </c>
      <c r="BC35">
        <v>806</v>
      </c>
      <c r="BD35">
        <v>553</v>
      </c>
      <c r="BE35">
        <v>4051798</v>
      </c>
      <c r="BF35">
        <v>1836</v>
      </c>
      <c r="BG35">
        <v>25500</v>
      </c>
      <c r="BH35">
        <v>24659</v>
      </c>
      <c r="BI35">
        <v>804541</v>
      </c>
      <c r="BJ35">
        <v>17193</v>
      </c>
      <c r="BK35">
        <v>12829</v>
      </c>
      <c r="BL35">
        <v>9497</v>
      </c>
      <c r="BM35">
        <v>1819790</v>
      </c>
      <c r="BN35">
        <v>21612</v>
      </c>
      <c r="BO35">
        <v>303672</v>
      </c>
      <c r="BP35">
        <v>286458</v>
      </c>
      <c r="BQ35">
        <v>440501</v>
      </c>
      <c r="BR35">
        <v>202291</v>
      </c>
      <c r="BS35">
        <v>387320</v>
      </c>
      <c r="BT35">
        <v>370342</v>
      </c>
      <c r="BU35">
        <v>3260176</v>
      </c>
      <c r="BV35">
        <v>211098</v>
      </c>
      <c r="BW35">
        <v>1433201</v>
      </c>
      <c r="BX35">
        <v>1615548</v>
      </c>
      <c r="BY35">
        <v>297473</v>
      </c>
      <c r="BZ35">
        <v>505782</v>
      </c>
      <c r="CA35">
        <v>495727</v>
      </c>
      <c r="CB35">
        <v>651177</v>
      </c>
      <c r="CC35">
        <v>484722</v>
      </c>
      <c r="CD35">
        <v>426457</v>
      </c>
    </row>
    <row r="36" spans="1:82" x14ac:dyDescent="0.4">
      <c r="A36" s="1" t="s">
        <v>60</v>
      </c>
      <c r="B36" s="1" t="s">
        <v>61</v>
      </c>
      <c r="C36">
        <v>5457</v>
      </c>
      <c r="D36">
        <v>1513</v>
      </c>
      <c r="E36">
        <v>360520</v>
      </c>
      <c r="F36">
        <v>2638</v>
      </c>
      <c r="G36">
        <v>4865</v>
      </c>
      <c r="H36">
        <v>4122</v>
      </c>
      <c r="I36">
        <v>1067354</v>
      </c>
      <c r="J36">
        <v>2924</v>
      </c>
      <c r="K36">
        <v>8479</v>
      </c>
      <c r="L36">
        <v>6903</v>
      </c>
      <c r="M36">
        <v>1803652</v>
      </c>
      <c r="N36">
        <v>6980</v>
      </c>
      <c r="O36">
        <v>3593</v>
      </c>
      <c r="P36">
        <v>3845</v>
      </c>
      <c r="Q36">
        <v>2092904</v>
      </c>
      <c r="R36">
        <v>2725</v>
      </c>
      <c r="S36">
        <v>9310</v>
      </c>
      <c r="T36">
        <v>7419</v>
      </c>
      <c r="U36">
        <v>1671196</v>
      </c>
      <c r="V36">
        <v>24849</v>
      </c>
      <c r="W36">
        <v>498</v>
      </c>
      <c r="X36">
        <v>535</v>
      </c>
      <c r="Y36">
        <v>873342</v>
      </c>
      <c r="Z36">
        <v>755</v>
      </c>
      <c r="AA36">
        <v>256</v>
      </c>
      <c r="AB36">
        <v>317</v>
      </c>
      <c r="AC36">
        <v>1282322</v>
      </c>
      <c r="AD36">
        <v>630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>
        <v>41129</v>
      </c>
      <c r="AN36">
        <v>38254</v>
      </c>
      <c r="AO36">
        <v>8817398</v>
      </c>
      <c r="AP36">
        <v>58458</v>
      </c>
      <c r="AQ36">
        <v>1490</v>
      </c>
      <c r="AR36">
        <v>1109</v>
      </c>
      <c r="AS36">
        <v>1080329</v>
      </c>
      <c r="AT36">
        <v>4769</v>
      </c>
      <c r="AU36">
        <v>36695</v>
      </c>
      <c r="AV36">
        <v>33300</v>
      </c>
      <c r="AW36">
        <v>1048023</v>
      </c>
      <c r="AX36">
        <v>10440</v>
      </c>
      <c r="AY36">
        <v>44798</v>
      </c>
      <c r="AZ36">
        <v>46438</v>
      </c>
      <c r="BA36">
        <v>1602143</v>
      </c>
      <c r="BB36">
        <v>16300</v>
      </c>
      <c r="BC36">
        <v>754</v>
      </c>
      <c r="BD36">
        <v>611</v>
      </c>
      <c r="BE36">
        <v>3947063</v>
      </c>
      <c r="BF36">
        <v>1813</v>
      </c>
      <c r="BG36">
        <v>20483</v>
      </c>
      <c r="BH36">
        <v>20588</v>
      </c>
      <c r="BI36">
        <v>664988</v>
      </c>
      <c r="BJ36">
        <v>17158</v>
      </c>
      <c r="BK36">
        <v>11795</v>
      </c>
      <c r="BL36">
        <v>9297</v>
      </c>
      <c r="BM36">
        <v>1668560</v>
      </c>
      <c r="BN36">
        <v>22842</v>
      </c>
      <c r="BO36">
        <v>297341</v>
      </c>
      <c r="BP36">
        <v>270780</v>
      </c>
      <c r="BQ36">
        <v>411947</v>
      </c>
      <c r="BR36">
        <v>221180</v>
      </c>
      <c r="BS36">
        <v>517671</v>
      </c>
      <c r="BT36">
        <v>419921</v>
      </c>
      <c r="BU36">
        <v>4280798</v>
      </c>
      <c r="BV36">
        <v>275771</v>
      </c>
      <c r="BW36">
        <v>1302702</v>
      </c>
      <c r="BX36">
        <v>1291191</v>
      </c>
      <c r="BY36">
        <v>253197</v>
      </c>
      <c r="BZ36">
        <v>647039</v>
      </c>
      <c r="CA36">
        <v>568343</v>
      </c>
      <c r="CB36">
        <v>563213</v>
      </c>
      <c r="CC36">
        <v>392505</v>
      </c>
      <c r="CD36">
        <v>485037</v>
      </c>
    </row>
    <row r="37" spans="1:82" x14ac:dyDescent="0.4">
      <c r="A37" s="1" t="s">
        <v>62</v>
      </c>
      <c r="B37" s="1" t="s">
        <v>63</v>
      </c>
      <c r="C37">
        <v>4700</v>
      </c>
      <c r="D37">
        <v>1418</v>
      </c>
      <c r="E37">
        <v>365629</v>
      </c>
      <c r="F37">
        <v>3281</v>
      </c>
      <c r="G37">
        <v>5211</v>
      </c>
      <c r="H37">
        <v>4091</v>
      </c>
      <c r="I37">
        <v>1055513</v>
      </c>
      <c r="J37">
        <v>3234</v>
      </c>
      <c r="K37">
        <v>7724</v>
      </c>
      <c r="L37">
        <v>6956</v>
      </c>
      <c r="M37">
        <v>1791650</v>
      </c>
      <c r="N37">
        <v>6304</v>
      </c>
      <c r="O37">
        <v>4488</v>
      </c>
      <c r="P37">
        <v>3954</v>
      </c>
      <c r="Q37">
        <v>2167137</v>
      </c>
      <c r="R37">
        <v>3260</v>
      </c>
      <c r="S37">
        <v>8414</v>
      </c>
      <c r="T37">
        <v>7658</v>
      </c>
      <c r="U37">
        <v>1758788</v>
      </c>
      <c r="V37">
        <v>24599</v>
      </c>
      <c r="W37">
        <v>585</v>
      </c>
      <c r="X37">
        <v>525</v>
      </c>
      <c r="Y37">
        <v>901897</v>
      </c>
      <c r="Z37">
        <v>770</v>
      </c>
      <c r="AA37">
        <v>309</v>
      </c>
      <c r="AB37">
        <v>292</v>
      </c>
      <c r="AC37">
        <v>1227460</v>
      </c>
      <c r="AD37">
        <v>606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>
        <v>38792</v>
      </c>
      <c r="AN37">
        <v>40211</v>
      </c>
      <c r="AO37">
        <v>9278169</v>
      </c>
      <c r="AP37">
        <v>56940</v>
      </c>
      <c r="AQ37">
        <v>1452</v>
      </c>
      <c r="AR37">
        <v>1210</v>
      </c>
      <c r="AS37">
        <v>1049134</v>
      </c>
      <c r="AT37">
        <v>4926</v>
      </c>
      <c r="AU37">
        <v>37785</v>
      </c>
      <c r="AV37">
        <v>33409</v>
      </c>
      <c r="AW37">
        <v>1040425</v>
      </c>
      <c r="AX37">
        <v>9899</v>
      </c>
      <c r="AY37">
        <v>44141</v>
      </c>
      <c r="AZ37">
        <v>46604</v>
      </c>
      <c r="BA37">
        <v>1613868</v>
      </c>
      <c r="BB37">
        <v>15865</v>
      </c>
      <c r="BC37">
        <v>675</v>
      </c>
      <c r="BD37">
        <v>588</v>
      </c>
      <c r="BE37">
        <v>4155513</v>
      </c>
      <c r="BF37">
        <v>1725</v>
      </c>
      <c r="BG37">
        <v>24800</v>
      </c>
      <c r="BH37">
        <v>24321</v>
      </c>
      <c r="BI37">
        <v>767146</v>
      </c>
      <c r="BJ37">
        <v>17439</v>
      </c>
      <c r="BK37">
        <v>10280</v>
      </c>
      <c r="BL37">
        <v>8367</v>
      </c>
      <c r="BM37">
        <v>1568831</v>
      </c>
      <c r="BN37">
        <v>23760</v>
      </c>
      <c r="BO37">
        <v>277860</v>
      </c>
      <c r="BP37">
        <v>270238</v>
      </c>
      <c r="BQ37">
        <v>376118</v>
      </c>
      <c r="BR37">
        <v>222214</v>
      </c>
      <c r="BS37">
        <v>454252</v>
      </c>
      <c r="BT37">
        <v>446088</v>
      </c>
      <c r="BU37">
        <v>4195220</v>
      </c>
      <c r="BV37">
        <v>254491</v>
      </c>
      <c r="BW37">
        <v>1218979</v>
      </c>
      <c r="BX37">
        <v>1370316</v>
      </c>
      <c r="BY37">
        <v>265284</v>
      </c>
      <c r="BZ37">
        <v>617976</v>
      </c>
      <c r="CA37">
        <v>577481</v>
      </c>
      <c r="CB37">
        <v>595780</v>
      </c>
      <c r="CC37">
        <v>453213</v>
      </c>
      <c r="CD37">
        <v>511378</v>
      </c>
    </row>
    <row r="38" spans="1:82" x14ac:dyDescent="0.4">
      <c r="A38" s="1" t="s">
        <v>64</v>
      </c>
      <c r="B38" s="1" t="s">
        <v>65</v>
      </c>
      <c r="C38">
        <v>4551</v>
      </c>
      <c r="D38">
        <v>2016</v>
      </c>
      <c r="E38">
        <v>600894</v>
      </c>
      <c r="F38">
        <v>3130</v>
      </c>
      <c r="G38">
        <v>3817</v>
      </c>
      <c r="H38">
        <v>3785</v>
      </c>
      <c r="I38">
        <v>1009200</v>
      </c>
      <c r="J38">
        <v>2553</v>
      </c>
      <c r="K38">
        <v>6805</v>
      </c>
      <c r="L38">
        <v>5803</v>
      </c>
      <c r="M38">
        <v>1469661</v>
      </c>
      <c r="N38">
        <v>6288</v>
      </c>
      <c r="O38">
        <v>4929</v>
      </c>
      <c r="P38">
        <v>4510</v>
      </c>
      <c r="Q38">
        <v>2477006</v>
      </c>
      <c r="R38">
        <v>3680</v>
      </c>
      <c r="S38">
        <v>8923</v>
      </c>
      <c r="T38">
        <v>10250</v>
      </c>
      <c r="U38">
        <v>1945676</v>
      </c>
      <c r="V38">
        <v>22066</v>
      </c>
      <c r="W38">
        <v>631</v>
      </c>
      <c r="X38">
        <v>589</v>
      </c>
      <c r="Y38">
        <v>950456</v>
      </c>
      <c r="Z38">
        <v>740</v>
      </c>
      <c r="AA38">
        <v>280</v>
      </c>
      <c r="AB38">
        <v>321</v>
      </c>
      <c r="AC38">
        <v>1355490</v>
      </c>
      <c r="AD38">
        <v>586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>
        <v>40051</v>
      </c>
      <c r="AN38">
        <v>46742</v>
      </c>
      <c r="AO38">
        <v>10469383</v>
      </c>
      <c r="AP38">
        <v>50355</v>
      </c>
      <c r="AQ38">
        <v>1907</v>
      </c>
      <c r="AR38">
        <v>1534</v>
      </c>
      <c r="AS38">
        <v>1392204</v>
      </c>
      <c r="AT38">
        <v>5141</v>
      </c>
      <c r="AU38">
        <v>42966</v>
      </c>
      <c r="AV38">
        <v>37910</v>
      </c>
      <c r="AW38">
        <v>1195433</v>
      </c>
      <c r="AX38">
        <v>10329</v>
      </c>
      <c r="AY38">
        <v>51625</v>
      </c>
      <c r="AZ38">
        <v>55734</v>
      </c>
      <c r="BA38">
        <v>1939761</v>
      </c>
      <c r="BB38">
        <v>14479</v>
      </c>
      <c r="BC38">
        <v>731</v>
      </c>
      <c r="BD38">
        <v>550</v>
      </c>
      <c r="BE38">
        <v>4236600</v>
      </c>
      <c r="BF38">
        <v>1780</v>
      </c>
      <c r="BG38">
        <v>24261</v>
      </c>
      <c r="BH38">
        <v>24202</v>
      </c>
      <c r="BI38">
        <v>793420</v>
      </c>
      <c r="BJ38">
        <v>17552</v>
      </c>
      <c r="BK38">
        <v>9041</v>
      </c>
      <c r="BL38">
        <v>9695</v>
      </c>
      <c r="BM38">
        <v>1791951</v>
      </c>
      <c r="BN38">
        <v>25541</v>
      </c>
      <c r="BO38">
        <v>271052</v>
      </c>
      <c r="BP38">
        <v>257526</v>
      </c>
      <c r="BQ38">
        <v>397772</v>
      </c>
      <c r="BR38">
        <v>230080</v>
      </c>
      <c r="BS38">
        <v>486907</v>
      </c>
      <c r="BT38">
        <v>491098</v>
      </c>
      <c r="BU38">
        <v>4367878</v>
      </c>
      <c r="BV38">
        <v>216942</v>
      </c>
      <c r="BW38">
        <v>1352236</v>
      </c>
      <c r="BX38">
        <v>1468651</v>
      </c>
      <c r="BY38">
        <v>300722</v>
      </c>
      <c r="BZ38">
        <v>636590</v>
      </c>
      <c r="CA38">
        <v>682991</v>
      </c>
      <c r="CB38">
        <v>782862</v>
      </c>
      <c r="CC38">
        <v>680578</v>
      </c>
      <c r="CD38">
        <v>479886</v>
      </c>
    </row>
    <row r="39" spans="1:82" x14ac:dyDescent="0.4">
      <c r="A39" s="1"/>
      <c r="B39" s="1"/>
    </row>
    <row r="40" spans="1:82" x14ac:dyDescent="0.4">
      <c r="A40" s="1"/>
      <c r="B40" s="1"/>
    </row>
  </sheetData>
  <phoneticPr fontId="2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EFDE5-B327-485B-9AAF-2BF5A8DD18D3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2526</v>
      </c>
      <c r="D3" t="s">
        <v>2526</v>
      </c>
      <c r="E3" t="s">
        <v>2526</v>
      </c>
      <c r="F3" t="s">
        <v>2526</v>
      </c>
      <c r="G3" t="s">
        <v>2528</v>
      </c>
      <c r="H3" t="s">
        <v>2528</v>
      </c>
      <c r="I3" t="s">
        <v>2528</v>
      </c>
      <c r="J3" t="s">
        <v>2528</v>
      </c>
      <c r="K3" t="s">
        <v>2530</v>
      </c>
      <c r="L3" t="s">
        <v>2530</v>
      </c>
      <c r="M3" t="s">
        <v>2530</v>
      </c>
      <c r="N3" t="s">
        <v>2530</v>
      </c>
      <c r="O3" t="s">
        <v>2532</v>
      </c>
      <c r="P3" t="s">
        <v>2532</v>
      </c>
      <c r="Q3" t="s">
        <v>2532</v>
      </c>
      <c r="R3" t="s">
        <v>2532</v>
      </c>
      <c r="S3" t="s">
        <v>2534</v>
      </c>
      <c r="T3" t="s">
        <v>2534</v>
      </c>
      <c r="U3" t="s">
        <v>2534</v>
      </c>
      <c r="V3" t="s">
        <v>2534</v>
      </c>
      <c r="W3" t="s">
        <v>2536</v>
      </c>
      <c r="X3" t="s">
        <v>2536</v>
      </c>
      <c r="Y3" t="s">
        <v>2536</v>
      </c>
      <c r="Z3" t="s">
        <v>2536</v>
      </c>
      <c r="AA3" t="s">
        <v>2538</v>
      </c>
      <c r="AB3" t="s">
        <v>2538</v>
      </c>
      <c r="AC3" t="s">
        <v>2538</v>
      </c>
      <c r="AD3" t="s">
        <v>2538</v>
      </c>
      <c r="AE3" t="s">
        <v>2540</v>
      </c>
      <c r="AF3" t="s">
        <v>2540</v>
      </c>
      <c r="AG3" t="s">
        <v>2540</v>
      </c>
      <c r="AH3" t="s">
        <v>2540</v>
      </c>
    </row>
    <row r="4" spans="1:34" x14ac:dyDescent="0.4">
      <c r="A4" s="1"/>
      <c r="B4" s="2" t="s">
        <v>1</v>
      </c>
      <c r="C4" t="s">
        <v>2527</v>
      </c>
      <c r="D4" t="s">
        <v>2527</v>
      </c>
      <c r="E4" t="s">
        <v>2527</v>
      </c>
      <c r="F4" t="s">
        <v>2527</v>
      </c>
      <c r="G4" t="s">
        <v>2529</v>
      </c>
      <c r="H4" t="s">
        <v>2529</v>
      </c>
      <c r="I4" t="s">
        <v>2529</v>
      </c>
      <c r="J4" t="s">
        <v>2529</v>
      </c>
      <c r="K4" t="s">
        <v>2531</v>
      </c>
      <c r="L4" t="s">
        <v>2531</v>
      </c>
      <c r="M4" t="s">
        <v>2531</v>
      </c>
      <c r="N4" t="s">
        <v>2531</v>
      </c>
      <c r="O4" t="s">
        <v>2533</v>
      </c>
      <c r="P4" t="s">
        <v>2533</v>
      </c>
      <c r="Q4" t="s">
        <v>2533</v>
      </c>
      <c r="R4" t="s">
        <v>2533</v>
      </c>
      <c r="S4" t="s">
        <v>2535</v>
      </c>
      <c r="T4" t="s">
        <v>2535</v>
      </c>
      <c r="U4" t="s">
        <v>2535</v>
      </c>
      <c r="V4" t="s">
        <v>2535</v>
      </c>
      <c r="W4" t="s">
        <v>2537</v>
      </c>
      <c r="X4" t="s">
        <v>2537</v>
      </c>
      <c r="Y4" t="s">
        <v>2537</v>
      </c>
      <c r="Z4" t="s">
        <v>2537</v>
      </c>
      <c r="AA4" t="s">
        <v>2539</v>
      </c>
      <c r="AB4" t="s">
        <v>2539</v>
      </c>
      <c r="AC4" t="s">
        <v>2539</v>
      </c>
      <c r="AD4" t="s">
        <v>2539</v>
      </c>
      <c r="AE4" t="s">
        <v>2541</v>
      </c>
      <c r="AF4" t="s">
        <v>2541</v>
      </c>
      <c r="AG4" t="s">
        <v>2541</v>
      </c>
      <c r="AH4" t="s">
        <v>2541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13531</v>
      </c>
      <c r="D9">
        <v>11915</v>
      </c>
      <c r="E9">
        <v>13726734</v>
      </c>
      <c r="F9">
        <v>7109</v>
      </c>
      <c r="G9">
        <v>28601</v>
      </c>
      <c r="H9">
        <v>27453</v>
      </c>
      <c r="I9">
        <v>10095972</v>
      </c>
      <c r="J9">
        <v>5002</v>
      </c>
      <c r="K9">
        <v>20249</v>
      </c>
      <c r="L9">
        <v>17040</v>
      </c>
      <c r="M9">
        <v>139853963</v>
      </c>
      <c r="N9">
        <v>4249</v>
      </c>
      <c r="O9">
        <v>18557</v>
      </c>
      <c r="P9">
        <v>18772</v>
      </c>
      <c r="Q9">
        <v>25731975</v>
      </c>
      <c r="R9">
        <v>1678</v>
      </c>
      <c r="S9">
        <v>245</v>
      </c>
      <c r="T9">
        <v>295</v>
      </c>
      <c r="U9">
        <v>10340108</v>
      </c>
      <c r="V9">
        <v>46</v>
      </c>
      <c r="W9">
        <v>459</v>
      </c>
      <c r="X9">
        <v>344</v>
      </c>
      <c r="Y9">
        <v>4998303</v>
      </c>
      <c r="Z9">
        <v>130</v>
      </c>
      <c r="AA9">
        <v>10325</v>
      </c>
      <c r="AB9">
        <v>11675</v>
      </c>
      <c r="AC9">
        <v>551361531</v>
      </c>
      <c r="AD9">
        <v>609</v>
      </c>
      <c r="AE9">
        <v>6103</v>
      </c>
      <c r="AF9">
        <v>5890</v>
      </c>
      <c r="AG9">
        <v>10895912</v>
      </c>
      <c r="AH9">
        <v>451</v>
      </c>
    </row>
    <row r="10" spans="1:34" x14ac:dyDescent="0.4">
      <c r="A10" s="1" t="s">
        <v>8</v>
      </c>
      <c r="B10" s="3" t="s">
        <v>9</v>
      </c>
      <c r="C10">
        <v>12922</v>
      </c>
      <c r="D10">
        <v>13283</v>
      </c>
      <c r="E10">
        <v>17482512</v>
      </c>
      <c r="F10">
        <v>6765</v>
      </c>
      <c r="G10">
        <v>26590</v>
      </c>
      <c r="H10">
        <v>25998</v>
      </c>
      <c r="I10">
        <v>11599168</v>
      </c>
      <c r="J10">
        <v>5524</v>
      </c>
      <c r="K10">
        <v>21266</v>
      </c>
      <c r="L10">
        <v>20779</v>
      </c>
      <c r="M10">
        <v>258802838</v>
      </c>
      <c r="N10">
        <v>3365</v>
      </c>
      <c r="O10">
        <v>18099</v>
      </c>
      <c r="P10">
        <v>17557</v>
      </c>
      <c r="Q10">
        <v>28668870</v>
      </c>
      <c r="R10">
        <v>1970</v>
      </c>
      <c r="S10">
        <v>371</v>
      </c>
      <c r="T10">
        <v>279</v>
      </c>
      <c r="U10">
        <v>17862030</v>
      </c>
      <c r="V10">
        <v>131</v>
      </c>
      <c r="W10">
        <v>386</v>
      </c>
      <c r="X10">
        <v>308</v>
      </c>
      <c r="Y10">
        <v>3753662</v>
      </c>
      <c r="Z10">
        <v>134</v>
      </c>
      <c r="AA10">
        <v>9418</v>
      </c>
      <c r="AB10">
        <v>10856</v>
      </c>
      <c r="AC10">
        <v>532097613</v>
      </c>
      <c r="AD10">
        <v>538</v>
      </c>
      <c r="AE10">
        <v>8568</v>
      </c>
      <c r="AF10">
        <v>8572</v>
      </c>
      <c r="AG10">
        <v>16676274</v>
      </c>
      <c r="AH10">
        <v>384</v>
      </c>
    </row>
    <row r="11" spans="1:34" x14ac:dyDescent="0.4">
      <c r="A11" s="1" t="s">
        <v>10</v>
      </c>
      <c r="B11" s="3" t="s">
        <v>11</v>
      </c>
      <c r="C11">
        <v>14510</v>
      </c>
      <c r="D11">
        <v>14607</v>
      </c>
      <c r="E11">
        <v>24293913</v>
      </c>
      <c r="F11">
        <v>6681</v>
      </c>
      <c r="G11">
        <v>26289</v>
      </c>
      <c r="H11">
        <v>26332</v>
      </c>
      <c r="I11">
        <v>15342579</v>
      </c>
      <c r="J11">
        <v>5442</v>
      </c>
      <c r="K11">
        <v>16659</v>
      </c>
      <c r="L11">
        <v>13919</v>
      </c>
      <c r="M11">
        <v>147038793</v>
      </c>
      <c r="N11">
        <v>4404</v>
      </c>
      <c r="O11">
        <v>14298</v>
      </c>
      <c r="P11">
        <v>13975</v>
      </c>
      <c r="Q11">
        <v>28154441</v>
      </c>
      <c r="R11">
        <v>2053</v>
      </c>
      <c r="S11">
        <v>70</v>
      </c>
      <c r="T11">
        <v>188</v>
      </c>
      <c r="U11">
        <v>10739280</v>
      </c>
      <c r="V11">
        <v>10</v>
      </c>
      <c r="W11">
        <v>477</v>
      </c>
      <c r="X11">
        <v>398</v>
      </c>
      <c r="Y11">
        <v>4379661</v>
      </c>
      <c r="Z11">
        <v>107</v>
      </c>
      <c r="AA11">
        <v>9847</v>
      </c>
      <c r="AB11">
        <v>11038</v>
      </c>
      <c r="AC11">
        <v>399075930</v>
      </c>
      <c r="AD11">
        <v>540</v>
      </c>
      <c r="AE11">
        <v>4939</v>
      </c>
      <c r="AF11">
        <v>4998</v>
      </c>
      <c r="AG11">
        <v>12554260</v>
      </c>
      <c r="AH11">
        <v>302</v>
      </c>
    </row>
    <row r="12" spans="1:34" x14ac:dyDescent="0.4">
      <c r="A12" s="1" t="s">
        <v>12</v>
      </c>
      <c r="B12" s="3" t="s">
        <v>13</v>
      </c>
      <c r="C12">
        <v>15494</v>
      </c>
      <c r="D12">
        <v>16781</v>
      </c>
      <c r="E12">
        <v>28971696</v>
      </c>
      <c r="F12">
        <v>5425</v>
      </c>
      <c r="G12">
        <v>27085</v>
      </c>
      <c r="H12">
        <v>26830</v>
      </c>
      <c r="I12">
        <v>14552045</v>
      </c>
      <c r="J12">
        <v>5675</v>
      </c>
      <c r="K12">
        <v>16741</v>
      </c>
      <c r="L12">
        <v>15491</v>
      </c>
      <c r="M12">
        <v>149241031</v>
      </c>
      <c r="N12">
        <v>3898</v>
      </c>
      <c r="O12">
        <v>13111</v>
      </c>
      <c r="P12">
        <v>12844</v>
      </c>
      <c r="Q12">
        <v>29807602</v>
      </c>
      <c r="R12">
        <v>2081</v>
      </c>
      <c r="S12" t="s">
        <v>73</v>
      </c>
      <c r="T12" t="s">
        <v>73</v>
      </c>
      <c r="U12" t="s">
        <v>73</v>
      </c>
      <c r="V12" t="s">
        <v>73</v>
      </c>
      <c r="W12" t="s">
        <v>73</v>
      </c>
      <c r="X12" t="s">
        <v>73</v>
      </c>
      <c r="Y12" t="s">
        <v>73</v>
      </c>
      <c r="Z12" t="s">
        <v>73</v>
      </c>
      <c r="AA12">
        <v>9020</v>
      </c>
      <c r="AB12">
        <v>9644</v>
      </c>
      <c r="AC12">
        <v>235864156</v>
      </c>
      <c r="AD12">
        <v>560</v>
      </c>
      <c r="AE12">
        <v>3787</v>
      </c>
      <c r="AF12">
        <v>3908</v>
      </c>
      <c r="AG12">
        <v>12772856</v>
      </c>
      <c r="AH12">
        <v>157</v>
      </c>
    </row>
    <row r="13" spans="1:34" x14ac:dyDescent="0.4">
      <c r="A13" s="1" t="s">
        <v>14</v>
      </c>
      <c r="B13" s="3" t="s">
        <v>15</v>
      </c>
      <c r="C13">
        <v>15965</v>
      </c>
      <c r="D13">
        <v>14375</v>
      </c>
      <c r="E13">
        <v>28130965</v>
      </c>
      <c r="F13">
        <v>6934</v>
      </c>
      <c r="G13">
        <v>27979</v>
      </c>
      <c r="H13">
        <v>28559</v>
      </c>
      <c r="I13">
        <v>16878725</v>
      </c>
      <c r="J13">
        <v>5082</v>
      </c>
      <c r="K13">
        <v>15543</v>
      </c>
      <c r="L13">
        <v>13750</v>
      </c>
      <c r="M13">
        <v>142900049</v>
      </c>
      <c r="N13">
        <v>4167</v>
      </c>
      <c r="O13">
        <v>12331</v>
      </c>
      <c r="P13">
        <v>12314</v>
      </c>
      <c r="Q13">
        <v>30371527</v>
      </c>
      <c r="R13">
        <v>1884</v>
      </c>
      <c r="S13" t="s">
        <v>73</v>
      </c>
      <c r="T13" t="s">
        <v>73</v>
      </c>
      <c r="U13" t="s">
        <v>73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>
        <v>8466</v>
      </c>
      <c r="AB13">
        <v>9047</v>
      </c>
      <c r="AC13">
        <v>244994545</v>
      </c>
      <c r="AD13">
        <v>620</v>
      </c>
      <c r="AE13">
        <v>3391</v>
      </c>
      <c r="AF13">
        <v>3348</v>
      </c>
      <c r="AG13">
        <v>8054335</v>
      </c>
      <c r="AH13">
        <v>168</v>
      </c>
    </row>
    <row r="14" spans="1:34" x14ac:dyDescent="0.4">
      <c r="A14" s="1" t="s">
        <v>16</v>
      </c>
      <c r="B14" s="1" t="s">
        <v>17</v>
      </c>
      <c r="C14">
        <v>1443</v>
      </c>
      <c r="D14">
        <v>146</v>
      </c>
      <c r="E14">
        <v>304405</v>
      </c>
      <c r="F14">
        <v>5458</v>
      </c>
      <c r="G14">
        <v>2398</v>
      </c>
      <c r="H14">
        <v>2789</v>
      </c>
      <c r="I14">
        <v>1740046</v>
      </c>
      <c r="J14">
        <v>4292</v>
      </c>
      <c r="K14">
        <v>1504</v>
      </c>
      <c r="L14">
        <v>1693</v>
      </c>
      <c r="M14">
        <v>16093279</v>
      </c>
      <c r="N14">
        <v>4001</v>
      </c>
      <c r="O14">
        <v>1078</v>
      </c>
      <c r="P14">
        <v>1218</v>
      </c>
      <c r="Q14">
        <v>3251139</v>
      </c>
      <c r="R14">
        <v>1866</v>
      </c>
      <c r="S14" t="s">
        <v>73</v>
      </c>
      <c r="T14" t="s">
        <v>73</v>
      </c>
      <c r="U14" t="s">
        <v>73</v>
      </c>
      <c r="V14" t="s">
        <v>73</v>
      </c>
      <c r="W14" t="s">
        <v>73</v>
      </c>
      <c r="X14" t="s">
        <v>73</v>
      </c>
      <c r="Y14" t="s">
        <v>73</v>
      </c>
      <c r="Z14" t="s">
        <v>73</v>
      </c>
      <c r="AA14">
        <v>747</v>
      </c>
      <c r="AB14">
        <v>827</v>
      </c>
      <c r="AC14">
        <v>22257963</v>
      </c>
      <c r="AD14">
        <v>551</v>
      </c>
      <c r="AE14">
        <v>389</v>
      </c>
      <c r="AF14">
        <v>373</v>
      </c>
      <c r="AG14">
        <v>1089139</v>
      </c>
      <c r="AH14">
        <v>308</v>
      </c>
    </row>
    <row r="15" spans="1:34" x14ac:dyDescent="0.4">
      <c r="A15" s="1" t="s">
        <v>18</v>
      </c>
      <c r="B15" s="1" t="s">
        <v>19</v>
      </c>
      <c r="C15">
        <v>1381</v>
      </c>
      <c r="D15">
        <v>2897</v>
      </c>
      <c r="E15">
        <v>4069191</v>
      </c>
      <c r="F15">
        <v>3943</v>
      </c>
      <c r="G15">
        <v>2880</v>
      </c>
      <c r="H15">
        <v>1916</v>
      </c>
      <c r="I15">
        <v>866759</v>
      </c>
      <c r="J15">
        <v>5255</v>
      </c>
      <c r="K15">
        <v>1271</v>
      </c>
      <c r="L15">
        <v>909</v>
      </c>
      <c r="M15">
        <v>10067028</v>
      </c>
      <c r="N15">
        <v>4162</v>
      </c>
      <c r="O15">
        <v>1288</v>
      </c>
      <c r="P15">
        <v>1214</v>
      </c>
      <c r="Q15">
        <v>2346582</v>
      </c>
      <c r="R15">
        <v>1924</v>
      </c>
      <c r="S15" t="s">
        <v>73</v>
      </c>
      <c r="T15" t="s">
        <v>73</v>
      </c>
      <c r="U15" t="s">
        <v>73</v>
      </c>
      <c r="V15" t="s">
        <v>73</v>
      </c>
      <c r="W15" t="s">
        <v>73</v>
      </c>
      <c r="X15" t="s">
        <v>73</v>
      </c>
      <c r="Y15" t="s">
        <v>73</v>
      </c>
      <c r="Z15" t="s">
        <v>73</v>
      </c>
      <c r="AA15">
        <v>745</v>
      </c>
      <c r="AB15">
        <v>805</v>
      </c>
      <c r="AC15">
        <v>21294310</v>
      </c>
      <c r="AD15">
        <v>541</v>
      </c>
      <c r="AE15">
        <v>291</v>
      </c>
      <c r="AF15">
        <v>272</v>
      </c>
      <c r="AG15">
        <v>880545</v>
      </c>
      <c r="AH15">
        <v>308</v>
      </c>
    </row>
    <row r="16" spans="1:34" x14ac:dyDescent="0.4">
      <c r="A16" s="1" t="s">
        <v>20</v>
      </c>
      <c r="B16" s="1" t="s">
        <v>21</v>
      </c>
      <c r="C16">
        <v>1437</v>
      </c>
      <c r="D16">
        <v>1879</v>
      </c>
      <c r="E16">
        <v>4164042</v>
      </c>
      <c r="F16">
        <v>3500</v>
      </c>
      <c r="G16">
        <v>2671</v>
      </c>
      <c r="H16">
        <v>2495</v>
      </c>
      <c r="I16">
        <v>1413807</v>
      </c>
      <c r="J16">
        <v>5431</v>
      </c>
      <c r="K16">
        <v>1287</v>
      </c>
      <c r="L16">
        <v>1122</v>
      </c>
      <c r="M16">
        <v>8638374</v>
      </c>
      <c r="N16">
        <v>4283</v>
      </c>
      <c r="O16">
        <v>1154</v>
      </c>
      <c r="P16">
        <v>861</v>
      </c>
      <c r="Q16">
        <v>2169128</v>
      </c>
      <c r="R16">
        <v>2188</v>
      </c>
      <c r="S16" t="s">
        <v>73</v>
      </c>
      <c r="T16" t="s">
        <v>73</v>
      </c>
      <c r="U16" t="s">
        <v>73</v>
      </c>
      <c r="V16" t="s">
        <v>73</v>
      </c>
      <c r="W16" t="s">
        <v>73</v>
      </c>
      <c r="X16" t="s">
        <v>73</v>
      </c>
      <c r="Y16" t="s">
        <v>73</v>
      </c>
      <c r="Z16" t="s">
        <v>73</v>
      </c>
      <c r="AA16">
        <v>748</v>
      </c>
      <c r="AB16">
        <v>780</v>
      </c>
      <c r="AC16">
        <v>15875944</v>
      </c>
      <c r="AD16">
        <v>558</v>
      </c>
      <c r="AE16">
        <v>475</v>
      </c>
      <c r="AF16">
        <v>546</v>
      </c>
      <c r="AG16">
        <v>1801672</v>
      </c>
      <c r="AH16">
        <v>226</v>
      </c>
    </row>
    <row r="17" spans="1:34" x14ac:dyDescent="0.4">
      <c r="A17" s="1" t="s">
        <v>22</v>
      </c>
      <c r="B17" s="1" t="s">
        <v>23</v>
      </c>
      <c r="C17">
        <v>1394</v>
      </c>
      <c r="D17">
        <v>1637</v>
      </c>
      <c r="E17">
        <v>2512300</v>
      </c>
      <c r="F17">
        <v>3257</v>
      </c>
      <c r="G17">
        <v>2628</v>
      </c>
      <c r="H17">
        <v>2399</v>
      </c>
      <c r="I17">
        <v>1311529</v>
      </c>
      <c r="J17">
        <v>5660</v>
      </c>
      <c r="K17">
        <v>1536</v>
      </c>
      <c r="L17">
        <v>1368</v>
      </c>
      <c r="M17">
        <v>12943617</v>
      </c>
      <c r="N17">
        <v>4101</v>
      </c>
      <c r="O17">
        <v>1009</v>
      </c>
      <c r="P17">
        <v>1010</v>
      </c>
      <c r="Q17">
        <v>2101645</v>
      </c>
      <c r="R17">
        <v>2171</v>
      </c>
      <c r="S17" t="s">
        <v>73</v>
      </c>
      <c r="T17" t="s">
        <v>73</v>
      </c>
      <c r="U17" t="s">
        <v>73</v>
      </c>
      <c r="V17" t="s">
        <v>73</v>
      </c>
      <c r="W17" t="s">
        <v>73</v>
      </c>
      <c r="X17" t="s">
        <v>73</v>
      </c>
      <c r="Y17" t="s">
        <v>73</v>
      </c>
      <c r="Z17" t="s">
        <v>73</v>
      </c>
      <c r="AA17">
        <v>752</v>
      </c>
      <c r="AB17">
        <v>816</v>
      </c>
      <c r="AC17">
        <v>19175019</v>
      </c>
      <c r="AD17">
        <v>546</v>
      </c>
      <c r="AE17">
        <v>148</v>
      </c>
      <c r="AF17">
        <v>260</v>
      </c>
      <c r="AG17">
        <v>825008</v>
      </c>
      <c r="AH17">
        <v>143</v>
      </c>
    </row>
    <row r="18" spans="1:34" x14ac:dyDescent="0.4">
      <c r="A18" s="1" t="s">
        <v>24</v>
      </c>
      <c r="B18" s="1" t="s">
        <v>25</v>
      </c>
      <c r="C18">
        <v>1514</v>
      </c>
      <c r="D18">
        <v>1225</v>
      </c>
      <c r="E18">
        <v>1490266</v>
      </c>
      <c r="F18">
        <v>3546</v>
      </c>
      <c r="G18">
        <v>2649</v>
      </c>
      <c r="H18">
        <v>1929</v>
      </c>
      <c r="I18">
        <v>992909</v>
      </c>
      <c r="J18">
        <v>6380</v>
      </c>
      <c r="K18">
        <v>1440</v>
      </c>
      <c r="L18">
        <v>1149</v>
      </c>
      <c r="M18">
        <v>15878107</v>
      </c>
      <c r="N18">
        <v>4366</v>
      </c>
      <c r="O18">
        <v>1059</v>
      </c>
      <c r="P18">
        <v>1150</v>
      </c>
      <c r="Q18">
        <v>2883826</v>
      </c>
      <c r="R18">
        <v>2067</v>
      </c>
      <c r="S18" t="s">
        <v>73</v>
      </c>
      <c r="T18" t="s">
        <v>73</v>
      </c>
      <c r="U18" t="s">
        <v>73</v>
      </c>
      <c r="V18" t="s">
        <v>73</v>
      </c>
      <c r="W18" t="s">
        <v>73</v>
      </c>
      <c r="X18" t="s">
        <v>73</v>
      </c>
      <c r="Y18" t="s">
        <v>73</v>
      </c>
      <c r="Z18" t="s">
        <v>73</v>
      </c>
      <c r="AA18">
        <v>826</v>
      </c>
      <c r="AB18">
        <v>903</v>
      </c>
      <c r="AC18">
        <v>21796041</v>
      </c>
      <c r="AD18">
        <v>525</v>
      </c>
      <c r="AE18">
        <v>340</v>
      </c>
      <c r="AF18">
        <v>249</v>
      </c>
      <c r="AG18">
        <v>796381</v>
      </c>
      <c r="AH18">
        <v>234</v>
      </c>
    </row>
    <row r="19" spans="1:34" x14ac:dyDescent="0.4">
      <c r="A19" s="1" t="s">
        <v>26</v>
      </c>
      <c r="B19" s="1" t="s">
        <v>27</v>
      </c>
      <c r="C19">
        <v>1082</v>
      </c>
      <c r="D19">
        <v>144</v>
      </c>
      <c r="E19">
        <v>360023</v>
      </c>
      <c r="F19">
        <v>4506</v>
      </c>
      <c r="G19">
        <v>179</v>
      </c>
      <c r="H19">
        <v>1794</v>
      </c>
      <c r="I19">
        <v>864854</v>
      </c>
      <c r="J19">
        <v>4765</v>
      </c>
      <c r="K19">
        <v>1417</v>
      </c>
      <c r="L19">
        <v>1233</v>
      </c>
      <c r="M19">
        <v>12144997</v>
      </c>
      <c r="N19">
        <v>4448</v>
      </c>
      <c r="O19">
        <v>1106</v>
      </c>
      <c r="P19">
        <v>951</v>
      </c>
      <c r="Q19">
        <v>2244055</v>
      </c>
      <c r="R19">
        <v>2207</v>
      </c>
      <c r="S19" t="s">
        <v>73</v>
      </c>
      <c r="T19" t="s">
        <v>73</v>
      </c>
      <c r="U19" t="s">
        <v>73</v>
      </c>
      <c r="V19" t="s">
        <v>73</v>
      </c>
      <c r="W19" t="s">
        <v>73</v>
      </c>
      <c r="X19" t="s">
        <v>73</v>
      </c>
      <c r="Y19" t="s">
        <v>73</v>
      </c>
      <c r="Z19" t="s">
        <v>73</v>
      </c>
      <c r="AA19">
        <v>623</v>
      </c>
      <c r="AB19">
        <v>653</v>
      </c>
      <c r="AC19">
        <v>14923902</v>
      </c>
      <c r="AD19">
        <v>553</v>
      </c>
      <c r="AE19">
        <v>160</v>
      </c>
      <c r="AF19">
        <v>157</v>
      </c>
      <c r="AG19">
        <v>711348</v>
      </c>
      <c r="AH19">
        <v>225</v>
      </c>
    </row>
    <row r="20" spans="1:34" x14ac:dyDescent="0.4">
      <c r="A20" s="1" t="s">
        <v>28</v>
      </c>
      <c r="B20" s="1" t="s">
        <v>29</v>
      </c>
      <c r="C20">
        <v>1111</v>
      </c>
      <c r="D20">
        <v>1302</v>
      </c>
      <c r="E20">
        <v>2290094</v>
      </c>
      <c r="F20">
        <v>4317</v>
      </c>
      <c r="G20">
        <v>2692</v>
      </c>
      <c r="H20">
        <v>2158</v>
      </c>
      <c r="I20">
        <v>1132867</v>
      </c>
      <c r="J20">
        <v>5279</v>
      </c>
      <c r="K20">
        <v>1430</v>
      </c>
      <c r="L20">
        <v>1424</v>
      </c>
      <c r="M20">
        <v>12528520</v>
      </c>
      <c r="N20">
        <v>4401</v>
      </c>
      <c r="O20">
        <v>892</v>
      </c>
      <c r="P20">
        <v>1001</v>
      </c>
      <c r="Q20">
        <v>2449481</v>
      </c>
      <c r="R20">
        <v>2074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>
        <v>713</v>
      </c>
      <c r="AB20">
        <v>779</v>
      </c>
      <c r="AC20">
        <v>18466239</v>
      </c>
      <c r="AD20">
        <v>537</v>
      </c>
      <c r="AE20">
        <v>363</v>
      </c>
      <c r="AF20">
        <v>253</v>
      </c>
      <c r="AG20">
        <v>864128</v>
      </c>
      <c r="AH20">
        <v>335</v>
      </c>
    </row>
    <row r="21" spans="1:34" x14ac:dyDescent="0.4">
      <c r="A21" s="1" t="s">
        <v>30</v>
      </c>
      <c r="B21" s="1" t="s">
        <v>31</v>
      </c>
      <c r="C21">
        <v>861</v>
      </c>
      <c r="D21">
        <v>1033</v>
      </c>
      <c r="E21">
        <v>1995124</v>
      </c>
      <c r="F21">
        <v>4158</v>
      </c>
      <c r="G21">
        <v>2650</v>
      </c>
      <c r="H21">
        <v>2273</v>
      </c>
      <c r="I21">
        <v>1366973</v>
      </c>
      <c r="J21">
        <v>5656</v>
      </c>
      <c r="K21">
        <v>1538</v>
      </c>
      <c r="L21">
        <v>1295</v>
      </c>
      <c r="M21">
        <v>10142664</v>
      </c>
      <c r="N21">
        <v>4295</v>
      </c>
      <c r="O21">
        <v>1158</v>
      </c>
      <c r="P21">
        <v>1222</v>
      </c>
      <c r="Q21">
        <v>2666583</v>
      </c>
      <c r="R21">
        <v>1993</v>
      </c>
      <c r="S21" t="s">
        <v>73</v>
      </c>
      <c r="T21" t="s">
        <v>73</v>
      </c>
      <c r="U21" t="s">
        <v>73</v>
      </c>
      <c r="V21" t="s">
        <v>73</v>
      </c>
      <c r="W21" t="s">
        <v>73</v>
      </c>
      <c r="X21" t="s">
        <v>73</v>
      </c>
      <c r="Y21" t="s">
        <v>73</v>
      </c>
      <c r="Z21" t="s">
        <v>73</v>
      </c>
      <c r="AA21">
        <v>858</v>
      </c>
      <c r="AB21">
        <v>907</v>
      </c>
      <c r="AC21">
        <v>21648736</v>
      </c>
      <c r="AD21">
        <v>539</v>
      </c>
      <c r="AE21">
        <v>388</v>
      </c>
      <c r="AF21">
        <v>568</v>
      </c>
      <c r="AG21">
        <v>1175404</v>
      </c>
      <c r="AH21">
        <v>151</v>
      </c>
    </row>
    <row r="22" spans="1:34" x14ac:dyDescent="0.4">
      <c r="A22" s="1" t="s">
        <v>32</v>
      </c>
      <c r="B22" s="1" t="s">
        <v>33</v>
      </c>
      <c r="C22">
        <v>997</v>
      </c>
      <c r="D22">
        <v>474</v>
      </c>
      <c r="E22">
        <v>834120</v>
      </c>
      <c r="F22">
        <v>4681</v>
      </c>
      <c r="G22">
        <v>2725</v>
      </c>
      <c r="H22">
        <v>2096</v>
      </c>
      <c r="I22">
        <v>1098255</v>
      </c>
      <c r="J22">
        <v>6285</v>
      </c>
      <c r="K22">
        <v>1439</v>
      </c>
      <c r="L22">
        <v>1187</v>
      </c>
      <c r="M22">
        <v>12822157</v>
      </c>
      <c r="N22">
        <v>4443</v>
      </c>
      <c r="O22">
        <v>1088</v>
      </c>
      <c r="P22">
        <v>957</v>
      </c>
      <c r="Q22">
        <v>2251831</v>
      </c>
      <c r="R22">
        <v>2107</v>
      </c>
      <c r="S22" t="s">
        <v>73</v>
      </c>
      <c r="T22" t="s">
        <v>73</v>
      </c>
      <c r="U22" t="s">
        <v>73</v>
      </c>
      <c r="V22" t="s">
        <v>73</v>
      </c>
      <c r="W22" t="s">
        <v>73</v>
      </c>
      <c r="X22" t="s">
        <v>73</v>
      </c>
      <c r="Y22" t="s">
        <v>73</v>
      </c>
      <c r="Z22" t="s">
        <v>73</v>
      </c>
      <c r="AA22">
        <v>770</v>
      </c>
      <c r="AB22">
        <v>816</v>
      </c>
      <c r="AC22">
        <v>19904088</v>
      </c>
      <c r="AD22">
        <v>550</v>
      </c>
      <c r="AE22">
        <v>470</v>
      </c>
      <c r="AF22">
        <v>462</v>
      </c>
      <c r="AG22">
        <v>1183723</v>
      </c>
      <c r="AH22">
        <v>160</v>
      </c>
    </row>
    <row r="23" spans="1:34" x14ac:dyDescent="0.4">
      <c r="A23" s="1" t="s">
        <v>34</v>
      </c>
      <c r="B23" s="1" t="s">
        <v>35</v>
      </c>
      <c r="C23">
        <v>1492</v>
      </c>
      <c r="D23">
        <v>742</v>
      </c>
      <c r="E23">
        <v>1882540</v>
      </c>
      <c r="F23">
        <v>5425</v>
      </c>
      <c r="G23">
        <v>1785</v>
      </c>
      <c r="H23">
        <v>2395</v>
      </c>
      <c r="I23">
        <v>1367673</v>
      </c>
      <c r="J23">
        <v>5675</v>
      </c>
      <c r="K23">
        <v>1569</v>
      </c>
      <c r="L23">
        <v>1925</v>
      </c>
      <c r="M23">
        <v>15208382</v>
      </c>
      <c r="N23">
        <v>3898</v>
      </c>
      <c r="O23">
        <v>1014</v>
      </c>
      <c r="P23">
        <v>1002</v>
      </c>
      <c r="Q23">
        <v>2521845</v>
      </c>
      <c r="R23">
        <v>2081</v>
      </c>
      <c r="S23" t="s">
        <v>73</v>
      </c>
      <c r="T23" t="s">
        <v>73</v>
      </c>
      <c r="U23" t="s">
        <v>73</v>
      </c>
      <c r="V23" t="s">
        <v>73</v>
      </c>
      <c r="W23" t="s">
        <v>73</v>
      </c>
      <c r="X23" t="s">
        <v>73</v>
      </c>
      <c r="Y23" t="s">
        <v>73</v>
      </c>
      <c r="Z23" t="s">
        <v>73</v>
      </c>
      <c r="AA23">
        <v>711</v>
      </c>
      <c r="AB23">
        <v>753</v>
      </c>
      <c r="AC23">
        <v>18235411</v>
      </c>
      <c r="AD23">
        <v>560</v>
      </c>
      <c r="AE23">
        <v>182</v>
      </c>
      <c r="AF23">
        <v>184</v>
      </c>
      <c r="AG23">
        <v>1042969</v>
      </c>
      <c r="AH23">
        <v>157</v>
      </c>
    </row>
    <row r="24" spans="1:34" x14ac:dyDescent="0.4">
      <c r="A24" s="1" t="s">
        <v>36</v>
      </c>
      <c r="B24" s="1" t="s">
        <v>37</v>
      </c>
      <c r="C24">
        <v>1430</v>
      </c>
      <c r="D24">
        <v>2178</v>
      </c>
      <c r="E24">
        <v>4120072</v>
      </c>
      <c r="F24">
        <v>4677</v>
      </c>
      <c r="G24">
        <v>1619</v>
      </c>
      <c r="H24">
        <v>1796</v>
      </c>
      <c r="I24">
        <v>945214</v>
      </c>
      <c r="J24">
        <v>5498</v>
      </c>
      <c r="K24">
        <v>1388</v>
      </c>
      <c r="L24">
        <v>754</v>
      </c>
      <c r="M24">
        <v>8522566</v>
      </c>
      <c r="N24">
        <v>4437</v>
      </c>
      <c r="O24">
        <v>1011</v>
      </c>
      <c r="P24">
        <v>998</v>
      </c>
      <c r="Q24">
        <v>2265681</v>
      </c>
      <c r="R24">
        <v>2070</v>
      </c>
      <c r="S24" t="s">
        <v>73</v>
      </c>
      <c r="T24" t="s">
        <v>73</v>
      </c>
      <c r="U24" t="s">
        <v>73</v>
      </c>
      <c r="V24" t="s">
        <v>73</v>
      </c>
      <c r="W24" t="s">
        <v>73</v>
      </c>
      <c r="X24" t="s">
        <v>73</v>
      </c>
      <c r="Y24" t="s">
        <v>73</v>
      </c>
      <c r="Z24" t="s">
        <v>73</v>
      </c>
      <c r="AA24">
        <v>765</v>
      </c>
      <c r="AB24">
        <v>781</v>
      </c>
      <c r="AC24">
        <v>18890042</v>
      </c>
      <c r="AD24">
        <v>590</v>
      </c>
      <c r="AE24">
        <v>162</v>
      </c>
      <c r="AF24">
        <v>173</v>
      </c>
      <c r="AG24">
        <v>457069</v>
      </c>
      <c r="AH24">
        <v>130</v>
      </c>
    </row>
    <row r="25" spans="1:34" x14ac:dyDescent="0.4">
      <c r="A25" s="1" t="s">
        <v>38</v>
      </c>
      <c r="B25" s="1" t="s">
        <v>39</v>
      </c>
      <c r="C25">
        <v>1213</v>
      </c>
      <c r="D25">
        <v>1028</v>
      </c>
      <c r="E25">
        <v>1634324</v>
      </c>
      <c r="F25">
        <v>4862</v>
      </c>
      <c r="G25">
        <v>2144</v>
      </c>
      <c r="H25">
        <v>2019</v>
      </c>
      <c r="I25">
        <v>1009053</v>
      </c>
      <c r="J25">
        <v>5612</v>
      </c>
      <c r="K25">
        <v>1510</v>
      </c>
      <c r="L25">
        <v>1411</v>
      </c>
      <c r="M25">
        <v>12664301</v>
      </c>
      <c r="N25">
        <v>4376</v>
      </c>
      <c r="O25">
        <v>1015</v>
      </c>
      <c r="P25">
        <v>1040</v>
      </c>
      <c r="Q25">
        <v>2442055</v>
      </c>
      <c r="R25">
        <v>2026</v>
      </c>
      <c r="S25" t="s">
        <v>73</v>
      </c>
      <c r="T25" t="s">
        <v>73</v>
      </c>
      <c r="U25" t="s">
        <v>73</v>
      </c>
      <c r="V25" t="s">
        <v>73</v>
      </c>
      <c r="W25" t="s">
        <v>73</v>
      </c>
      <c r="X25" t="s">
        <v>73</v>
      </c>
      <c r="Y25" t="s">
        <v>73</v>
      </c>
      <c r="Z25" t="s">
        <v>73</v>
      </c>
      <c r="AA25">
        <v>748</v>
      </c>
      <c r="AB25">
        <v>791</v>
      </c>
      <c r="AC25">
        <v>19044012</v>
      </c>
      <c r="AD25">
        <v>611</v>
      </c>
      <c r="AE25">
        <v>234</v>
      </c>
      <c r="AF25">
        <v>178</v>
      </c>
      <c r="AG25">
        <v>913324</v>
      </c>
      <c r="AH25">
        <v>186</v>
      </c>
    </row>
    <row r="26" spans="1:34" x14ac:dyDescent="0.4">
      <c r="A26" s="1" t="s">
        <v>40</v>
      </c>
      <c r="B26" s="1" t="s">
        <v>41</v>
      </c>
      <c r="C26">
        <v>1127</v>
      </c>
      <c r="D26">
        <v>327</v>
      </c>
      <c r="E26">
        <v>982758</v>
      </c>
      <c r="F26">
        <v>5662</v>
      </c>
      <c r="G26">
        <v>2697</v>
      </c>
      <c r="H26">
        <v>3100</v>
      </c>
      <c r="I26">
        <v>2080098</v>
      </c>
      <c r="J26">
        <v>5209</v>
      </c>
      <c r="K26">
        <v>1280</v>
      </c>
      <c r="L26">
        <v>1555</v>
      </c>
      <c r="M26">
        <v>14453072</v>
      </c>
      <c r="N26">
        <v>3973</v>
      </c>
      <c r="O26">
        <v>903</v>
      </c>
      <c r="P26">
        <v>1127</v>
      </c>
      <c r="Q26">
        <v>3623261</v>
      </c>
      <c r="R26">
        <v>1791</v>
      </c>
      <c r="S26" t="s">
        <v>73</v>
      </c>
      <c r="T26" t="s">
        <v>73</v>
      </c>
      <c r="U26" t="s">
        <v>73</v>
      </c>
      <c r="V26" t="s">
        <v>73</v>
      </c>
      <c r="W26" t="s">
        <v>73</v>
      </c>
      <c r="X26" t="s">
        <v>73</v>
      </c>
      <c r="Y26" t="s">
        <v>73</v>
      </c>
      <c r="Z26" t="s">
        <v>73</v>
      </c>
      <c r="AA26">
        <v>721</v>
      </c>
      <c r="AB26">
        <v>790</v>
      </c>
      <c r="AC26">
        <v>20793077</v>
      </c>
      <c r="AD26">
        <v>605</v>
      </c>
      <c r="AE26">
        <v>216</v>
      </c>
      <c r="AF26">
        <v>171</v>
      </c>
      <c r="AG26">
        <v>393547</v>
      </c>
      <c r="AH26">
        <v>224</v>
      </c>
    </row>
    <row r="27" spans="1:34" x14ac:dyDescent="0.4">
      <c r="A27" s="1" t="s">
        <v>42</v>
      </c>
      <c r="B27" s="1" t="s">
        <v>43</v>
      </c>
      <c r="C27">
        <v>1570</v>
      </c>
      <c r="D27">
        <v>1415</v>
      </c>
      <c r="E27">
        <v>2135100</v>
      </c>
      <c r="F27">
        <v>5824</v>
      </c>
      <c r="G27">
        <v>2039</v>
      </c>
      <c r="H27">
        <v>2958</v>
      </c>
      <c r="I27">
        <v>1479923</v>
      </c>
      <c r="J27">
        <v>4290</v>
      </c>
      <c r="K27">
        <v>1193</v>
      </c>
      <c r="L27">
        <v>696</v>
      </c>
      <c r="M27">
        <v>11105659</v>
      </c>
      <c r="N27">
        <v>4254</v>
      </c>
      <c r="O27">
        <v>1165</v>
      </c>
      <c r="P27">
        <v>1110</v>
      </c>
      <c r="Q27">
        <v>2406823</v>
      </c>
      <c r="R27">
        <v>1834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>
        <v>672</v>
      </c>
      <c r="AB27">
        <v>735</v>
      </c>
      <c r="AC27">
        <v>19727090</v>
      </c>
      <c r="AD27">
        <v>585</v>
      </c>
      <c r="AE27">
        <v>250</v>
      </c>
      <c r="AF27">
        <v>264</v>
      </c>
      <c r="AG27">
        <v>653982</v>
      </c>
      <c r="AH27">
        <v>211</v>
      </c>
    </row>
    <row r="28" spans="1:34" x14ac:dyDescent="0.4">
      <c r="A28" s="1" t="s">
        <v>44</v>
      </c>
      <c r="B28" s="1" t="s">
        <v>45</v>
      </c>
      <c r="C28">
        <v>1656</v>
      </c>
      <c r="D28">
        <v>1907</v>
      </c>
      <c r="E28">
        <v>3877878</v>
      </c>
      <c r="F28">
        <v>5573</v>
      </c>
      <c r="G28">
        <v>1812</v>
      </c>
      <c r="H28">
        <v>1986</v>
      </c>
      <c r="I28">
        <v>1079341</v>
      </c>
      <c r="J28">
        <v>4116</v>
      </c>
      <c r="K28">
        <v>799</v>
      </c>
      <c r="L28">
        <v>1526</v>
      </c>
      <c r="M28">
        <v>14071873</v>
      </c>
      <c r="N28">
        <v>3504</v>
      </c>
      <c r="O28">
        <v>965</v>
      </c>
      <c r="P28">
        <v>918</v>
      </c>
      <c r="Q28">
        <v>2417443</v>
      </c>
      <c r="R28">
        <v>1861</v>
      </c>
      <c r="S28" t="s">
        <v>73</v>
      </c>
      <c r="T28" t="s">
        <v>73</v>
      </c>
      <c r="U28" t="s">
        <v>73</v>
      </c>
      <c r="V28" t="s">
        <v>73</v>
      </c>
      <c r="W28" t="s">
        <v>73</v>
      </c>
      <c r="X28" t="s">
        <v>73</v>
      </c>
      <c r="Y28" t="s">
        <v>73</v>
      </c>
      <c r="Z28" t="s">
        <v>73</v>
      </c>
      <c r="AA28">
        <v>621</v>
      </c>
      <c r="AB28">
        <v>681</v>
      </c>
      <c r="AC28">
        <v>18632227</v>
      </c>
      <c r="AD28">
        <v>561</v>
      </c>
      <c r="AE28">
        <v>337</v>
      </c>
      <c r="AF28">
        <v>426</v>
      </c>
      <c r="AG28">
        <v>950160</v>
      </c>
      <c r="AH28">
        <v>122</v>
      </c>
    </row>
    <row r="29" spans="1:34" x14ac:dyDescent="0.4">
      <c r="A29" s="1" t="s">
        <v>46</v>
      </c>
      <c r="B29" s="1" t="s">
        <v>47</v>
      </c>
      <c r="C29">
        <v>1372</v>
      </c>
      <c r="D29">
        <v>2267</v>
      </c>
      <c r="E29">
        <v>5005988</v>
      </c>
      <c r="F29">
        <v>4675</v>
      </c>
      <c r="G29">
        <v>2408</v>
      </c>
      <c r="H29">
        <v>2516</v>
      </c>
      <c r="I29">
        <v>1940051</v>
      </c>
      <c r="J29">
        <v>4008</v>
      </c>
      <c r="K29">
        <v>1536</v>
      </c>
      <c r="L29">
        <v>965</v>
      </c>
      <c r="M29">
        <v>11795923</v>
      </c>
      <c r="N29">
        <v>3786</v>
      </c>
      <c r="O29">
        <v>1107</v>
      </c>
      <c r="P29">
        <v>916</v>
      </c>
      <c r="Q29">
        <v>2220043</v>
      </c>
      <c r="R29">
        <v>2031</v>
      </c>
      <c r="S29" t="s">
        <v>73</v>
      </c>
      <c r="T29" t="s">
        <v>73</v>
      </c>
      <c r="U29" t="s">
        <v>73</v>
      </c>
      <c r="V29" t="s">
        <v>73</v>
      </c>
      <c r="W29" t="s">
        <v>73</v>
      </c>
      <c r="X29" t="s">
        <v>73</v>
      </c>
      <c r="Y29" t="s">
        <v>73</v>
      </c>
      <c r="Z29" t="s">
        <v>73</v>
      </c>
      <c r="AA29">
        <v>701</v>
      </c>
      <c r="AB29">
        <v>758</v>
      </c>
      <c r="AC29">
        <v>20852719</v>
      </c>
      <c r="AD29">
        <v>561</v>
      </c>
      <c r="AE29">
        <v>417</v>
      </c>
      <c r="AF29">
        <v>406</v>
      </c>
      <c r="AG29">
        <v>762467</v>
      </c>
      <c r="AH29">
        <v>131</v>
      </c>
    </row>
    <row r="30" spans="1:34" x14ac:dyDescent="0.4">
      <c r="A30" s="1" t="s">
        <v>48</v>
      </c>
      <c r="B30" s="1" t="s">
        <v>49</v>
      </c>
      <c r="C30">
        <v>1402</v>
      </c>
      <c r="D30">
        <v>1289</v>
      </c>
      <c r="E30">
        <v>1845165</v>
      </c>
      <c r="F30">
        <v>4789</v>
      </c>
      <c r="G30">
        <v>2544</v>
      </c>
      <c r="H30">
        <v>2663</v>
      </c>
      <c r="I30">
        <v>1424994</v>
      </c>
      <c r="J30">
        <v>3889</v>
      </c>
      <c r="K30">
        <v>1495</v>
      </c>
      <c r="L30">
        <v>835</v>
      </c>
      <c r="M30">
        <v>17295062</v>
      </c>
      <c r="N30">
        <v>4182</v>
      </c>
      <c r="O30">
        <v>1166</v>
      </c>
      <c r="P30">
        <v>1045</v>
      </c>
      <c r="Q30">
        <v>2542901</v>
      </c>
      <c r="R30">
        <v>2136</v>
      </c>
      <c r="S30" t="s">
        <v>73</v>
      </c>
      <c r="T30" t="s">
        <v>73</v>
      </c>
      <c r="U30" t="s">
        <v>73</v>
      </c>
      <c r="V30" t="s">
        <v>73</v>
      </c>
      <c r="W30" t="s">
        <v>73</v>
      </c>
      <c r="X30" t="s">
        <v>73</v>
      </c>
      <c r="Y30" t="s">
        <v>73</v>
      </c>
      <c r="Z30" t="s">
        <v>73</v>
      </c>
      <c r="AA30">
        <v>750</v>
      </c>
      <c r="AB30">
        <v>825</v>
      </c>
      <c r="AC30">
        <v>22551494</v>
      </c>
      <c r="AD30">
        <v>549</v>
      </c>
      <c r="AE30">
        <v>317</v>
      </c>
      <c r="AF30">
        <v>196</v>
      </c>
      <c r="AG30">
        <v>580384</v>
      </c>
      <c r="AH30">
        <v>247</v>
      </c>
    </row>
    <row r="31" spans="1:34" x14ac:dyDescent="0.4">
      <c r="A31" s="1" t="s">
        <v>50</v>
      </c>
      <c r="B31" s="1" t="s">
        <v>51</v>
      </c>
      <c r="C31">
        <v>1579</v>
      </c>
      <c r="D31">
        <v>1312</v>
      </c>
      <c r="E31">
        <v>3019679</v>
      </c>
      <c r="F31">
        <v>5056</v>
      </c>
      <c r="G31">
        <v>2571</v>
      </c>
      <c r="H31">
        <v>1972</v>
      </c>
      <c r="I31">
        <v>1104919</v>
      </c>
      <c r="J31">
        <v>4487</v>
      </c>
      <c r="K31">
        <v>1117</v>
      </c>
      <c r="L31">
        <v>1146</v>
      </c>
      <c r="M31">
        <v>7726760</v>
      </c>
      <c r="N31">
        <v>4087</v>
      </c>
      <c r="O31">
        <v>833</v>
      </c>
      <c r="P31">
        <v>1022</v>
      </c>
      <c r="Q31">
        <v>2045408</v>
      </c>
      <c r="R31">
        <v>1935</v>
      </c>
      <c r="S31" t="s">
        <v>73</v>
      </c>
      <c r="T31" t="s">
        <v>73</v>
      </c>
      <c r="U31" t="s">
        <v>73</v>
      </c>
      <c r="V31" t="s">
        <v>73</v>
      </c>
      <c r="W31" t="s">
        <v>73</v>
      </c>
      <c r="X31" t="s">
        <v>73</v>
      </c>
      <c r="Y31" t="s">
        <v>73</v>
      </c>
      <c r="Z31" t="s">
        <v>73</v>
      </c>
      <c r="AA31">
        <v>548</v>
      </c>
      <c r="AB31">
        <v>563</v>
      </c>
      <c r="AC31">
        <v>15663955</v>
      </c>
      <c r="AD31">
        <v>583</v>
      </c>
      <c r="AE31">
        <v>165</v>
      </c>
      <c r="AF31">
        <v>145</v>
      </c>
      <c r="AG31">
        <v>407698</v>
      </c>
      <c r="AH31">
        <v>267</v>
      </c>
    </row>
    <row r="32" spans="1:34" x14ac:dyDescent="0.4">
      <c r="A32" s="1" t="s">
        <v>52</v>
      </c>
      <c r="B32" s="1" t="s">
        <v>53</v>
      </c>
      <c r="C32">
        <v>1772</v>
      </c>
      <c r="D32">
        <v>781</v>
      </c>
      <c r="E32">
        <v>1580663</v>
      </c>
      <c r="F32">
        <v>6047</v>
      </c>
      <c r="G32">
        <v>2350</v>
      </c>
      <c r="H32">
        <v>2222</v>
      </c>
      <c r="I32">
        <v>1163483</v>
      </c>
      <c r="J32">
        <v>4614</v>
      </c>
      <c r="K32">
        <v>1024</v>
      </c>
      <c r="L32">
        <v>1134</v>
      </c>
      <c r="M32">
        <v>10828913</v>
      </c>
      <c r="N32">
        <v>3938</v>
      </c>
      <c r="O32">
        <v>1164</v>
      </c>
      <c r="P32">
        <v>1194</v>
      </c>
      <c r="Q32">
        <v>3366529</v>
      </c>
      <c r="R32">
        <v>1887</v>
      </c>
      <c r="S32" t="s">
        <v>73</v>
      </c>
      <c r="T32" t="s">
        <v>73</v>
      </c>
      <c r="U32" t="s">
        <v>73</v>
      </c>
      <c r="V32" t="s">
        <v>73</v>
      </c>
      <c r="W32" t="s">
        <v>73</v>
      </c>
      <c r="X32" t="s">
        <v>73</v>
      </c>
      <c r="Y32" t="s">
        <v>73</v>
      </c>
      <c r="Z32" t="s">
        <v>73</v>
      </c>
      <c r="AA32">
        <v>765</v>
      </c>
      <c r="AB32">
        <v>812</v>
      </c>
      <c r="AC32">
        <v>22254821</v>
      </c>
      <c r="AD32">
        <v>594</v>
      </c>
      <c r="AE32">
        <v>349</v>
      </c>
      <c r="AF32">
        <v>367</v>
      </c>
      <c r="AG32">
        <v>558654</v>
      </c>
      <c r="AH32">
        <v>248</v>
      </c>
    </row>
    <row r="33" spans="1:34" x14ac:dyDescent="0.4">
      <c r="A33" s="1" t="s">
        <v>54</v>
      </c>
      <c r="B33" s="1" t="s">
        <v>55</v>
      </c>
      <c r="C33">
        <v>931</v>
      </c>
      <c r="D33">
        <v>817</v>
      </c>
      <c r="E33">
        <v>1935949</v>
      </c>
      <c r="F33">
        <v>6162</v>
      </c>
      <c r="G33">
        <v>2469</v>
      </c>
      <c r="H33">
        <v>2780</v>
      </c>
      <c r="I33">
        <v>1856874</v>
      </c>
      <c r="J33">
        <v>4303</v>
      </c>
      <c r="K33">
        <v>1724</v>
      </c>
      <c r="L33">
        <v>1683</v>
      </c>
      <c r="M33">
        <v>18488134</v>
      </c>
      <c r="N33">
        <v>3821</v>
      </c>
      <c r="O33">
        <v>1166</v>
      </c>
      <c r="P33">
        <v>1201</v>
      </c>
      <c r="Q33">
        <v>2534428</v>
      </c>
      <c r="R33">
        <v>1834</v>
      </c>
      <c r="S33" t="s">
        <v>73</v>
      </c>
      <c r="T33" t="s">
        <v>73</v>
      </c>
      <c r="U33" t="s">
        <v>73</v>
      </c>
      <c r="V33" t="s">
        <v>73</v>
      </c>
      <c r="W33" t="s">
        <v>73</v>
      </c>
      <c r="X33" t="s">
        <v>73</v>
      </c>
      <c r="Y33" t="s">
        <v>73</v>
      </c>
      <c r="Z33" t="s">
        <v>73</v>
      </c>
      <c r="AA33">
        <v>780</v>
      </c>
      <c r="AB33">
        <v>844</v>
      </c>
      <c r="AC33">
        <v>24542065</v>
      </c>
      <c r="AD33">
        <v>585</v>
      </c>
      <c r="AE33">
        <v>363</v>
      </c>
      <c r="AF33">
        <v>443</v>
      </c>
      <c r="AG33">
        <v>1161357</v>
      </c>
      <c r="AH33">
        <v>168</v>
      </c>
    </row>
    <row r="34" spans="1:34" x14ac:dyDescent="0.4">
      <c r="A34" s="1" t="s">
        <v>56</v>
      </c>
      <c r="B34" s="1" t="s">
        <v>57</v>
      </c>
      <c r="C34">
        <v>768</v>
      </c>
      <c r="D34">
        <v>612</v>
      </c>
      <c r="E34">
        <v>1095149</v>
      </c>
      <c r="F34">
        <v>6234</v>
      </c>
      <c r="G34">
        <v>2890</v>
      </c>
      <c r="H34">
        <v>1872</v>
      </c>
      <c r="I34">
        <v>915239</v>
      </c>
      <c r="J34">
        <v>5321</v>
      </c>
      <c r="K34">
        <v>1070</v>
      </c>
      <c r="L34">
        <v>683</v>
      </c>
      <c r="M34">
        <v>4983016</v>
      </c>
      <c r="N34">
        <v>4085</v>
      </c>
      <c r="O34">
        <v>967</v>
      </c>
      <c r="P34">
        <v>871</v>
      </c>
      <c r="Q34">
        <v>2500238</v>
      </c>
      <c r="R34">
        <v>1915</v>
      </c>
      <c r="S34" t="s">
        <v>73</v>
      </c>
      <c r="T34" t="s">
        <v>73</v>
      </c>
      <c r="U34" t="s">
        <v>73</v>
      </c>
      <c r="V34" t="s">
        <v>73</v>
      </c>
      <c r="W34" t="s">
        <v>73</v>
      </c>
      <c r="X34" t="s">
        <v>73</v>
      </c>
      <c r="Y34" t="s">
        <v>73</v>
      </c>
      <c r="Z34" t="s">
        <v>73</v>
      </c>
      <c r="AA34">
        <v>705</v>
      </c>
      <c r="AB34">
        <v>722</v>
      </c>
      <c r="AC34">
        <v>20835435</v>
      </c>
      <c r="AD34">
        <v>636</v>
      </c>
      <c r="AE34">
        <v>369</v>
      </c>
      <c r="AF34">
        <v>363</v>
      </c>
      <c r="AG34">
        <v>758348</v>
      </c>
      <c r="AH34">
        <v>175</v>
      </c>
    </row>
    <row r="35" spans="1:34" x14ac:dyDescent="0.4">
      <c r="A35" s="1" t="s">
        <v>58</v>
      </c>
      <c r="B35" s="1" t="s">
        <v>59</v>
      </c>
      <c r="C35">
        <v>1145</v>
      </c>
      <c r="D35">
        <v>442</v>
      </c>
      <c r="E35">
        <v>898240</v>
      </c>
      <c r="F35">
        <v>6934</v>
      </c>
      <c r="G35">
        <v>2436</v>
      </c>
      <c r="H35">
        <v>2675</v>
      </c>
      <c r="I35">
        <v>1879536</v>
      </c>
      <c r="J35">
        <v>5082</v>
      </c>
      <c r="K35">
        <v>1407</v>
      </c>
      <c r="L35">
        <v>1362</v>
      </c>
      <c r="M35">
        <v>10964770</v>
      </c>
      <c r="N35">
        <v>4167</v>
      </c>
      <c r="O35">
        <v>869</v>
      </c>
      <c r="P35">
        <v>872</v>
      </c>
      <c r="Q35">
        <v>2006717</v>
      </c>
      <c r="R35">
        <v>1884</v>
      </c>
      <c r="S35" t="s">
        <v>73</v>
      </c>
      <c r="T35" t="s">
        <v>73</v>
      </c>
      <c r="U35" t="s">
        <v>73</v>
      </c>
      <c r="V35" t="s">
        <v>73</v>
      </c>
      <c r="W35" t="s">
        <v>73</v>
      </c>
      <c r="X35" t="s">
        <v>73</v>
      </c>
      <c r="Y35" t="s">
        <v>73</v>
      </c>
      <c r="Z35" t="s">
        <v>73</v>
      </c>
      <c r="AA35">
        <v>690</v>
      </c>
      <c r="AB35">
        <v>745</v>
      </c>
      <c r="AC35">
        <v>21207608</v>
      </c>
      <c r="AD35">
        <v>620</v>
      </c>
      <c r="AE35">
        <v>212</v>
      </c>
      <c r="AF35">
        <v>216</v>
      </c>
      <c r="AG35">
        <v>457345</v>
      </c>
      <c r="AH35">
        <v>168</v>
      </c>
    </row>
    <row r="36" spans="1:34" x14ac:dyDescent="0.4">
      <c r="A36" s="1" t="s">
        <v>60</v>
      </c>
      <c r="B36" s="1" t="s">
        <v>61</v>
      </c>
      <c r="C36">
        <v>1292</v>
      </c>
      <c r="D36">
        <v>1685</v>
      </c>
      <c r="E36">
        <v>2595295</v>
      </c>
      <c r="F36">
        <v>6543</v>
      </c>
      <c r="G36">
        <v>2656</v>
      </c>
      <c r="H36">
        <v>1996</v>
      </c>
      <c r="I36">
        <v>1593552</v>
      </c>
      <c r="J36">
        <v>5769</v>
      </c>
      <c r="K36">
        <v>1527</v>
      </c>
      <c r="L36">
        <v>768</v>
      </c>
      <c r="M36">
        <v>5466858</v>
      </c>
      <c r="N36">
        <v>4983</v>
      </c>
      <c r="O36">
        <v>1029</v>
      </c>
      <c r="P36">
        <v>1021</v>
      </c>
      <c r="Q36">
        <v>2164021</v>
      </c>
      <c r="R36">
        <v>1873</v>
      </c>
      <c r="S36" t="s">
        <v>73</v>
      </c>
      <c r="T36" t="s">
        <v>73</v>
      </c>
      <c r="U36" t="s">
        <v>73</v>
      </c>
      <c r="V36" t="s">
        <v>73</v>
      </c>
      <c r="W36" t="s">
        <v>73</v>
      </c>
      <c r="X36" t="s">
        <v>73</v>
      </c>
      <c r="Y36" t="s">
        <v>73</v>
      </c>
      <c r="Z36" t="s">
        <v>73</v>
      </c>
      <c r="AA36">
        <v>657</v>
      </c>
      <c r="AB36">
        <v>751</v>
      </c>
      <c r="AC36">
        <v>23825021</v>
      </c>
      <c r="AD36">
        <v>593</v>
      </c>
      <c r="AE36">
        <v>190</v>
      </c>
      <c r="AF36">
        <v>198</v>
      </c>
      <c r="AG36">
        <v>468468</v>
      </c>
      <c r="AH36">
        <v>153</v>
      </c>
    </row>
    <row r="37" spans="1:34" x14ac:dyDescent="0.4">
      <c r="A37" s="1" t="s">
        <v>62</v>
      </c>
      <c r="B37" s="1" t="s">
        <v>63</v>
      </c>
      <c r="C37">
        <v>1211</v>
      </c>
      <c r="D37">
        <v>944</v>
      </c>
      <c r="E37">
        <v>1599376</v>
      </c>
      <c r="F37">
        <v>6814</v>
      </c>
      <c r="G37">
        <v>2250</v>
      </c>
      <c r="H37">
        <v>2702</v>
      </c>
      <c r="I37">
        <v>1880580</v>
      </c>
      <c r="J37">
        <v>5347</v>
      </c>
      <c r="K37">
        <v>1659</v>
      </c>
      <c r="L37">
        <v>1649</v>
      </c>
      <c r="M37">
        <v>11227528</v>
      </c>
      <c r="N37">
        <v>5069</v>
      </c>
      <c r="O37">
        <v>886</v>
      </c>
      <c r="P37">
        <v>835</v>
      </c>
      <c r="Q37">
        <v>2495053</v>
      </c>
      <c r="R37">
        <v>1910</v>
      </c>
      <c r="S37" t="s">
        <v>73</v>
      </c>
      <c r="T37" t="s">
        <v>73</v>
      </c>
      <c r="U37" t="s">
        <v>73</v>
      </c>
      <c r="V37" t="s">
        <v>73</v>
      </c>
      <c r="W37" t="s">
        <v>73</v>
      </c>
      <c r="X37" t="s">
        <v>73</v>
      </c>
      <c r="Y37" t="s">
        <v>73</v>
      </c>
      <c r="Z37" t="s">
        <v>73</v>
      </c>
      <c r="AA37">
        <v>728</v>
      </c>
      <c r="AB37">
        <v>781</v>
      </c>
      <c r="AC37">
        <v>25905663</v>
      </c>
      <c r="AD37">
        <v>582</v>
      </c>
      <c r="AE37">
        <v>209</v>
      </c>
      <c r="AF37">
        <v>182</v>
      </c>
      <c r="AG37">
        <v>382019</v>
      </c>
      <c r="AH37">
        <v>174</v>
      </c>
    </row>
    <row r="38" spans="1:34" x14ac:dyDescent="0.4">
      <c r="A38" s="1" t="s">
        <v>64</v>
      </c>
      <c r="B38" s="1" t="s">
        <v>65</v>
      </c>
      <c r="C38">
        <v>1573</v>
      </c>
      <c r="D38">
        <v>876</v>
      </c>
      <c r="E38">
        <v>1863016</v>
      </c>
      <c r="F38">
        <v>7512</v>
      </c>
      <c r="G38">
        <v>2507</v>
      </c>
      <c r="H38">
        <v>3111</v>
      </c>
      <c r="I38">
        <v>2223310</v>
      </c>
      <c r="J38">
        <v>4773</v>
      </c>
      <c r="K38">
        <v>1571</v>
      </c>
      <c r="L38">
        <v>1841</v>
      </c>
      <c r="M38">
        <v>18429025</v>
      </c>
      <c r="N38">
        <v>4898</v>
      </c>
      <c r="O38">
        <v>982</v>
      </c>
      <c r="P38">
        <v>1015</v>
      </c>
      <c r="Q38">
        <v>3513363</v>
      </c>
      <c r="R38">
        <v>1864</v>
      </c>
      <c r="S38" t="s">
        <v>73</v>
      </c>
      <c r="T38" t="s">
        <v>73</v>
      </c>
      <c r="U38" t="s">
        <v>73</v>
      </c>
      <c r="V38" t="s">
        <v>73</v>
      </c>
      <c r="W38" t="s">
        <v>73</v>
      </c>
      <c r="X38" t="s">
        <v>73</v>
      </c>
      <c r="Y38" t="s">
        <v>73</v>
      </c>
      <c r="Z38" t="s">
        <v>73</v>
      </c>
      <c r="AA38">
        <v>770</v>
      </c>
      <c r="AB38">
        <v>800</v>
      </c>
      <c r="AC38">
        <v>25015482</v>
      </c>
      <c r="AD38">
        <v>599</v>
      </c>
      <c r="AE38">
        <v>220</v>
      </c>
      <c r="AF38">
        <v>220</v>
      </c>
      <c r="AG38">
        <v>474892</v>
      </c>
      <c r="AH38">
        <v>160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13B64-7CB0-4F39-BD6E-F40CC1C2A178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2542</v>
      </c>
      <c r="D3" t="s">
        <v>2542</v>
      </c>
      <c r="E3" t="s">
        <v>2542</v>
      </c>
      <c r="F3" t="s">
        <v>2542</v>
      </c>
      <c r="G3" t="s">
        <v>2546</v>
      </c>
      <c r="H3" t="s">
        <v>2546</v>
      </c>
      <c r="I3" t="s">
        <v>2546</v>
      </c>
      <c r="J3" t="s">
        <v>2546</v>
      </c>
      <c r="K3" t="s">
        <v>2548</v>
      </c>
      <c r="L3" t="s">
        <v>2548</v>
      </c>
      <c r="M3" t="s">
        <v>2548</v>
      </c>
      <c r="N3" t="s">
        <v>2548</v>
      </c>
      <c r="O3" t="s">
        <v>2550</v>
      </c>
      <c r="P3" t="s">
        <v>2550</v>
      </c>
      <c r="Q3" t="s">
        <v>2550</v>
      </c>
      <c r="R3" t="s">
        <v>2550</v>
      </c>
      <c r="S3" t="s">
        <v>2552</v>
      </c>
      <c r="T3" t="s">
        <v>2552</v>
      </c>
      <c r="U3" t="s">
        <v>2552</v>
      </c>
      <c r="V3" t="s">
        <v>2552</v>
      </c>
      <c r="W3" t="s">
        <v>2554</v>
      </c>
      <c r="X3" t="s">
        <v>2554</v>
      </c>
      <c r="Y3" t="s">
        <v>2554</v>
      </c>
      <c r="Z3" t="s">
        <v>2554</v>
      </c>
      <c r="AA3" t="s">
        <v>2556</v>
      </c>
      <c r="AB3" t="s">
        <v>2556</v>
      </c>
      <c r="AC3" t="s">
        <v>2556</v>
      </c>
      <c r="AD3" t="s">
        <v>2556</v>
      </c>
      <c r="AE3" t="s">
        <v>2558</v>
      </c>
      <c r="AF3" t="s">
        <v>2558</v>
      </c>
      <c r="AG3" t="s">
        <v>2558</v>
      </c>
      <c r="AH3" t="s">
        <v>2558</v>
      </c>
      <c r="AI3" t="s">
        <v>2560</v>
      </c>
      <c r="AJ3" t="s">
        <v>2560</v>
      </c>
      <c r="AK3" t="s">
        <v>2560</v>
      </c>
      <c r="AL3" t="s">
        <v>2560</v>
      </c>
    </row>
    <row r="4" spans="1:38" x14ac:dyDescent="0.4">
      <c r="A4" s="1"/>
      <c r="B4" s="2" t="s">
        <v>1</v>
      </c>
      <c r="C4" t="s">
        <v>2544</v>
      </c>
      <c r="D4" t="s">
        <v>2544</v>
      </c>
      <c r="E4" t="s">
        <v>2544</v>
      </c>
      <c r="F4" t="s">
        <v>2544</v>
      </c>
      <c r="G4" t="s">
        <v>2547</v>
      </c>
      <c r="H4" t="s">
        <v>2547</v>
      </c>
      <c r="I4" t="s">
        <v>2547</v>
      </c>
      <c r="J4" t="s">
        <v>2547</v>
      </c>
      <c r="K4" t="s">
        <v>2549</v>
      </c>
      <c r="L4" t="s">
        <v>2549</v>
      </c>
      <c r="M4" t="s">
        <v>2549</v>
      </c>
      <c r="N4" t="s">
        <v>2549</v>
      </c>
      <c r="O4" t="s">
        <v>2551</v>
      </c>
      <c r="P4" t="s">
        <v>2551</v>
      </c>
      <c r="Q4" t="s">
        <v>2551</v>
      </c>
      <c r="R4" t="s">
        <v>2551</v>
      </c>
      <c r="S4" t="s">
        <v>2553</v>
      </c>
      <c r="T4" t="s">
        <v>2553</v>
      </c>
      <c r="U4" t="s">
        <v>2553</v>
      </c>
      <c r="V4" t="s">
        <v>2553</v>
      </c>
      <c r="W4" t="s">
        <v>2555</v>
      </c>
      <c r="X4" t="s">
        <v>2555</v>
      </c>
      <c r="Y4" t="s">
        <v>2555</v>
      </c>
      <c r="Z4" t="s">
        <v>2555</v>
      </c>
      <c r="AA4" t="s">
        <v>2557</v>
      </c>
      <c r="AB4" t="s">
        <v>2557</v>
      </c>
      <c r="AC4" t="s">
        <v>2557</v>
      </c>
      <c r="AD4" t="s">
        <v>2557</v>
      </c>
      <c r="AE4" t="s">
        <v>2559</v>
      </c>
      <c r="AF4" t="s">
        <v>2559</v>
      </c>
      <c r="AG4" t="s">
        <v>2559</v>
      </c>
      <c r="AH4" t="s">
        <v>2559</v>
      </c>
      <c r="AI4" t="s">
        <v>2561</v>
      </c>
      <c r="AJ4" t="s">
        <v>2561</v>
      </c>
      <c r="AK4" t="s">
        <v>2561</v>
      </c>
      <c r="AL4" t="s">
        <v>2561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ht="20.25" x14ac:dyDescent="0.4">
      <c r="A7" s="1"/>
      <c r="B7" s="2" t="s">
        <v>4</v>
      </c>
      <c r="C7" s="5" t="s">
        <v>2543</v>
      </c>
      <c r="D7" s="5" t="s">
        <v>2543</v>
      </c>
      <c r="E7" t="s">
        <v>341</v>
      </c>
      <c r="F7" s="5" t="s">
        <v>2543</v>
      </c>
      <c r="G7" s="5" t="s">
        <v>2543</v>
      </c>
      <c r="H7" s="5" t="s">
        <v>2543</v>
      </c>
      <c r="I7" t="s">
        <v>341</v>
      </c>
      <c r="J7" s="5" t="s">
        <v>2543</v>
      </c>
      <c r="K7" s="5" t="s">
        <v>2543</v>
      </c>
      <c r="L7" s="5" t="s">
        <v>2543</v>
      </c>
      <c r="M7" t="s">
        <v>341</v>
      </c>
      <c r="N7" s="5" t="s">
        <v>2543</v>
      </c>
      <c r="O7" s="5" t="s">
        <v>2543</v>
      </c>
      <c r="P7" s="5" t="s">
        <v>2543</v>
      </c>
      <c r="Q7" t="s">
        <v>341</v>
      </c>
      <c r="R7" s="5" t="s">
        <v>2543</v>
      </c>
      <c r="S7" s="5" t="s">
        <v>2543</v>
      </c>
      <c r="T7" s="5" t="s">
        <v>2543</v>
      </c>
      <c r="U7" t="s">
        <v>341</v>
      </c>
      <c r="V7" s="5" t="s">
        <v>2543</v>
      </c>
      <c r="W7" s="5" t="s">
        <v>2543</v>
      </c>
      <c r="X7" s="5" t="s">
        <v>2543</v>
      </c>
      <c r="Y7" t="s">
        <v>341</v>
      </c>
      <c r="Z7" s="5" t="s">
        <v>2543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ht="20.25" x14ac:dyDescent="0.4">
      <c r="A8" s="1" t="s">
        <v>67</v>
      </c>
      <c r="B8" s="2" t="s">
        <v>5</v>
      </c>
      <c r="C8" s="5" t="s">
        <v>2545</v>
      </c>
      <c r="D8" s="5" t="s">
        <v>2545</v>
      </c>
      <c r="E8" t="s">
        <v>342</v>
      </c>
      <c r="F8" s="5" t="s">
        <v>2545</v>
      </c>
      <c r="G8" s="5" t="s">
        <v>2545</v>
      </c>
      <c r="H8" s="5" t="s">
        <v>2545</v>
      </c>
      <c r="I8" t="s">
        <v>342</v>
      </c>
      <c r="J8" s="5" t="s">
        <v>2545</v>
      </c>
      <c r="K8" s="5" t="s">
        <v>2545</v>
      </c>
      <c r="L8" s="5" t="s">
        <v>2545</v>
      </c>
      <c r="M8" t="s">
        <v>342</v>
      </c>
      <c r="N8" s="5" t="s">
        <v>2545</v>
      </c>
      <c r="O8" s="5" t="s">
        <v>2545</v>
      </c>
      <c r="P8" s="5" t="s">
        <v>2545</v>
      </c>
      <c r="Q8" t="s">
        <v>342</v>
      </c>
      <c r="R8" s="5" t="s">
        <v>2545</v>
      </c>
      <c r="S8" s="5" t="s">
        <v>2545</v>
      </c>
      <c r="T8" s="5" t="s">
        <v>2545</v>
      </c>
      <c r="U8" t="s">
        <v>342</v>
      </c>
      <c r="V8" s="5" t="s">
        <v>2545</v>
      </c>
      <c r="W8" s="5" t="s">
        <v>2545</v>
      </c>
      <c r="X8" s="5" t="s">
        <v>2545</v>
      </c>
      <c r="Y8" t="s">
        <v>342</v>
      </c>
      <c r="Z8" s="5" t="s">
        <v>2545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10919993</v>
      </c>
      <c r="D9">
        <v>8305258</v>
      </c>
      <c r="E9">
        <v>60548985</v>
      </c>
      <c r="F9">
        <v>106</v>
      </c>
      <c r="G9">
        <v>724910</v>
      </c>
      <c r="H9">
        <v>706199</v>
      </c>
      <c r="I9">
        <v>11412791</v>
      </c>
      <c r="J9">
        <v>25135</v>
      </c>
      <c r="K9">
        <v>12923274</v>
      </c>
      <c r="L9">
        <v>10387904</v>
      </c>
      <c r="M9">
        <v>43469739</v>
      </c>
      <c r="N9">
        <v>179</v>
      </c>
      <c r="O9">
        <v>1981548</v>
      </c>
      <c r="P9">
        <v>1900770</v>
      </c>
      <c r="Q9">
        <v>27499494</v>
      </c>
      <c r="R9">
        <v>37577</v>
      </c>
      <c r="S9">
        <v>287914</v>
      </c>
      <c r="T9">
        <v>286562</v>
      </c>
      <c r="U9">
        <v>22940155</v>
      </c>
      <c r="V9">
        <v>4129</v>
      </c>
      <c r="W9">
        <v>645254</v>
      </c>
      <c r="X9">
        <v>238914</v>
      </c>
      <c r="Y9">
        <v>8610779</v>
      </c>
      <c r="Z9">
        <v>223</v>
      </c>
      <c r="AA9">
        <v>8411</v>
      </c>
      <c r="AB9">
        <v>7456</v>
      </c>
      <c r="AC9">
        <v>5391364</v>
      </c>
      <c r="AD9">
        <v>260</v>
      </c>
      <c r="AE9">
        <v>58955</v>
      </c>
      <c r="AF9">
        <v>27031</v>
      </c>
      <c r="AG9">
        <v>45006994</v>
      </c>
      <c r="AH9">
        <v>6891</v>
      </c>
      <c r="AI9">
        <v>974152</v>
      </c>
      <c r="AJ9">
        <v>818832</v>
      </c>
      <c r="AK9">
        <v>19809067</v>
      </c>
      <c r="AL9">
        <v>8929</v>
      </c>
    </row>
    <row r="10" spans="1:38" x14ac:dyDescent="0.4">
      <c r="A10" s="1" t="s">
        <v>8</v>
      </c>
      <c r="B10" s="3" t="s">
        <v>9</v>
      </c>
      <c r="C10">
        <v>9579798</v>
      </c>
      <c r="D10">
        <v>7412117</v>
      </c>
      <c r="E10">
        <v>75909113</v>
      </c>
      <c r="F10">
        <v>98</v>
      </c>
      <c r="G10">
        <v>697544</v>
      </c>
      <c r="H10">
        <v>667365</v>
      </c>
      <c r="I10">
        <v>12908047</v>
      </c>
      <c r="J10">
        <v>27012</v>
      </c>
      <c r="K10">
        <v>12778976</v>
      </c>
      <c r="L10">
        <v>10239458</v>
      </c>
      <c r="M10">
        <v>48769379</v>
      </c>
      <c r="N10">
        <v>184</v>
      </c>
      <c r="O10">
        <v>1940736</v>
      </c>
      <c r="P10">
        <v>1847345</v>
      </c>
      <c r="Q10">
        <v>32831056</v>
      </c>
      <c r="R10">
        <v>38676</v>
      </c>
      <c r="S10">
        <v>284011</v>
      </c>
      <c r="T10">
        <v>282495</v>
      </c>
      <c r="U10">
        <v>25105513</v>
      </c>
      <c r="V10">
        <v>4748</v>
      </c>
      <c r="W10">
        <v>610784</v>
      </c>
      <c r="X10">
        <v>234791</v>
      </c>
      <c r="Y10">
        <v>9321226</v>
      </c>
      <c r="Z10">
        <v>235</v>
      </c>
      <c r="AA10">
        <v>8105</v>
      </c>
      <c r="AB10">
        <v>7221</v>
      </c>
      <c r="AC10">
        <v>5859348</v>
      </c>
      <c r="AD10">
        <v>231</v>
      </c>
      <c r="AE10">
        <v>57570</v>
      </c>
      <c r="AF10">
        <v>24650</v>
      </c>
      <c r="AG10">
        <v>49173779</v>
      </c>
      <c r="AH10">
        <v>9245</v>
      </c>
      <c r="AI10">
        <v>949412</v>
      </c>
      <c r="AJ10">
        <v>819962</v>
      </c>
      <c r="AK10">
        <v>20012020</v>
      </c>
      <c r="AL10">
        <v>8659</v>
      </c>
    </row>
    <row r="11" spans="1:38" x14ac:dyDescent="0.4">
      <c r="A11" s="1" t="s">
        <v>10</v>
      </c>
      <c r="B11" s="3" t="s">
        <v>11</v>
      </c>
      <c r="C11">
        <v>8977637</v>
      </c>
      <c r="D11">
        <v>6895459</v>
      </c>
      <c r="E11">
        <v>94011779</v>
      </c>
      <c r="F11">
        <v>95</v>
      </c>
      <c r="G11">
        <v>679508</v>
      </c>
      <c r="H11">
        <v>654018</v>
      </c>
      <c r="I11">
        <v>14107923</v>
      </c>
      <c r="J11">
        <v>25672</v>
      </c>
      <c r="K11">
        <v>12668690</v>
      </c>
      <c r="L11">
        <v>10006428</v>
      </c>
      <c r="M11">
        <v>57516592</v>
      </c>
      <c r="N11">
        <v>196</v>
      </c>
      <c r="O11">
        <v>1925821</v>
      </c>
      <c r="P11">
        <v>1827992</v>
      </c>
      <c r="Q11">
        <v>36986252</v>
      </c>
      <c r="R11">
        <v>36998</v>
      </c>
      <c r="S11">
        <v>260866</v>
      </c>
      <c r="T11">
        <v>257175</v>
      </c>
      <c r="U11">
        <v>26710855</v>
      </c>
      <c r="V11">
        <v>4821</v>
      </c>
      <c r="W11">
        <v>513578</v>
      </c>
      <c r="X11">
        <v>186689</v>
      </c>
      <c r="Y11">
        <v>8677990</v>
      </c>
      <c r="Z11">
        <v>226</v>
      </c>
      <c r="AA11">
        <v>7705</v>
      </c>
      <c r="AB11">
        <v>6812</v>
      </c>
      <c r="AC11">
        <v>7063275</v>
      </c>
      <c r="AD11">
        <v>253</v>
      </c>
      <c r="AE11">
        <v>51868</v>
      </c>
      <c r="AF11">
        <v>21267</v>
      </c>
      <c r="AG11">
        <v>41657572</v>
      </c>
      <c r="AH11">
        <v>7753</v>
      </c>
      <c r="AI11">
        <v>881089</v>
      </c>
      <c r="AJ11">
        <v>805068</v>
      </c>
      <c r="AK11">
        <v>20241237</v>
      </c>
      <c r="AL11">
        <v>8002</v>
      </c>
    </row>
    <row r="12" spans="1:38" x14ac:dyDescent="0.4">
      <c r="A12" s="1" t="s">
        <v>12</v>
      </c>
      <c r="B12" s="3" t="s">
        <v>13</v>
      </c>
      <c r="C12">
        <v>8701494</v>
      </c>
      <c r="D12">
        <v>7040702</v>
      </c>
      <c r="E12">
        <v>86728457</v>
      </c>
      <c r="F12">
        <v>98</v>
      </c>
      <c r="G12">
        <v>656842</v>
      </c>
      <c r="H12">
        <v>628218</v>
      </c>
      <c r="I12">
        <v>12754991</v>
      </c>
      <c r="J12">
        <v>24636</v>
      </c>
      <c r="K12">
        <v>12763230</v>
      </c>
      <c r="L12">
        <v>10001541</v>
      </c>
      <c r="M12">
        <v>56576963</v>
      </c>
      <c r="N12">
        <v>205</v>
      </c>
      <c r="O12">
        <v>1906033</v>
      </c>
      <c r="P12">
        <v>1815994</v>
      </c>
      <c r="Q12">
        <v>34558790</v>
      </c>
      <c r="R12">
        <v>37810</v>
      </c>
      <c r="S12">
        <v>259664</v>
      </c>
      <c r="T12">
        <v>246391</v>
      </c>
      <c r="U12">
        <v>24271110</v>
      </c>
      <c r="V12">
        <v>4310</v>
      </c>
      <c r="W12">
        <v>499473</v>
      </c>
      <c r="X12">
        <v>186506</v>
      </c>
      <c r="Y12">
        <v>8974155</v>
      </c>
      <c r="Z12">
        <v>173</v>
      </c>
      <c r="AA12">
        <v>7140</v>
      </c>
      <c r="AB12">
        <v>6383</v>
      </c>
      <c r="AC12">
        <v>7193713</v>
      </c>
      <c r="AD12">
        <v>232</v>
      </c>
      <c r="AE12">
        <v>51556</v>
      </c>
      <c r="AF12">
        <v>17401</v>
      </c>
      <c r="AG12">
        <v>36770688</v>
      </c>
      <c r="AH12">
        <v>7553</v>
      </c>
      <c r="AI12">
        <v>1429668</v>
      </c>
      <c r="AJ12">
        <v>1259406</v>
      </c>
      <c r="AK12">
        <v>32141383</v>
      </c>
      <c r="AL12">
        <v>22945</v>
      </c>
    </row>
    <row r="13" spans="1:38" x14ac:dyDescent="0.4">
      <c r="A13" s="1" t="s">
        <v>14</v>
      </c>
      <c r="B13" s="3" t="s">
        <v>15</v>
      </c>
      <c r="C13">
        <v>8568490</v>
      </c>
      <c r="D13">
        <v>7045967</v>
      </c>
      <c r="E13">
        <v>80110943</v>
      </c>
      <c r="F13">
        <v>104</v>
      </c>
      <c r="G13">
        <v>694058</v>
      </c>
      <c r="H13">
        <v>655613</v>
      </c>
      <c r="I13">
        <v>13279266</v>
      </c>
      <c r="J13">
        <v>26222</v>
      </c>
      <c r="K13">
        <v>12908985</v>
      </c>
      <c r="L13">
        <v>9973399</v>
      </c>
      <c r="M13">
        <v>54320217</v>
      </c>
      <c r="N13">
        <v>240</v>
      </c>
      <c r="O13">
        <v>1952053</v>
      </c>
      <c r="P13">
        <v>1834268</v>
      </c>
      <c r="Q13">
        <v>34358366</v>
      </c>
      <c r="R13">
        <v>41117</v>
      </c>
      <c r="S13">
        <v>264150</v>
      </c>
      <c r="T13">
        <v>245819</v>
      </c>
      <c r="U13">
        <v>23575267</v>
      </c>
      <c r="V13">
        <v>5151</v>
      </c>
      <c r="W13">
        <v>1170089</v>
      </c>
      <c r="X13">
        <v>337529</v>
      </c>
      <c r="Y13">
        <v>16036769</v>
      </c>
      <c r="Z13">
        <v>1057</v>
      </c>
      <c r="AA13">
        <v>6745</v>
      </c>
      <c r="AB13">
        <v>6026</v>
      </c>
      <c r="AC13">
        <v>6754305</v>
      </c>
      <c r="AD13">
        <v>234</v>
      </c>
      <c r="AE13">
        <v>51848</v>
      </c>
      <c r="AF13">
        <v>18178</v>
      </c>
      <c r="AG13">
        <v>33348965</v>
      </c>
      <c r="AH13">
        <v>7154</v>
      </c>
      <c r="AI13">
        <v>1369293</v>
      </c>
      <c r="AJ13">
        <v>1234610</v>
      </c>
      <c r="AK13">
        <v>35913501</v>
      </c>
      <c r="AL13">
        <v>18285</v>
      </c>
    </row>
    <row r="14" spans="1:38" x14ac:dyDescent="0.4">
      <c r="A14" s="1" t="s">
        <v>16</v>
      </c>
      <c r="B14" s="1" t="s">
        <v>17</v>
      </c>
      <c r="C14">
        <v>713262</v>
      </c>
      <c r="D14">
        <v>543719</v>
      </c>
      <c r="E14">
        <v>7034404</v>
      </c>
      <c r="F14">
        <v>99</v>
      </c>
      <c r="G14">
        <v>57348</v>
      </c>
      <c r="H14">
        <v>53693</v>
      </c>
      <c r="I14">
        <v>1057181</v>
      </c>
      <c r="J14">
        <v>25766</v>
      </c>
      <c r="K14">
        <v>1030725</v>
      </c>
      <c r="L14">
        <v>803257</v>
      </c>
      <c r="M14">
        <v>4873010</v>
      </c>
      <c r="N14">
        <v>190</v>
      </c>
      <c r="O14">
        <v>167977</v>
      </c>
      <c r="P14">
        <v>154572</v>
      </c>
      <c r="Q14">
        <v>2935769</v>
      </c>
      <c r="R14">
        <v>39881</v>
      </c>
      <c r="S14">
        <v>21957</v>
      </c>
      <c r="T14">
        <v>21174</v>
      </c>
      <c r="U14">
        <v>2258983</v>
      </c>
      <c r="V14">
        <v>4414</v>
      </c>
      <c r="W14">
        <v>43242</v>
      </c>
      <c r="X14">
        <v>17000</v>
      </c>
      <c r="Y14">
        <v>799430</v>
      </c>
      <c r="Z14">
        <v>233</v>
      </c>
      <c r="AA14">
        <v>678</v>
      </c>
      <c r="AB14">
        <v>600</v>
      </c>
      <c r="AC14">
        <v>669818</v>
      </c>
      <c r="AD14">
        <v>247</v>
      </c>
      <c r="AE14">
        <v>3593</v>
      </c>
      <c r="AF14">
        <v>1509</v>
      </c>
      <c r="AG14">
        <v>3207241</v>
      </c>
      <c r="AH14">
        <v>7192</v>
      </c>
      <c r="AI14">
        <v>103086</v>
      </c>
      <c r="AJ14">
        <v>88650</v>
      </c>
      <c r="AK14">
        <v>2215794</v>
      </c>
      <c r="AL14">
        <v>22614</v>
      </c>
    </row>
    <row r="15" spans="1:38" x14ac:dyDescent="0.4">
      <c r="A15" s="1" t="s">
        <v>18</v>
      </c>
      <c r="B15" s="1" t="s">
        <v>19</v>
      </c>
      <c r="C15">
        <v>719576</v>
      </c>
      <c r="D15">
        <v>601419</v>
      </c>
      <c r="E15">
        <v>7208706</v>
      </c>
      <c r="F15">
        <v>98</v>
      </c>
      <c r="G15">
        <v>53674</v>
      </c>
      <c r="H15">
        <v>53034</v>
      </c>
      <c r="I15">
        <v>1092697</v>
      </c>
      <c r="J15">
        <v>24376</v>
      </c>
      <c r="K15">
        <v>1079033</v>
      </c>
      <c r="L15">
        <v>850999</v>
      </c>
      <c r="M15">
        <v>4785381</v>
      </c>
      <c r="N15">
        <v>203</v>
      </c>
      <c r="O15">
        <v>154326</v>
      </c>
      <c r="P15">
        <v>150548</v>
      </c>
      <c r="Q15">
        <v>2930494</v>
      </c>
      <c r="R15">
        <v>36862</v>
      </c>
      <c r="S15">
        <v>20861</v>
      </c>
      <c r="T15">
        <v>19958</v>
      </c>
      <c r="U15">
        <v>1920479</v>
      </c>
      <c r="V15">
        <v>4690</v>
      </c>
      <c r="W15">
        <v>46848</v>
      </c>
      <c r="X15">
        <v>17714</v>
      </c>
      <c r="Y15">
        <v>808210</v>
      </c>
      <c r="Z15">
        <v>240</v>
      </c>
      <c r="AA15">
        <v>645</v>
      </c>
      <c r="AB15">
        <v>573</v>
      </c>
      <c r="AC15">
        <v>637607</v>
      </c>
      <c r="AD15">
        <v>250</v>
      </c>
      <c r="AE15">
        <v>4028</v>
      </c>
      <c r="AF15">
        <v>1678</v>
      </c>
      <c r="AG15">
        <v>3247760</v>
      </c>
      <c r="AH15">
        <v>6839</v>
      </c>
      <c r="AI15">
        <v>109850</v>
      </c>
      <c r="AJ15">
        <v>103532</v>
      </c>
      <c r="AK15">
        <v>2485636</v>
      </c>
      <c r="AL15">
        <v>20140</v>
      </c>
    </row>
    <row r="16" spans="1:38" x14ac:dyDescent="0.4">
      <c r="A16" s="1" t="s">
        <v>20</v>
      </c>
      <c r="B16" s="1" t="s">
        <v>21</v>
      </c>
      <c r="C16">
        <v>740820</v>
      </c>
      <c r="D16">
        <v>607454</v>
      </c>
      <c r="E16">
        <v>7079168</v>
      </c>
      <c r="F16">
        <v>99</v>
      </c>
      <c r="G16">
        <v>56288</v>
      </c>
      <c r="H16">
        <v>53033</v>
      </c>
      <c r="I16">
        <v>1110377</v>
      </c>
      <c r="J16">
        <v>25123</v>
      </c>
      <c r="K16">
        <v>1120276</v>
      </c>
      <c r="L16">
        <v>876594</v>
      </c>
      <c r="M16">
        <v>4695769</v>
      </c>
      <c r="N16">
        <v>197</v>
      </c>
      <c r="O16">
        <v>152584</v>
      </c>
      <c r="P16">
        <v>150152</v>
      </c>
      <c r="Q16">
        <v>2874519</v>
      </c>
      <c r="R16">
        <v>32036</v>
      </c>
      <c r="S16">
        <v>21144</v>
      </c>
      <c r="T16">
        <v>20491</v>
      </c>
      <c r="U16">
        <v>1905578</v>
      </c>
      <c r="V16">
        <v>4064</v>
      </c>
      <c r="W16">
        <v>49426</v>
      </c>
      <c r="X16">
        <v>17839</v>
      </c>
      <c r="Y16">
        <v>839251</v>
      </c>
      <c r="Z16">
        <v>237</v>
      </c>
      <c r="AA16">
        <v>595</v>
      </c>
      <c r="AB16">
        <v>501</v>
      </c>
      <c r="AC16">
        <v>573670</v>
      </c>
      <c r="AD16">
        <v>271</v>
      </c>
      <c r="AE16">
        <v>3550</v>
      </c>
      <c r="AF16">
        <v>1571</v>
      </c>
      <c r="AG16">
        <v>3300484</v>
      </c>
      <c r="AH16">
        <v>6805</v>
      </c>
      <c r="AI16">
        <v>119269</v>
      </c>
      <c r="AJ16">
        <v>104348</v>
      </c>
      <c r="AK16">
        <v>2686000</v>
      </c>
      <c r="AL16">
        <v>18058</v>
      </c>
    </row>
    <row r="17" spans="1:38" x14ac:dyDescent="0.4">
      <c r="A17" s="1" t="s">
        <v>22</v>
      </c>
      <c r="B17" s="1" t="s">
        <v>23</v>
      </c>
      <c r="C17">
        <v>704155</v>
      </c>
      <c r="D17">
        <v>576284</v>
      </c>
      <c r="E17">
        <v>6813444</v>
      </c>
      <c r="F17">
        <v>92</v>
      </c>
      <c r="G17">
        <v>53845</v>
      </c>
      <c r="H17">
        <v>50653</v>
      </c>
      <c r="I17">
        <v>1031056</v>
      </c>
      <c r="J17">
        <v>25438</v>
      </c>
      <c r="K17">
        <v>1057248</v>
      </c>
      <c r="L17">
        <v>841721</v>
      </c>
      <c r="M17">
        <v>4470421</v>
      </c>
      <c r="N17">
        <v>186</v>
      </c>
      <c r="O17">
        <v>169316</v>
      </c>
      <c r="P17">
        <v>157991</v>
      </c>
      <c r="Q17">
        <v>3000198</v>
      </c>
      <c r="R17">
        <v>35882</v>
      </c>
      <c r="S17">
        <v>21171</v>
      </c>
      <c r="T17">
        <v>19853</v>
      </c>
      <c r="U17">
        <v>1881615</v>
      </c>
      <c r="V17">
        <v>4087</v>
      </c>
      <c r="W17">
        <v>39182</v>
      </c>
      <c r="X17">
        <v>13181</v>
      </c>
      <c r="Y17">
        <v>708733</v>
      </c>
      <c r="Z17">
        <v>231</v>
      </c>
      <c r="AA17">
        <v>528</v>
      </c>
      <c r="AB17">
        <v>483</v>
      </c>
      <c r="AC17">
        <v>548239</v>
      </c>
      <c r="AD17">
        <v>258</v>
      </c>
      <c r="AE17">
        <v>4556</v>
      </c>
      <c r="AF17">
        <v>1853</v>
      </c>
      <c r="AG17">
        <v>3444598</v>
      </c>
      <c r="AH17">
        <v>7356</v>
      </c>
      <c r="AI17">
        <v>107158</v>
      </c>
      <c r="AJ17">
        <v>94149</v>
      </c>
      <c r="AK17">
        <v>2494322</v>
      </c>
      <c r="AL17">
        <v>14570</v>
      </c>
    </row>
    <row r="18" spans="1:38" x14ac:dyDescent="0.4">
      <c r="A18" s="1" t="s">
        <v>24</v>
      </c>
      <c r="B18" s="1" t="s">
        <v>25</v>
      </c>
      <c r="C18">
        <v>721067</v>
      </c>
      <c r="D18">
        <v>592035</v>
      </c>
      <c r="E18">
        <v>7266115</v>
      </c>
      <c r="F18">
        <v>98</v>
      </c>
      <c r="G18">
        <v>55801</v>
      </c>
      <c r="H18">
        <v>54555</v>
      </c>
      <c r="I18">
        <v>1077995</v>
      </c>
      <c r="J18">
        <v>23722</v>
      </c>
      <c r="K18">
        <v>1095549</v>
      </c>
      <c r="L18">
        <v>861731</v>
      </c>
      <c r="M18">
        <v>4772871</v>
      </c>
      <c r="N18">
        <v>183</v>
      </c>
      <c r="O18">
        <v>169016</v>
      </c>
      <c r="P18">
        <v>166378</v>
      </c>
      <c r="Q18">
        <v>3106229</v>
      </c>
      <c r="R18">
        <v>29980</v>
      </c>
      <c r="S18">
        <v>23016</v>
      </c>
      <c r="T18">
        <v>21614</v>
      </c>
      <c r="U18">
        <v>2082971</v>
      </c>
      <c r="V18">
        <v>3842</v>
      </c>
      <c r="W18">
        <v>32894</v>
      </c>
      <c r="X18">
        <v>12867</v>
      </c>
      <c r="Y18">
        <v>682517</v>
      </c>
      <c r="Z18">
        <v>203</v>
      </c>
      <c r="AA18">
        <v>555</v>
      </c>
      <c r="AB18">
        <v>498</v>
      </c>
      <c r="AC18">
        <v>566899</v>
      </c>
      <c r="AD18">
        <v>257</v>
      </c>
      <c r="AE18">
        <v>5371</v>
      </c>
      <c r="AF18">
        <v>1723</v>
      </c>
      <c r="AG18">
        <v>3359115</v>
      </c>
      <c r="AH18">
        <v>7407</v>
      </c>
      <c r="AI18">
        <v>136920</v>
      </c>
      <c r="AJ18">
        <v>121886</v>
      </c>
      <c r="AK18">
        <v>3256461</v>
      </c>
      <c r="AL18">
        <v>13663</v>
      </c>
    </row>
    <row r="19" spans="1:38" x14ac:dyDescent="0.4">
      <c r="A19" s="1" t="s">
        <v>26</v>
      </c>
      <c r="B19" s="1" t="s">
        <v>27</v>
      </c>
      <c r="C19">
        <v>736990</v>
      </c>
      <c r="D19">
        <v>609906</v>
      </c>
      <c r="E19">
        <v>7361012</v>
      </c>
      <c r="F19">
        <v>93</v>
      </c>
      <c r="G19">
        <v>52389</v>
      </c>
      <c r="H19">
        <v>49230</v>
      </c>
      <c r="I19">
        <v>1011297</v>
      </c>
      <c r="J19">
        <v>24160</v>
      </c>
      <c r="K19">
        <v>1090630</v>
      </c>
      <c r="L19">
        <v>847615</v>
      </c>
      <c r="M19">
        <v>4756547</v>
      </c>
      <c r="N19">
        <v>176</v>
      </c>
      <c r="O19">
        <v>157256</v>
      </c>
      <c r="P19">
        <v>147601</v>
      </c>
      <c r="Q19">
        <v>2883274</v>
      </c>
      <c r="R19">
        <v>32860</v>
      </c>
      <c r="S19">
        <v>21385</v>
      </c>
      <c r="T19">
        <v>19404</v>
      </c>
      <c r="U19">
        <v>1841473</v>
      </c>
      <c r="V19">
        <v>4300</v>
      </c>
      <c r="W19">
        <v>38569</v>
      </c>
      <c r="X19">
        <v>13053</v>
      </c>
      <c r="Y19">
        <v>703686</v>
      </c>
      <c r="Z19">
        <v>229</v>
      </c>
      <c r="AA19">
        <v>427</v>
      </c>
      <c r="AB19">
        <v>407</v>
      </c>
      <c r="AC19">
        <v>469472</v>
      </c>
      <c r="AD19">
        <v>238</v>
      </c>
      <c r="AE19">
        <v>4666</v>
      </c>
      <c r="AF19">
        <v>1218</v>
      </c>
      <c r="AG19">
        <v>2911356</v>
      </c>
      <c r="AH19">
        <v>7142</v>
      </c>
      <c r="AI19">
        <v>134152</v>
      </c>
      <c r="AJ19">
        <v>113939</v>
      </c>
      <c r="AK19">
        <v>3118923</v>
      </c>
      <c r="AL19">
        <v>18426</v>
      </c>
    </row>
    <row r="20" spans="1:38" x14ac:dyDescent="0.4">
      <c r="A20" s="1" t="s">
        <v>28</v>
      </c>
      <c r="B20" s="1" t="s">
        <v>29</v>
      </c>
      <c r="C20">
        <v>702748</v>
      </c>
      <c r="D20">
        <v>580390</v>
      </c>
      <c r="E20">
        <v>7019912</v>
      </c>
      <c r="F20">
        <v>93</v>
      </c>
      <c r="G20">
        <v>52796</v>
      </c>
      <c r="H20">
        <v>48466</v>
      </c>
      <c r="I20">
        <v>972301</v>
      </c>
      <c r="J20">
        <v>25342</v>
      </c>
      <c r="K20">
        <v>1027545</v>
      </c>
      <c r="L20">
        <v>810429</v>
      </c>
      <c r="M20">
        <v>4605499</v>
      </c>
      <c r="N20">
        <v>192</v>
      </c>
      <c r="O20">
        <v>163741</v>
      </c>
      <c r="P20">
        <v>153222</v>
      </c>
      <c r="Q20">
        <v>2859252</v>
      </c>
      <c r="R20">
        <v>35551</v>
      </c>
      <c r="S20">
        <v>22035</v>
      </c>
      <c r="T20">
        <v>20323</v>
      </c>
      <c r="U20">
        <v>1910535</v>
      </c>
      <c r="V20">
        <v>4254</v>
      </c>
      <c r="W20">
        <v>33295</v>
      </c>
      <c r="X20">
        <v>12470</v>
      </c>
      <c r="Y20">
        <v>662163</v>
      </c>
      <c r="Z20">
        <v>212</v>
      </c>
      <c r="AA20">
        <v>513</v>
      </c>
      <c r="AB20">
        <v>447</v>
      </c>
      <c r="AC20">
        <v>507270</v>
      </c>
      <c r="AD20">
        <v>250</v>
      </c>
      <c r="AE20">
        <v>4524</v>
      </c>
      <c r="AF20">
        <v>1436</v>
      </c>
      <c r="AG20">
        <v>3035610</v>
      </c>
      <c r="AH20">
        <v>7322</v>
      </c>
      <c r="AI20">
        <v>134933</v>
      </c>
      <c r="AJ20">
        <v>117306</v>
      </c>
      <c r="AK20">
        <v>3065071</v>
      </c>
      <c r="AL20">
        <v>18082</v>
      </c>
    </row>
    <row r="21" spans="1:38" x14ac:dyDescent="0.4">
      <c r="A21" s="1" t="s">
        <v>30</v>
      </c>
      <c r="B21" s="1" t="s">
        <v>31</v>
      </c>
      <c r="C21">
        <v>737040</v>
      </c>
      <c r="D21">
        <v>600833</v>
      </c>
      <c r="E21">
        <v>7389898</v>
      </c>
      <c r="F21">
        <v>97</v>
      </c>
      <c r="G21">
        <v>54888</v>
      </c>
      <c r="H21">
        <v>52737</v>
      </c>
      <c r="I21">
        <v>1074482</v>
      </c>
      <c r="J21">
        <v>24995</v>
      </c>
      <c r="K21">
        <v>1068950</v>
      </c>
      <c r="L21">
        <v>824912</v>
      </c>
      <c r="M21">
        <v>4569842</v>
      </c>
      <c r="N21">
        <v>202</v>
      </c>
      <c r="O21">
        <v>158815</v>
      </c>
      <c r="P21">
        <v>155391</v>
      </c>
      <c r="Q21">
        <v>2903651</v>
      </c>
      <c r="R21">
        <v>31080</v>
      </c>
      <c r="S21">
        <v>22718</v>
      </c>
      <c r="T21">
        <v>21539</v>
      </c>
      <c r="U21">
        <v>2047617</v>
      </c>
      <c r="V21">
        <v>4029</v>
      </c>
      <c r="W21">
        <v>37563</v>
      </c>
      <c r="X21">
        <v>14746</v>
      </c>
      <c r="Y21">
        <v>681654</v>
      </c>
      <c r="Z21">
        <v>247</v>
      </c>
      <c r="AA21">
        <v>654</v>
      </c>
      <c r="AB21">
        <v>575</v>
      </c>
      <c r="AC21">
        <v>642697</v>
      </c>
      <c r="AD21">
        <v>261</v>
      </c>
      <c r="AE21">
        <v>2944</v>
      </c>
      <c r="AF21">
        <v>1245</v>
      </c>
      <c r="AG21">
        <v>2933113</v>
      </c>
      <c r="AH21">
        <v>7001</v>
      </c>
      <c r="AI21">
        <v>134453</v>
      </c>
      <c r="AJ21">
        <v>120556</v>
      </c>
      <c r="AK21">
        <v>3049288</v>
      </c>
      <c r="AL21">
        <v>19163</v>
      </c>
    </row>
    <row r="22" spans="1:38" x14ac:dyDescent="0.4">
      <c r="A22" s="1" t="s">
        <v>32</v>
      </c>
      <c r="B22" s="1" t="s">
        <v>33</v>
      </c>
      <c r="C22">
        <v>729579</v>
      </c>
      <c r="D22">
        <v>607884</v>
      </c>
      <c r="E22">
        <v>7379413</v>
      </c>
      <c r="F22">
        <v>99</v>
      </c>
      <c r="G22">
        <v>55957</v>
      </c>
      <c r="H22">
        <v>53430</v>
      </c>
      <c r="I22">
        <v>1064027</v>
      </c>
      <c r="J22">
        <v>25140</v>
      </c>
      <c r="K22">
        <v>1055792</v>
      </c>
      <c r="L22">
        <v>828181</v>
      </c>
      <c r="M22">
        <v>4491376</v>
      </c>
      <c r="N22">
        <v>203</v>
      </c>
      <c r="O22">
        <v>164424</v>
      </c>
      <c r="P22">
        <v>153163</v>
      </c>
      <c r="Q22">
        <v>2887029</v>
      </c>
      <c r="R22">
        <v>36306</v>
      </c>
      <c r="S22">
        <v>21515</v>
      </c>
      <c r="T22">
        <v>20577</v>
      </c>
      <c r="U22">
        <v>1997847</v>
      </c>
      <c r="V22">
        <v>3904</v>
      </c>
      <c r="W22">
        <v>43891</v>
      </c>
      <c r="X22">
        <v>15505</v>
      </c>
      <c r="Y22">
        <v>723088</v>
      </c>
      <c r="Z22">
        <v>222</v>
      </c>
      <c r="AA22">
        <v>625</v>
      </c>
      <c r="AB22">
        <v>555</v>
      </c>
      <c r="AC22">
        <v>625853</v>
      </c>
      <c r="AD22">
        <v>259</v>
      </c>
      <c r="AE22">
        <v>3351</v>
      </c>
      <c r="AF22">
        <v>1075</v>
      </c>
      <c r="AG22">
        <v>2497702</v>
      </c>
      <c r="AH22">
        <v>7083</v>
      </c>
      <c r="AI22">
        <v>131846</v>
      </c>
      <c r="AJ22">
        <v>112450</v>
      </c>
      <c r="AK22">
        <v>2869694</v>
      </c>
      <c r="AL22">
        <v>23052</v>
      </c>
    </row>
    <row r="23" spans="1:38" x14ac:dyDescent="0.4">
      <c r="A23" s="1" t="s">
        <v>34</v>
      </c>
      <c r="B23" s="1" t="s">
        <v>35</v>
      </c>
      <c r="C23">
        <v>719933</v>
      </c>
      <c r="D23">
        <v>595194</v>
      </c>
      <c r="E23">
        <v>7371349</v>
      </c>
      <c r="F23">
        <v>98</v>
      </c>
      <c r="G23">
        <v>58963</v>
      </c>
      <c r="H23">
        <v>56550</v>
      </c>
      <c r="I23">
        <v>1139154</v>
      </c>
      <c r="J23">
        <v>24636</v>
      </c>
      <c r="K23">
        <v>1094004</v>
      </c>
      <c r="L23">
        <v>857157</v>
      </c>
      <c r="M23">
        <v>4606815</v>
      </c>
      <c r="N23">
        <v>205</v>
      </c>
      <c r="O23">
        <v>153074</v>
      </c>
      <c r="P23">
        <v>144504</v>
      </c>
      <c r="Q23">
        <v>2723716</v>
      </c>
      <c r="R23">
        <v>37810</v>
      </c>
      <c r="S23">
        <v>22725</v>
      </c>
      <c r="T23">
        <v>21281</v>
      </c>
      <c r="U23">
        <v>2049456</v>
      </c>
      <c r="V23">
        <v>4310</v>
      </c>
      <c r="W23">
        <v>45115</v>
      </c>
      <c r="X23">
        <v>17077</v>
      </c>
      <c r="Y23">
        <v>798688</v>
      </c>
      <c r="Z23">
        <v>173</v>
      </c>
      <c r="AA23">
        <v>641</v>
      </c>
      <c r="AB23">
        <v>593</v>
      </c>
      <c r="AC23">
        <v>656701</v>
      </c>
      <c r="AD23">
        <v>232</v>
      </c>
      <c r="AE23">
        <v>4868</v>
      </c>
      <c r="AF23">
        <v>1437</v>
      </c>
      <c r="AG23">
        <v>3139716</v>
      </c>
      <c r="AH23">
        <v>7553</v>
      </c>
      <c r="AI23">
        <v>127437</v>
      </c>
      <c r="AJ23">
        <v>111615</v>
      </c>
      <c r="AK23">
        <v>2899222</v>
      </c>
      <c r="AL23">
        <v>22945</v>
      </c>
    </row>
    <row r="24" spans="1:38" x14ac:dyDescent="0.4">
      <c r="A24" s="1" t="s">
        <v>36</v>
      </c>
      <c r="B24" s="1" t="s">
        <v>37</v>
      </c>
      <c r="C24">
        <v>699287</v>
      </c>
      <c r="D24">
        <v>581736</v>
      </c>
      <c r="E24">
        <v>7354978</v>
      </c>
      <c r="F24">
        <v>97</v>
      </c>
      <c r="G24">
        <v>56464</v>
      </c>
      <c r="H24">
        <v>55515</v>
      </c>
      <c r="I24">
        <v>1117481</v>
      </c>
      <c r="J24">
        <v>22684</v>
      </c>
      <c r="K24">
        <v>1119917</v>
      </c>
      <c r="L24">
        <v>866090</v>
      </c>
      <c r="M24">
        <v>4901331</v>
      </c>
      <c r="N24">
        <v>196</v>
      </c>
      <c r="O24">
        <v>149624</v>
      </c>
      <c r="P24">
        <v>145159</v>
      </c>
      <c r="Q24">
        <v>2708720</v>
      </c>
      <c r="R24">
        <v>34413</v>
      </c>
      <c r="S24">
        <v>21391</v>
      </c>
      <c r="T24">
        <v>20620</v>
      </c>
      <c r="U24">
        <v>2074526</v>
      </c>
      <c r="V24">
        <v>3939</v>
      </c>
      <c r="W24">
        <v>106548</v>
      </c>
      <c r="X24">
        <v>31827</v>
      </c>
      <c r="Y24">
        <v>1416664</v>
      </c>
      <c r="Z24">
        <v>1280</v>
      </c>
      <c r="AA24">
        <v>636</v>
      </c>
      <c r="AB24">
        <v>554</v>
      </c>
      <c r="AC24">
        <v>613698</v>
      </c>
      <c r="AD24">
        <v>248</v>
      </c>
      <c r="AE24">
        <v>4777</v>
      </c>
      <c r="AF24">
        <v>1250</v>
      </c>
      <c r="AG24">
        <v>2420161</v>
      </c>
      <c r="AH24">
        <v>6879</v>
      </c>
      <c r="AI24">
        <v>91282</v>
      </c>
      <c r="AJ24">
        <v>88702</v>
      </c>
      <c r="AK24">
        <v>2260108</v>
      </c>
      <c r="AL24">
        <v>21415</v>
      </c>
    </row>
    <row r="25" spans="1:38" x14ac:dyDescent="0.4">
      <c r="A25" s="1" t="s">
        <v>38</v>
      </c>
      <c r="B25" s="1" t="s">
        <v>39</v>
      </c>
      <c r="C25">
        <v>648353</v>
      </c>
      <c r="D25">
        <v>536946</v>
      </c>
      <c r="E25">
        <v>6789757</v>
      </c>
      <c r="F25">
        <v>98</v>
      </c>
      <c r="G25">
        <v>57430</v>
      </c>
      <c r="H25">
        <v>50565</v>
      </c>
      <c r="I25">
        <v>1031596</v>
      </c>
      <c r="J25">
        <v>27056</v>
      </c>
      <c r="K25">
        <v>1035947</v>
      </c>
      <c r="L25">
        <v>806657</v>
      </c>
      <c r="M25">
        <v>4468403</v>
      </c>
      <c r="N25">
        <v>188</v>
      </c>
      <c r="O25">
        <v>154183</v>
      </c>
      <c r="P25">
        <v>141860</v>
      </c>
      <c r="Q25">
        <v>2636288</v>
      </c>
      <c r="R25">
        <v>38448</v>
      </c>
      <c r="S25">
        <v>20983</v>
      </c>
      <c r="T25">
        <v>19419</v>
      </c>
      <c r="U25">
        <v>1978139</v>
      </c>
      <c r="V25">
        <v>4378</v>
      </c>
      <c r="W25">
        <v>98727</v>
      </c>
      <c r="X25">
        <v>28466</v>
      </c>
      <c r="Y25">
        <v>1310312</v>
      </c>
      <c r="Z25">
        <v>1372</v>
      </c>
      <c r="AA25">
        <v>616</v>
      </c>
      <c r="AB25">
        <v>555</v>
      </c>
      <c r="AC25">
        <v>613586</v>
      </c>
      <c r="AD25">
        <v>243</v>
      </c>
      <c r="AE25">
        <v>4080</v>
      </c>
      <c r="AF25">
        <v>1474</v>
      </c>
      <c r="AG25">
        <v>3035964</v>
      </c>
      <c r="AH25">
        <v>6158</v>
      </c>
      <c r="AI25">
        <v>78957</v>
      </c>
      <c r="AJ25">
        <v>74029</v>
      </c>
      <c r="AK25">
        <v>1962493</v>
      </c>
      <c r="AL25">
        <v>20186</v>
      </c>
    </row>
    <row r="26" spans="1:38" x14ac:dyDescent="0.4">
      <c r="A26" s="1" t="s">
        <v>40</v>
      </c>
      <c r="B26" s="1" t="s">
        <v>41</v>
      </c>
      <c r="C26">
        <v>725233</v>
      </c>
      <c r="D26">
        <v>607476</v>
      </c>
      <c r="E26">
        <v>7353533</v>
      </c>
      <c r="F26">
        <v>99</v>
      </c>
      <c r="G26">
        <v>58739</v>
      </c>
      <c r="H26">
        <v>54692</v>
      </c>
      <c r="I26">
        <v>1097304</v>
      </c>
      <c r="J26">
        <v>28056</v>
      </c>
      <c r="K26">
        <v>1100178</v>
      </c>
      <c r="L26">
        <v>861499</v>
      </c>
      <c r="M26">
        <v>4804138</v>
      </c>
      <c r="N26">
        <v>213</v>
      </c>
      <c r="O26">
        <v>163860</v>
      </c>
      <c r="P26">
        <v>153467</v>
      </c>
      <c r="Q26">
        <v>2784494</v>
      </c>
      <c r="R26">
        <v>39303</v>
      </c>
      <c r="S26">
        <v>22654</v>
      </c>
      <c r="T26">
        <v>20597</v>
      </c>
      <c r="U26">
        <v>2056292</v>
      </c>
      <c r="V26">
        <v>5163</v>
      </c>
      <c r="W26">
        <v>99902</v>
      </c>
      <c r="X26">
        <v>27349</v>
      </c>
      <c r="Y26">
        <v>1294843</v>
      </c>
      <c r="Z26">
        <v>1032</v>
      </c>
      <c r="AA26">
        <v>647</v>
      </c>
      <c r="AB26">
        <v>569</v>
      </c>
      <c r="AC26">
        <v>623470</v>
      </c>
      <c r="AD26">
        <v>251</v>
      </c>
      <c r="AE26">
        <v>4171</v>
      </c>
      <c r="AF26">
        <v>1641</v>
      </c>
      <c r="AG26">
        <v>2873695</v>
      </c>
      <c r="AH26">
        <v>6768</v>
      </c>
      <c r="AI26">
        <v>101715</v>
      </c>
      <c r="AJ26">
        <v>90720</v>
      </c>
      <c r="AK26">
        <v>2462828</v>
      </c>
      <c r="AL26">
        <v>17695</v>
      </c>
    </row>
    <row r="27" spans="1:38" x14ac:dyDescent="0.4">
      <c r="A27" s="1" t="s">
        <v>42</v>
      </c>
      <c r="B27" s="1" t="s">
        <v>43</v>
      </c>
      <c r="C27">
        <v>654496</v>
      </c>
      <c r="D27">
        <v>541560</v>
      </c>
      <c r="E27">
        <v>6227045</v>
      </c>
      <c r="F27">
        <v>81</v>
      </c>
      <c r="G27">
        <v>54776</v>
      </c>
      <c r="H27">
        <v>55592</v>
      </c>
      <c r="I27">
        <v>1118588</v>
      </c>
      <c r="J27">
        <v>24872</v>
      </c>
      <c r="K27">
        <v>1030197</v>
      </c>
      <c r="L27">
        <v>810240</v>
      </c>
      <c r="M27">
        <v>4573178</v>
      </c>
      <c r="N27">
        <v>207</v>
      </c>
      <c r="O27">
        <v>156635</v>
      </c>
      <c r="P27">
        <v>153573</v>
      </c>
      <c r="Q27">
        <v>2942604</v>
      </c>
      <c r="R27">
        <v>36378</v>
      </c>
      <c r="S27">
        <v>21491</v>
      </c>
      <c r="T27">
        <v>20169</v>
      </c>
      <c r="U27">
        <v>1946368</v>
      </c>
      <c r="V27">
        <v>4961</v>
      </c>
      <c r="W27">
        <v>102547</v>
      </c>
      <c r="X27">
        <v>27073</v>
      </c>
      <c r="Y27">
        <v>1291648</v>
      </c>
      <c r="Z27">
        <v>1172</v>
      </c>
      <c r="AA27">
        <v>620</v>
      </c>
      <c r="AB27">
        <v>562</v>
      </c>
      <c r="AC27">
        <v>627085</v>
      </c>
      <c r="AD27">
        <v>247</v>
      </c>
      <c r="AE27">
        <v>4099</v>
      </c>
      <c r="AF27">
        <v>1865</v>
      </c>
      <c r="AG27">
        <v>2914121</v>
      </c>
      <c r="AH27">
        <v>5934</v>
      </c>
      <c r="AI27">
        <v>114182</v>
      </c>
      <c r="AJ27">
        <v>98467</v>
      </c>
      <c r="AK27">
        <v>2933350</v>
      </c>
      <c r="AL27">
        <v>18458</v>
      </c>
    </row>
    <row r="28" spans="1:38" x14ac:dyDescent="0.4">
      <c r="A28" s="1" t="s">
        <v>44</v>
      </c>
      <c r="B28" s="1" t="s">
        <v>45</v>
      </c>
      <c r="C28">
        <v>725093</v>
      </c>
      <c r="D28">
        <v>603066</v>
      </c>
      <c r="E28">
        <v>6627010</v>
      </c>
      <c r="F28">
        <v>97</v>
      </c>
      <c r="G28">
        <v>57262</v>
      </c>
      <c r="H28">
        <v>54233</v>
      </c>
      <c r="I28">
        <v>1117391</v>
      </c>
      <c r="J28">
        <v>25548</v>
      </c>
      <c r="K28">
        <v>1055839</v>
      </c>
      <c r="L28">
        <v>825283</v>
      </c>
      <c r="M28">
        <v>4518819</v>
      </c>
      <c r="N28">
        <v>206</v>
      </c>
      <c r="O28">
        <v>157519</v>
      </c>
      <c r="P28">
        <v>149444</v>
      </c>
      <c r="Q28">
        <v>2858888</v>
      </c>
      <c r="R28">
        <v>35204</v>
      </c>
      <c r="S28">
        <v>20069</v>
      </c>
      <c r="T28">
        <v>18940</v>
      </c>
      <c r="U28">
        <v>1861973</v>
      </c>
      <c r="V28">
        <v>4643</v>
      </c>
      <c r="W28">
        <v>84511</v>
      </c>
      <c r="X28">
        <v>27453</v>
      </c>
      <c r="Y28">
        <v>1359583</v>
      </c>
      <c r="Z28">
        <v>1407</v>
      </c>
      <c r="AA28">
        <v>536</v>
      </c>
      <c r="AB28">
        <v>468</v>
      </c>
      <c r="AC28">
        <v>521986</v>
      </c>
      <c r="AD28">
        <v>260</v>
      </c>
      <c r="AE28">
        <v>4533</v>
      </c>
      <c r="AF28">
        <v>1592</v>
      </c>
      <c r="AG28">
        <v>2524120</v>
      </c>
      <c r="AH28">
        <v>5986</v>
      </c>
      <c r="AI28">
        <v>109959</v>
      </c>
      <c r="AJ28">
        <v>97004</v>
      </c>
      <c r="AK28">
        <v>2859390</v>
      </c>
      <c r="AL28">
        <v>18191</v>
      </c>
    </row>
    <row r="29" spans="1:38" x14ac:dyDescent="0.4">
      <c r="A29" s="1" t="s">
        <v>46</v>
      </c>
      <c r="B29" s="1" t="s">
        <v>47</v>
      </c>
      <c r="C29">
        <v>671533</v>
      </c>
      <c r="D29">
        <v>548663</v>
      </c>
      <c r="E29">
        <v>6161836</v>
      </c>
      <c r="F29">
        <v>106</v>
      </c>
      <c r="G29">
        <v>57070</v>
      </c>
      <c r="H29">
        <v>53378</v>
      </c>
      <c r="I29">
        <v>1103587</v>
      </c>
      <c r="J29">
        <v>26057</v>
      </c>
      <c r="K29">
        <v>1031331</v>
      </c>
      <c r="L29">
        <v>804337</v>
      </c>
      <c r="M29">
        <v>4333727</v>
      </c>
      <c r="N29">
        <v>198</v>
      </c>
      <c r="O29">
        <v>167842</v>
      </c>
      <c r="P29">
        <v>155534</v>
      </c>
      <c r="Q29">
        <v>2954274</v>
      </c>
      <c r="R29">
        <v>37544</v>
      </c>
      <c r="S29">
        <v>21616</v>
      </c>
      <c r="T29">
        <v>20463</v>
      </c>
      <c r="U29">
        <v>1926657</v>
      </c>
      <c r="V29">
        <v>4238</v>
      </c>
      <c r="W29">
        <v>80040</v>
      </c>
      <c r="X29">
        <v>28769</v>
      </c>
      <c r="Y29">
        <v>1382008</v>
      </c>
      <c r="Z29">
        <v>1068</v>
      </c>
      <c r="AA29">
        <v>508</v>
      </c>
      <c r="AB29">
        <v>456</v>
      </c>
      <c r="AC29">
        <v>507599</v>
      </c>
      <c r="AD29">
        <v>253</v>
      </c>
      <c r="AE29">
        <v>4189</v>
      </c>
      <c r="AF29">
        <v>1850</v>
      </c>
      <c r="AG29">
        <v>3155786</v>
      </c>
      <c r="AH29">
        <v>6815</v>
      </c>
      <c r="AI29">
        <v>115852</v>
      </c>
      <c r="AJ29">
        <v>98791</v>
      </c>
      <c r="AK29">
        <v>2916055</v>
      </c>
      <c r="AL29">
        <v>21680</v>
      </c>
    </row>
    <row r="30" spans="1:38" x14ac:dyDescent="0.4">
      <c r="A30" s="1" t="s">
        <v>48</v>
      </c>
      <c r="B30" s="1" t="s">
        <v>49</v>
      </c>
      <c r="C30">
        <v>749697</v>
      </c>
      <c r="D30">
        <v>607709</v>
      </c>
      <c r="E30">
        <v>6568185</v>
      </c>
      <c r="F30">
        <v>97</v>
      </c>
      <c r="G30">
        <v>58108</v>
      </c>
      <c r="H30">
        <v>55715</v>
      </c>
      <c r="I30">
        <v>1138651</v>
      </c>
      <c r="J30">
        <v>24791</v>
      </c>
      <c r="K30">
        <v>1081194</v>
      </c>
      <c r="L30">
        <v>830699</v>
      </c>
      <c r="M30">
        <v>4476807</v>
      </c>
      <c r="N30">
        <v>196</v>
      </c>
      <c r="O30">
        <v>172726</v>
      </c>
      <c r="P30">
        <v>166589</v>
      </c>
      <c r="Q30">
        <v>3131706</v>
      </c>
      <c r="R30">
        <v>33965</v>
      </c>
      <c r="S30">
        <v>23804</v>
      </c>
      <c r="T30">
        <v>22045</v>
      </c>
      <c r="U30">
        <v>2016925</v>
      </c>
      <c r="V30">
        <v>4303</v>
      </c>
      <c r="W30">
        <v>99325</v>
      </c>
      <c r="X30">
        <v>26995</v>
      </c>
      <c r="Y30">
        <v>1321752</v>
      </c>
      <c r="Z30">
        <v>1038</v>
      </c>
      <c r="AA30">
        <v>500</v>
      </c>
      <c r="AB30">
        <v>459</v>
      </c>
      <c r="AC30">
        <v>515279</v>
      </c>
      <c r="AD30">
        <v>245</v>
      </c>
      <c r="AE30">
        <v>5917</v>
      </c>
      <c r="AF30">
        <v>1814</v>
      </c>
      <c r="AG30">
        <v>3048993</v>
      </c>
      <c r="AH30">
        <v>7002</v>
      </c>
      <c r="AI30">
        <v>134459</v>
      </c>
      <c r="AJ30">
        <v>119470</v>
      </c>
      <c r="AK30">
        <v>3627208</v>
      </c>
      <c r="AL30">
        <v>18284</v>
      </c>
    </row>
    <row r="31" spans="1:38" x14ac:dyDescent="0.4">
      <c r="A31" s="1" t="s">
        <v>50</v>
      </c>
      <c r="B31" s="1" t="s">
        <v>51</v>
      </c>
      <c r="C31">
        <v>763852</v>
      </c>
      <c r="D31">
        <v>610381</v>
      </c>
      <c r="E31">
        <v>6560089</v>
      </c>
      <c r="F31">
        <v>98</v>
      </c>
      <c r="G31">
        <v>55602</v>
      </c>
      <c r="H31">
        <v>49778</v>
      </c>
      <c r="I31">
        <v>1013910</v>
      </c>
      <c r="J31">
        <v>27310</v>
      </c>
      <c r="K31">
        <v>1116589</v>
      </c>
      <c r="L31">
        <v>850112</v>
      </c>
      <c r="M31">
        <v>4400154</v>
      </c>
      <c r="N31">
        <v>191</v>
      </c>
      <c r="O31">
        <v>162528</v>
      </c>
      <c r="P31">
        <v>146456</v>
      </c>
      <c r="Q31">
        <v>2805454</v>
      </c>
      <c r="R31">
        <v>40127</v>
      </c>
      <c r="S31">
        <v>23145</v>
      </c>
      <c r="T31">
        <v>20344</v>
      </c>
      <c r="U31">
        <v>1890986</v>
      </c>
      <c r="V31">
        <v>5088</v>
      </c>
      <c r="W31">
        <v>99224</v>
      </c>
      <c r="X31">
        <v>26274</v>
      </c>
      <c r="Y31">
        <v>1307845</v>
      </c>
      <c r="Z31">
        <v>1346</v>
      </c>
      <c r="AA31">
        <v>399</v>
      </c>
      <c r="AB31">
        <v>358</v>
      </c>
      <c r="AC31">
        <v>406479</v>
      </c>
      <c r="AD31">
        <v>247</v>
      </c>
      <c r="AE31">
        <v>4744</v>
      </c>
      <c r="AF31">
        <v>1531</v>
      </c>
      <c r="AG31">
        <v>2776149</v>
      </c>
      <c r="AH31">
        <v>7331</v>
      </c>
      <c r="AI31">
        <v>135925</v>
      </c>
      <c r="AJ31">
        <v>111785</v>
      </c>
      <c r="AK31">
        <v>3487567</v>
      </c>
      <c r="AL31">
        <v>23469</v>
      </c>
    </row>
    <row r="32" spans="1:38" x14ac:dyDescent="0.4">
      <c r="A32" s="1" t="s">
        <v>52</v>
      </c>
      <c r="B32" s="1" t="s">
        <v>53</v>
      </c>
      <c r="C32">
        <v>726148</v>
      </c>
      <c r="D32">
        <v>582867</v>
      </c>
      <c r="E32">
        <v>6330244</v>
      </c>
      <c r="F32">
        <v>100</v>
      </c>
      <c r="G32">
        <v>57196</v>
      </c>
      <c r="H32">
        <v>53984</v>
      </c>
      <c r="I32">
        <v>1090975</v>
      </c>
      <c r="J32">
        <v>26897</v>
      </c>
      <c r="K32">
        <v>1063801</v>
      </c>
      <c r="L32">
        <v>802144</v>
      </c>
      <c r="M32">
        <v>4302505</v>
      </c>
      <c r="N32">
        <v>285</v>
      </c>
      <c r="O32">
        <v>169131</v>
      </c>
      <c r="P32">
        <v>162110</v>
      </c>
      <c r="Q32">
        <v>3027801</v>
      </c>
      <c r="R32">
        <v>36209</v>
      </c>
      <c r="S32">
        <v>22748</v>
      </c>
      <c r="T32">
        <v>20863</v>
      </c>
      <c r="U32">
        <v>1938321</v>
      </c>
      <c r="V32">
        <v>5225</v>
      </c>
      <c r="W32">
        <v>94148</v>
      </c>
      <c r="X32">
        <v>28087</v>
      </c>
      <c r="Y32">
        <v>1353041</v>
      </c>
      <c r="Z32">
        <v>578</v>
      </c>
      <c r="AA32">
        <v>485</v>
      </c>
      <c r="AB32">
        <v>445</v>
      </c>
      <c r="AC32">
        <v>509563</v>
      </c>
      <c r="AD32">
        <v>239</v>
      </c>
      <c r="AE32">
        <v>5429</v>
      </c>
      <c r="AF32">
        <v>1448</v>
      </c>
      <c r="AG32">
        <v>2691107</v>
      </c>
      <c r="AH32">
        <v>7672</v>
      </c>
      <c r="AI32">
        <v>130907</v>
      </c>
      <c r="AJ32">
        <v>120901</v>
      </c>
      <c r="AK32">
        <v>3605438</v>
      </c>
      <c r="AL32">
        <v>18905</v>
      </c>
    </row>
    <row r="33" spans="1:38" x14ac:dyDescent="0.4">
      <c r="A33" s="1" t="s">
        <v>54</v>
      </c>
      <c r="B33" s="1" t="s">
        <v>55</v>
      </c>
      <c r="C33">
        <v>745108</v>
      </c>
      <c r="D33">
        <v>623222</v>
      </c>
      <c r="E33">
        <v>6907251</v>
      </c>
      <c r="F33">
        <v>101</v>
      </c>
      <c r="G33">
        <v>60327</v>
      </c>
      <c r="H33">
        <v>59127</v>
      </c>
      <c r="I33">
        <v>1209888</v>
      </c>
      <c r="J33">
        <v>25581</v>
      </c>
      <c r="K33">
        <v>1073188</v>
      </c>
      <c r="L33">
        <v>827977</v>
      </c>
      <c r="M33">
        <v>4489295</v>
      </c>
      <c r="N33">
        <v>241</v>
      </c>
      <c r="O33">
        <v>168836</v>
      </c>
      <c r="P33">
        <v>159391</v>
      </c>
      <c r="Q33">
        <v>2973240</v>
      </c>
      <c r="R33">
        <v>34244</v>
      </c>
      <c r="S33">
        <v>22722</v>
      </c>
      <c r="T33">
        <v>21484</v>
      </c>
      <c r="U33">
        <v>2005009</v>
      </c>
      <c r="V33">
        <v>5086</v>
      </c>
      <c r="W33">
        <v>99073</v>
      </c>
      <c r="X33">
        <v>29092</v>
      </c>
      <c r="Y33">
        <v>1328100</v>
      </c>
      <c r="Z33">
        <v>963</v>
      </c>
      <c r="AA33">
        <v>622</v>
      </c>
      <c r="AB33">
        <v>544</v>
      </c>
      <c r="AC33">
        <v>612946</v>
      </c>
      <c r="AD33">
        <v>255</v>
      </c>
      <c r="AE33">
        <v>3181</v>
      </c>
      <c r="AF33">
        <v>1622</v>
      </c>
      <c r="AG33">
        <v>3019317</v>
      </c>
      <c r="AH33">
        <v>6312</v>
      </c>
      <c r="AI33">
        <v>123894</v>
      </c>
      <c r="AJ33">
        <v>116685</v>
      </c>
      <c r="AK33">
        <v>3432644</v>
      </c>
      <c r="AL33">
        <v>15951</v>
      </c>
    </row>
    <row r="34" spans="1:38" x14ac:dyDescent="0.4">
      <c r="A34" s="1" t="s">
        <v>56</v>
      </c>
      <c r="B34" s="1" t="s">
        <v>57</v>
      </c>
      <c r="C34">
        <v>723256</v>
      </c>
      <c r="D34">
        <v>600726</v>
      </c>
      <c r="E34">
        <v>6621362</v>
      </c>
      <c r="F34">
        <v>104</v>
      </c>
      <c r="G34">
        <v>61245</v>
      </c>
      <c r="H34">
        <v>56746</v>
      </c>
      <c r="I34">
        <v>1121337</v>
      </c>
      <c r="J34">
        <v>27037</v>
      </c>
      <c r="K34">
        <v>1069855</v>
      </c>
      <c r="L34">
        <v>831001</v>
      </c>
      <c r="M34">
        <v>4441364</v>
      </c>
      <c r="N34">
        <v>229</v>
      </c>
      <c r="O34">
        <v>167051</v>
      </c>
      <c r="P34">
        <v>149053</v>
      </c>
      <c r="Q34">
        <v>2731690</v>
      </c>
      <c r="R34">
        <v>41153</v>
      </c>
      <c r="S34">
        <v>21889</v>
      </c>
      <c r="T34">
        <v>20374</v>
      </c>
      <c r="U34">
        <v>1942361</v>
      </c>
      <c r="V34">
        <v>5214</v>
      </c>
      <c r="W34">
        <v>102798</v>
      </c>
      <c r="X34">
        <v>26262</v>
      </c>
      <c r="Y34">
        <v>1292500</v>
      </c>
      <c r="Z34">
        <v>1009</v>
      </c>
      <c r="AA34">
        <v>558</v>
      </c>
      <c r="AB34">
        <v>506</v>
      </c>
      <c r="AC34">
        <v>569556</v>
      </c>
      <c r="AD34">
        <v>253</v>
      </c>
      <c r="AE34">
        <v>2246</v>
      </c>
      <c r="AF34">
        <v>760</v>
      </c>
      <c r="AG34">
        <v>1940136</v>
      </c>
      <c r="AH34">
        <v>6116</v>
      </c>
      <c r="AI34">
        <v>107482</v>
      </c>
      <c r="AJ34">
        <v>101141</v>
      </c>
      <c r="AK34">
        <v>2933677</v>
      </c>
      <c r="AL34">
        <v>18655</v>
      </c>
    </row>
    <row r="35" spans="1:38" x14ac:dyDescent="0.4">
      <c r="A35" s="1" t="s">
        <v>58</v>
      </c>
      <c r="B35" s="1" t="s">
        <v>59</v>
      </c>
      <c r="C35">
        <v>736434</v>
      </c>
      <c r="D35">
        <v>601615</v>
      </c>
      <c r="E35">
        <v>6609653</v>
      </c>
      <c r="F35">
        <v>104</v>
      </c>
      <c r="G35">
        <v>59839</v>
      </c>
      <c r="H35">
        <v>56288</v>
      </c>
      <c r="I35">
        <v>1118558</v>
      </c>
      <c r="J35">
        <v>26222</v>
      </c>
      <c r="K35">
        <v>1130949</v>
      </c>
      <c r="L35">
        <v>857360</v>
      </c>
      <c r="M35">
        <v>4610496</v>
      </c>
      <c r="N35">
        <v>240</v>
      </c>
      <c r="O35">
        <v>162118</v>
      </c>
      <c r="P35">
        <v>151632</v>
      </c>
      <c r="Q35">
        <v>2803207</v>
      </c>
      <c r="R35">
        <v>41117</v>
      </c>
      <c r="S35">
        <v>21638</v>
      </c>
      <c r="T35">
        <v>20501</v>
      </c>
      <c r="U35">
        <v>1937710</v>
      </c>
      <c r="V35">
        <v>5151</v>
      </c>
      <c r="W35">
        <v>103246</v>
      </c>
      <c r="X35">
        <v>29882</v>
      </c>
      <c r="Y35">
        <v>1378473</v>
      </c>
      <c r="Z35">
        <v>1057</v>
      </c>
      <c r="AA35">
        <v>618</v>
      </c>
      <c r="AB35">
        <v>550</v>
      </c>
      <c r="AC35">
        <v>633058</v>
      </c>
      <c r="AD35">
        <v>234</v>
      </c>
      <c r="AE35">
        <v>4482</v>
      </c>
      <c r="AF35">
        <v>1331</v>
      </c>
      <c r="AG35">
        <v>2949416</v>
      </c>
      <c r="AH35">
        <v>7154</v>
      </c>
      <c r="AI35">
        <v>124679</v>
      </c>
      <c r="AJ35">
        <v>116915</v>
      </c>
      <c r="AK35">
        <v>3432743</v>
      </c>
      <c r="AL35">
        <v>18285</v>
      </c>
    </row>
    <row r="36" spans="1:38" x14ac:dyDescent="0.4">
      <c r="A36" s="1" t="s">
        <v>60</v>
      </c>
      <c r="B36" s="1" t="s">
        <v>61</v>
      </c>
      <c r="C36">
        <v>756939</v>
      </c>
      <c r="D36">
        <v>620965</v>
      </c>
      <c r="E36">
        <v>6723301</v>
      </c>
      <c r="F36">
        <v>97</v>
      </c>
      <c r="G36">
        <v>56923</v>
      </c>
      <c r="H36">
        <v>55814</v>
      </c>
      <c r="I36">
        <v>1084710</v>
      </c>
      <c r="J36">
        <v>24064</v>
      </c>
      <c r="K36">
        <v>1151116</v>
      </c>
      <c r="L36">
        <v>882513</v>
      </c>
      <c r="M36">
        <v>4789584</v>
      </c>
      <c r="N36">
        <v>231</v>
      </c>
      <c r="O36">
        <v>153605</v>
      </c>
      <c r="P36">
        <v>149575</v>
      </c>
      <c r="Q36">
        <v>2664533</v>
      </c>
      <c r="R36">
        <v>36267</v>
      </c>
      <c r="S36">
        <v>21281</v>
      </c>
      <c r="T36">
        <v>19730</v>
      </c>
      <c r="U36">
        <v>1902576</v>
      </c>
      <c r="V36">
        <v>4826</v>
      </c>
      <c r="W36">
        <v>106958</v>
      </c>
      <c r="X36">
        <v>31111</v>
      </c>
      <c r="Y36">
        <v>1383368</v>
      </c>
      <c r="Z36">
        <v>986</v>
      </c>
      <c r="AA36">
        <v>568</v>
      </c>
      <c r="AB36">
        <v>507</v>
      </c>
      <c r="AC36">
        <v>590220</v>
      </c>
      <c r="AD36">
        <v>220</v>
      </c>
      <c r="AE36">
        <v>5102</v>
      </c>
      <c r="AF36">
        <v>1399</v>
      </c>
      <c r="AG36">
        <v>3079189</v>
      </c>
      <c r="AH36">
        <v>6371</v>
      </c>
      <c r="AI36">
        <v>100344</v>
      </c>
      <c r="AJ36">
        <v>91631</v>
      </c>
      <c r="AK36">
        <v>2712274</v>
      </c>
      <c r="AL36">
        <v>19016</v>
      </c>
    </row>
    <row r="37" spans="1:38" x14ac:dyDescent="0.4">
      <c r="A37" s="1" t="s">
        <v>62</v>
      </c>
      <c r="B37" s="1" t="s">
        <v>63</v>
      </c>
      <c r="C37">
        <v>706165</v>
      </c>
      <c r="D37">
        <v>571287</v>
      </c>
      <c r="E37">
        <v>6269000</v>
      </c>
      <c r="F37">
        <v>100</v>
      </c>
      <c r="G37">
        <v>58473</v>
      </c>
      <c r="H37">
        <v>51700</v>
      </c>
      <c r="I37">
        <v>1018823</v>
      </c>
      <c r="J37">
        <v>27678</v>
      </c>
      <c r="K37">
        <v>1041310</v>
      </c>
      <c r="L37">
        <v>800611</v>
      </c>
      <c r="M37">
        <v>4286461</v>
      </c>
      <c r="N37">
        <v>223</v>
      </c>
      <c r="O37">
        <v>163134</v>
      </c>
      <c r="P37">
        <v>150666</v>
      </c>
      <c r="Q37">
        <v>2729578</v>
      </c>
      <c r="R37">
        <v>40247</v>
      </c>
      <c r="S37">
        <v>20455</v>
      </c>
      <c r="T37">
        <v>19368</v>
      </c>
      <c r="U37">
        <v>1859460</v>
      </c>
      <c r="V37">
        <v>4633</v>
      </c>
      <c r="W37">
        <v>92807</v>
      </c>
      <c r="X37">
        <v>30357</v>
      </c>
      <c r="Y37">
        <v>1381902</v>
      </c>
      <c r="Z37">
        <v>1267</v>
      </c>
      <c r="AA37">
        <v>576</v>
      </c>
      <c r="AB37">
        <v>505</v>
      </c>
      <c r="AC37">
        <v>585032</v>
      </c>
      <c r="AD37">
        <v>215</v>
      </c>
      <c r="AE37">
        <v>5133</v>
      </c>
      <c r="AF37">
        <v>1521</v>
      </c>
      <c r="AG37">
        <v>3046361</v>
      </c>
      <c r="AH37">
        <v>6255</v>
      </c>
      <c r="AI37">
        <v>78581</v>
      </c>
      <c r="AJ37">
        <v>65784</v>
      </c>
      <c r="AK37">
        <v>2132293</v>
      </c>
      <c r="AL37">
        <v>20284</v>
      </c>
    </row>
    <row r="38" spans="1:38" x14ac:dyDescent="0.4">
      <c r="A38" s="1" t="s">
        <v>64</v>
      </c>
      <c r="B38" s="1" t="s">
        <v>65</v>
      </c>
      <c r="C38">
        <v>733629</v>
      </c>
      <c r="D38">
        <v>610852</v>
      </c>
      <c r="E38">
        <v>6721695</v>
      </c>
      <c r="F38">
        <v>94</v>
      </c>
      <c r="G38">
        <v>59735</v>
      </c>
      <c r="H38">
        <v>55527</v>
      </c>
      <c r="I38">
        <v>1085230</v>
      </c>
      <c r="J38">
        <v>28430</v>
      </c>
      <c r="K38">
        <v>1118954</v>
      </c>
      <c r="L38">
        <v>866975</v>
      </c>
      <c r="M38">
        <v>4618231</v>
      </c>
      <c r="N38">
        <v>215</v>
      </c>
      <c r="O38">
        <v>172260</v>
      </c>
      <c r="P38">
        <v>164810</v>
      </c>
      <c r="Q38">
        <v>2899470</v>
      </c>
      <c r="R38">
        <v>39854</v>
      </c>
      <c r="S38">
        <v>22482</v>
      </c>
      <c r="T38">
        <v>20667</v>
      </c>
      <c r="U38">
        <v>1947148</v>
      </c>
      <c r="V38">
        <v>5276</v>
      </c>
      <c r="W38">
        <v>88588</v>
      </c>
      <c r="X38">
        <v>26265</v>
      </c>
      <c r="Y38">
        <v>1337614</v>
      </c>
      <c r="Z38">
        <v>1041</v>
      </c>
      <c r="AA38">
        <v>632</v>
      </c>
      <c r="AB38">
        <v>539</v>
      </c>
      <c r="AC38">
        <v>636263</v>
      </c>
      <c r="AD38">
        <v>228</v>
      </c>
      <c r="AE38">
        <v>3718</v>
      </c>
      <c r="AF38">
        <v>1695</v>
      </c>
      <c r="AG38">
        <v>3320810</v>
      </c>
      <c r="AH38">
        <v>6144</v>
      </c>
      <c r="AI38">
        <v>91164</v>
      </c>
      <c r="AJ38">
        <v>85615</v>
      </c>
      <c r="AK38">
        <v>2311326</v>
      </c>
      <c r="AL38">
        <v>18996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397D8-C17A-499B-AD65-3259913239B6}">
  <dimension ref="A1:EL40"/>
  <sheetViews>
    <sheetView workbookViewId="0">
      <selection activeCell="C9" sqref="C9"/>
    </sheetView>
  </sheetViews>
  <sheetFormatPr defaultColWidth="15.625" defaultRowHeight="18.75" x14ac:dyDescent="0.4"/>
  <sheetData>
    <row r="1" spans="1:142" x14ac:dyDescent="0.4">
      <c r="A1" s="1" t="s">
        <v>66</v>
      </c>
      <c r="B1" s="1"/>
    </row>
    <row r="2" spans="1:142" x14ac:dyDescent="0.4">
      <c r="A2" s="4" t="str">
        <f>HYPERLINK("#'目次(Contents)'!A3","目次に戻る(Return to Contents)")</f>
        <v>目次に戻る(Return to Contents)</v>
      </c>
      <c r="B2" s="1"/>
    </row>
    <row r="3" spans="1:142" x14ac:dyDescent="0.4">
      <c r="A3" s="1"/>
      <c r="B3" s="2" t="s">
        <v>0</v>
      </c>
      <c r="C3" t="s">
        <v>2562</v>
      </c>
      <c r="D3" t="s">
        <v>2562</v>
      </c>
      <c r="E3" t="s">
        <v>2562</v>
      </c>
      <c r="F3" t="s">
        <v>2562</v>
      </c>
      <c r="G3" t="s">
        <v>2564</v>
      </c>
      <c r="H3" t="s">
        <v>2564</v>
      </c>
      <c r="I3" t="s">
        <v>2564</v>
      </c>
      <c r="J3" t="s">
        <v>2564</v>
      </c>
      <c r="K3" t="s">
        <v>2566</v>
      </c>
      <c r="L3" t="s">
        <v>2566</v>
      </c>
      <c r="M3" t="s">
        <v>2566</v>
      </c>
      <c r="N3" t="s">
        <v>2566</v>
      </c>
      <c r="O3" t="s">
        <v>2568</v>
      </c>
      <c r="P3" t="s">
        <v>2568</v>
      </c>
      <c r="Q3" t="s">
        <v>2568</v>
      </c>
      <c r="R3" t="s">
        <v>2568</v>
      </c>
      <c r="S3" t="s">
        <v>2570</v>
      </c>
      <c r="T3" t="s">
        <v>2570</v>
      </c>
      <c r="U3" t="s">
        <v>2570</v>
      </c>
      <c r="V3" t="s">
        <v>2570</v>
      </c>
      <c r="W3" t="s">
        <v>2572</v>
      </c>
      <c r="X3" t="s">
        <v>2572</v>
      </c>
      <c r="Y3" t="s">
        <v>2572</v>
      </c>
      <c r="Z3" t="s">
        <v>2572</v>
      </c>
      <c r="AA3" t="s">
        <v>2574</v>
      </c>
      <c r="AB3" t="s">
        <v>2574</v>
      </c>
      <c r="AC3" t="s">
        <v>2574</v>
      </c>
      <c r="AD3" t="s">
        <v>2574</v>
      </c>
      <c r="AE3" t="s">
        <v>2576</v>
      </c>
      <c r="AF3" t="s">
        <v>2576</v>
      </c>
      <c r="AG3" t="s">
        <v>2576</v>
      </c>
      <c r="AH3" t="s">
        <v>2576</v>
      </c>
      <c r="AI3" t="s">
        <v>2578</v>
      </c>
      <c r="AJ3" t="s">
        <v>2578</v>
      </c>
      <c r="AK3" t="s">
        <v>2578</v>
      </c>
      <c r="AL3" t="s">
        <v>2578</v>
      </c>
      <c r="AM3" t="s">
        <v>2580</v>
      </c>
      <c r="AN3" t="s">
        <v>2580</v>
      </c>
      <c r="AO3" t="s">
        <v>2580</v>
      </c>
      <c r="AP3" t="s">
        <v>2580</v>
      </c>
      <c r="AQ3" t="s">
        <v>2582</v>
      </c>
      <c r="AR3" t="s">
        <v>2582</v>
      </c>
      <c r="AS3" t="s">
        <v>2582</v>
      </c>
      <c r="AT3" t="s">
        <v>2582</v>
      </c>
      <c r="AU3" t="s">
        <v>2584</v>
      </c>
      <c r="AV3" t="s">
        <v>2584</v>
      </c>
      <c r="AW3" t="s">
        <v>2584</v>
      </c>
      <c r="AX3" t="s">
        <v>2584</v>
      </c>
      <c r="AY3" t="s">
        <v>2586</v>
      </c>
      <c r="AZ3" t="s">
        <v>2586</v>
      </c>
      <c r="BA3" t="s">
        <v>2586</v>
      </c>
      <c r="BB3" t="s">
        <v>2586</v>
      </c>
      <c r="BC3" t="s">
        <v>2588</v>
      </c>
      <c r="BD3" t="s">
        <v>2588</v>
      </c>
      <c r="BE3" t="s">
        <v>2588</v>
      </c>
      <c r="BF3" t="s">
        <v>2588</v>
      </c>
      <c r="BG3" t="s">
        <v>2590</v>
      </c>
      <c r="BH3" t="s">
        <v>2590</v>
      </c>
      <c r="BI3" t="s">
        <v>2590</v>
      </c>
      <c r="BJ3" t="s">
        <v>2590</v>
      </c>
      <c r="BK3" t="s">
        <v>2592</v>
      </c>
      <c r="BL3" t="s">
        <v>2592</v>
      </c>
      <c r="BM3" t="s">
        <v>2592</v>
      </c>
      <c r="BN3" t="s">
        <v>2592</v>
      </c>
      <c r="BO3" t="s">
        <v>2594</v>
      </c>
      <c r="BP3" t="s">
        <v>2594</v>
      </c>
      <c r="BQ3" t="s">
        <v>2594</v>
      </c>
      <c r="BR3" t="s">
        <v>2594</v>
      </c>
      <c r="BS3" t="s">
        <v>2596</v>
      </c>
      <c r="BT3" t="s">
        <v>2596</v>
      </c>
      <c r="BU3" t="s">
        <v>2596</v>
      </c>
      <c r="BV3" t="s">
        <v>2596</v>
      </c>
      <c r="BW3" t="s">
        <v>2598</v>
      </c>
      <c r="BX3" t="s">
        <v>2598</v>
      </c>
      <c r="BY3" t="s">
        <v>2598</v>
      </c>
      <c r="BZ3" t="s">
        <v>2598</v>
      </c>
      <c r="CA3" t="s">
        <v>2600</v>
      </c>
      <c r="CB3" t="s">
        <v>2600</v>
      </c>
      <c r="CC3" t="s">
        <v>2600</v>
      </c>
      <c r="CD3" t="s">
        <v>2600</v>
      </c>
      <c r="CE3" t="s">
        <v>2602</v>
      </c>
      <c r="CF3" t="s">
        <v>2602</v>
      </c>
      <c r="CG3" t="s">
        <v>2602</v>
      </c>
      <c r="CH3" t="s">
        <v>2602</v>
      </c>
      <c r="CI3" t="s">
        <v>2604</v>
      </c>
      <c r="CJ3" t="s">
        <v>2604</v>
      </c>
      <c r="CK3" t="s">
        <v>2604</v>
      </c>
      <c r="CL3" t="s">
        <v>2604</v>
      </c>
      <c r="CM3" t="s">
        <v>2606</v>
      </c>
      <c r="CN3" t="s">
        <v>2606</v>
      </c>
      <c r="CO3" t="s">
        <v>2606</v>
      </c>
      <c r="CP3" t="s">
        <v>2606</v>
      </c>
      <c r="CQ3" t="s">
        <v>2608</v>
      </c>
      <c r="CR3" t="s">
        <v>2608</v>
      </c>
      <c r="CS3" t="s">
        <v>2608</v>
      </c>
      <c r="CT3" t="s">
        <v>2608</v>
      </c>
      <c r="CU3" t="s">
        <v>2610</v>
      </c>
      <c r="CV3" t="s">
        <v>2610</v>
      </c>
      <c r="CW3" t="s">
        <v>2610</v>
      </c>
      <c r="CX3" t="s">
        <v>2610</v>
      </c>
      <c r="CY3" t="s">
        <v>2612</v>
      </c>
      <c r="CZ3" t="s">
        <v>2612</v>
      </c>
      <c r="DA3" t="s">
        <v>2612</v>
      </c>
      <c r="DB3" t="s">
        <v>2612</v>
      </c>
      <c r="DC3" t="s">
        <v>2614</v>
      </c>
      <c r="DD3" t="s">
        <v>2614</v>
      </c>
      <c r="DE3" t="s">
        <v>2614</v>
      </c>
      <c r="DF3" t="s">
        <v>2614</v>
      </c>
      <c r="DG3" t="s">
        <v>2616</v>
      </c>
      <c r="DH3" t="s">
        <v>2616</v>
      </c>
      <c r="DI3" t="s">
        <v>2616</v>
      </c>
      <c r="DJ3" t="s">
        <v>2616</v>
      </c>
      <c r="DK3" t="s">
        <v>2618</v>
      </c>
      <c r="DL3" t="s">
        <v>2618</v>
      </c>
      <c r="DM3" t="s">
        <v>2618</v>
      </c>
      <c r="DN3" t="s">
        <v>2618</v>
      </c>
      <c r="DO3" t="s">
        <v>2620</v>
      </c>
      <c r="DP3" t="s">
        <v>2620</v>
      </c>
      <c r="DQ3" t="s">
        <v>2620</v>
      </c>
      <c r="DR3" t="s">
        <v>2620</v>
      </c>
      <c r="DS3" t="s">
        <v>2622</v>
      </c>
      <c r="DT3" t="s">
        <v>2622</v>
      </c>
      <c r="DU3" t="s">
        <v>2622</v>
      </c>
      <c r="DV3" t="s">
        <v>2622</v>
      </c>
      <c r="DW3" t="s">
        <v>2624</v>
      </c>
      <c r="DX3" t="s">
        <v>2624</v>
      </c>
      <c r="DY3" t="s">
        <v>2624</v>
      </c>
      <c r="DZ3" t="s">
        <v>2624</v>
      </c>
      <c r="EA3" t="s">
        <v>2626</v>
      </c>
      <c r="EB3" t="s">
        <v>2626</v>
      </c>
      <c r="EC3" t="s">
        <v>2626</v>
      </c>
      <c r="ED3" t="s">
        <v>2626</v>
      </c>
      <c r="EE3" t="s">
        <v>2628</v>
      </c>
      <c r="EF3" t="s">
        <v>2628</v>
      </c>
      <c r="EG3" t="s">
        <v>2628</v>
      </c>
      <c r="EH3" t="s">
        <v>2628</v>
      </c>
      <c r="EI3" t="s">
        <v>2630</v>
      </c>
      <c r="EJ3" t="s">
        <v>2630</v>
      </c>
      <c r="EK3" t="s">
        <v>2630</v>
      </c>
      <c r="EL3" t="s">
        <v>2630</v>
      </c>
    </row>
    <row r="4" spans="1:142" x14ac:dyDescent="0.4">
      <c r="A4" s="1"/>
      <c r="B4" s="2" t="s">
        <v>1</v>
      </c>
      <c r="C4" t="s">
        <v>2563</v>
      </c>
      <c r="D4" t="s">
        <v>2563</v>
      </c>
      <c r="E4" t="s">
        <v>2563</v>
      </c>
      <c r="F4" t="s">
        <v>2563</v>
      </c>
      <c r="G4" t="s">
        <v>2565</v>
      </c>
      <c r="H4" t="s">
        <v>2565</v>
      </c>
      <c r="I4" t="s">
        <v>2565</v>
      </c>
      <c r="J4" t="s">
        <v>2565</v>
      </c>
      <c r="K4" t="s">
        <v>2567</v>
      </c>
      <c r="L4" t="s">
        <v>2567</v>
      </c>
      <c r="M4" t="s">
        <v>2567</v>
      </c>
      <c r="N4" t="s">
        <v>2567</v>
      </c>
      <c r="O4" t="s">
        <v>2569</v>
      </c>
      <c r="P4" t="s">
        <v>2569</v>
      </c>
      <c r="Q4" t="s">
        <v>2569</v>
      </c>
      <c r="R4" t="s">
        <v>2569</v>
      </c>
      <c r="S4" t="s">
        <v>2571</v>
      </c>
      <c r="T4" t="s">
        <v>2571</v>
      </c>
      <c r="U4" t="s">
        <v>2571</v>
      </c>
      <c r="V4" t="s">
        <v>2571</v>
      </c>
      <c r="W4" t="s">
        <v>2573</v>
      </c>
      <c r="X4" t="s">
        <v>2573</v>
      </c>
      <c r="Y4" t="s">
        <v>2573</v>
      </c>
      <c r="Z4" t="s">
        <v>2573</v>
      </c>
      <c r="AA4" t="s">
        <v>2575</v>
      </c>
      <c r="AB4" t="s">
        <v>2575</v>
      </c>
      <c r="AC4" t="s">
        <v>2575</v>
      </c>
      <c r="AD4" t="s">
        <v>2575</v>
      </c>
      <c r="AE4" t="s">
        <v>2577</v>
      </c>
      <c r="AF4" t="s">
        <v>2577</v>
      </c>
      <c r="AG4" t="s">
        <v>2577</v>
      </c>
      <c r="AH4" t="s">
        <v>2577</v>
      </c>
      <c r="AI4" t="s">
        <v>2579</v>
      </c>
      <c r="AJ4" t="s">
        <v>2579</v>
      </c>
      <c r="AK4" t="s">
        <v>2579</v>
      </c>
      <c r="AL4" t="s">
        <v>2579</v>
      </c>
      <c r="AM4" t="s">
        <v>2581</v>
      </c>
      <c r="AN4" t="s">
        <v>2581</v>
      </c>
      <c r="AO4" t="s">
        <v>2581</v>
      </c>
      <c r="AP4" t="s">
        <v>2581</v>
      </c>
      <c r="AQ4" t="s">
        <v>2583</v>
      </c>
      <c r="AR4" t="s">
        <v>2583</v>
      </c>
      <c r="AS4" t="s">
        <v>2583</v>
      </c>
      <c r="AT4" t="s">
        <v>2583</v>
      </c>
      <c r="AU4" t="s">
        <v>2585</v>
      </c>
      <c r="AV4" t="s">
        <v>2585</v>
      </c>
      <c r="AW4" t="s">
        <v>2585</v>
      </c>
      <c r="AX4" t="s">
        <v>2585</v>
      </c>
      <c r="AY4" t="s">
        <v>2587</v>
      </c>
      <c r="AZ4" t="s">
        <v>2587</v>
      </c>
      <c r="BA4" t="s">
        <v>2587</v>
      </c>
      <c r="BB4" t="s">
        <v>2587</v>
      </c>
      <c r="BC4" t="s">
        <v>2589</v>
      </c>
      <c r="BD4" t="s">
        <v>2589</v>
      </c>
      <c r="BE4" t="s">
        <v>2589</v>
      </c>
      <c r="BF4" t="s">
        <v>2589</v>
      </c>
      <c r="BG4" t="s">
        <v>2591</v>
      </c>
      <c r="BH4" t="s">
        <v>2591</v>
      </c>
      <c r="BI4" t="s">
        <v>2591</v>
      </c>
      <c r="BJ4" t="s">
        <v>2591</v>
      </c>
      <c r="BK4" t="s">
        <v>2593</v>
      </c>
      <c r="BL4" t="s">
        <v>2593</v>
      </c>
      <c r="BM4" t="s">
        <v>2593</v>
      </c>
      <c r="BN4" t="s">
        <v>2593</v>
      </c>
      <c r="BO4" t="s">
        <v>2595</v>
      </c>
      <c r="BP4" t="s">
        <v>2595</v>
      </c>
      <c r="BQ4" t="s">
        <v>2595</v>
      </c>
      <c r="BR4" t="s">
        <v>2595</v>
      </c>
      <c r="BS4" t="s">
        <v>2597</v>
      </c>
      <c r="BT4" t="s">
        <v>2597</v>
      </c>
      <c r="BU4" t="s">
        <v>2597</v>
      </c>
      <c r="BV4" t="s">
        <v>2597</v>
      </c>
      <c r="BW4" t="s">
        <v>2599</v>
      </c>
      <c r="BX4" t="s">
        <v>2599</v>
      </c>
      <c r="BY4" t="s">
        <v>2599</v>
      </c>
      <c r="BZ4" t="s">
        <v>2599</v>
      </c>
      <c r="CA4" t="s">
        <v>2601</v>
      </c>
      <c r="CB4" t="s">
        <v>2601</v>
      </c>
      <c r="CC4" t="s">
        <v>2601</v>
      </c>
      <c r="CD4" t="s">
        <v>2601</v>
      </c>
      <c r="CE4" t="s">
        <v>2603</v>
      </c>
      <c r="CF4" t="s">
        <v>2603</v>
      </c>
      <c r="CG4" t="s">
        <v>2603</v>
      </c>
      <c r="CH4" t="s">
        <v>2603</v>
      </c>
      <c r="CI4" t="s">
        <v>2605</v>
      </c>
      <c r="CJ4" t="s">
        <v>2605</v>
      </c>
      <c r="CK4" t="s">
        <v>2605</v>
      </c>
      <c r="CL4" t="s">
        <v>2605</v>
      </c>
      <c r="CM4" t="s">
        <v>2607</v>
      </c>
      <c r="CN4" t="s">
        <v>2607</v>
      </c>
      <c r="CO4" t="s">
        <v>2607</v>
      </c>
      <c r="CP4" t="s">
        <v>2607</v>
      </c>
      <c r="CQ4" t="s">
        <v>2609</v>
      </c>
      <c r="CR4" t="s">
        <v>2609</v>
      </c>
      <c r="CS4" t="s">
        <v>2609</v>
      </c>
      <c r="CT4" t="s">
        <v>2609</v>
      </c>
      <c r="CU4" t="s">
        <v>2611</v>
      </c>
      <c r="CV4" t="s">
        <v>2611</v>
      </c>
      <c r="CW4" t="s">
        <v>2611</v>
      </c>
      <c r="CX4" t="s">
        <v>2611</v>
      </c>
      <c r="CY4" t="s">
        <v>2613</v>
      </c>
      <c r="CZ4" t="s">
        <v>2613</v>
      </c>
      <c r="DA4" t="s">
        <v>2613</v>
      </c>
      <c r="DB4" t="s">
        <v>2613</v>
      </c>
      <c r="DC4" t="s">
        <v>2615</v>
      </c>
      <c r="DD4" t="s">
        <v>2615</v>
      </c>
      <c r="DE4" t="s">
        <v>2615</v>
      </c>
      <c r="DF4" t="s">
        <v>2615</v>
      </c>
      <c r="DG4" t="s">
        <v>2617</v>
      </c>
      <c r="DH4" t="s">
        <v>2617</v>
      </c>
      <c r="DI4" t="s">
        <v>2617</v>
      </c>
      <c r="DJ4" t="s">
        <v>2617</v>
      </c>
      <c r="DK4" t="s">
        <v>2619</v>
      </c>
      <c r="DL4" t="s">
        <v>2619</v>
      </c>
      <c r="DM4" t="s">
        <v>2619</v>
      </c>
      <c r="DN4" t="s">
        <v>2619</v>
      </c>
      <c r="DO4" t="s">
        <v>2621</v>
      </c>
      <c r="DP4" t="s">
        <v>2621</v>
      </c>
      <c r="DQ4" t="s">
        <v>2621</v>
      </c>
      <c r="DR4" t="s">
        <v>2621</v>
      </c>
      <c r="DS4" t="s">
        <v>2623</v>
      </c>
      <c r="DT4" t="s">
        <v>2623</v>
      </c>
      <c r="DU4" t="s">
        <v>2623</v>
      </c>
      <c r="DV4" t="s">
        <v>2623</v>
      </c>
      <c r="DW4" t="s">
        <v>2625</v>
      </c>
      <c r="DX4" t="s">
        <v>2625</v>
      </c>
      <c r="DY4" t="s">
        <v>2625</v>
      </c>
      <c r="DZ4" t="s">
        <v>2625</v>
      </c>
      <c r="EA4" t="s">
        <v>2627</v>
      </c>
      <c r="EB4" t="s">
        <v>2627</v>
      </c>
      <c r="EC4" t="s">
        <v>2627</v>
      </c>
      <c r="ED4" t="s">
        <v>2627</v>
      </c>
      <c r="EE4" t="s">
        <v>2629</v>
      </c>
      <c r="EF4" t="s">
        <v>2629</v>
      </c>
      <c r="EG4" t="s">
        <v>2629</v>
      </c>
      <c r="EH4" t="s">
        <v>2629</v>
      </c>
      <c r="EI4" t="s">
        <v>2631</v>
      </c>
      <c r="EJ4" t="s">
        <v>2631</v>
      </c>
      <c r="EK4" t="s">
        <v>2631</v>
      </c>
      <c r="EL4" t="s">
        <v>2631</v>
      </c>
    </row>
    <row r="5" spans="1:1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  <c r="DW5" t="s">
        <v>69</v>
      </c>
      <c r="DX5" t="s">
        <v>74</v>
      </c>
      <c r="DY5" t="s">
        <v>263</v>
      </c>
      <c r="DZ5" t="s">
        <v>76</v>
      </c>
      <c r="EA5" t="s">
        <v>69</v>
      </c>
      <c r="EB5" t="s">
        <v>74</v>
      </c>
      <c r="EC5" t="s">
        <v>263</v>
      </c>
      <c r="ED5" t="s">
        <v>76</v>
      </c>
      <c r="EE5" t="s">
        <v>69</v>
      </c>
      <c r="EF5" t="s">
        <v>74</v>
      </c>
      <c r="EG5" t="s">
        <v>263</v>
      </c>
      <c r="EH5" t="s">
        <v>76</v>
      </c>
      <c r="EI5" t="s">
        <v>69</v>
      </c>
      <c r="EJ5" t="s">
        <v>74</v>
      </c>
      <c r="EK5" t="s">
        <v>263</v>
      </c>
      <c r="EL5" t="s">
        <v>76</v>
      </c>
    </row>
    <row r="6" spans="1:1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  <c r="DW6" t="s">
        <v>72</v>
      </c>
      <c r="DX6" t="s">
        <v>75</v>
      </c>
      <c r="DY6" t="s">
        <v>264</v>
      </c>
      <c r="DZ6" t="s">
        <v>77</v>
      </c>
      <c r="EA6" t="s">
        <v>72</v>
      </c>
      <c r="EB6" t="s">
        <v>75</v>
      </c>
      <c r="EC6" t="s">
        <v>264</v>
      </c>
      <c r="ED6" t="s">
        <v>77</v>
      </c>
      <c r="EE6" t="s">
        <v>72</v>
      </c>
      <c r="EF6" t="s">
        <v>75</v>
      </c>
      <c r="EG6" t="s">
        <v>264</v>
      </c>
      <c r="EH6" t="s">
        <v>77</v>
      </c>
      <c r="EI6" t="s">
        <v>72</v>
      </c>
      <c r="EJ6" t="s">
        <v>75</v>
      </c>
      <c r="EK6" t="s">
        <v>264</v>
      </c>
      <c r="EL6" t="s">
        <v>77</v>
      </c>
    </row>
    <row r="7" spans="1:1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  <c r="DW7" t="s">
        <v>70</v>
      </c>
      <c r="DX7" t="s">
        <v>70</v>
      </c>
      <c r="DY7" t="s">
        <v>341</v>
      </c>
      <c r="DZ7" t="s">
        <v>70</v>
      </c>
      <c r="EA7" t="s">
        <v>70</v>
      </c>
      <c r="EB7" t="s">
        <v>70</v>
      </c>
      <c r="EC7" t="s">
        <v>341</v>
      </c>
      <c r="ED7" t="s">
        <v>70</v>
      </c>
      <c r="EE7" t="s">
        <v>70</v>
      </c>
      <c r="EF7" t="s">
        <v>70</v>
      </c>
      <c r="EG7" t="s">
        <v>341</v>
      </c>
      <c r="EH7" t="s">
        <v>70</v>
      </c>
      <c r="EI7" t="s">
        <v>70</v>
      </c>
      <c r="EJ7" t="s">
        <v>70</v>
      </c>
      <c r="EK7" t="s">
        <v>341</v>
      </c>
      <c r="EL7" t="s">
        <v>70</v>
      </c>
    </row>
    <row r="8" spans="1:1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  <c r="DW8" t="s">
        <v>70</v>
      </c>
      <c r="DX8" t="s">
        <v>70</v>
      </c>
      <c r="DY8" t="s">
        <v>342</v>
      </c>
      <c r="DZ8" t="s">
        <v>70</v>
      </c>
      <c r="EA8" t="s">
        <v>70</v>
      </c>
      <c r="EB8" t="s">
        <v>70</v>
      </c>
      <c r="EC8" t="s">
        <v>342</v>
      </c>
      <c r="ED8" t="s">
        <v>70</v>
      </c>
      <c r="EE8" t="s">
        <v>70</v>
      </c>
      <c r="EF8" t="s">
        <v>70</v>
      </c>
      <c r="EG8" t="s">
        <v>342</v>
      </c>
      <c r="EH8" t="s">
        <v>70</v>
      </c>
      <c r="EI8" t="s">
        <v>70</v>
      </c>
      <c r="EJ8" t="s">
        <v>70</v>
      </c>
      <c r="EK8" t="s">
        <v>342</v>
      </c>
      <c r="EL8" t="s">
        <v>70</v>
      </c>
    </row>
    <row r="9" spans="1:142" x14ac:dyDescent="0.4">
      <c r="A9" s="1" t="s">
        <v>6</v>
      </c>
      <c r="B9" s="3" t="s">
        <v>7</v>
      </c>
      <c r="C9">
        <v>29448</v>
      </c>
      <c r="D9">
        <v>32363</v>
      </c>
      <c r="E9">
        <v>15313147</v>
      </c>
      <c r="F9">
        <v>2134</v>
      </c>
      <c r="G9">
        <v>15066</v>
      </c>
      <c r="H9">
        <v>10359</v>
      </c>
      <c r="I9">
        <v>6131500</v>
      </c>
      <c r="J9">
        <v>848</v>
      </c>
      <c r="K9">
        <v>140133</v>
      </c>
      <c r="L9">
        <v>139906</v>
      </c>
      <c r="M9">
        <v>12164443</v>
      </c>
      <c r="N9">
        <v>2606</v>
      </c>
      <c r="O9">
        <v>111148</v>
      </c>
      <c r="P9">
        <v>107396</v>
      </c>
      <c r="Q9">
        <v>41925030</v>
      </c>
      <c r="R9">
        <v>8693</v>
      </c>
      <c r="S9">
        <v>48953</v>
      </c>
      <c r="T9">
        <v>45459</v>
      </c>
      <c r="U9">
        <v>4643174</v>
      </c>
      <c r="V9">
        <v>1154</v>
      </c>
      <c r="W9">
        <v>2270</v>
      </c>
      <c r="X9">
        <v>2469</v>
      </c>
      <c r="Y9">
        <v>12275088</v>
      </c>
      <c r="Z9">
        <v>220</v>
      </c>
      <c r="AA9">
        <v>20548</v>
      </c>
      <c r="AB9">
        <v>18978</v>
      </c>
      <c r="AC9">
        <v>6842190</v>
      </c>
      <c r="AD9">
        <v>1833</v>
      </c>
      <c r="AE9">
        <v>36655</v>
      </c>
      <c r="AF9">
        <v>34794</v>
      </c>
      <c r="AG9">
        <v>3988875</v>
      </c>
      <c r="AH9">
        <v>773</v>
      </c>
      <c r="AI9">
        <v>10783</v>
      </c>
      <c r="AJ9">
        <v>9451</v>
      </c>
      <c r="AK9">
        <v>3280778</v>
      </c>
      <c r="AL9">
        <v>672</v>
      </c>
      <c r="AM9">
        <v>73570</v>
      </c>
      <c r="AN9">
        <v>53255</v>
      </c>
      <c r="AO9">
        <v>15689775</v>
      </c>
      <c r="AP9">
        <v>4289</v>
      </c>
      <c r="AQ9">
        <v>39248</v>
      </c>
      <c r="AR9">
        <v>19015</v>
      </c>
      <c r="AS9">
        <v>6663850</v>
      </c>
      <c r="AT9">
        <v>3170</v>
      </c>
      <c r="AU9">
        <v>59750</v>
      </c>
      <c r="AV9">
        <v>35625</v>
      </c>
      <c r="AW9">
        <v>15482934</v>
      </c>
      <c r="AX9">
        <v>8805</v>
      </c>
      <c r="AY9">
        <v>129863</v>
      </c>
      <c r="AZ9">
        <v>122000</v>
      </c>
      <c r="BA9">
        <v>71710512</v>
      </c>
      <c r="BB9">
        <v>18291</v>
      </c>
      <c r="BC9">
        <v>112508</v>
      </c>
      <c r="BD9">
        <v>109661</v>
      </c>
      <c r="BE9">
        <v>71345436</v>
      </c>
      <c r="BF9">
        <v>2170</v>
      </c>
      <c r="BG9">
        <v>65601</v>
      </c>
      <c r="BH9">
        <v>60630</v>
      </c>
      <c r="BI9">
        <v>35066070</v>
      </c>
      <c r="BJ9">
        <v>1024</v>
      </c>
      <c r="BK9">
        <v>435566</v>
      </c>
      <c r="BL9">
        <v>323966</v>
      </c>
      <c r="BM9">
        <v>73030656</v>
      </c>
      <c r="BN9">
        <v>25620</v>
      </c>
      <c r="BO9">
        <v>93221</v>
      </c>
      <c r="BP9">
        <v>91825</v>
      </c>
      <c r="BQ9">
        <v>24583553</v>
      </c>
      <c r="BR9">
        <v>10603</v>
      </c>
      <c r="BS9">
        <v>45773</v>
      </c>
      <c r="BT9">
        <v>36754</v>
      </c>
      <c r="BU9">
        <v>21606931</v>
      </c>
      <c r="BV9">
        <v>4245</v>
      </c>
      <c r="BW9">
        <v>574805</v>
      </c>
      <c r="BX9">
        <v>255834</v>
      </c>
      <c r="BY9">
        <v>28260355</v>
      </c>
      <c r="BZ9">
        <v>13831</v>
      </c>
      <c r="CA9">
        <v>199445</v>
      </c>
      <c r="CB9">
        <v>164081</v>
      </c>
      <c r="CC9">
        <v>51428082</v>
      </c>
      <c r="CD9">
        <v>36565</v>
      </c>
      <c r="CE9">
        <v>2759534</v>
      </c>
      <c r="CF9">
        <v>2311347</v>
      </c>
      <c r="CG9">
        <v>201886677</v>
      </c>
      <c r="CH9">
        <v>26266</v>
      </c>
      <c r="CI9">
        <v>1405469</v>
      </c>
      <c r="CJ9">
        <v>1403098</v>
      </c>
      <c r="CK9">
        <v>192159968</v>
      </c>
      <c r="CL9">
        <v>107812</v>
      </c>
      <c r="CM9">
        <v>88675</v>
      </c>
      <c r="CN9">
        <v>95034</v>
      </c>
      <c r="CO9">
        <v>28726255</v>
      </c>
      <c r="CP9">
        <v>8601</v>
      </c>
      <c r="CQ9">
        <v>131203</v>
      </c>
      <c r="CR9">
        <v>127871</v>
      </c>
      <c r="CS9">
        <v>29193005</v>
      </c>
      <c r="CT9">
        <v>16574</v>
      </c>
      <c r="CU9">
        <v>214229</v>
      </c>
      <c r="CV9">
        <v>84512</v>
      </c>
      <c r="CW9">
        <v>24381894</v>
      </c>
      <c r="CX9">
        <v>9153</v>
      </c>
      <c r="CY9">
        <v>229543</v>
      </c>
      <c r="CZ9">
        <v>214512</v>
      </c>
      <c r="DA9">
        <v>115669299</v>
      </c>
      <c r="DB9">
        <v>42340</v>
      </c>
      <c r="DC9">
        <v>33032</v>
      </c>
      <c r="DD9">
        <v>30714</v>
      </c>
      <c r="DE9">
        <v>96412969</v>
      </c>
      <c r="DF9">
        <v>4492</v>
      </c>
      <c r="DG9">
        <v>280922</v>
      </c>
      <c r="DH9">
        <v>272961</v>
      </c>
      <c r="DI9">
        <v>104759830</v>
      </c>
      <c r="DJ9">
        <v>38899</v>
      </c>
      <c r="DK9">
        <v>120315</v>
      </c>
      <c r="DL9">
        <v>109616</v>
      </c>
      <c r="DM9">
        <v>40207487</v>
      </c>
      <c r="DN9">
        <v>23979</v>
      </c>
      <c r="DO9">
        <v>150206</v>
      </c>
      <c r="DP9">
        <v>11157</v>
      </c>
      <c r="DQ9">
        <v>2066713</v>
      </c>
      <c r="DR9">
        <v>4283</v>
      </c>
      <c r="DS9" t="s">
        <v>73</v>
      </c>
      <c r="DT9" t="s">
        <v>73</v>
      </c>
      <c r="DU9" t="s">
        <v>73</v>
      </c>
      <c r="DV9" t="s">
        <v>73</v>
      </c>
      <c r="DW9" t="s">
        <v>73</v>
      </c>
      <c r="DX9" t="s">
        <v>73</v>
      </c>
      <c r="DY9" t="s">
        <v>73</v>
      </c>
      <c r="DZ9" t="s">
        <v>73</v>
      </c>
      <c r="EA9">
        <v>117093</v>
      </c>
      <c r="EB9">
        <v>118335</v>
      </c>
      <c r="EC9">
        <v>38717416</v>
      </c>
      <c r="ED9">
        <v>23399</v>
      </c>
      <c r="EE9">
        <v>44641</v>
      </c>
      <c r="EF9">
        <v>30848</v>
      </c>
      <c r="EG9">
        <v>25029415</v>
      </c>
      <c r="EH9">
        <v>3837</v>
      </c>
      <c r="EI9">
        <v>193785</v>
      </c>
      <c r="EJ9">
        <v>120532</v>
      </c>
      <c r="EK9">
        <v>46328489</v>
      </c>
      <c r="EL9">
        <v>15766</v>
      </c>
    </row>
    <row r="10" spans="1:142" x14ac:dyDescent="0.4">
      <c r="A10" s="1" t="s">
        <v>8</v>
      </c>
      <c r="B10" s="3" t="s">
        <v>9</v>
      </c>
      <c r="C10">
        <v>22117</v>
      </c>
      <c r="D10">
        <v>24975</v>
      </c>
      <c r="E10">
        <v>13583888</v>
      </c>
      <c r="F10">
        <v>1779</v>
      </c>
      <c r="G10">
        <v>15522</v>
      </c>
      <c r="H10">
        <v>10611</v>
      </c>
      <c r="I10">
        <v>7668420</v>
      </c>
      <c r="J10">
        <v>1289</v>
      </c>
      <c r="K10">
        <v>128965</v>
      </c>
      <c r="L10">
        <v>128927</v>
      </c>
      <c r="M10">
        <v>12496349</v>
      </c>
      <c r="N10">
        <v>2578</v>
      </c>
      <c r="O10">
        <v>100420</v>
      </c>
      <c r="P10">
        <v>98509</v>
      </c>
      <c r="Q10">
        <v>44320344</v>
      </c>
      <c r="R10">
        <v>8703</v>
      </c>
      <c r="S10">
        <v>44431</v>
      </c>
      <c r="T10">
        <v>40817</v>
      </c>
      <c r="U10">
        <v>4868877</v>
      </c>
      <c r="V10">
        <v>1143</v>
      </c>
      <c r="W10">
        <v>2202</v>
      </c>
      <c r="X10">
        <v>2521</v>
      </c>
      <c r="Y10">
        <v>13909597</v>
      </c>
      <c r="Z10">
        <v>336</v>
      </c>
      <c r="AA10">
        <v>19875</v>
      </c>
      <c r="AB10">
        <v>17946</v>
      </c>
      <c r="AC10">
        <v>7764354</v>
      </c>
      <c r="AD10">
        <v>1788</v>
      </c>
      <c r="AE10">
        <v>37074</v>
      </c>
      <c r="AF10">
        <v>35082</v>
      </c>
      <c r="AG10">
        <v>4471183</v>
      </c>
      <c r="AH10">
        <v>919</v>
      </c>
      <c r="AI10">
        <v>10371</v>
      </c>
      <c r="AJ10">
        <v>9167</v>
      </c>
      <c r="AK10">
        <v>3574231</v>
      </c>
      <c r="AL10">
        <v>617</v>
      </c>
      <c r="AM10">
        <v>71443</v>
      </c>
      <c r="AN10">
        <v>51696</v>
      </c>
      <c r="AO10">
        <v>17308673</v>
      </c>
      <c r="AP10">
        <v>4111</v>
      </c>
      <c r="AQ10">
        <v>38654</v>
      </c>
      <c r="AR10">
        <v>17476</v>
      </c>
      <c r="AS10">
        <v>7533328</v>
      </c>
      <c r="AT10">
        <v>4087</v>
      </c>
      <c r="AU10">
        <v>55787</v>
      </c>
      <c r="AV10">
        <v>33063</v>
      </c>
      <c r="AW10">
        <v>16868260</v>
      </c>
      <c r="AX10">
        <v>8828</v>
      </c>
      <c r="AY10">
        <v>117494</v>
      </c>
      <c r="AZ10">
        <v>116640</v>
      </c>
      <c r="BA10">
        <v>81068657</v>
      </c>
      <c r="BB10">
        <v>19230</v>
      </c>
      <c r="BC10">
        <v>107241</v>
      </c>
      <c r="BD10">
        <v>103969</v>
      </c>
      <c r="BE10">
        <v>71852740</v>
      </c>
      <c r="BF10">
        <v>2409</v>
      </c>
      <c r="BG10">
        <v>63223</v>
      </c>
      <c r="BH10">
        <v>59585</v>
      </c>
      <c r="BI10">
        <v>37317165</v>
      </c>
      <c r="BJ10">
        <v>1061</v>
      </c>
      <c r="BK10">
        <v>386238</v>
      </c>
      <c r="BL10">
        <v>290697</v>
      </c>
      <c r="BM10">
        <v>75469833</v>
      </c>
      <c r="BN10">
        <v>28477</v>
      </c>
      <c r="BO10">
        <v>78298</v>
      </c>
      <c r="BP10">
        <v>80276</v>
      </c>
      <c r="BQ10">
        <v>24171142</v>
      </c>
      <c r="BR10">
        <v>10213</v>
      </c>
      <c r="BS10">
        <v>42627</v>
      </c>
      <c r="BT10">
        <v>33434</v>
      </c>
      <c r="BU10">
        <v>21298158</v>
      </c>
      <c r="BV10">
        <v>4368</v>
      </c>
      <c r="BW10">
        <v>523172</v>
      </c>
      <c r="BX10">
        <v>229965</v>
      </c>
      <c r="BY10">
        <v>35596442</v>
      </c>
      <c r="BZ10">
        <v>14558</v>
      </c>
      <c r="CA10">
        <v>183446</v>
      </c>
      <c r="CB10">
        <v>133960</v>
      </c>
      <c r="CC10">
        <v>56075248</v>
      </c>
      <c r="CD10">
        <v>45694</v>
      </c>
      <c r="CE10">
        <v>2639804</v>
      </c>
      <c r="CF10">
        <v>2182319</v>
      </c>
      <c r="CG10">
        <v>226974527</v>
      </c>
      <c r="CH10">
        <v>27942</v>
      </c>
      <c r="CI10">
        <v>1325787</v>
      </c>
      <c r="CJ10">
        <v>1317347</v>
      </c>
      <c r="CK10">
        <v>213045319</v>
      </c>
      <c r="CL10">
        <v>123400</v>
      </c>
      <c r="CM10">
        <v>91487</v>
      </c>
      <c r="CN10">
        <v>98585</v>
      </c>
      <c r="CO10">
        <v>31382867</v>
      </c>
      <c r="CP10">
        <v>8961</v>
      </c>
      <c r="CQ10">
        <v>127659</v>
      </c>
      <c r="CR10">
        <v>124143</v>
      </c>
      <c r="CS10">
        <v>33863514</v>
      </c>
      <c r="CT10">
        <v>20090</v>
      </c>
      <c r="CU10" t="s">
        <v>73</v>
      </c>
      <c r="CV10" t="s">
        <v>73</v>
      </c>
      <c r="CW10" t="s">
        <v>73</v>
      </c>
      <c r="CX10" t="s">
        <v>73</v>
      </c>
      <c r="CY10">
        <v>204385</v>
      </c>
      <c r="CZ10">
        <v>193055</v>
      </c>
      <c r="DA10">
        <v>118101034</v>
      </c>
      <c r="DB10">
        <v>42503</v>
      </c>
      <c r="DC10">
        <v>37852</v>
      </c>
      <c r="DD10">
        <v>32762</v>
      </c>
      <c r="DE10">
        <v>127110958</v>
      </c>
      <c r="DF10">
        <v>6425</v>
      </c>
      <c r="DG10">
        <v>261151</v>
      </c>
      <c r="DH10">
        <v>248896</v>
      </c>
      <c r="DI10">
        <v>105617857</v>
      </c>
      <c r="DJ10">
        <v>46666</v>
      </c>
      <c r="DK10">
        <v>125486</v>
      </c>
      <c r="DL10">
        <v>116115</v>
      </c>
      <c r="DM10">
        <v>43450002</v>
      </c>
      <c r="DN10">
        <v>28503</v>
      </c>
      <c r="DO10">
        <v>138126</v>
      </c>
      <c r="DP10">
        <v>9852</v>
      </c>
      <c r="DQ10">
        <v>2208495</v>
      </c>
      <c r="DR10">
        <v>4922</v>
      </c>
      <c r="DS10" t="s">
        <v>73</v>
      </c>
      <c r="DT10" t="s">
        <v>73</v>
      </c>
      <c r="DU10" t="s">
        <v>73</v>
      </c>
      <c r="DV10" t="s">
        <v>73</v>
      </c>
      <c r="DW10" t="s">
        <v>73</v>
      </c>
      <c r="DX10" t="s">
        <v>73</v>
      </c>
      <c r="DY10" t="s">
        <v>73</v>
      </c>
      <c r="DZ10" t="s">
        <v>73</v>
      </c>
      <c r="EA10">
        <v>108386</v>
      </c>
      <c r="EB10">
        <v>104878</v>
      </c>
      <c r="EC10">
        <v>42821614</v>
      </c>
      <c r="ED10">
        <v>25941</v>
      </c>
      <c r="EE10">
        <v>45337</v>
      </c>
      <c r="EF10">
        <v>31446</v>
      </c>
      <c r="EG10">
        <v>28490868</v>
      </c>
      <c r="EH10">
        <v>5010</v>
      </c>
      <c r="EI10">
        <v>199004</v>
      </c>
      <c r="EJ10">
        <v>116857</v>
      </c>
      <c r="EK10">
        <v>45391762</v>
      </c>
      <c r="EL10">
        <v>15495</v>
      </c>
    </row>
    <row r="11" spans="1:142" x14ac:dyDescent="0.4">
      <c r="A11" s="1" t="s">
        <v>10</v>
      </c>
      <c r="B11" s="3" t="s">
        <v>11</v>
      </c>
      <c r="C11">
        <v>20417</v>
      </c>
      <c r="D11">
        <v>22941</v>
      </c>
      <c r="E11">
        <v>13025870</v>
      </c>
      <c r="F11">
        <v>1731</v>
      </c>
      <c r="G11">
        <v>13109</v>
      </c>
      <c r="H11">
        <v>9318</v>
      </c>
      <c r="I11">
        <v>6711915</v>
      </c>
      <c r="J11">
        <v>1017</v>
      </c>
      <c r="K11">
        <v>111307</v>
      </c>
      <c r="L11">
        <v>111194</v>
      </c>
      <c r="M11">
        <v>11385530</v>
      </c>
      <c r="N11">
        <v>2652</v>
      </c>
      <c r="O11">
        <v>91603</v>
      </c>
      <c r="P11">
        <v>90516</v>
      </c>
      <c r="Q11">
        <v>43798138</v>
      </c>
      <c r="R11">
        <v>7860</v>
      </c>
      <c r="S11">
        <v>43279</v>
      </c>
      <c r="T11">
        <v>40455</v>
      </c>
      <c r="U11">
        <v>4858081</v>
      </c>
      <c r="V11">
        <v>922</v>
      </c>
      <c r="W11">
        <v>1717</v>
      </c>
      <c r="X11">
        <v>2203</v>
      </c>
      <c r="Y11">
        <v>15104612</v>
      </c>
      <c r="Z11">
        <v>221</v>
      </c>
      <c r="AA11">
        <v>18997</v>
      </c>
      <c r="AB11">
        <v>17317</v>
      </c>
      <c r="AC11">
        <v>8632081</v>
      </c>
      <c r="AD11">
        <v>1733</v>
      </c>
      <c r="AE11">
        <v>34484</v>
      </c>
      <c r="AF11">
        <v>32920</v>
      </c>
      <c r="AG11">
        <v>4641377</v>
      </c>
      <c r="AH11">
        <v>813</v>
      </c>
      <c r="AI11">
        <v>9914</v>
      </c>
      <c r="AJ11">
        <v>8950</v>
      </c>
      <c r="AK11">
        <v>3825408</v>
      </c>
      <c r="AL11">
        <v>519</v>
      </c>
      <c r="AM11">
        <v>65044</v>
      </c>
      <c r="AN11">
        <v>44296</v>
      </c>
      <c r="AO11">
        <v>15776797</v>
      </c>
      <c r="AP11">
        <v>3882</v>
      </c>
      <c r="AQ11">
        <v>34524</v>
      </c>
      <c r="AR11">
        <v>15952</v>
      </c>
      <c r="AS11">
        <v>7366804</v>
      </c>
      <c r="AT11">
        <v>3816</v>
      </c>
      <c r="AU11">
        <v>55164</v>
      </c>
      <c r="AV11">
        <v>32256</v>
      </c>
      <c r="AW11">
        <v>17828068</v>
      </c>
      <c r="AX11">
        <v>9331</v>
      </c>
      <c r="AY11">
        <v>96007</v>
      </c>
      <c r="AZ11">
        <v>100319</v>
      </c>
      <c r="BA11">
        <v>68834687</v>
      </c>
      <c r="BB11">
        <v>17315</v>
      </c>
      <c r="BC11">
        <v>110077</v>
      </c>
      <c r="BD11">
        <v>104220</v>
      </c>
      <c r="BE11">
        <v>80227226</v>
      </c>
      <c r="BF11">
        <v>2487</v>
      </c>
      <c r="BG11">
        <v>62931</v>
      </c>
      <c r="BH11">
        <v>59218</v>
      </c>
      <c r="BI11">
        <v>38395417</v>
      </c>
      <c r="BJ11">
        <v>1143</v>
      </c>
      <c r="BK11">
        <v>344241</v>
      </c>
      <c r="BL11">
        <v>269587</v>
      </c>
      <c r="BM11">
        <v>68545504</v>
      </c>
      <c r="BN11">
        <v>19674</v>
      </c>
      <c r="BO11">
        <v>75380</v>
      </c>
      <c r="BP11">
        <v>77826</v>
      </c>
      <c r="BQ11">
        <v>24491360</v>
      </c>
      <c r="BR11">
        <v>8689</v>
      </c>
      <c r="BS11">
        <v>42512</v>
      </c>
      <c r="BT11">
        <v>33308</v>
      </c>
      <c r="BU11">
        <v>22758631</v>
      </c>
      <c r="BV11">
        <v>5014</v>
      </c>
      <c r="BW11">
        <v>481336</v>
      </c>
      <c r="BX11">
        <v>203189</v>
      </c>
      <c r="BY11">
        <v>27432724</v>
      </c>
      <c r="BZ11">
        <v>13357</v>
      </c>
      <c r="CA11">
        <v>169024</v>
      </c>
      <c r="CB11">
        <v>119153</v>
      </c>
      <c r="CC11">
        <v>54005978</v>
      </c>
      <c r="CD11">
        <v>55106</v>
      </c>
      <c r="CE11">
        <v>2586825</v>
      </c>
      <c r="CF11">
        <v>2131201</v>
      </c>
      <c r="CG11">
        <v>199524064</v>
      </c>
      <c r="CH11">
        <v>22285</v>
      </c>
      <c r="CI11">
        <v>1340599</v>
      </c>
      <c r="CJ11">
        <v>1353927</v>
      </c>
      <c r="CK11">
        <v>204741283</v>
      </c>
      <c r="CL11">
        <v>121468</v>
      </c>
      <c r="CM11">
        <v>88418</v>
      </c>
      <c r="CN11">
        <v>93976</v>
      </c>
      <c r="CO11">
        <v>29404093</v>
      </c>
      <c r="CP11">
        <v>10045</v>
      </c>
      <c r="CQ11">
        <v>118737</v>
      </c>
      <c r="CR11">
        <v>120838</v>
      </c>
      <c r="CS11">
        <v>33908475</v>
      </c>
      <c r="CT11">
        <v>17988</v>
      </c>
      <c r="CU11" t="s">
        <v>73</v>
      </c>
      <c r="CV11" t="s">
        <v>73</v>
      </c>
      <c r="CW11" t="s">
        <v>73</v>
      </c>
      <c r="CX11" t="s">
        <v>73</v>
      </c>
      <c r="CY11">
        <v>176284</v>
      </c>
      <c r="CZ11">
        <v>173121</v>
      </c>
      <c r="DA11">
        <v>115810398</v>
      </c>
      <c r="DB11">
        <v>40609</v>
      </c>
      <c r="DC11">
        <v>37274</v>
      </c>
      <c r="DD11">
        <v>31623</v>
      </c>
      <c r="DE11">
        <v>128221679</v>
      </c>
      <c r="DF11">
        <v>10792</v>
      </c>
      <c r="DG11">
        <v>228851</v>
      </c>
      <c r="DH11">
        <v>232027</v>
      </c>
      <c r="DI11">
        <v>97444690</v>
      </c>
      <c r="DJ11">
        <v>40239</v>
      </c>
      <c r="DK11" t="s">
        <v>73</v>
      </c>
      <c r="DL11" t="s">
        <v>73</v>
      </c>
      <c r="DM11" t="s">
        <v>73</v>
      </c>
      <c r="DN11" t="s">
        <v>73</v>
      </c>
      <c r="DO11">
        <v>114510</v>
      </c>
      <c r="DP11">
        <v>6973</v>
      </c>
      <c r="DQ11">
        <v>2014131</v>
      </c>
      <c r="DR11">
        <v>4431</v>
      </c>
      <c r="DS11" t="s">
        <v>73</v>
      </c>
      <c r="DT11" t="s">
        <v>73</v>
      </c>
      <c r="DU11" t="s">
        <v>73</v>
      </c>
      <c r="DV11" t="s">
        <v>73</v>
      </c>
      <c r="DW11" t="s">
        <v>73</v>
      </c>
      <c r="DX11" t="s">
        <v>73</v>
      </c>
      <c r="DY11" t="s">
        <v>73</v>
      </c>
      <c r="DZ11" t="s">
        <v>73</v>
      </c>
      <c r="EA11">
        <v>101835</v>
      </c>
      <c r="EB11">
        <v>100388</v>
      </c>
      <c r="EC11">
        <v>45153248</v>
      </c>
      <c r="ED11">
        <v>23750</v>
      </c>
      <c r="EE11">
        <v>38948</v>
      </c>
      <c r="EF11">
        <v>28801</v>
      </c>
      <c r="EG11">
        <v>29112237</v>
      </c>
      <c r="EH11">
        <v>7848</v>
      </c>
      <c r="EI11">
        <v>208064</v>
      </c>
      <c r="EJ11">
        <v>117135</v>
      </c>
      <c r="EK11">
        <v>43421007</v>
      </c>
      <c r="EL11">
        <v>20453</v>
      </c>
    </row>
    <row r="12" spans="1:142" x14ac:dyDescent="0.4">
      <c r="A12" s="1" t="s">
        <v>12</v>
      </c>
      <c r="B12" s="3" t="s">
        <v>13</v>
      </c>
      <c r="C12">
        <v>20865</v>
      </c>
      <c r="D12">
        <v>23539</v>
      </c>
      <c r="E12">
        <v>13718999</v>
      </c>
      <c r="F12">
        <v>1880</v>
      </c>
      <c r="G12">
        <v>13148</v>
      </c>
      <c r="H12">
        <v>8951</v>
      </c>
      <c r="I12">
        <v>6720332</v>
      </c>
      <c r="J12">
        <v>970</v>
      </c>
      <c r="K12">
        <v>111553</v>
      </c>
      <c r="L12">
        <v>111862</v>
      </c>
      <c r="M12">
        <v>11752883</v>
      </c>
      <c r="N12">
        <v>2295</v>
      </c>
      <c r="O12">
        <v>86248</v>
      </c>
      <c r="P12">
        <v>85660</v>
      </c>
      <c r="Q12">
        <v>44674708</v>
      </c>
      <c r="R12">
        <v>7350</v>
      </c>
      <c r="S12">
        <v>40867</v>
      </c>
      <c r="T12">
        <v>29400</v>
      </c>
      <c r="U12">
        <v>4129047</v>
      </c>
      <c r="V12">
        <v>1148</v>
      </c>
      <c r="W12">
        <v>1579</v>
      </c>
      <c r="X12">
        <v>1989</v>
      </c>
      <c r="Y12">
        <v>14587008</v>
      </c>
      <c r="Z12">
        <v>215</v>
      </c>
      <c r="AA12">
        <v>18627</v>
      </c>
      <c r="AB12">
        <v>16629</v>
      </c>
      <c r="AC12">
        <v>8659037</v>
      </c>
      <c r="AD12">
        <v>1699</v>
      </c>
      <c r="AE12">
        <v>32353</v>
      </c>
      <c r="AF12">
        <v>23090</v>
      </c>
      <c r="AG12">
        <v>3562423</v>
      </c>
      <c r="AH12">
        <v>647</v>
      </c>
      <c r="AI12">
        <v>9424</v>
      </c>
      <c r="AJ12">
        <v>8576</v>
      </c>
      <c r="AK12">
        <v>3548695</v>
      </c>
      <c r="AL12">
        <v>456</v>
      </c>
      <c r="AM12">
        <v>51435</v>
      </c>
      <c r="AN12">
        <v>42371</v>
      </c>
      <c r="AO12">
        <v>16742424</v>
      </c>
      <c r="AP12">
        <v>3823</v>
      </c>
      <c r="AQ12">
        <v>29436</v>
      </c>
      <c r="AR12">
        <v>15382</v>
      </c>
      <c r="AS12">
        <v>7504887</v>
      </c>
      <c r="AT12">
        <v>3658</v>
      </c>
      <c r="AU12">
        <v>54167</v>
      </c>
      <c r="AV12">
        <v>32141</v>
      </c>
      <c r="AW12">
        <v>18097422</v>
      </c>
      <c r="AX12">
        <v>9619</v>
      </c>
      <c r="AY12">
        <v>97769</v>
      </c>
      <c r="AZ12">
        <v>96175</v>
      </c>
      <c r="BA12">
        <v>74079615</v>
      </c>
      <c r="BB12">
        <v>18198</v>
      </c>
      <c r="BC12">
        <v>105789</v>
      </c>
      <c r="BD12">
        <v>99868</v>
      </c>
      <c r="BE12">
        <v>76363098</v>
      </c>
      <c r="BF12">
        <v>2687</v>
      </c>
      <c r="BG12">
        <v>60753</v>
      </c>
      <c r="BH12">
        <v>57376</v>
      </c>
      <c r="BI12">
        <v>37893694</v>
      </c>
      <c r="BJ12">
        <v>1281</v>
      </c>
      <c r="BK12">
        <v>364682</v>
      </c>
      <c r="BL12">
        <v>269825</v>
      </c>
      <c r="BM12">
        <v>75370505</v>
      </c>
      <c r="BN12">
        <v>22898</v>
      </c>
      <c r="BO12">
        <v>84956</v>
      </c>
      <c r="BP12">
        <v>81928</v>
      </c>
      <c r="BQ12">
        <v>27900699</v>
      </c>
      <c r="BR12">
        <v>12989</v>
      </c>
      <c r="BS12">
        <v>39319</v>
      </c>
      <c r="BT12">
        <v>31401</v>
      </c>
      <c r="BU12">
        <v>21889231</v>
      </c>
      <c r="BV12">
        <v>4494</v>
      </c>
      <c r="BW12">
        <v>412878</v>
      </c>
      <c r="BX12">
        <v>161973</v>
      </c>
      <c r="BY12">
        <v>22668901</v>
      </c>
      <c r="BZ12">
        <v>11712</v>
      </c>
      <c r="CA12">
        <v>150378</v>
      </c>
      <c r="CB12">
        <v>124408</v>
      </c>
      <c r="CC12">
        <v>59570681</v>
      </c>
      <c r="CD12">
        <v>47571</v>
      </c>
      <c r="CE12">
        <v>2469153</v>
      </c>
      <c r="CF12">
        <v>1961928</v>
      </c>
      <c r="CG12">
        <v>186547696</v>
      </c>
      <c r="CH12">
        <v>21218</v>
      </c>
      <c r="CI12">
        <v>1253889</v>
      </c>
      <c r="CJ12">
        <v>1279848</v>
      </c>
      <c r="CK12">
        <v>197709442</v>
      </c>
      <c r="CL12">
        <v>105044</v>
      </c>
      <c r="CM12">
        <v>88754</v>
      </c>
      <c r="CN12">
        <v>94437</v>
      </c>
      <c r="CO12">
        <v>29390734</v>
      </c>
      <c r="CP12">
        <v>10213</v>
      </c>
      <c r="CQ12">
        <v>121229</v>
      </c>
      <c r="CR12">
        <v>122096</v>
      </c>
      <c r="CS12">
        <v>34470246</v>
      </c>
      <c r="CT12">
        <v>17121</v>
      </c>
      <c r="CU12" t="s">
        <v>73</v>
      </c>
      <c r="CV12" t="s">
        <v>73</v>
      </c>
      <c r="CW12" t="s">
        <v>73</v>
      </c>
      <c r="CX12" t="s">
        <v>73</v>
      </c>
      <c r="CY12">
        <v>172958</v>
      </c>
      <c r="CZ12">
        <v>164789</v>
      </c>
      <c r="DA12">
        <v>113045004</v>
      </c>
      <c r="DB12">
        <v>46022</v>
      </c>
      <c r="DC12">
        <v>28895</v>
      </c>
      <c r="DD12">
        <v>30881</v>
      </c>
      <c r="DE12">
        <v>130639032</v>
      </c>
      <c r="DF12">
        <v>9556</v>
      </c>
      <c r="DG12">
        <v>206344</v>
      </c>
      <c r="DH12">
        <v>201321</v>
      </c>
      <c r="DI12">
        <v>84110859</v>
      </c>
      <c r="DJ12">
        <v>41735</v>
      </c>
      <c r="DK12" t="s">
        <v>73</v>
      </c>
      <c r="DL12" t="s">
        <v>73</v>
      </c>
      <c r="DM12" t="s">
        <v>73</v>
      </c>
      <c r="DN12" t="s">
        <v>73</v>
      </c>
      <c r="DO12">
        <v>97136</v>
      </c>
      <c r="DP12">
        <v>5340</v>
      </c>
      <c r="DQ12">
        <v>2259344</v>
      </c>
      <c r="DR12">
        <v>4690</v>
      </c>
      <c r="DS12" t="s">
        <v>73</v>
      </c>
      <c r="DT12" t="s">
        <v>73</v>
      </c>
      <c r="DU12" t="s">
        <v>73</v>
      </c>
      <c r="DV12" t="s">
        <v>73</v>
      </c>
      <c r="DW12" t="s">
        <v>73</v>
      </c>
      <c r="DX12" t="s">
        <v>73</v>
      </c>
      <c r="DY12" t="s">
        <v>73</v>
      </c>
      <c r="DZ12" t="s">
        <v>73</v>
      </c>
      <c r="EA12">
        <v>95348</v>
      </c>
      <c r="EB12">
        <v>97496</v>
      </c>
      <c r="EC12">
        <v>42853746</v>
      </c>
      <c r="ED12">
        <v>21059</v>
      </c>
      <c r="EE12">
        <v>39931</v>
      </c>
      <c r="EF12">
        <v>30119</v>
      </c>
      <c r="EG12">
        <v>30580648</v>
      </c>
      <c r="EH12">
        <v>8434</v>
      </c>
      <c r="EI12">
        <v>195718</v>
      </c>
      <c r="EJ12">
        <v>113716</v>
      </c>
      <c r="EK12">
        <v>45396454</v>
      </c>
      <c r="EL12">
        <v>18674</v>
      </c>
    </row>
    <row r="13" spans="1:142" x14ac:dyDescent="0.4">
      <c r="A13" s="1" t="s">
        <v>14</v>
      </c>
      <c r="B13" s="3" t="s">
        <v>15</v>
      </c>
      <c r="C13">
        <v>17267</v>
      </c>
      <c r="D13">
        <v>19637</v>
      </c>
      <c r="E13">
        <v>12013294</v>
      </c>
      <c r="F13">
        <v>1797</v>
      </c>
      <c r="G13">
        <v>13388</v>
      </c>
      <c r="H13">
        <v>9195</v>
      </c>
      <c r="I13">
        <v>7846366</v>
      </c>
      <c r="J13">
        <v>1085</v>
      </c>
      <c r="K13">
        <v>114601</v>
      </c>
      <c r="L13">
        <v>114402</v>
      </c>
      <c r="M13">
        <v>11627467</v>
      </c>
      <c r="N13">
        <v>2460</v>
      </c>
      <c r="O13">
        <v>84383</v>
      </c>
      <c r="P13">
        <v>83464</v>
      </c>
      <c r="Q13">
        <v>46009147</v>
      </c>
      <c r="R13">
        <v>6523</v>
      </c>
      <c r="S13">
        <v>40738</v>
      </c>
      <c r="T13">
        <v>31907</v>
      </c>
      <c r="U13">
        <v>4248030</v>
      </c>
      <c r="V13">
        <v>1158</v>
      </c>
      <c r="W13">
        <v>1630</v>
      </c>
      <c r="X13">
        <v>2022</v>
      </c>
      <c r="Y13">
        <v>15198918</v>
      </c>
      <c r="Z13">
        <v>229</v>
      </c>
      <c r="AA13">
        <v>18316</v>
      </c>
      <c r="AB13">
        <v>16078</v>
      </c>
      <c r="AC13">
        <v>8660986</v>
      </c>
      <c r="AD13">
        <v>1999</v>
      </c>
      <c r="AE13">
        <v>32393</v>
      </c>
      <c r="AF13">
        <v>22904</v>
      </c>
      <c r="AG13">
        <v>3545244</v>
      </c>
      <c r="AH13">
        <v>547</v>
      </c>
      <c r="AI13">
        <v>9410</v>
      </c>
      <c r="AJ13">
        <v>8800</v>
      </c>
      <c r="AK13">
        <v>3652212</v>
      </c>
      <c r="AL13">
        <v>515</v>
      </c>
      <c r="AM13">
        <v>48341</v>
      </c>
      <c r="AN13">
        <v>39253</v>
      </c>
      <c r="AO13">
        <v>16123848</v>
      </c>
      <c r="AP13">
        <v>3904</v>
      </c>
      <c r="AQ13">
        <v>31354</v>
      </c>
      <c r="AR13">
        <v>16497</v>
      </c>
      <c r="AS13">
        <v>7612062</v>
      </c>
      <c r="AT13">
        <v>4035</v>
      </c>
      <c r="AU13">
        <v>52668</v>
      </c>
      <c r="AV13">
        <v>31174</v>
      </c>
      <c r="AW13">
        <v>17688349</v>
      </c>
      <c r="AX13">
        <v>10012</v>
      </c>
      <c r="AY13">
        <v>93926</v>
      </c>
      <c r="AZ13">
        <v>92000</v>
      </c>
      <c r="BA13">
        <v>74005487</v>
      </c>
      <c r="BB13">
        <v>17188</v>
      </c>
      <c r="BC13">
        <v>103915</v>
      </c>
      <c r="BD13">
        <v>98683</v>
      </c>
      <c r="BE13">
        <v>78183505</v>
      </c>
      <c r="BF13">
        <v>2919</v>
      </c>
      <c r="BG13">
        <v>60670</v>
      </c>
      <c r="BH13">
        <v>59281</v>
      </c>
      <c r="BI13">
        <v>38984511</v>
      </c>
      <c r="BJ13">
        <v>1128</v>
      </c>
      <c r="BK13">
        <v>321342</v>
      </c>
      <c r="BL13">
        <v>253933</v>
      </c>
      <c r="BM13">
        <v>67947007</v>
      </c>
      <c r="BN13">
        <v>23541</v>
      </c>
      <c r="BO13">
        <v>79443</v>
      </c>
      <c r="BP13">
        <v>82345</v>
      </c>
      <c r="BQ13">
        <v>28482555</v>
      </c>
      <c r="BR13">
        <v>10816</v>
      </c>
      <c r="BS13">
        <v>29939</v>
      </c>
      <c r="BT13">
        <v>20692</v>
      </c>
      <c r="BU13">
        <v>15529130</v>
      </c>
      <c r="BV13">
        <v>2233</v>
      </c>
      <c r="BW13">
        <v>444939</v>
      </c>
      <c r="BX13">
        <v>158291</v>
      </c>
      <c r="BY13">
        <v>21654976</v>
      </c>
      <c r="BZ13">
        <v>13515</v>
      </c>
      <c r="CA13">
        <v>170599</v>
      </c>
      <c r="CB13">
        <v>131569</v>
      </c>
      <c r="CC13">
        <v>66270754</v>
      </c>
      <c r="CD13">
        <v>57118</v>
      </c>
      <c r="CE13">
        <v>2436738</v>
      </c>
      <c r="CF13">
        <v>1891113</v>
      </c>
      <c r="CG13">
        <v>161716534</v>
      </c>
      <c r="CH13">
        <v>26097</v>
      </c>
      <c r="CI13">
        <v>1273563</v>
      </c>
      <c r="CJ13">
        <v>1236948</v>
      </c>
      <c r="CK13">
        <v>186703249</v>
      </c>
      <c r="CL13">
        <v>150060</v>
      </c>
      <c r="CM13">
        <v>87989</v>
      </c>
      <c r="CN13">
        <v>91326</v>
      </c>
      <c r="CO13">
        <v>28464396</v>
      </c>
      <c r="CP13">
        <v>12778</v>
      </c>
      <c r="CQ13">
        <v>119125</v>
      </c>
      <c r="CR13">
        <v>118366</v>
      </c>
      <c r="CS13">
        <v>34310425</v>
      </c>
      <c r="CT13">
        <v>17882</v>
      </c>
      <c r="CU13" t="s">
        <v>73</v>
      </c>
      <c r="CV13" t="s">
        <v>73</v>
      </c>
      <c r="CW13" t="s">
        <v>73</v>
      </c>
      <c r="CX13" t="s">
        <v>73</v>
      </c>
      <c r="CY13">
        <v>160587</v>
      </c>
      <c r="CZ13">
        <v>159376</v>
      </c>
      <c r="DA13">
        <v>113978008</v>
      </c>
      <c r="DB13">
        <v>45248</v>
      </c>
      <c r="DC13">
        <v>29670</v>
      </c>
      <c r="DD13">
        <v>28824</v>
      </c>
      <c r="DE13">
        <v>121202081</v>
      </c>
      <c r="DF13">
        <v>10478</v>
      </c>
      <c r="DG13">
        <v>191021</v>
      </c>
      <c r="DH13">
        <v>190159</v>
      </c>
      <c r="DI13">
        <v>79092845</v>
      </c>
      <c r="DJ13">
        <v>38765</v>
      </c>
      <c r="DK13" t="s">
        <v>73</v>
      </c>
      <c r="DL13" t="s">
        <v>73</v>
      </c>
      <c r="DM13" t="s">
        <v>73</v>
      </c>
      <c r="DN13" t="s">
        <v>73</v>
      </c>
      <c r="DO13">
        <v>90030</v>
      </c>
      <c r="DP13">
        <v>3687</v>
      </c>
      <c r="DQ13">
        <v>1898493</v>
      </c>
      <c r="DR13">
        <v>5689</v>
      </c>
      <c r="DS13" t="s">
        <v>73</v>
      </c>
      <c r="DT13" t="s">
        <v>73</v>
      </c>
      <c r="DU13" t="s">
        <v>73</v>
      </c>
      <c r="DV13" t="s">
        <v>73</v>
      </c>
      <c r="DW13" t="s">
        <v>73</v>
      </c>
      <c r="DX13" t="s">
        <v>73</v>
      </c>
      <c r="DY13" t="s">
        <v>73</v>
      </c>
      <c r="DZ13" t="s">
        <v>73</v>
      </c>
      <c r="EA13">
        <v>99293</v>
      </c>
      <c r="EB13">
        <v>100976</v>
      </c>
      <c r="EC13">
        <v>42223187</v>
      </c>
      <c r="ED13">
        <v>19970</v>
      </c>
      <c r="EE13">
        <v>36963</v>
      </c>
      <c r="EF13">
        <v>29584</v>
      </c>
      <c r="EG13">
        <v>31382500</v>
      </c>
      <c r="EH13">
        <v>6448</v>
      </c>
      <c r="EI13">
        <v>189321</v>
      </c>
      <c r="EJ13">
        <v>106220</v>
      </c>
      <c r="EK13">
        <v>47200235</v>
      </c>
      <c r="EL13">
        <v>18130</v>
      </c>
    </row>
    <row r="14" spans="1:142" x14ac:dyDescent="0.4">
      <c r="A14" s="1" t="s">
        <v>16</v>
      </c>
      <c r="B14" s="1" t="s">
        <v>17</v>
      </c>
      <c r="C14">
        <v>1792</v>
      </c>
      <c r="D14">
        <v>1934</v>
      </c>
      <c r="E14">
        <v>1112763</v>
      </c>
      <c r="F14">
        <v>1740</v>
      </c>
      <c r="G14">
        <v>1070</v>
      </c>
      <c r="H14">
        <v>709</v>
      </c>
      <c r="I14">
        <v>507167</v>
      </c>
      <c r="J14">
        <v>865</v>
      </c>
      <c r="K14">
        <v>9126</v>
      </c>
      <c r="L14">
        <v>8991</v>
      </c>
      <c r="M14">
        <v>932764</v>
      </c>
      <c r="N14">
        <v>2935</v>
      </c>
      <c r="O14">
        <v>7341</v>
      </c>
      <c r="P14">
        <v>7188</v>
      </c>
      <c r="Q14">
        <v>3795403</v>
      </c>
      <c r="R14">
        <v>8015</v>
      </c>
      <c r="S14">
        <v>3677</v>
      </c>
      <c r="T14">
        <v>2542</v>
      </c>
      <c r="U14">
        <v>346452</v>
      </c>
      <c r="V14">
        <v>1203</v>
      </c>
      <c r="W14">
        <v>143</v>
      </c>
      <c r="X14">
        <v>192</v>
      </c>
      <c r="Y14">
        <v>1360102</v>
      </c>
      <c r="Z14">
        <v>185</v>
      </c>
      <c r="AA14">
        <v>1543</v>
      </c>
      <c r="AB14">
        <v>1431</v>
      </c>
      <c r="AC14">
        <v>713195</v>
      </c>
      <c r="AD14">
        <v>2039</v>
      </c>
      <c r="AE14">
        <v>2646</v>
      </c>
      <c r="AF14">
        <v>1987</v>
      </c>
      <c r="AG14">
        <v>307984</v>
      </c>
      <c r="AH14">
        <v>696</v>
      </c>
      <c r="AI14">
        <v>844</v>
      </c>
      <c r="AJ14">
        <v>793</v>
      </c>
      <c r="AK14">
        <v>314792</v>
      </c>
      <c r="AL14">
        <v>458</v>
      </c>
      <c r="AM14">
        <v>4092</v>
      </c>
      <c r="AN14">
        <v>3387</v>
      </c>
      <c r="AO14">
        <v>1266594</v>
      </c>
      <c r="AP14">
        <v>4027</v>
      </c>
      <c r="AQ14">
        <v>2728</v>
      </c>
      <c r="AR14">
        <v>1266</v>
      </c>
      <c r="AS14">
        <v>564626</v>
      </c>
      <c r="AT14">
        <v>3717</v>
      </c>
      <c r="AU14">
        <v>4526</v>
      </c>
      <c r="AV14">
        <v>2502</v>
      </c>
      <c r="AW14">
        <v>1458423</v>
      </c>
      <c r="AX14">
        <v>9786</v>
      </c>
      <c r="AY14">
        <v>7421</v>
      </c>
      <c r="AZ14">
        <v>8180</v>
      </c>
      <c r="BA14">
        <v>6212405</v>
      </c>
      <c r="BB14">
        <v>16464</v>
      </c>
      <c r="BC14">
        <v>8608</v>
      </c>
      <c r="BD14">
        <v>8281</v>
      </c>
      <c r="BE14">
        <v>6174485</v>
      </c>
      <c r="BF14">
        <v>2468</v>
      </c>
      <c r="BG14">
        <v>4454</v>
      </c>
      <c r="BH14">
        <v>4333</v>
      </c>
      <c r="BI14">
        <v>2824826</v>
      </c>
      <c r="BJ14">
        <v>1064</v>
      </c>
      <c r="BK14">
        <v>34407</v>
      </c>
      <c r="BL14">
        <v>28319</v>
      </c>
      <c r="BM14">
        <v>7359273</v>
      </c>
      <c r="BN14">
        <v>18785</v>
      </c>
      <c r="BO14">
        <v>8334</v>
      </c>
      <c r="BP14">
        <v>7076</v>
      </c>
      <c r="BQ14">
        <v>2209709</v>
      </c>
      <c r="BR14">
        <v>11977</v>
      </c>
      <c r="BS14">
        <v>2786</v>
      </c>
      <c r="BT14">
        <v>2484</v>
      </c>
      <c r="BU14">
        <v>1737275</v>
      </c>
      <c r="BV14">
        <v>3703</v>
      </c>
      <c r="BW14">
        <v>27352</v>
      </c>
      <c r="BX14">
        <v>9219</v>
      </c>
      <c r="BY14">
        <v>1339561</v>
      </c>
      <c r="BZ14">
        <v>10974</v>
      </c>
      <c r="CA14">
        <v>15289</v>
      </c>
      <c r="CB14">
        <v>11889</v>
      </c>
      <c r="CC14">
        <v>5469538</v>
      </c>
      <c r="CD14">
        <v>54304</v>
      </c>
      <c r="CE14">
        <v>215088</v>
      </c>
      <c r="CF14">
        <v>170968</v>
      </c>
      <c r="CG14">
        <v>15537243</v>
      </c>
      <c r="CH14">
        <v>29566</v>
      </c>
      <c r="CI14">
        <v>92059</v>
      </c>
      <c r="CJ14">
        <v>106884</v>
      </c>
      <c r="CK14">
        <v>16258117</v>
      </c>
      <c r="CL14">
        <v>117718</v>
      </c>
      <c r="CM14">
        <v>7828</v>
      </c>
      <c r="CN14">
        <v>7991</v>
      </c>
      <c r="CO14">
        <v>2501861</v>
      </c>
      <c r="CP14">
        <v>11454</v>
      </c>
      <c r="CQ14">
        <v>11095</v>
      </c>
      <c r="CR14">
        <v>11678</v>
      </c>
      <c r="CS14">
        <v>3153195</v>
      </c>
      <c r="CT14">
        <v>19207</v>
      </c>
      <c r="CU14" t="s">
        <v>73</v>
      </c>
      <c r="CV14" t="s">
        <v>73</v>
      </c>
      <c r="CW14" t="s">
        <v>73</v>
      </c>
      <c r="CX14" t="s">
        <v>73</v>
      </c>
      <c r="CY14">
        <v>12885</v>
      </c>
      <c r="CZ14">
        <v>12972</v>
      </c>
      <c r="DA14">
        <v>8936676</v>
      </c>
      <c r="DB14">
        <v>46053</v>
      </c>
      <c r="DC14">
        <v>2270</v>
      </c>
      <c r="DD14">
        <v>2963</v>
      </c>
      <c r="DE14">
        <v>12169938</v>
      </c>
      <c r="DF14">
        <v>10289</v>
      </c>
      <c r="DG14">
        <v>12428</v>
      </c>
      <c r="DH14">
        <v>14677</v>
      </c>
      <c r="DI14">
        <v>6012731</v>
      </c>
      <c r="DJ14">
        <v>37898</v>
      </c>
      <c r="DK14" t="s">
        <v>73</v>
      </c>
      <c r="DL14" t="s">
        <v>73</v>
      </c>
      <c r="DM14" t="s">
        <v>73</v>
      </c>
      <c r="DN14" t="s">
        <v>73</v>
      </c>
      <c r="DO14">
        <v>6892</v>
      </c>
      <c r="DP14">
        <v>398</v>
      </c>
      <c r="DQ14">
        <v>144235</v>
      </c>
      <c r="DR14">
        <v>3910</v>
      </c>
      <c r="DS14" t="s">
        <v>73</v>
      </c>
      <c r="DT14" t="s">
        <v>73</v>
      </c>
      <c r="DU14" t="s">
        <v>73</v>
      </c>
      <c r="DV14" t="s">
        <v>73</v>
      </c>
      <c r="DW14" t="s">
        <v>73</v>
      </c>
      <c r="DX14" t="s">
        <v>73</v>
      </c>
      <c r="DY14" t="s">
        <v>73</v>
      </c>
      <c r="DZ14" t="s">
        <v>73</v>
      </c>
      <c r="EA14">
        <v>7206</v>
      </c>
      <c r="EB14">
        <v>8505</v>
      </c>
      <c r="EC14">
        <v>3708817</v>
      </c>
      <c r="ED14">
        <v>20502</v>
      </c>
      <c r="EE14">
        <v>2954</v>
      </c>
      <c r="EF14">
        <v>2625</v>
      </c>
      <c r="EG14">
        <v>2626452</v>
      </c>
      <c r="EH14">
        <v>8028</v>
      </c>
      <c r="EI14">
        <v>16899</v>
      </c>
      <c r="EJ14">
        <v>9854</v>
      </c>
      <c r="EK14">
        <v>3693045</v>
      </c>
      <c r="EL14">
        <v>23540</v>
      </c>
    </row>
    <row r="15" spans="1:142" x14ac:dyDescent="0.4">
      <c r="A15" s="1" t="s">
        <v>18</v>
      </c>
      <c r="B15" s="1" t="s">
        <v>19</v>
      </c>
      <c r="C15">
        <v>1640</v>
      </c>
      <c r="D15">
        <v>1953</v>
      </c>
      <c r="E15">
        <v>1134111</v>
      </c>
      <c r="F15">
        <v>1662</v>
      </c>
      <c r="G15">
        <v>1149</v>
      </c>
      <c r="H15">
        <v>733</v>
      </c>
      <c r="I15">
        <v>500143</v>
      </c>
      <c r="J15">
        <v>921</v>
      </c>
      <c r="K15">
        <v>8818</v>
      </c>
      <c r="L15">
        <v>9397</v>
      </c>
      <c r="M15">
        <v>966772</v>
      </c>
      <c r="N15">
        <v>2354</v>
      </c>
      <c r="O15">
        <v>7413</v>
      </c>
      <c r="P15">
        <v>7268</v>
      </c>
      <c r="Q15">
        <v>3752224</v>
      </c>
      <c r="R15">
        <v>7884</v>
      </c>
      <c r="S15">
        <v>3171</v>
      </c>
      <c r="T15">
        <v>2482</v>
      </c>
      <c r="U15">
        <v>332309</v>
      </c>
      <c r="V15">
        <v>1037</v>
      </c>
      <c r="W15">
        <v>139</v>
      </c>
      <c r="X15">
        <v>150</v>
      </c>
      <c r="Y15">
        <v>1100180</v>
      </c>
      <c r="Z15">
        <v>209</v>
      </c>
      <c r="AA15">
        <v>955</v>
      </c>
      <c r="AB15">
        <v>1221</v>
      </c>
      <c r="AC15">
        <v>677349</v>
      </c>
      <c r="AD15">
        <v>1621</v>
      </c>
      <c r="AE15">
        <v>2543</v>
      </c>
      <c r="AF15">
        <v>1960</v>
      </c>
      <c r="AG15">
        <v>301114</v>
      </c>
      <c r="AH15">
        <v>604</v>
      </c>
      <c r="AI15">
        <v>839</v>
      </c>
      <c r="AJ15">
        <v>707</v>
      </c>
      <c r="AK15">
        <v>283646</v>
      </c>
      <c r="AL15">
        <v>509</v>
      </c>
      <c r="AM15">
        <v>4117</v>
      </c>
      <c r="AN15">
        <v>3529</v>
      </c>
      <c r="AO15">
        <v>1412024</v>
      </c>
      <c r="AP15">
        <v>4052</v>
      </c>
      <c r="AQ15">
        <v>2290</v>
      </c>
      <c r="AR15">
        <v>1266</v>
      </c>
      <c r="AS15">
        <v>674812</v>
      </c>
      <c r="AT15">
        <v>3467</v>
      </c>
      <c r="AU15">
        <v>4448</v>
      </c>
      <c r="AV15">
        <v>2724</v>
      </c>
      <c r="AW15">
        <v>1616046</v>
      </c>
      <c r="AX15">
        <v>9700</v>
      </c>
      <c r="AY15">
        <v>8144</v>
      </c>
      <c r="AZ15">
        <v>8365</v>
      </c>
      <c r="BA15">
        <v>6610812</v>
      </c>
      <c r="BB15">
        <v>16897</v>
      </c>
      <c r="BC15">
        <v>8682</v>
      </c>
      <c r="BD15">
        <v>8021</v>
      </c>
      <c r="BE15">
        <v>6073172</v>
      </c>
      <c r="BF15">
        <v>2610</v>
      </c>
      <c r="BG15">
        <v>5022</v>
      </c>
      <c r="BH15">
        <v>4773</v>
      </c>
      <c r="BI15">
        <v>3112407</v>
      </c>
      <c r="BJ15">
        <v>1225</v>
      </c>
      <c r="BK15">
        <v>34359</v>
      </c>
      <c r="BL15">
        <v>23558</v>
      </c>
      <c r="BM15">
        <v>6441170</v>
      </c>
      <c r="BN15">
        <v>20525</v>
      </c>
      <c r="BO15">
        <v>8008</v>
      </c>
      <c r="BP15">
        <v>8216</v>
      </c>
      <c r="BQ15">
        <v>2686793</v>
      </c>
      <c r="BR15">
        <v>11819</v>
      </c>
      <c r="BS15">
        <v>2870</v>
      </c>
      <c r="BT15">
        <v>2223</v>
      </c>
      <c r="BU15">
        <v>1652261</v>
      </c>
      <c r="BV15">
        <v>3597</v>
      </c>
      <c r="BW15">
        <v>42505</v>
      </c>
      <c r="BX15">
        <v>14816</v>
      </c>
      <c r="BY15">
        <v>2305262</v>
      </c>
      <c r="BZ15">
        <v>11320</v>
      </c>
      <c r="CA15">
        <v>15480</v>
      </c>
      <c r="CB15">
        <v>11177</v>
      </c>
      <c r="CC15">
        <v>4803920</v>
      </c>
      <c r="CD15">
        <v>55145</v>
      </c>
      <c r="CE15">
        <v>206517</v>
      </c>
      <c r="CF15">
        <v>167290</v>
      </c>
      <c r="CG15">
        <v>16426272</v>
      </c>
      <c r="CH15">
        <v>22536</v>
      </c>
      <c r="CI15">
        <v>85262</v>
      </c>
      <c r="CJ15">
        <v>103522</v>
      </c>
      <c r="CK15">
        <v>16026786</v>
      </c>
      <c r="CL15">
        <v>100054</v>
      </c>
      <c r="CM15">
        <v>8252</v>
      </c>
      <c r="CN15">
        <v>8098</v>
      </c>
      <c r="CO15">
        <v>2557912</v>
      </c>
      <c r="CP15">
        <v>11608</v>
      </c>
      <c r="CQ15">
        <v>9033</v>
      </c>
      <c r="CR15">
        <v>10671</v>
      </c>
      <c r="CS15">
        <v>2974048</v>
      </c>
      <c r="CT15">
        <v>17569</v>
      </c>
      <c r="CU15" t="s">
        <v>73</v>
      </c>
      <c r="CV15" t="s">
        <v>73</v>
      </c>
      <c r="CW15" t="s">
        <v>73</v>
      </c>
      <c r="CX15" t="s">
        <v>73</v>
      </c>
      <c r="CY15">
        <v>14020</v>
      </c>
      <c r="CZ15">
        <v>13844</v>
      </c>
      <c r="DA15">
        <v>9557615</v>
      </c>
      <c r="DB15">
        <v>45620</v>
      </c>
      <c r="DC15">
        <v>2151</v>
      </c>
      <c r="DD15">
        <v>2236</v>
      </c>
      <c r="DE15">
        <v>9595727</v>
      </c>
      <c r="DF15">
        <v>9881</v>
      </c>
      <c r="DG15">
        <v>12563</v>
      </c>
      <c r="DH15">
        <v>13244</v>
      </c>
      <c r="DI15">
        <v>5692323</v>
      </c>
      <c r="DJ15">
        <v>36980</v>
      </c>
      <c r="DK15" t="s">
        <v>73</v>
      </c>
      <c r="DL15" t="s">
        <v>73</v>
      </c>
      <c r="DM15" t="s">
        <v>73</v>
      </c>
      <c r="DN15" t="s">
        <v>73</v>
      </c>
      <c r="DO15">
        <v>9769</v>
      </c>
      <c r="DP15">
        <v>460</v>
      </c>
      <c r="DQ15">
        <v>167017</v>
      </c>
      <c r="DR15">
        <v>4646</v>
      </c>
      <c r="DS15" t="s">
        <v>73</v>
      </c>
      <c r="DT15" t="s">
        <v>73</v>
      </c>
      <c r="DU15" t="s">
        <v>73</v>
      </c>
      <c r="DV15" t="s">
        <v>73</v>
      </c>
      <c r="DW15" t="s">
        <v>73</v>
      </c>
      <c r="DX15" t="s">
        <v>73</v>
      </c>
      <c r="DY15" t="s">
        <v>73</v>
      </c>
      <c r="DZ15" t="s">
        <v>73</v>
      </c>
      <c r="EA15">
        <v>10391</v>
      </c>
      <c r="EB15">
        <v>7548</v>
      </c>
      <c r="EC15">
        <v>3315587</v>
      </c>
      <c r="ED15">
        <v>23070</v>
      </c>
      <c r="EE15">
        <v>3353</v>
      </c>
      <c r="EF15">
        <v>2458</v>
      </c>
      <c r="EG15">
        <v>2483361</v>
      </c>
      <c r="EH15">
        <v>7847</v>
      </c>
      <c r="EI15">
        <v>14665</v>
      </c>
      <c r="EJ15">
        <v>11166</v>
      </c>
      <c r="EK15">
        <v>4105905</v>
      </c>
      <c r="EL15">
        <v>20244</v>
      </c>
    </row>
    <row r="16" spans="1:142" x14ac:dyDescent="0.4">
      <c r="A16" s="1" t="s">
        <v>20</v>
      </c>
      <c r="B16" s="1" t="s">
        <v>21</v>
      </c>
      <c r="C16">
        <v>1702</v>
      </c>
      <c r="D16">
        <v>1998</v>
      </c>
      <c r="E16">
        <v>1152945</v>
      </c>
      <c r="F16">
        <v>1604</v>
      </c>
      <c r="G16">
        <v>1120</v>
      </c>
      <c r="H16">
        <v>715</v>
      </c>
      <c r="I16">
        <v>540676</v>
      </c>
      <c r="J16">
        <v>894</v>
      </c>
      <c r="K16">
        <v>9705</v>
      </c>
      <c r="L16">
        <v>9370</v>
      </c>
      <c r="M16">
        <v>982193</v>
      </c>
      <c r="N16">
        <v>2673</v>
      </c>
      <c r="O16">
        <v>6684</v>
      </c>
      <c r="P16">
        <v>6649</v>
      </c>
      <c r="Q16">
        <v>3516494</v>
      </c>
      <c r="R16">
        <v>7645</v>
      </c>
      <c r="S16">
        <v>3436</v>
      </c>
      <c r="T16">
        <v>2502</v>
      </c>
      <c r="U16">
        <v>331992</v>
      </c>
      <c r="V16">
        <v>1049</v>
      </c>
      <c r="W16">
        <v>144</v>
      </c>
      <c r="X16">
        <v>166</v>
      </c>
      <c r="Y16">
        <v>1144410</v>
      </c>
      <c r="Z16">
        <v>222</v>
      </c>
      <c r="AA16">
        <v>1686</v>
      </c>
      <c r="AB16">
        <v>1373</v>
      </c>
      <c r="AC16">
        <v>727252</v>
      </c>
      <c r="AD16">
        <v>1747</v>
      </c>
      <c r="AE16">
        <v>2777</v>
      </c>
      <c r="AF16">
        <v>1898</v>
      </c>
      <c r="AG16">
        <v>298220</v>
      </c>
      <c r="AH16">
        <v>642</v>
      </c>
      <c r="AI16">
        <v>800</v>
      </c>
      <c r="AJ16">
        <v>770</v>
      </c>
      <c r="AK16">
        <v>320453</v>
      </c>
      <c r="AL16">
        <v>471</v>
      </c>
      <c r="AM16">
        <v>4044</v>
      </c>
      <c r="AN16">
        <v>3425</v>
      </c>
      <c r="AO16">
        <v>1360965</v>
      </c>
      <c r="AP16">
        <v>3915</v>
      </c>
      <c r="AQ16">
        <v>2508</v>
      </c>
      <c r="AR16">
        <v>1181</v>
      </c>
      <c r="AS16">
        <v>610272</v>
      </c>
      <c r="AT16">
        <v>3578</v>
      </c>
      <c r="AU16">
        <v>4600</v>
      </c>
      <c r="AV16">
        <v>2582</v>
      </c>
      <c r="AW16">
        <v>1415310</v>
      </c>
      <c r="AX16">
        <v>9848</v>
      </c>
      <c r="AY16">
        <v>8586</v>
      </c>
      <c r="AZ16">
        <v>8198</v>
      </c>
      <c r="BA16">
        <v>6000715</v>
      </c>
      <c r="BB16">
        <v>17290</v>
      </c>
      <c r="BC16">
        <v>8570</v>
      </c>
      <c r="BD16">
        <v>8070</v>
      </c>
      <c r="BE16">
        <v>6012001</v>
      </c>
      <c r="BF16">
        <v>2634</v>
      </c>
      <c r="BG16">
        <v>4767</v>
      </c>
      <c r="BH16">
        <v>4505</v>
      </c>
      <c r="BI16">
        <v>2950122</v>
      </c>
      <c r="BJ16">
        <v>1200</v>
      </c>
      <c r="BK16">
        <v>31100</v>
      </c>
      <c r="BL16">
        <v>22789</v>
      </c>
      <c r="BM16">
        <v>6268801</v>
      </c>
      <c r="BN16">
        <v>21327</v>
      </c>
      <c r="BO16">
        <v>8080</v>
      </c>
      <c r="BP16">
        <v>7340</v>
      </c>
      <c r="BQ16">
        <v>2640479</v>
      </c>
      <c r="BR16">
        <v>12790</v>
      </c>
      <c r="BS16">
        <v>3828</v>
      </c>
      <c r="BT16">
        <v>2802</v>
      </c>
      <c r="BU16">
        <v>1932033</v>
      </c>
      <c r="BV16">
        <v>3944</v>
      </c>
      <c r="BW16">
        <v>45955</v>
      </c>
      <c r="BX16">
        <v>14778</v>
      </c>
      <c r="BY16">
        <v>2182025</v>
      </c>
      <c r="BZ16">
        <v>13249</v>
      </c>
      <c r="CA16">
        <v>15338</v>
      </c>
      <c r="CB16">
        <v>9955</v>
      </c>
      <c r="CC16">
        <v>4638645</v>
      </c>
      <c r="CD16">
        <v>57110</v>
      </c>
      <c r="CE16">
        <v>173616</v>
      </c>
      <c r="CF16">
        <v>134600</v>
      </c>
      <c r="CG16">
        <v>12513726</v>
      </c>
      <c r="CH16">
        <v>19389</v>
      </c>
      <c r="CI16">
        <v>98983</v>
      </c>
      <c r="CJ16">
        <v>94521</v>
      </c>
      <c r="CK16">
        <v>14921861</v>
      </c>
      <c r="CL16">
        <v>105112</v>
      </c>
      <c r="CM16">
        <v>4128</v>
      </c>
      <c r="CN16">
        <v>6446</v>
      </c>
      <c r="CO16">
        <v>2145108</v>
      </c>
      <c r="CP16">
        <v>9722</v>
      </c>
      <c r="CQ16">
        <v>10177</v>
      </c>
      <c r="CR16">
        <v>9386</v>
      </c>
      <c r="CS16">
        <v>2642167</v>
      </c>
      <c r="CT16">
        <v>18361</v>
      </c>
      <c r="CU16" t="s">
        <v>73</v>
      </c>
      <c r="CV16" t="s">
        <v>73</v>
      </c>
      <c r="CW16" t="s">
        <v>73</v>
      </c>
      <c r="CX16" t="s">
        <v>73</v>
      </c>
      <c r="CY16">
        <v>12895</v>
      </c>
      <c r="CZ16">
        <v>13626</v>
      </c>
      <c r="DA16">
        <v>9225899</v>
      </c>
      <c r="DB16">
        <v>44402</v>
      </c>
      <c r="DC16">
        <v>2293</v>
      </c>
      <c r="DD16">
        <v>2416</v>
      </c>
      <c r="DE16">
        <v>10514531</v>
      </c>
      <c r="DF16">
        <v>9990</v>
      </c>
      <c r="DG16">
        <v>18849</v>
      </c>
      <c r="DH16">
        <v>14891</v>
      </c>
      <c r="DI16">
        <v>6264738</v>
      </c>
      <c r="DJ16">
        <v>40573</v>
      </c>
      <c r="DK16" t="s">
        <v>73</v>
      </c>
      <c r="DL16" t="s">
        <v>73</v>
      </c>
      <c r="DM16" t="s">
        <v>73</v>
      </c>
      <c r="DN16" t="s">
        <v>73</v>
      </c>
      <c r="DO16">
        <v>9850</v>
      </c>
      <c r="DP16">
        <v>463</v>
      </c>
      <c r="DQ16">
        <v>171957</v>
      </c>
      <c r="DR16">
        <v>4905</v>
      </c>
      <c r="DS16" t="s">
        <v>73</v>
      </c>
      <c r="DT16" t="s">
        <v>73</v>
      </c>
      <c r="DU16" t="s">
        <v>73</v>
      </c>
      <c r="DV16" t="s">
        <v>73</v>
      </c>
      <c r="DW16" t="s">
        <v>73</v>
      </c>
      <c r="DX16" t="s">
        <v>73</v>
      </c>
      <c r="DY16" t="s">
        <v>73</v>
      </c>
      <c r="DZ16" t="s">
        <v>73</v>
      </c>
      <c r="EA16">
        <v>9738</v>
      </c>
      <c r="EB16">
        <v>7071</v>
      </c>
      <c r="EC16">
        <v>3178937</v>
      </c>
      <c r="ED16">
        <v>25924</v>
      </c>
      <c r="EE16">
        <v>4368</v>
      </c>
      <c r="EF16">
        <v>2471</v>
      </c>
      <c r="EG16">
        <v>2458947</v>
      </c>
      <c r="EH16">
        <v>8638</v>
      </c>
      <c r="EI16">
        <v>15185</v>
      </c>
      <c r="EJ16">
        <v>9317</v>
      </c>
      <c r="EK16">
        <v>3769460</v>
      </c>
      <c r="EL16">
        <v>18460</v>
      </c>
    </row>
    <row r="17" spans="1:142" x14ac:dyDescent="0.4">
      <c r="A17" s="1" t="s">
        <v>22</v>
      </c>
      <c r="B17" s="1" t="s">
        <v>23</v>
      </c>
      <c r="C17">
        <v>1826</v>
      </c>
      <c r="D17">
        <v>1905</v>
      </c>
      <c r="E17">
        <v>1157986</v>
      </c>
      <c r="F17">
        <v>1759</v>
      </c>
      <c r="G17">
        <v>1193</v>
      </c>
      <c r="H17">
        <v>767</v>
      </c>
      <c r="I17">
        <v>567088</v>
      </c>
      <c r="J17">
        <v>1002</v>
      </c>
      <c r="K17">
        <v>8892</v>
      </c>
      <c r="L17">
        <v>9067</v>
      </c>
      <c r="M17">
        <v>946483</v>
      </c>
      <c r="N17">
        <v>2494</v>
      </c>
      <c r="O17">
        <v>7242</v>
      </c>
      <c r="P17">
        <v>7076</v>
      </c>
      <c r="Q17">
        <v>3641419</v>
      </c>
      <c r="R17">
        <v>7629</v>
      </c>
      <c r="S17">
        <v>3271</v>
      </c>
      <c r="T17">
        <v>2321</v>
      </c>
      <c r="U17">
        <v>312614</v>
      </c>
      <c r="V17">
        <v>1169</v>
      </c>
      <c r="W17">
        <v>119</v>
      </c>
      <c r="X17">
        <v>156</v>
      </c>
      <c r="Y17">
        <v>1236080</v>
      </c>
      <c r="Z17">
        <v>207</v>
      </c>
      <c r="AA17">
        <v>1600</v>
      </c>
      <c r="AB17">
        <v>1327</v>
      </c>
      <c r="AC17">
        <v>694109</v>
      </c>
      <c r="AD17">
        <v>1829</v>
      </c>
      <c r="AE17">
        <v>2462</v>
      </c>
      <c r="AF17">
        <v>1808</v>
      </c>
      <c r="AG17">
        <v>278195</v>
      </c>
      <c r="AH17">
        <v>603</v>
      </c>
      <c r="AI17">
        <v>793</v>
      </c>
      <c r="AJ17">
        <v>676</v>
      </c>
      <c r="AK17">
        <v>274068</v>
      </c>
      <c r="AL17">
        <v>515</v>
      </c>
      <c r="AM17">
        <v>4570</v>
      </c>
      <c r="AN17">
        <v>3655</v>
      </c>
      <c r="AO17">
        <v>1462172</v>
      </c>
      <c r="AP17">
        <v>4071</v>
      </c>
      <c r="AQ17">
        <v>2669</v>
      </c>
      <c r="AR17">
        <v>1199</v>
      </c>
      <c r="AS17">
        <v>552330</v>
      </c>
      <c r="AT17">
        <v>3823</v>
      </c>
      <c r="AU17">
        <v>4644</v>
      </c>
      <c r="AV17">
        <v>2608</v>
      </c>
      <c r="AW17">
        <v>1476805</v>
      </c>
      <c r="AX17">
        <v>9897</v>
      </c>
      <c r="AY17">
        <v>9046</v>
      </c>
      <c r="AZ17">
        <v>7518</v>
      </c>
      <c r="BA17">
        <v>5974656</v>
      </c>
      <c r="BB17">
        <v>18316</v>
      </c>
      <c r="BC17">
        <v>8667</v>
      </c>
      <c r="BD17">
        <v>8260</v>
      </c>
      <c r="BE17">
        <v>6203651</v>
      </c>
      <c r="BF17">
        <v>2634</v>
      </c>
      <c r="BG17">
        <v>5145</v>
      </c>
      <c r="BH17">
        <v>4621</v>
      </c>
      <c r="BI17">
        <v>3102890</v>
      </c>
      <c r="BJ17">
        <v>1295</v>
      </c>
      <c r="BK17">
        <v>25183</v>
      </c>
      <c r="BL17">
        <v>22140</v>
      </c>
      <c r="BM17">
        <v>6572504</v>
      </c>
      <c r="BN17">
        <v>18433</v>
      </c>
      <c r="BO17">
        <v>5779</v>
      </c>
      <c r="BP17">
        <v>7812</v>
      </c>
      <c r="BQ17">
        <v>2674291</v>
      </c>
      <c r="BR17">
        <v>10838</v>
      </c>
      <c r="BS17">
        <v>3509</v>
      </c>
      <c r="BT17">
        <v>2672</v>
      </c>
      <c r="BU17">
        <v>1863987</v>
      </c>
      <c r="BV17">
        <v>4006</v>
      </c>
      <c r="BW17">
        <v>29260</v>
      </c>
      <c r="BX17">
        <v>11034</v>
      </c>
      <c r="BY17">
        <v>1577024</v>
      </c>
      <c r="BZ17">
        <v>14428</v>
      </c>
      <c r="CA17">
        <v>8701</v>
      </c>
      <c r="CB17">
        <v>8920</v>
      </c>
      <c r="CC17">
        <v>4189060</v>
      </c>
      <c r="CD17">
        <v>54091</v>
      </c>
      <c r="CE17">
        <v>171508</v>
      </c>
      <c r="CF17">
        <v>123052</v>
      </c>
      <c r="CG17">
        <v>11720167</v>
      </c>
      <c r="CH17">
        <v>22925</v>
      </c>
      <c r="CI17">
        <v>99243</v>
      </c>
      <c r="CJ17">
        <v>95505</v>
      </c>
      <c r="CK17">
        <v>15267805</v>
      </c>
      <c r="CL17">
        <v>109446</v>
      </c>
      <c r="CM17">
        <v>7584</v>
      </c>
      <c r="CN17">
        <v>7292</v>
      </c>
      <c r="CO17">
        <v>2281133</v>
      </c>
      <c r="CP17">
        <v>10615</v>
      </c>
      <c r="CQ17">
        <v>10104</v>
      </c>
      <c r="CR17">
        <v>9770</v>
      </c>
      <c r="CS17">
        <v>2728844</v>
      </c>
      <c r="CT17">
        <v>18695</v>
      </c>
      <c r="CU17" t="s">
        <v>73</v>
      </c>
      <c r="CV17" t="s">
        <v>73</v>
      </c>
      <c r="CW17" t="s">
        <v>73</v>
      </c>
      <c r="CX17" t="s">
        <v>73</v>
      </c>
      <c r="CY17">
        <v>9568</v>
      </c>
      <c r="CZ17">
        <v>12783</v>
      </c>
      <c r="DA17">
        <v>8867151</v>
      </c>
      <c r="DB17">
        <v>40490</v>
      </c>
      <c r="DC17">
        <v>2148</v>
      </c>
      <c r="DD17">
        <v>2428</v>
      </c>
      <c r="DE17">
        <v>10575286</v>
      </c>
      <c r="DF17">
        <v>10022</v>
      </c>
      <c r="DG17">
        <v>17206</v>
      </c>
      <c r="DH17">
        <v>16778</v>
      </c>
      <c r="DI17">
        <v>7127333</v>
      </c>
      <c r="DJ17">
        <v>40627</v>
      </c>
      <c r="DK17" t="s">
        <v>73</v>
      </c>
      <c r="DL17" t="s">
        <v>73</v>
      </c>
      <c r="DM17" t="s">
        <v>73</v>
      </c>
      <c r="DN17" t="s">
        <v>73</v>
      </c>
      <c r="DO17">
        <v>9065</v>
      </c>
      <c r="DP17">
        <v>461</v>
      </c>
      <c r="DQ17">
        <v>179573</v>
      </c>
      <c r="DR17">
        <v>5418</v>
      </c>
      <c r="DS17" t="s">
        <v>73</v>
      </c>
      <c r="DT17" t="s">
        <v>73</v>
      </c>
      <c r="DU17" t="s">
        <v>73</v>
      </c>
      <c r="DV17" t="s">
        <v>73</v>
      </c>
      <c r="DW17" t="s">
        <v>73</v>
      </c>
      <c r="DX17" t="s">
        <v>73</v>
      </c>
      <c r="DY17" t="s">
        <v>73</v>
      </c>
      <c r="DZ17" t="s">
        <v>73</v>
      </c>
      <c r="EA17">
        <v>9312</v>
      </c>
      <c r="EB17">
        <v>7890</v>
      </c>
      <c r="EC17">
        <v>3444525</v>
      </c>
      <c r="ED17">
        <v>27441</v>
      </c>
      <c r="EE17">
        <v>3371</v>
      </c>
      <c r="EF17">
        <v>2526</v>
      </c>
      <c r="EG17">
        <v>2592744</v>
      </c>
      <c r="EH17">
        <v>8948</v>
      </c>
      <c r="EI17">
        <v>8703</v>
      </c>
      <c r="EJ17">
        <v>7270</v>
      </c>
      <c r="EK17">
        <v>3233993</v>
      </c>
      <c r="EL17">
        <v>13501</v>
      </c>
    </row>
    <row r="18" spans="1:142" x14ac:dyDescent="0.4">
      <c r="A18" s="1" t="s">
        <v>24</v>
      </c>
      <c r="B18" s="1" t="s">
        <v>25</v>
      </c>
      <c r="C18">
        <v>1990</v>
      </c>
      <c r="D18">
        <v>2192</v>
      </c>
      <c r="E18">
        <v>1270250</v>
      </c>
      <c r="F18">
        <v>1811</v>
      </c>
      <c r="G18">
        <v>1206</v>
      </c>
      <c r="H18">
        <v>867</v>
      </c>
      <c r="I18">
        <v>666779</v>
      </c>
      <c r="J18">
        <v>949</v>
      </c>
      <c r="K18">
        <v>9510</v>
      </c>
      <c r="L18">
        <v>9243</v>
      </c>
      <c r="M18">
        <v>988300</v>
      </c>
      <c r="N18">
        <v>2758</v>
      </c>
      <c r="O18">
        <v>7868</v>
      </c>
      <c r="P18">
        <v>7918</v>
      </c>
      <c r="Q18">
        <v>4101700</v>
      </c>
      <c r="R18">
        <v>7592</v>
      </c>
      <c r="S18">
        <v>3643</v>
      </c>
      <c r="T18">
        <v>2709</v>
      </c>
      <c r="U18">
        <v>367712</v>
      </c>
      <c r="V18">
        <v>1075</v>
      </c>
      <c r="W18">
        <v>156</v>
      </c>
      <c r="X18">
        <v>118</v>
      </c>
      <c r="Y18">
        <v>815113</v>
      </c>
      <c r="Z18">
        <v>273</v>
      </c>
      <c r="AA18">
        <v>1720</v>
      </c>
      <c r="AB18">
        <v>1487</v>
      </c>
      <c r="AC18">
        <v>778990</v>
      </c>
      <c r="AD18">
        <v>1893</v>
      </c>
      <c r="AE18">
        <v>2938</v>
      </c>
      <c r="AF18">
        <v>2109</v>
      </c>
      <c r="AG18">
        <v>327582</v>
      </c>
      <c r="AH18">
        <v>637</v>
      </c>
      <c r="AI18">
        <v>823</v>
      </c>
      <c r="AJ18">
        <v>749</v>
      </c>
      <c r="AK18">
        <v>305670</v>
      </c>
      <c r="AL18">
        <v>522</v>
      </c>
      <c r="AM18">
        <v>4806</v>
      </c>
      <c r="AN18">
        <v>3756</v>
      </c>
      <c r="AO18">
        <v>1512376</v>
      </c>
      <c r="AP18">
        <v>4332</v>
      </c>
      <c r="AQ18">
        <v>2956</v>
      </c>
      <c r="AR18">
        <v>1513</v>
      </c>
      <c r="AS18">
        <v>689864</v>
      </c>
      <c r="AT18">
        <v>3952</v>
      </c>
      <c r="AU18">
        <v>5067</v>
      </c>
      <c r="AV18">
        <v>2983</v>
      </c>
      <c r="AW18">
        <v>1674937</v>
      </c>
      <c r="AX18">
        <v>9861</v>
      </c>
      <c r="AY18">
        <v>9142</v>
      </c>
      <c r="AZ18">
        <v>8423</v>
      </c>
      <c r="BA18">
        <v>6913404</v>
      </c>
      <c r="BB18">
        <v>17644</v>
      </c>
      <c r="BC18">
        <v>10121</v>
      </c>
      <c r="BD18">
        <v>9555</v>
      </c>
      <c r="BE18">
        <v>7273352</v>
      </c>
      <c r="BF18">
        <v>2690</v>
      </c>
      <c r="BG18">
        <v>5696</v>
      </c>
      <c r="BH18">
        <v>5373</v>
      </c>
      <c r="BI18">
        <v>3559478</v>
      </c>
      <c r="BJ18">
        <v>1299</v>
      </c>
      <c r="BK18">
        <v>34400</v>
      </c>
      <c r="BL18">
        <v>22734</v>
      </c>
      <c r="BM18">
        <v>6812498</v>
      </c>
      <c r="BN18">
        <v>19358</v>
      </c>
      <c r="BO18">
        <v>7278</v>
      </c>
      <c r="BP18">
        <v>7109</v>
      </c>
      <c r="BQ18">
        <v>2473718</v>
      </c>
      <c r="BR18">
        <v>11024</v>
      </c>
      <c r="BS18">
        <v>3815</v>
      </c>
      <c r="BT18">
        <v>2729</v>
      </c>
      <c r="BU18">
        <v>1883822</v>
      </c>
      <c r="BV18">
        <v>4357</v>
      </c>
      <c r="BW18">
        <v>27721</v>
      </c>
      <c r="BX18">
        <v>13270</v>
      </c>
      <c r="BY18">
        <v>1845511</v>
      </c>
      <c r="BZ18">
        <v>12845</v>
      </c>
      <c r="CA18">
        <v>8312</v>
      </c>
      <c r="CB18">
        <v>10947</v>
      </c>
      <c r="CC18">
        <v>5149113</v>
      </c>
      <c r="CD18">
        <v>47445</v>
      </c>
      <c r="CE18">
        <v>176830</v>
      </c>
      <c r="CF18">
        <v>151658</v>
      </c>
      <c r="CG18">
        <v>15478607</v>
      </c>
      <c r="CH18">
        <v>21853</v>
      </c>
      <c r="CI18">
        <v>101505</v>
      </c>
      <c r="CJ18">
        <v>118526</v>
      </c>
      <c r="CK18">
        <v>18480258</v>
      </c>
      <c r="CL18">
        <v>93021</v>
      </c>
      <c r="CM18">
        <v>8351</v>
      </c>
      <c r="CN18">
        <v>8795</v>
      </c>
      <c r="CO18">
        <v>2740925</v>
      </c>
      <c r="CP18">
        <v>10797</v>
      </c>
      <c r="CQ18">
        <v>10485</v>
      </c>
      <c r="CR18">
        <v>11871</v>
      </c>
      <c r="CS18">
        <v>3304477</v>
      </c>
      <c r="CT18">
        <v>17309</v>
      </c>
      <c r="CU18" t="s">
        <v>73</v>
      </c>
      <c r="CV18" t="s">
        <v>73</v>
      </c>
      <c r="CW18" t="s">
        <v>73</v>
      </c>
      <c r="CX18" t="s">
        <v>73</v>
      </c>
      <c r="CY18">
        <v>15166</v>
      </c>
      <c r="CZ18">
        <v>14681</v>
      </c>
      <c r="DA18">
        <v>10014898</v>
      </c>
      <c r="DB18">
        <v>40649</v>
      </c>
      <c r="DC18">
        <v>2660</v>
      </c>
      <c r="DD18">
        <v>2659</v>
      </c>
      <c r="DE18">
        <v>11467092</v>
      </c>
      <c r="DF18">
        <v>10278</v>
      </c>
      <c r="DG18">
        <v>12301</v>
      </c>
      <c r="DH18">
        <v>19579</v>
      </c>
      <c r="DI18">
        <v>8273402</v>
      </c>
      <c r="DJ18">
        <v>32884</v>
      </c>
      <c r="DK18" t="s">
        <v>73</v>
      </c>
      <c r="DL18" t="s">
        <v>73</v>
      </c>
      <c r="DM18" t="s">
        <v>73</v>
      </c>
      <c r="DN18" t="s">
        <v>73</v>
      </c>
      <c r="DO18">
        <v>9988</v>
      </c>
      <c r="DP18">
        <v>404</v>
      </c>
      <c r="DQ18">
        <v>187033</v>
      </c>
      <c r="DR18">
        <v>6577</v>
      </c>
      <c r="DS18" t="s">
        <v>73</v>
      </c>
      <c r="DT18" t="s">
        <v>73</v>
      </c>
      <c r="DU18" t="s">
        <v>73</v>
      </c>
      <c r="DV18" t="s">
        <v>73</v>
      </c>
      <c r="DW18" t="s">
        <v>73</v>
      </c>
      <c r="DX18" t="s">
        <v>73</v>
      </c>
      <c r="DY18" t="s">
        <v>73</v>
      </c>
      <c r="DZ18" t="s">
        <v>73</v>
      </c>
      <c r="EA18">
        <v>10073</v>
      </c>
      <c r="EB18">
        <v>9350</v>
      </c>
      <c r="EC18">
        <v>4074290</v>
      </c>
      <c r="ED18">
        <v>28167</v>
      </c>
      <c r="EE18">
        <v>4227</v>
      </c>
      <c r="EF18">
        <v>3041</v>
      </c>
      <c r="EG18">
        <v>3079082</v>
      </c>
      <c r="EH18">
        <v>8967</v>
      </c>
      <c r="EI18">
        <v>14606</v>
      </c>
      <c r="EJ18">
        <v>8058</v>
      </c>
      <c r="EK18">
        <v>3474261</v>
      </c>
      <c r="EL18">
        <v>14961</v>
      </c>
    </row>
    <row r="19" spans="1:142" x14ac:dyDescent="0.4">
      <c r="A19" s="1" t="s">
        <v>26</v>
      </c>
      <c r="B19" s="1" t="s">
        <v>27</v>
      </c>
      <c r="C19">
        <v>1451</v>
      </c>
      <c r="D19">
        <v>1902</v>
      </c>
      <c r="E19">
        <v>1108727</v>
      </c>
      <c r="F19">
        <v>1549</v>
      </c>
      <c r="G19">
        <v>914</v>
      </c>
      <c r="H19">
        <v>620</v>
      </c>
      <c r="I19">
        <v>514486</v>
      </c>
      <c r="J19">
        <v>949</v>
      </c>
      <c r="K19">
        <v>8678</v>
      </c>
      <c r="L19">
        <v>8897</v>
      </c>
      <c r="M19">
        <v>948767</v>
      </c>
      <c r="N19">
        <v>2538</v>
      </c>
      <c r="O19">
        <v>5730</v>
      </c>
      <c r="P19">
        <v>6246</v>
      </c>
      <c r="Q19">
        <v>3374694</v>
      </c>
      <c r="R19">
        <v>7326</v>
      </c>
      <c r="S19">
        <v>3088</v>
      </c>
      <c r="T19">
        <v>2000</v>
      </c>
      <c r="U19">
        <v>292858</v>
      </c>
      <c r="V19">
        <v>1250</v>
      </c>
      <c r="W19">
        <v>115</v>
      </c>
      <c r="X19">
        <v>152</v>
      </c>
      <c r="Y19">
        <v>1151195</v>
      </c>
      <c r="Z19">
        <v>262</v>
      </c>
      <c r="AA19">
        <v>1318</v>
      </c>
      <c r="AB19">
        <v>1273</v>
      </c>
      <c r="AC19">
        <v>642199</v>
      </c>
      <c r="AD19">
        <v>1792</v>
      </c>
      <c r="AE19">
        <v>2357</v>
      </c>
      <c r="AF19">
        <v>1645</v>
      </c>
      <c r="AG19">
        <v>243074</v>
      </c>
      <c r="AH19">
        <v>617</v>
      </c>
      <c r="AI19">
        <v>571</v>
      </c>
      <c r="AJ19">
        <v>584</v>
      </c>
      <c r="AK19">
        <v>244903</v>
      </c>
      <c r="AL19">
        <v>454</v>
      </c>
      <c r="AM19">
        <v>3656</v>
      </c>
      <c r="AN19">
        <v>3189</v>
      </c>
      <c r="AO19">
        <v>1287269</v>
      </c>
      <c r="AP19">
        <v>4091</v>
      </c>
      <c r="AQ19">
        <v>702</v>
      </c>
      <c r="AR19">
        <v>1052</v>
      </c>
      <c r="AS19">
        <v>533930</v>
      </c>
      <c r="AT19">
        <v>3074</v>
      </c>
      <c r="AU19">
        <v>3687</v>
      </c>
      <c r="AV19">
        <v>2507</v>
      </c>
      <c r="AW19">
        <v>1393134</v>
      </c>
      <c r="AX19">
        <v>9568</v>
      </c>
      <c r="AY19">
        <v>7956</v>
      </c>
      <c r="AZ19">
        <v>7742</v>
      </c>
      <c r="BA19">
        <v>5783960</v>
      </c>
      <c r="BB19">
        <v>18188</v>
      </c>
      <c r="BC19">
        <v>7180</v>
      </c>
      <c r="BD19">
        <v>6804</v>
      </c>
      <c r="BE19">
        <v>5340711</v>
      </c>
      <c r="BF19">
        <v>2608</v>
      </c>
      <c r="BG19">
        <v>4699</v>
      </c>
      <c r="BH19">
        <v>4377</v>
      </c>
      <c r="BI19">
        <v>2905400</v>
      </c>
      <c r="BJ19">
        <v>1312</v>
      </c>
      <c r="BK19">
        <v>29737</v>
      </c>
      <c r="BL19">
        <v>19111</v>
      </c>
      <c r="BM19">
        <v>5915554</v>
      </c>
      <c r="BN19">
        <v>21685</v>
      </c>
      <c r="BO19">
        <v>8990</v>
      </c>
      <c r="BP19">
        <v>7255</v>
      </c>
      <c r="BQ19">
        <v>2518669</v>
      </c>
      <c r="BR19">
        <v>12753</v>
      </c>
      <c r="BS19">
        <v>3451</v>
      </c>
      <c r="BT19">
        <v>2403</v>
      </c>
      <c r="BU19">
        <v>1645473</v>
      </c>
      <c r="BV19">
        <v>4811</v>
      </c>
      <c r="BW19">
        <v>32815</v>
      </c>
      <c r="BX19">
        <v>12848</v>
      </c>
      <c r="BY19">
        <v>1739324</v>
      </c>
      <c r="BZ19">
        <v>14676</v>
      </c>
      <c r="CA19">
        <v>12166</v>
      </c>
      <c r="CB19">
        <v>9665</v>
      </c>
      <c r="CC19">
        <v>4749854</v>
      </c>
      <c r="CD19">
        <v>47059</v>
      </c>
      <c r="CE19">
        <v>237872</v>
      </c>
      <c r="CF19">
        <v>181171</v>
      </c>
      <c r="CG19">
        <v>17827388</v>
      </c>
      <c r="CH19">
        <v>25963</v>
      </c>
      <c r="CI19">
        <v>112846</v>
      </c>
      <c r="CJ19">
        <v>89822</v>
      </c>
      <c r="CK19">
        <v>13922833</v>
      </c>
      <c r="CL19">
        <v>117238</v>
      </c>
      <c r="CM19">
        <v>7629</v>
      </c>
      <c r="CN19">
        <v>7754</v>
      </c>
      <c r="CO19">
        <v>2407264</v>
      </c>
      <c r="CP19">
        <v>11226</v>
      </c>
      <c r="CQ19">
        <v>10324</v>
      </c>
      <c r="CR19">
        <v>9104</v>
      </c>
      <c r="CS19">
        <v>2497887</v>
      </c>
      <c r="CT19">
        <v>18529</v>
      </c>
      <c r="CU19" t="s">
        <v>73</v>
      </c>
      <c r="CV19" t="s">
        <v>73</v>
      </c>
      <c r="CW19" t="s">
        <v>73</v>
      </c>
      <c r="CX19" t="s">
        <v>73</v>
      </c>
      <c r="CY19">
        <v>14908</v>
      </c>
      <c r="CZ19">
        <v>12554</v>
      </c>
      <c r="DA19">
        <v>8702248</v>
      </c>
      <c r="DB19">
        <v>43566</v>
      </c>
      <c r="DC19">
        <v>2819</v>
      </c>
      <c r="DD19">
        <v>2448</v>
      </c>
      <c r="DE19">
        <v>10074810</v>
      </c>
      <c r="DF19">
        <v>10445</v>
      </c>
      <c r="DG19">
        <v>12256</v>
      </c>
      <c r="DH19">
        <v>12485</v>
      </c>
      <c r="DI19">
        <v>5311300</v>
      </c>
      <c r="DJ19">
        <v>32326</v>
      </c>
      <c r="DK19" t="s">
        <v>73</v>
      </c>
      <c r="DL19" t="s">
        <v>73</v>
      </c>
      <c r="DM19" t="s">
        <v>73</v>
      </c>
      <c r="DN19" t="s">
        <v>73</v>
      </c>
      <c r="DO19">
        <v>8702</v>
      </c>
      <c r="DP19">
        <v>406</v>
      </c>
      <c r="DQ19">
        <v>182324</v>
      </c>
      <c r="DR19">
        <v>7143</v>
      </c>
      <c r="DS19" t="s">
        <v>73</v>
      </c>
      <c r="DT19" t="s">
        <v>73</v>
      </c>
      <c r="DU19" t="s">
        <v>73</v>
      </c>
      <c r="DV19" t="s">
        <v>73</v>
      </c>
      <c r="DW19" t="s">
        <v>73</v>
      </c>
      <c r="DX19" t="s">
        <v>73</v>
      </c>
      <c r="DY19" t="s">
        <v>73</v>
      </c>
      <c r="DZ19" t="s">
        <v>73</v>
      </c>
      <c r="EA19">
        <v>8830</v>
      </c>
      <c r="EB19">
        <v>7707</v>
      </c>
      <c r="EC19">
        <v>3368610</v>
      </c>
      <c r="ED19">
        <v>29256</v>
      </c>
      <c r="EE19">
        <v>3634</v>
      </c>
      <c r="EF19">
        <v>2461</v>
      </c>
      <c r="EG19">
        <v>2467225</v>
      </c>
      <c r="EH19">
        <v>9264</v>
      </c>
      <c r="EI19">
        <v>17196</v>
      </c>
      <c r="EJ19">
        <v>9932</v>
      </c>
      <c r="EK19">
        <v>3895072</v>
      </c>
      <c r="EL19">
        <v>15049</v>
      </c>
    </row>
    <row r="20" spans="1:142" x14ac:dyDescent="0.4">
      <c r="A20" s="1" t="s">
        <v>28</v>
      </c>
      <c r="B20" s="1" t="s">
        <v>29</v>
      </c>
      <c r="C20">
        <v>1775</v>
      </c>
      <c r="D20">
        <v>1849</v>
      </c>
      <c r="E20">
        <v>1056298</v>
      </c>
      <c r="F20">
        <v>1695</v>
      </c>
      <c r="G20">
        <v>1004</v>
      </c>
      <c r="H20">
        <v>757</v>
      </c>
      <c r="I20">
        <v>599685</v>
      </c>
      <c r="J20">
        <v>898</v>
      </c>
      <c r="K20">
        <v>9539</v>
      </c>
      <c r="L20">
        <v>9544</v>
      </c>
      <c r="M20">
        <v>1028317</v>
      </c>
      <c r="N20">
        <v>2529</v>
      </c>
      <c r="O20">
        <v>7293</v>
      </c>
      <c r="P20">
        <v>7373</v>
      </c>
      <c r="Q20">
        <v>3878547</v>
      </c>
      <c r="R20">
        <v>7328</v>
      </c>
      <c r="S20">
        <v>3425</v>
      </c>
      <c r="T20">
        <v>2552</v>
      </c>
      <c r="U20">
        <v>348180</v>
      </c>
      <c r="V20">
        <v>1233</v>
      </c>
      <c r="W20">
        <v>114</v>
      </c>
      <c r="X20">
        <v>188</v>
      </c>
      <c r="Y20">
        <v>1320155</v>
      </c>
      <c r="Z20">
        <v>231</v>
      </c>
      <c r="AA20">
        <v>1615</v>
      </c>
      <c r="AB20">
        <v>1468</v>
      </c>
      <c r="AC20">
        <v>755028</v>
      </c>
      <c r="AD20">
        <v>1740</v>
      </c>
      <c r="AE20">
        <v>2875</v>
      </c>
      <c r="AF20">
        <v>2041</v>
      </c>
      <c r="AG20">
        <v>316801</v>
      </c>
      <c r="AH20">
        <v>659</v>
      </c>
      <c r="AI20">
        <v>732</v>
      </c>
      <c r="AJ20">
        <v>699</v>
      </c>
      <c r="AK20">
        <v>290666</v>
      </c>
      <c r="AL20">
        <v>421</v>
      </c>
      <c r="AM20">
        <v>4312</v>
      </c>
      <c r="AN20">
        <v>3343</v>
      </c>
      <c r="AO20">
        <v>1374692</v>
      </c>
      <c r="AP20">
        <v>4201</v>
      </c>
      <c r="AQ20">
        <v>2750</v>
      </c>
      <c r="AR20">
        <v>1210</v>
      </c>
      <c r="AS20">
        <v>628531</v>
      </c>
      <c r="AT20">
        <v>3317</v>
      </c>
      <c r="AU20">
        <v>4836</v>
      </c>
      <c r="AV20">
        <v>2893</v>
      </c>
      <c r="AW20">
        <v>1608181</v>
      </c>
      <c r="AX20">
        <v>9690</v>
      </c>
      <c r="AY20">
        <v>9759</v>
      </c>
      <c r="AZ20">
        <v>7718</v>
      </c>
      <c r="BA20">
        <v>5937391</v>
      </c>
      <c r="BB20">
        <v>20087</v>
      </c>
      <c r="BC20">
        <v>9170</v>
      </c>
      <c r="BD20">
        <v>8628</v>
      </c>
      <c r="BE20">
        <v>6845337</v>
      </c>
      <c r="BF20">
        <v>2697</v>
      </c>
      <c r="BG20">
        <v>5272</v>
      </c>
      <c r="BH20">
        <v>4980</v>
      </c>
      <c r="BI20">
        <v>3361366</v>
      </c>
      <c r="BJ20">
        <v>1350</v>
      </c>
      <c r="BK20">
        <v>24014</v>
      </c>
      <c r="BL20">
        <v>18175</v>
      </c>
      <c r="BM20">
        <v>5315733</v>
      </c>
      <c r="BN20">
        <v>20397</v>
      </c>
      <c r="BO20">
        <v>7539</v>
      </c>
      <c r="BP20">
        <v>6630</v>
      </c>
      <c r="BQ20">
        <v>2205264</v>
      </c>
      <c r="BR20">
        <v>13641</v>
      </c>
      <c r="BS20">
        <v>3308</v>
      </c>
      <c r="BT20">
        <v>2856</v>
      </c>
      <c r="BU20">
        <v>1969513</v>
      </c>
      <c r="BV20">
        <v>4575</v>
      </c>
      <c r="BW20">
        <v>27760</v>
      </c>
      <c r="BX20">
        <v>17781</v>
      </c>
      <c r="BY20">
        <v>2415954</v>
      </c>
      <c r="BZ20">
        <v>14158</v>
      </c>
      <c r="CA20">
        <v>10719</v>
      </c>
      <c r="CB20">
        <v>10477</v>
      </c>
      <c r="CC20">
        <v>5380886</v>
      </c>
      <c r="CD20">
        <v>45834</v>
      </c>
      <c r="CE20">
        <v>209460</v>
      </c>
      <c r="CF20">
        <v>161509</v>
      </c>
      <c r="CG20">
        <v>15046089</v>
      </c>
      <c r="CH20">
        <v>22727</v>
      </c>
      <c r="CI20">
        <v>108502</v>
      </c>
      <c r="CJ20">
        <v>120719</v>
      </c>
      <c r="CK20">
        <v>18050827</v>
      </c>
      <c r="CL20">
        <v>105616</v>
      </c>
      <c r="CM20">
        <v>7785</v>
      </c>
      <c r="CN20">
        <v>8484</v>
      </c>
      <c r="CO20">
        <v>2569586</v>
      </c>
      <c r="CP20">
        <v>11565</v>
      </c>
      <c r="CQ20">
        <v>10208</v>
      </c>
      <c r="CR20">
        <v>10030</v>
      </c>
      <c r="CS20">
        <v>2885191</v>
      </c>
      <c r="CT20">
        <v>18707</v>
      </c>
      <c r="CU20" t="s">
        <v>73</v>
      </c>
      <c r="CV20" t="s">
        <v>73</v>
      </c>
      <c r="CW20" t="s">
        <v>73</v>
      </c>
      <c r="CX20" t="s">
        <v>73</v>
      </c>
      <c r="CY20">
        <v>15172</v>
      </c>
      <c r="CZ20">
        <v>14199</v>
      </c>
      <c r="DA20">
        <v>9642899</v>
      </c>
      <c r="DB20">
        <v>43713</v>
      </c>
      <c r="DC20">
        <v>2633</v>
      </c>
      <c r="DD20">
        <v>2687</v>
      </c>
      <c r="DE20">
        <v>11386407</v>
      </c>
      <c r="DF20">
        <v>10641</v>
      </c>
      <c r="DG20">
        <v>22237</v>
      </c>
      <c r="DH20">
        <v>19518</v>
      </c>
      <c r="DI20">
        <v>7993643</v>
      </c>
      <c r="DJ20">
        <v>35214</v>
      </c>
      <c r="DK20" t="s">
        <v>73</v>
      </c>
      <c r="DL20" t="s">
        <v>73</v>
      </c>
      <c r="DM20" t="s">
        <v>73</v>
      </c>
      <c r="DN20" t="s">
        <v>73</v>
      </c>
      <c r="DO20">
        <v>5024</v>
      </c>
      <c r="DP20">
        <v>485</v>
      </c>
      <c r="DQ20">
        <v>212585</v>
      </c>
      <c r="DR20">
        <v>4329</v>
      </c>
      <c r="DS20" t="s">
        <v>73</v>
      </c>
      <c r="DT20" t="s">
        <v>73</v>
      </c>
      <c r="DU20" t="s">
        <v>73</v>
      </c>
      <c r="DV20" t="s">
        <v>73</v>
      </c>
      <c r="DW20" t="s">
        <v>73</v>
      </c>
      <c r="DX20" t="s">
        <v>73</v>
      </c>
      <c r="DY20" t="s">
        <v>73</v>
      </c>
      <c r="DZ20" t="s">
        <v>73</v>
      </c>
      <c r="EA20">
        <v>8672</v>
      </c>
      <c r="EB20">
        <v>8802</v>
      </c>
      <c r="EC20">
        <v>3839343</v>
      </c>
      <c r="ED20">
        <v>29184</v>
      </c>
      <c r="EE20">
        <v>2859</v>
      </c>
      <c r="EF20">
        <v>2132</v>
      </c>
      <c r="EG20">
        <v>2162614</v>
      </c>
      <c r="EH20">
        <v>9409</v>
      </c>
      <c r="EI20">
        <v>15400</v>
      </c>
      <c r="EJ20">
        <v>9998</v>
      </c>
      <c r="EK20">
        <v>3988120</v>
      </c>
      <c r="EL20">
        <v>14961</v>
      </c>
    </row>
    <row r="21" spans="1:142" x14ac:dyDescent="0.4">
      <c r="A21" s="1" t="s">
        <v>30</v>
      </c>
      <c r="B21" s="1" t="s">
        <v>31</v>
      </c>
      <c r="C21">
        <v>1840</v>
      </c>
      <c r="D21">
        <v>2125</v>
      </c>
      <c r="E21">
        <v>1230351</v>
      </c>
      <c r="F21">
        <v>1691</v>
      </c>
      <c r="G21">
        <v>1241</v>
      </c>
      <c r="H21">
        <v>801</v>
      </c>
      <c r="I21">
        <v>627154</v>
      </c>
      <c r="J21">
        <v>948</v>
      </c>
      <c r="K21">
        <v>10120</v>
      </c>
      <c r="L21">
        <v>9963</v>
      </c>
      <c r="M21">
        <v>1055791</v>
      </c>
      <c r="N21">
        <v>2681</v>
      </c>
      <c r="O21">
        <v>8041</v>
      </c>
      <c r="P21">
        <v>7920</v>
      </c>
      <c r="Q21">
        <v>4121128</v>
      </c>
      <c r="R21">
        <v>7309</v>
      </c>
      <c r="S21">
        <v>3556</v>
      </c>
      <c r="T21">
        <v>2619</v>
      </c>
      <c r="U21">
        <v>375922</v>
      </c>
      <c r="V21">
        <v>1124</v>
      </c>
      <c r="W21">
        <v>124</v>
      </c>
      <c r="X21">
        <v>207</v>
      </c>
      <c r="Y21">
        <v>1544794</v>
      </c>
      <c r="Z21">
        <v>193</v>
      </c>
      <c r="AA21">
        <v>1683</v>
      </c>
      <c r="AB21">
        <v>1508</v>
      </c>
      <c r="AC21">
        <v>807544</v>
      </c>
      <c r="AD21">
        <v>1709</v>
      </c>
      <c r="AE21">
        <v>3038</v>
      </c>
      <c r="AF21">
        <v>1955</v>
      </c>
      <c r="AG21">
        <v>307481</v>
      </c>
      <c r="AH21">
        <v>705</v>
      </c>
      <c r="AI21">
        <v>829</v>
      </c>
      <c r="AJ21">
        <v>738</v>
      </c>
      <c r="AK21">
        <v>306496</v>
      </c>
      <c r="AL21">
        <v>430</v>
      </c>
      <c r="AM21">
        <v>4512</v>
      </c>
      <c r="AN21">
        <v>3923</v>
      </c>
      <c r="AO21">
        <v>1613896</v>
      </c>
      <c r="AP21">
        <v>3954</v>
      </c>
      <c r="AQ21">
        <v>2965</v>
      </c>
      <c r="AR21">
        <v>1440</v>
      </c>
      <c r="AS21">
        <v>696636</v>
      </c>
      <c r="AT21">
        <v>3505</v>
      </c>
      <c r="AU21">
        <v>4955</v>
      </c>
      <c r="AV21">
        <v>2936</v>
      </c>
      <c r="AW21">
        <v>1700081</v>
      </c>
      <c r="AX21">
        <v>9770</v>
      </c>
      <c r="AY21">
        <v>8282</v>
      </c>
      <c r="AZ21">
        <v>8742</v>
      </c>
      <c r="BA21">
        <v>6657525</v>
      </c>
      <c r="BB21">
        <v>19320</v>
      </c>
      <c r="BC21">
        <v>10259</v>
      </c>
      <c r="BD21">
        <v>9649</v>
      </c>
      <c r="BE21">
        <v>7658181</v>
      </c>
      <c r="BF21">
        <v>2681</v>
      </c>
      <c r="BG21">
        <v>5668</v>
      </c>
      <c r="BH21">
        <v>5427</v>
      </c>
      <c r="BI21">
        <v>3638672</v>
      </c>
      <c r="BJ21">
        <v>1306</v>
      </c>
      <c r="BK21">
        <v>26193</v>
      </c>
      <c r="BL21">
        <v>20358</v>
      </c>
      <c r="BM21">
        <v>5942775</v>
      </c>
      <c r="BN21">
        <v>20232</v>
      </c>
      <c r="BO21">
        <v>6000</v>
      </c>
      <c r="BP21">
        <v>5633</v>
      </c>
      <c r="BQ21">
        <v>1954304</v>
      </c>
      <c r="BR21">
        <v>14013</v>
      </c>
      <c r="BS21">
        <v>3545</v>
      </c>
      <c r="BT21">
        <v>2980</v>
      </c>
      <c r="BU21">
        <v>2092064</v>
      </c>
      <c r="BV21">
        <v>4317</v>
      </c>
      <c r="BW21">
        <v>29913</v>
      </c>
      <c r="BX21">
        <v>13694</v>
      </c>
      <c r="BY21">
        <v>1866961</v>
      </c>
      <c r="BZ21">
        <v>15430</v>
      </c>
      <c r="CA21">
        <v>10602</v>
      </c>
      <c r="CB21">
        <v>9688</v>
      </c>
      <c r="CC21">
        <v>5085325</v>
      </c>
      <c r="CD21">
        <v>45804</v>
      </c>
      <c r="CE21">
        <v>194053</v>
      </c>
      <c r="CF21">
        <v>157381</v>
      </c>
      <c r="CG21">
        <v>15384049</v>
      </c>
      <c r="CH21">
        <v>20334</v>
      </c>
      <c r="CI21">
        <v>108653</v>
      </c>
      <c r="CJ21">
        <v>116601</v>
      </c>
      <c r="CK21">
        <v>18360011</v>
      </c>
      <c r="CL21">
        <v>98860</v>
      </c>
      <c r="CM21">
        <v>8806</v>
      </c>
      <c r="CN21">
        <v>9475</v>
      </c>
      <c r="CO21">
        <v>2890634</v>
      </c>
      <c r="CP21">
        <v>10896</v>
      </c>
      <c r="CQ21">
        <v>10724</v>
      </c>
      <c r="CR21">
        <v>11080</v>
      </c>
      <c r="CS21">
        <v>3206985</v>
      </c>
      <c r="CT21">
        <v>18350</v>
      </c>
      <c r="CU21" t="s">
        <v>73</v>
      </c>
      <c r="CV21" t="s">
        <v>73</v>
      </c>
      <c r="CW21" t="s">
        <v>73</v>
      </c>
      <c r="CX21" t="s">
        <v>73</v>
      </c>
      <c r="CY21">
        <v>15729</v>
      </c>
      <c r="CZ21">
        <v>15091</v>
      </c>
      <c r="DA21">
        <v>10591667</v>
      </c>
      <c r="DB21">
        <v>43593</v>
      </c>
      <c r="DC21">
        <v>2359</v>
      </c>
      <c r="DD21">
        <v>2731</v>
      </c>
      <c r="DE21">
        <v>11160132</v>
      </c>
      <c r="DF21">
        <v>10384</v>
      </c>
      <c r="DG21">
        <v>17341</v>
      </c>
      <c r="DH21">
        <v>16018</v>
      </c>
      <c r="DI21">
        <v>6431229</v>
      </c>
      <c r="DJ21">
        <v>36190</v>
      </c>
      <c r="DK21" t="s">
        <v>73</v>
      </c>
      <c r="DL21" t="s">
        <v>73</v>
      </c>
      <c r="DM21" t="s">
        <v>73</v>
      </c>
      <c r="DN21" t="s">
        <v>73</v>
      </c>
      <c r="DO21">
        <v>6244</v>
      </c>
      <c r="DP21">
        <v>538</v>
      </c>
      <c r="DQ21">
        <v>242947</v>
      </c>
      <c r="DR21">
        <v>3840</v>
      </c>
      <c r="DS21" t="s">
        <v>73</v>
      </c>
      <c r="DT21" t="s">
        <v>73</v>
      </c>
      <c r="DU21" t="s">
        <v>73</v>
      </c>
      <c r="DV21" t="s">
        <v>73</v>
      </c>
      <c r="DW21" t="s">
        <v>73</v>
      </c>
      <c r="DX21" t="s">
        <v>73</v>
      </c>
      <c r="DY21" t="s">
        <v>73</v>
      </c>
      <c r="DZ21" t="s">
        <v>73</v>
      </c>
      <c r="EA21">
        <v>4804</v>
      </c>
      <c r="EB21">
        <v>8351</v>
      </c>
      <c r="EC21">
        <v>3699730</v>
      </c>
      <c r="ED21">
        <v>25417</v>
      </c>
      <c r="EE21">
        <v>1781</v>
      </c>
      <c r="EF21">
        <v>2115</v>
      </c>
      <c r="EG21">
        <v>2186014</v>
      </c>
      <c r="EH21">
        <v>8684</v>
      </c>
      <c r="EI21">
        <v>20212</v>
      </c>
      <c r="EJ21">
        <v>8717</v>
      </c>
      <c r="EK21">
        <v>3854638</v>
      </c>
      <c r="EL21">
        <v>18548</v>
      </c>
    </row>
    <row r="22" spans="1:142" x14ac:dyDescent="0.4">
      <c r="A22" s="1" t="s">
        <v>32</v>
      </c>
      <c r="B22" s="1" t="s">
        <v>33</v>
      </c>
      <c r="C22">
        <v>1850</v>
      </c>
      <c r="D22">
        <v>2035</v>
      </c>
      <c r="E22">
        <v>1191632</v>
      </c>
      <c r="F22">
        <v>1768</v>
      </c>
      <c r="G22">
        <v>1141</v>
      </c>
      <c r="H22">
        <v>830</v>
      </c>
      <c r="I22">
        <v>638246</v>
      </c>
      <c r="J22">
        <v>940</v>
      </c>
      <c r="K22">
        <v>9501</v>
      </c>
      <c r="L22">
        <v>9659</v>
      </c>
      <c r="M22">
        <v>1028122</v>
      </c>
      <c r="N22">
        <v>2521</v>
      </c>
      <c r="O22">
        <v>7498</v>
      </c>
      <c r="P22">
        <v>7087</v>
      </c>
      <c r="Q22">
        <v>3772696</v>
      </c>
      <c r="R22">
        <v>7629</v>
      </c>
      <c r="S22">
        <v>3809</v>
      </c>
      <c r="T22">
        <v>2618</v>
      </c>
      <c r="U22">
        <v>389169</v>
      </c>
      <c r="V22">
        <v>1337</v>
      </c>
      <c r="W22">
        <v>148</v>
      </c>
      <c r="X22">
        <v>161</v>
      </c>
      <c r="Y22">
        <v>1290498</v>
      </c>
      <c r="Z22">
        <v>210</v>
      </c>
      <c r="AA22">
        <v>1607</v>
      </c>
      <c r="AB22">
        <v>1419</v>
      </c>
      <c r="AC22">
        <v>752322</v>
      </c>
      <c r="AD22">
        <v>1726</v>
      </c>
      <c r="AE22">
        <v>2864</v>
      </c>
      <c r="AF22">
        <v>2052</v>
      </c>
      <c r="AG22">
        <v>314548</v>
      </c>
      <c r="AH22">
        <v>623</v>
      </c>
      <c r="AI22">
        <v>827</v>
      </c>
      <c r="AJ22">
        <v>698</v>
      </c>
      <c r="AK22">
        <v>285047</v>
      </c>
      <c r="AL22">
        <v>468</v>
      </c>
      <c r="AM22">
        <v>4841</v>
      </c>
      <c r="AN22">
        <v>3932</v>
      </c>
      <c r="AO22">
        <v>1614415</v>
      </c>
      <c r="AP22">
        <v>3973</v>
      </c>
      <c r="AQ22">
        <v>2791</v>
      </c>
      <c r="AR22">
        <v>1378</v>
      </c>
      <c r="AS22">
        <v>685973</v>
      </c>
      <c r="AT22">
        <v>3737</v>
      </c>
      <c r="AU22">
        <v>4637</v>
      </c>
      <c r="AV22">
        <v>2757</v>
      </c>
      <c r="AW22">
        <v>1542187</v>
      </c>
      <c r="AX22">
        <v>9689</v>
      </c>
      <c r="AY22">
        <v>7158</v>
      </c>
      <c r="AZ22">
        <v>7980</v>
      </c>
      <c r="BA22">
        <v>6514080</v>
      </c>
      <c r="BB22">
        <v>18509</v>
      </c>
      <c r="BC22">
        <v>9575</v>
      </c>
      <c r="BD22">
        <v>8994</v>
      </c>
      <c r="BE22">
        <v>7133694</v>
      </c>
      <c r="BF22">
        <v>2656</v>
      </c>
      <c r="BG22">
        <v>5481</v>
      </c>
      <c r="BH22">
        <v>5298</v>
      </c>
      <c r="BI22">
        <v>3484958</v>
      </c>
      <c r="BJ22">
        <v>1253</v>
      </c>
      <c r="BK22">
        <v>29178</v>
      </c>
      <c r="BL22">
        <v>23086</v>
      </c>
      <c r="BM22">
        <v>6470801</v>
      </c>
      <c r="BN22">
        <v>21965</v>
      </c>
      <c r="BO22">
        <v>4801</v>
      </c>
      <c r="BP22">
        <v>5753</v>
      </c>
      <c r="BQ22">
        <v>2005493</v>
      </c>
      <c r="BR22">
        <v>13330</v>
      </c>
      <c r="BS22">
        <v>3856</v>
      </c>
      <c r="BT22">
        <v>2752</v>
      </c>
      <c r="BU22">
        <v>1917759</v>
      </c>
      <c r="BV22">
        <v>4632</v>
      </c>
      <c r="BW22">
        <v>29731</v>
      </c>
      <c r="BX22">
        <v>14177</v>
      </c>
      <c r="BY22">
        <v>1971463</v>
      </c>
      <c r="BZ22">
        <v>11857</v>
      </c>
      <c r="CA22">
        <v>11128</v>
      </c>
      <c r="CB22">
        <v>9297</v>
      </c>
      <c r="CC22">
        <v>5124095</v>
      </c>
      <c r="CD22">
        <v>46340</v>
      </c>
      <c r="CE22">
        <v>196815</v>
      </c>
      <c r="CF22">
        <v>165068</v>
      </c>
      <c r="CG22">
        <v>15803283</v>
      </c>
      <c r="CH22">
        <v>21224</v>
      </c>
      <c r="CI22">
        <v>103561</v>
      </c>
      <c r="CJ22">
        <v>109315</v>
      </c>
      <c r="CK22">
        <v>17217299</v>
      </c>
      <c r="CL22">
        <v>94298</v>
      </c>
      <c r="CM22">
        <v>4833</v>
      </c>
      <c r="CN22">
        <v>6829</v>
      </c>
      <c r="CO22">
        <v>2115582</v>
      </c>
      <c r="CP22">
        <v>9358</v>
      </c>
      <c r="CQ22">
        <v>7418</v>
      </c>
      <c r="CR22">
        <v>9635</v>
      </c>
      <c r="CS22">
        <v>2891574</v>
      </c>
      <c r="CT22">
        <v>16134</v>
      </c>
      <c r="CU22" t="s">
        <v>73</v>
      </c>
      <c r="CV22" t="s">
        <v>73</v>
      </c>
      <c r="CW22" t="s">
        <v>73</v>
      </c>
      <c r="CX22" t="s">
        <v>73</v>
      </c>
      <c r="CY22">
        <v>14802</v>
      </c>
      <c r="CZ22">
        <v>13881</v>
      </c>
      <c r="DA22">
        <v>9468597</v>
      </c>
      <c r="DB22">
        <v>44500</v>
      </c>
      <c r="DC22">
        <v>2251</v>
      </c>
      <c r="DD22">
        <v>2808</v>
      </c>
      <c r="DE22">
        <v>11931167</v>
      </c>
      <c r="DF22">
        <v>9909</v>
      </c>
      <c r="DG22">
        <v>20077</v>
      </c>
      <c r="DH22">
        <v>17355</v>
      </c>
      <c r="DI22">
        <v>7288188</v>
      </c>
      <c r="DJ22">
        <v>38494</v>
      </c>
      <c r="DK22" t="s">
        <v>73</v>
      </c>
      <c r="DL22" t="s">
        <v>73</v>
      </c>
      <c r="DM22" t="s">
        <v>73</v>
      </c>
      <c r="DN22" t="s">
        <v>73</v>
      </c>
      <c r="DO22">
        <v>7369</v>
      </c>
      <c r="DP22">
        <v>334</v>
      </c>
      <c r="DQ22">
        <v>150601</v>
      </c>
      <c r="DR22">
        <v>4109</v>
      </c>
      <c r="DS22" t="s">
        <v>73</v>
      </c>
      <c r="DT22" t="s">
        <v>73</v>
      </c>
      <c r="DU22" t="s">
        <v>73</v>
      </c>
      <c r="DV22" t="s">
        <v>73</v>
      </c>
      <c r="DW22" t="s">
        <v>73</v>
      </c>
      <c r="DX22" t="s">
        <v>73</v>
      </c>
      <c r="DY22" t="s">
        <v>73</v>
      </c>
      <c r="DZ22" t="s">
        <v>73</v>
      </c>
      <c r="EA22">
        <v>6504</v>
      </c>
      <c r="EB22">
        <v>7376</v>
      </c>
      <c r="EC22">
        <v>3316810</v>
      </c>
      <c r="ED22">
        <v>24645</v>
      </c>
      <c r="EE22">
        <v>3378</v>
      </c>
      <c r="EF22">
        <v>2668</v>
      </c>
      <c r="EG22">
        <v>2719340</v>
      </c>
      <c r="EH22">
        <v>8625</v>
      </c>
      <c r="EI22">
        <v>16624</v>
      </c>
      <c r="EJ22">
        <v>7986</v>
      </c>
      <c r="EK22">
        <v>3310540</v>
      </c>
      <c r="EL22">
        <v>19572</v>
      </c>
    </row>
    <row r="23" spans="1:142" x14ac:dyDescent="0.4">
      <c r="A23" s="1" t="s">
        <v>34</v>
      </c>
      <c r="B23" s="1" t="s">
        <v>35</v>
      </c>
      <c r="C23">
        <v>1656</v>
      </c>
      <c r="D23">
        <v>1819</v>
      </c>
      <c r="E23">
        <v>1116905</v>
      </c>
      <c r="F23">
        <v>1880</v>
      </c>
      <c r="G23">
        <v>1148</v>
      </c>
      <c r="H23">
        <v>793</v>
      </c>
      <c r="I23">
        <v>625484</v>
      </c>
      <c r="J23">
        <v>970</v>
      </c>
      <c r="K23">
        <v>9504</v>
      </c>
      <c r="L23">
        <v>9728</v>
      </c>
      <c r="M23">
        <v>1017541</v>
      </c>
      <c r="N23">
        <v>2295</v>
      </c>
      <c r="O23">
        <v>7168</v>
      </c>
      <c r="P23">
        <v>7112</v>
      </c>
      <c r="Q23">
        <v>3950310</v>
      </c>
      <c r="R23">
        <v>7350</v>
      </c>
      <c r="S23">
        <v>3005</v>
      </c>
      <c r="T23">
        <v>2342</v>
      </c>
      <c r="U23">
        <v>342059</v>
      </c>
      <c r="V23">
        <v>1148</v>
      </c>
      <c r="W23">
        <v>134</v>
      </c>
      <c r="X23">
        <v>161</v>
      </c>
      <c r="Y23">
        <v>1202702</v>
      </c>
      <c r="Z23">
        <v>215</v>
      </c>
      <c r="AA23">
        <v>1467</v>
      </c>
      <c r="AB23">
        <v>1330</v>
      </c>
      <c r="AC23">
        <v>684528</v>
      </c>
      <c r="AD23">
        <v>1699</v>
      </c>
      <c r="AE23">
        <v>2524</v>
      </c>
      <c r="AF23">
        <v>1922</v>
      </c>
      <c r="AG23">
        <v>294505</v>
      </c>
      <c r="AH23">
        <v>647</v>
      </c>
      <c r="AI23">
        <v>769</v>
      </c>
      <c r="AJ23">
        <v>713</v>
      </c>
      <c r="AK23">
        <v>300538</v>
      </c>
      <c r="AL23">
        <v>456</v>
      </c>
      <c r="AM23">
        <v>4484</v>
      </c>
      <c r="AN23">
        <v>3746</v>
      </c>
      <c r="AO23">
        <v>1500916</v>
      </c>
      <c r="AP23">
        <v>3823</v>
      </c>
      <c r="AQ23">
        <v>2299</v>
      </c>
      <c r="AR23">
        <v>1346</v>
      </c>
      <c r="AS23">
        <v>676392</v>
      </c>
      <c r="AT23">
        <v>3658</v>
      </c>
      <c r="AU23">
        <v>4446</v>
      </c>
      <c r="AV23">
        <v>2663</v>
      </c>
      <c r="AW23">
        <v>1458081</v>
      </c>
      <c r="AX23">
        <v>9619</v>
      </c>
      <c r="AY23">
        <v>7274</v>
      </c>
      <c r="AZ23">
        <v>7832</v>
      </c>
      <c r="BA23">
        <v>6221319</v>
      </c>
      <c r="BB23">
        <v>18198</v>
      </c>
      <c r="BC23">
        <v>8858</v>
      </c>
      <c r="BD23">
        <v>8404</v>
      </c>
      <c r="BE23">
        <v>6473128</v>
      </c>
      <c r="BF23">
        <v>2687</v>
      </c>
      <c r="BG23">
        <v>5253</v>
      </c>
      <c r="BH23">
        <v>4936</v>
      </c>
      <c r="BI23">
        <v>3267798</v>
      </c>
      <c r="BJ23">
        <v>1281</v>
      </c>
      <c r="BK23">
        <v>34002</v>
      </c>
      <c r="BL23">
        <v>26655</v>
      </c>
      <c r="BM23">
        <v>7042892</v>
      </c>
      <c r="BN23">
        <v>22898</v>
      </c>
      <c r="BO23">
        <v>7643</v>
      </c>
      <c r="BP23">
        <v>8213</v>
      </c>
      <c r="BQ23">
        <v>2980447</v>
      </c>
      <c r="BR23">
        <v>12989</v>
      </c>
      <c r="BS23">
        <v>3372</v>
      </c>
      <c r="BT23">
        <v>2737</v>
      </c>
      <c r="BU23">
        <v>1878526</v>
      </c>
      <c r="BV23">
        <v>4494</v>
      </c>
      <c r="BW23">
        <v>37290</v>
      </c>
      <c r="BX23">
        <v>10807</v>
      </c>
      <c r="BY23">
        <v>1425883</v>
      </c>
      <c r="BZ23">
        <v>11712</v>
      </c>
      <c r="CA23">
        <v>14091</v>
      </c>
      <c r="CB23">
        <v>11182</v>
      </c>
      <c r="CC23">
        <v>5435455</v>
      </c>
      <c r="CD23">
        <v>47571</v>
      </c>
      <c r="CE23">
        <v>227937</v>
      </c>
      <c r="CF23">
        <v>175253</v>
      </c>
      <c r="CG23">
        <v>16640051</v>
      </c>
      <c r="CH23">
        <v>21218</v>
      </c>
      <c r="CI23">
        <v>120669</v>
      </c>
      <c r="CJ23">
        <v>110519</v>
      </c>
      <c r="CK23">
        <v>17112338</v>
      </c>
      <c r="CL23">
        <v>105044</v>
      </c>
      <c r="CM23">
        <v>8038</v>
      </c>
      <c r="CN23">
        <v>7689</v>
      </c>
      <c r="CO23">
        <v>2459228</v>
      </c>
      <c r="CP23">
        <v>10213</v>
      </c>
      <c r="CQ23">
        <v>9633</v>
      </c>
      <c r="CR23">
        <v>8645</v>
      </c>
      <c r="CS23">
        <v>2697489</v>
      </c>
      <c r="CT23">
        <v>17121</v>
      </c>
      <c r="CU23" t="s">
        <v>73</v>
      </c>
      <c r="CV23" t="s">
        <v>73</v>
      </c>
      <c r="CW23" t="s">
        <v>73</v>
      </c>
      <c r="CX23" t="s">
        <v>73</v>
      </c>
      <c r="CY23">
        <v>14567</v>
      </c>
      <c r="CZ23">
        <v>13498</v>
      </c>
      <c r="DA23">
        <v>9601263</v>
      </c>
      <c r="DB23">
        <v>46022</v>
      </c>
      <c r="DC23">
        <v>2176</v>
      </c>
      <c r="DD23">
        <v>2759</v>
      </c>
      <c r="DE23">
        <v>12319721</v>
      </c>
      <c r="DF23">
        <v>9556</v>
      </c>
      <c r="DG23">
        <v>22637</v>
      </c>
      <c r="DH23">
        <v>19234</v>
      </c>
      <c r="DI23">
        <v>8155268</v>
      </c>
      <c r="DJ23">
        <v>41735</v>
      </c>
      <c r="DK23" t="s">
        <v>73</v>
      </c>
      <c r="DL23" t="s">
        <v>73</v>
      </c>
      <c r="DM23" t="s">
        <v>73</v>
      </c>
      <c r="DN23" t="s">
        <v>73</v>
      </c>
      <c r="DO23">
        <v>7784</v>
      </c>
      <c r="DP23">
        <v>564</v>
      </c>
      <c r="DQ23">
        <v>272626</v>
      </c>
      <c r="DR23">
        <v>4690</v>
      </c>
      <c r="DS23" t="s">
        <v>73</v>
      </c>
      <c r="DT23" t="s">
        <v>73</v>
      </c>
      <c r="DU23" t="s">
        <v>73</v>
      </c>
      <c r="DV23" t="s">
        <v>73</v>
      </c>
      <c r="DW23" t="s">
        <v>73</v>
      </c>
      <c r="DX23" t="s">
        <v>73</v>
      </c>
      <c r="DY23" t="s">
        <v>73</v>
      </c>
      <c r="DZ23" t="s">
        <v>73</v>
      </c>
      <c r="EA23">
        <v>5170</v>
      </c>
      <c r="EB23">
        <v>8732</v>
      </c>
      <c r="EC23">
        <v>3776566</v>
      </c>
      <c r="ED23">
        <v>21059</v>
      </c>
      <c r="EE23">
        <v>3261</v>
      </c>
      <c r="EF23">
        <v>2774</v>
      </c>
      <c r="EG23">
        <v>2891438</v>
      </c>
      <c r="EH23">
        <v>8434</v>
      </c>
      <c r="EI23">
        <v>16076</v>
      </c>
      <c r="EJ23">
        <v>9875</v>
      </c>
      <c r="EK23">
        <v>4066055</v>
      </c>
      <c r="EL23">
        <v>18674</v>
      </c>
    </row>
    <row r="24" spans="1:142" x14ac:dyDescent="0.4">
      <c r="A24" s="1" t="s">
        <v>36</v>
      </c>
      <c r="B24" s="1" t="s">
        <v>37</v>
      </c>
      <c r="C24">
        <v>1431</v>
      </c>
      <c r="D24">
        <v>1662</v>
      </c>
      <c r="E24">
        <v>936897</v>
      </c>
      <c r="F24">
        <v>1828</v>
      </c>
      <c r="G24">
        <v>1061</v>
      </c>
      <c r="H24">
        <v>724</v>
      </c>
      <c r="I24">
        <v>597715</v>
      </c>
      <c r="J24">
        <v>953</v>
      </c>
      <c r="K24">
        <v>9696</v>
      </c>
      <c r="L24">
        <v>9507</v>
      </c>
      <c r="M24">
        <v>992360</v>
      </c>
      <c r="N24">
        <v>2483</v>
      </c>
      <c r="O24">
        <v>6751</v>
      </c>
      <c r="P24">
        <v>6903</v>
      </c>
      <c r="Q24">
        <v>3774669</v>
      </c>
      <c r="R24">
        <v>7021</v>
      </c>
      <c r="S24">
        <v>3521</v>
      </c>
      <c r="T24">
        <v>2853</v>
      </c>
      <c r="U24">
        <v>349249</v>
      </c>
      <c r="V24">
        <v>1151</v>
      </c>
      <c r="W24">
        <v>114</v>
      </c>
      <c r="X24">
        <v>169</v>
      </c>
      <c r="Y24">
        <v>1246250</v>
      </c>
      <c r="Z24">
        <v>197</v>
      </c>
      <c r="AA24">
        <v>1419</v>
      </c>
      <c r="AB24">
        <v>1402</v>
      </c>
      <c r="AC24">
        <v>730930</v>
      </c>
      <c r="AD24">
        <v>1580</v>
      </c>
      <c r="AE24">
        <v>2819</v>
      </c>
      <c r="AF24">
        <v>1889</v>
      </c>
      <c r="AG24">
        <v>300143</v>
      </c>
      <c r="AH24">
        <v>693</v>
      </c>
      <c r="AI24">
        <v>770</v>
      </c>
      <c r="AJ24">
        <v>719</v>
      </c>
      <c r="AK24">
        <v>298313</v>
      </c>
      <c r="AL24">
        <v>466</v>
      </c>
      <c r="AM24">
        <v>4281</v>
      </c>
      <c r="AN24">
        <v>3252</v>
      </c>
      <c r="AO24">
        <v>1332701</v>
      </c>
      <c r="AP24">
        <v>4001</v>
      </c>
      <c r="AQ24">
        <v>2204</v>
      </c>
      <c r="AR24">
        <v>1401</v>
      </c>
      <c r="AS24">
        <v>673603</v>
      </c>
      <c r="AT24">
        <v>3199</v>
      </c>
      <c r="AU24">
        <v>4114</v>
      </c>
      <c r="AV24">
        <v>2390</v>
      </c>
      <c r="AW24">
        <v>1373265</v>
      </c>
      <c r="AX24">
        <v>9653</v>
      </c>
      <c r="AY24">
        <v>6906</v>
      </c>
      <c r="AZ24">
        <v>7109</v>
      </c>
      <c r="BA24">
        <v>5239245</v>
      </c>
      <c r="BB24">
        <v>17735</v>
      </c>
      <c r="BC24">
        <v>8632</v>
      </c>
      <c r="BD24">
        <v>8188</v>
      </c>
      <c r="BE24">
        <v>6355965</v>
      </c>
      <c r="BF24">
        <v>2672</v>
      </c>
      <c r="BG24">
        <v>5038</v>
      </c>
      <c r="BH24">
        <v>4959</v>
      </c>
      <c r="BI24">
        <v>3203683</v>
      </c>
      <c r="BJ24">
        <v>1202</v>
      </c>
      <c r="BK24">
        <v>31032</v>
      </c>
      <c r="BL24">
        <v>21160</v>
      </c>
      <c r="BM24">
        <v>5993595</v>
      </c>
      <c r="BN24">
        <v>24602</v>
      </c>
      <c r="BO24">
        <v>8191</v>
      </c>
      <c r="BP24">
        <v>6775</v>
      </c>
      <c r="BQ24">
        <v>2351400</v>
      </c>
      <c r="BR24">
        <v>14407</v>
      </c>
      <c r="BS24">
        <v>2666</v>
      </c>
      <c r="BT24">
        <v>2033</v>
      </c>
      <c r="BU24">
        <v>1430903</v>
      </c>
      <c r="BV24">
        <v>2303</v>
      </c>
      <c r="BW24">
        <v>39315</v>
      </c>
      <c r="BX24">
        <v>14167</v>
      </c>
      <c r="BY24">
        <v>1949481</v>
      </c>
      <c r="BZ24">
        <v>11088</v>
      </c>
      <c r="CA24">
        <v>15528</v>
      </c>
      <c r="CB24">
        <v>8983</v>
      </c>
      <c r="CC24">
        <v>4830655</v>
      </c>
      <c r="CD24">
        <v>51204</v>
      </c>
      <c r="CE24">
        <v>247180</v>
      </c>
      <c r="CF24">
        <v>189448</v>
      </c>
      <c r="CG24">
        <v>17807629</v>
      </c>
      <c r="CH24">
        <v>30594</v>
      </c>
      <c r="CI24">
        <v>109412</v>
      </c>
      <c r="CJ24">
        <v>91082</v>
      </c>
      <c r="CK24">
        <v>14471409</v>
      </c>
      <c r="CL24">
        <v>124565</v>
      </c>
      <c r="CM24">
        <v>8479</v>
      </c>
      <c r="CN24">
        <v>8366</v>
      </c>
      <c r="CO24">
        <v>2538326</v>
      </c>
      <c r="CP24">
        <v>10905</v>
      </c>
      <c r="CQ24">
        <v>11283</v>
      </c>
      <c r="CR24">
        <v>10420</v>
      </c>
      <c r="CS24">
        <v>2983249</v>
      </c>
      <c r="CT24">
        <v>17984</v>
      </c>
      <c r="CU24" t="s">
        <v>73</v>
      </c>
      <c r="CV24" t="s">
        <v>73</v>
      </c>
      <c r="CW24" t="s">
        <v>73</v>
      </c>
      <c r="CX24" t="s">
        <v>73</v>
      </c>
      <c r="CY24">
        <v>13892</v>
      </c>
      <c r="CZ24">
        <v>13372</v>
      </c>
      <c r="DA24">
        <v>9641859</v>
      </c>
      <c r="DB24">
        <v>46563</v>
      </c>
      <c r="DC24">
        <v>2662</v>
      </c>
      <c r="DD24">
        <v>2356</v>
      </c>
      <c r="DE24">
        <v>10040459</v>
      </c>
      <c r="DF24">
        <v>9941</v>
      </c>
      <c r="DG24">
        <v>20793</v>
      </c>
      <c r="DH24">
        <v>19287</v>
      </c>
      <c r="DI24">
        <v>8116980</v>
      </c>
      <c r="DJ24">
        <v>42576</v>
      </c>
      <c r="DK24" t="s">
        <v>73</v>
      </c>
      <c r="DL24" t="s">
        <v>73</v>
      </c>
      <c r="DM24" t="s">
        <v>73</v>
      </c>
      <c r="DN24" t="s">
        <v>73</v>
      </c>
      <c r="DO24">
        <v>7569</v>
      </c>
      <c r="DP24">
        <v>551</v>
      </c>
      <c r="DQ24">
        <v>288796</v>
      </c>
      <c r="DR24">
        <v>5380</v>
      </c>
      <c r="DS24" t="s">
        <v>73</v>
      </c>
      <c r="DT24" t="s">
        <v>73</v>
      </c>
      <c r="DU24" t="s">
        <v>73</v>
      </c>
      <c r="DV24" t="s">
        <v>73</v>
      </c>
      <c r="DW24" t="s">
        <v>73</v>
      </c>
      <c r="DX24" t="s">
        <v>73</v>
      </c>
      <c r="DY24" t="s">
        <v>73</v>
      </c>
      <c r="DZ24" t="s">
        <v>73</v>
      </c>
      <c r="EA24">
        <v>6959</v>
      </c>
      <c r="EB24">
        <v>8093</v>
      </c>
      <c r="EC24">
        <v>3385078</v>
      </c>
      <c r="ED24">
        <v>19947</v>
      </c>
      <c r="EE24">
        <v>3457</v>
      </c>
      <c r="EF24">
        <v>2555</v>
      </c>
      <c r="EG24">
        <v>2715789</v>
      </c>
      <c r="EH24">
        <v>8485</v>
      </c>
      <c r="EI24">
        <v>19302</v>
      </c>
      <c r="EJ24">
        <v>8543</v>
      </c>
      <c r="EK24">
        <v>3577548</v>
      </c>
      <c r="EL24">
        <v>22640</v>
      </c>
    </row>
    <row r="25" spans="1:142" x14ac:dyDescent="0.4">
      <c r="A25" s="1" t="s">
        <v>38</v>
      </c>
      <c r="B25" s="1" t="s">
        <v>39</v>
      </c>
      <c r="C25">
        <v>1402</v>
      </c>
      <c r="D25">
        <v>1602</v>
      </c>
      <c r="E25">
        <v>995800</v>
      </c>
      <c r="F25">
        <v>1837</v>
      </c>
      <c r="G25">
        <v>1111</v>
      </c>
      <c r="H25">
        <v>749</v>
      </c>
      <c r="I25">
        <v>591334</v>
      </c>
      <c r="J25">
        <v>975</v>
      </c>
      <c r="K25">
        <v>9711</v>
      </c>
      <c r="L25">
        <v>9499</v>
      </c>
      <c r="M25">
        <v>986841</v>
      </c>
      <c r="N25">
        <v>2694</v>
      </c>
      <c r="O25">
        <v>7096</v>
      </c>
      <c r="P25">
        <v>6635</v>
      </c>
      <c r="Q25">
        <v>3623924</v>
      </c>
      <c r="R25">
        <v>7209</v>
      </c>
      <c r="S25">
        <v>3436</v>
      </c>
      <c r="T25">
        <v>2737</v>
      </c>
      <c r="U25">
        <v>348657</v>
      </c>
      <c r="V25">
        <v>1198</v>
      </c>
      <c r="W25">
        <v>132</v>
      </c>
      <c r="X25">
        <v>175</v>
      </c>
      <c r="Y25">
        <v>1312690</v>
      </c>
      <c r="Z25">
        <v>193</v>
      </c>
      <c r="AA25">
        <v>1610</v>
      </c>
      <c r="AB25">
        <v>1267</v>
      </c>
      <c r="AC25">
        <v>679326</v>
      </c>
      <c r="AD25">
        <v>1760</v>
      </c>
      <c r="AE25">
        <v>2784</v>
      </c>
      <c r="AF25">
        <v>1882</v>
      </c>
      <c r="AG25">
        <v>290682</v>
      </c>
      <c r="AH25">
        <v>688</v>
      </c>
      <c r="AI25">
        <v>839</v>
      </c>
      <c r="AJ25">
        <v>733</v>
      </c>
      <c r="AK25">
        <v>306573</v>
      </c>
      <c r="AL25">
        <v>515</v>
      </c>
      <c r="AM25">
        <v>4096</v>
      </c>
      <c r="AN25">
        <v>3112</v>
      </c>
      <c r="AO25">
        <v>1287000</v>
      </c>
      <c r="AP25">
        <v>4333</v>
      </c>
      <c r="AQ25">
        <v>2848</v>
      </c>
      <c r="AR25">
        <v>1210</v>
      </c>
      <c r="AS25">
        <v>574506</v>
      </c>
      <c r="AT25">
        <v>3589</v>
      </c>
      <c r="AU25">
        <v>4124</v>
      </c>
      <c r="AV25">
        <v>2382</v>
      </c>
      <c r="AW25">
        <v>1346627</v>
      </c>
      <c r="AX25">
        <v>9861</v>
      </c>
      <c r="AY25">
        <v>8202</v>
      </c>
      <c r="AZ25">
        <v>7978</v>
      </c>
      <c r="BA25">
        <v>5936888</v>
      </c>
      <c r="BB25">
        <v>17474</v>
      </c>
      <c r="BC25">
        <v>8879</v>
      </c>
      <c r="BD25">
        <v>8431</v>
      </c>
      <c r="BE25">
        <v>6694136</v>
      </c>
      <c r="BF25">
        <v>2654</v>
      </c>
      <c r="BG25">
        <v>4484</v>
      </c>
      <c r="BH25">
        <v>4494</v>
      </c>
      <c r="BI25">
        <v>2919302</v>
      </c>
      <c r="BJ25">
        <v>1104</v>
      </c>
      <c r="BK25">
        <v>28337</v>
      </c>
      <c r="BL25">
        <v>25069</v>
      </c>
      <c r="BM25">
        <v>6763086</v>
      </c>
      <c r="BN25">
        <v>24967</v>
      </c>
      <c r="BO25">
        <v>4894</v>
      </c>
      <c r="BP25">
        <v>6494</v>
      </c>
      <c r="BQ25">
        <v>2315834</v>
      </c>
      <c r="BR25">
        <v>12917</v>
      </c>
      <c r="BS25">
        <v>2385</v>
      </c>
      <c r="BT25">
        <v>1835</v>
      </c>
      <c r="BU25">
        <v>1340672</v>
      </c>
      <c r="BV25">
        <v>2217</v>
      </c>
      <c r="BW25">
        <v>35893</v>
      </c>
      <c r="BX25">
        <v>13810</v>
      </c>
      <c r="BY25">
        <v>1918277</v>
      </c>
      <c r="BZ25">
        <v>10041</v>
      </c>
      <c r="CA25">
        <v>14171</v>
      </c>
      <c r="CB25">
        <v>10206</v>
      </c>
      <c r="CC25">
        <v>5455670</v>
      </c>
      <c r="CD25">
        <v>52812</v>
      </c>
      <c r="CE25">
        <v>204730</v>
      </c>
      <c r="CF25">
        <v>158941</v>
      </c>
      <c r="CG25">
        <v>14865071</v>
      </c>
      <c r="CH25">
        <v>26940</v>
      </c>
      <c r="CI25">
        <v>111315</v>
      </c>
      <c r="CJ25">
        <v>110155</v>
      </c>
      <c r="CK25">
        <v>16433269</v>
      </c>
      <c r="CL25">
        <v>126916</v>
      </c>
      <c r="CM25">
        <v>7022</v>
      </c>
      <c r="CN25">
        <v>8152</v>
      </c>
      <c r="CO25">
        <v>2493307</v>
      </c>
      <c r="CP25">
        <v>10377</v>
      </c>
      <c r="CQ25">
        <v>10444</v>
      </c>
      <c r="CR25">
        <v>10188</v>
      </c>
      <c r="CS25">
        <v>2935482</v>
      </c>
      <c r="CT25">
        <v>18240</v>
      </c>
      <c r="CU25" t="s">
        <v>73</v>
      </c>
      <c r="CV25" t="s">
        <v>73</v>
      </c>
      <c r="CW25" t="s">
        <v>73</v>
      </c>
      <c r="CX25" t="s">
        <v>73</v>
      </c>
      <c r="CY25">
        <v>12428</v>
      </c>
      <c r="CZ25">
        <v>12654</v>
      </c>
      <c r="DA25">
        <v>8899994</v>
      </c>
      <c r="DB25">
        <v>46483</v>
      </c>
      <c r="DC25">
        <v>2098</v>
      </c>
      <c r="DD25">
        <v>2497</v>
      </c>
      <c r="DE25">
        <v>10448717</v>
      </c>
      <c r="DF25">
        <v>9719</v>
      </c>
      <c r="DG25">
        <v>11830</v>
      </c>
      <c r="DH25">
        <v>13474</v>
      </c>
      <c r="DI25">
        <v>5811150</v>
      </c>
      <c r="DJ25">
        <v>40787</v>
      </c>
      <c r="DK25" t="s">
        <v>73</v>
      </c>
      <c r="DL25" t="s">
        <v>73</v>
      </c>
      <c r="DM25" t="s">
        <v>73</v>
      </c>
      <c r="DN25" t="s">
        <v>73</v>
      </c>
      <c r="DO25">
        <v>8079</v>
      </c>
      <c r="DP25">
        <v>522</v>
      </c>
      <c r="DQ25">
        <v>266153</v>
      </c>
      <c r="DR25">
        <v>5593</v>
      </c>
      <c r="DS25" t="s">
        <v>73</v>
      </c>
      <c r="DT25" t="s">
        <v>73</v>
      </c>
      <c r="DU25" t="s">
        <v>73</v>
      </c>
      <c r="DV25" t="s">
        <v>73</v>
      </c>
      <c r="DW25" t="s">
        <v>73</v>
      </c>
      <c r="DX25" t="s">
        <v>73</v>
      </c>
      <c r="DY25" t="s">
        <v>73</v>
      </c>
      <c r="DZ25" t="s">
        <v>73</v>
      </c>
      <c r="EA25">
        <v>7773</v>
      </c>
      <c r="EB25">
        <v>7983</v>
      </c>
      <c r="EC25">
        <v>3324429</v>
      </c>
      <c r="ED25">
        <v>19862</v>
      </c>
      <c r="EE25">
        <v>2692</v>
      </c>
      <c r="EF25">
        <v>2128</v>
      </c>
      <c r="EG25">
        <v>2324369</v>
      </c>
      <c r="EH25">
        <v>8545</v>
      </c>
      <c r="EI25">
        <v>18724</v>
      </c>
      <c r="EJ25">
        <v>9408</v>
      </c>
      <c r="EK25">
        <v>4140066</v>
      </c>
      <c r="EL25">
        <v>24972</v>
      </c>
    </row>
    <row r="26" spans="1:142" x14ac:dyDescent="0.4">
      <c r="A26" s="1" t="s">
        <v>40</v>
      </c>
      <c r="B26" s="1" t="s">
        <v>41</v>
      </c>
      <c r="C26">
        <v>1665</v>
      </c>
      <c r="D26">
        <v>1659</v>
      </c>
      <c r="E26">
        <v>992453</v>
      </c>
      <c r="F26">
        <v>2055</v>
      </c>
      <c r="G26">
        <v>1153</v>
      </c>
      <c r="H26">
        <v>773</v>
      </c>
      <c r="I26">
        <v>650499</v>
      </c>
      <c r="J26">
        <v>977</v>
      </c>
      <c r="K26">
        <v>9699</v>
      </c>
      <c r="L26">
        <v>9814</v>
      </c>
      <c r="M26">
        <v>1015067</v>
      </c>
      <c r="N26">
        <v>2577</v>
      </c>
      <c r="O26">
        <v>6742</v>
      </c>
      <c r="P26">
        <v>7100</v>
      </c>
      <c r="Q26">
        <v>4191888</v>
      </c>
      <c r="R26">
        <v>6641</v>
      </c>
      <c r="S26">
        <v>3689</v>
      </c>
      <c r="T26">
        <v>2840</v>
      </c>
      <c r="U26">
        <v>346402</v>
      </c>
      <c r="V26">
        <v>1294</v>
      </c>
      <c r="W26">
        <v>139</v>
      </c>
      <c r="X26">
        <v>170</v>
      </c>
      <c r="Y26">
        <v>1309297</v>
      </c>
      <c r="Z26">
        <v>206</v>
      </c>
      <c r="AA26">
        <v>1654</v>
      </c>
      <c r="AB26">
        <v>1284</v>
      </c>
      <c r="AC26">
        <v>673920</v>
      </c>
      <c r="AD26">
        <v>1986</v>
      </c>
      <c r="AE26">
        <v>2688</v>
      </c>
      <c r="AF26">
        <v>1940</v>
      </c>
      <c r="AG26">
        <v>297640</v>
      </c>
      <c r="AH26">
        <v>649</v>
      </c>
      <c r="AI26">
        <v>808</v>
      </c>
      <c r="AJ26">
        <v>777</v>
      </c>
      <c r="AK26">
        <v>324865</v>
      </c>
      <c r="AL26">
        <v>494</v>
      </c>
      <c r="AM26">
        <v>3787</v>
      </c>
      <c r="AN26">
        <v>3257</v>
      </c>
      <c r="AO26">
        <v>1334615</v>
      </c>
      <c r="AP26">
        <v>4150</v>
      </c>
      <c r="AQ26">
        <v>3145</v>
      </c>
      <c r="AR26">
        <v>1403</v>
      </c>
      <c r="AS26">
        <v>665846</v>
      </c>
      <c r="AT26">
        <v>3873</v>
      </c>
      <c r="AU26">
        <v>4258</v>
      </c>
      <c r="AV26">
        <v>2645</v>
      </c>
      <c r="AW26">
        <v>1554018</v>
      </c>
      <c r="AX26">
        <v>9835</v>
      </c>
      <c r="AY26">
        <v>7994</v>
      </c>
      <c r="AZ26">
        <v>7926</v>
      </c>
      <c r="BA26">
        <v>6331580</v>
      </c>
      <c r="BB26">
        <v>17212</v>
      </c>
      <c r="BC26">
        <v>8949</v>
      </c>
      <c r="BD26">
        <v>8454</v>
      </c>
      <c r="BE26">
        <v>6865842</v>
      </c>
      <c r="BF26">
        <v>2702</v>
      </c>
      <c r="BG26">
        <v>4607</v>
      </c>
      <c r="BH26">
        <v>4429</v>
      </c>
      <c r="BI26">
        <v>2930541</v>
      </c>
      <c r="BJ26">
        <v>1141</v>
      </c>
      <c r="BK26">
        <v>34227</v>
      </c>
      <c r="BL26">
        <v>25588</v>
      </c>
      <c r="BM26">
        <v>6945508</v>
      </c>
      <c r="BN26">
        <v>29665</v>
      </c>
      <c r="BO26">
        <v>7653</v>
      </c>
      <c r="BP26">
        <v>8045</v>
      </c>
      <c r="BQ26">
        <v>2848339</v>
      </c>
      <c r="BR26">
        <v>12480</v>
      </c>
      <c r="BS26">
        <v>2259</v>
      </c>
      <c r="BT26">
        <v>2022</v>
      </c>
      <c r="BU26">
        <v>1475171</v>
      </c>
      <c r="BV26">
        <v>1636</v>
      </c>
      <c r="BW26">
        <v>37720</v>
      </c>
      <c r="BX26">
        <v>14580</v>
      </c>
      <c r="BY26">
        <v>2029973</v>
      </c>
      <c r="BZ26">
        <v>10661</v>
      </c>
      <c r="CA26">
        <v>14167</v>
      </c>
      <c r="CB26">
        <v>13121</v>
      </c>
      <c r="CC26">
        <v>6629260</v>
      </c>
      <c r="CD26">
        <v>50803</v>
      </c>
      <c r="CE26">
        <v>212531</v>
      </c>
      <c r="CF26">
        <v>166299</v>
      </c>
      <c r="CG26">
        <v>15600887</v>
      </c>
      <c r="CH26">
        <v>29219</v>
      </c>
      <c r="CI26">
        <v>92939</v>
      </c>
      <c r="CJ26">
        <v>103933</v>
      </c>
      <c r="CK26">
        <v>15852312</v>
      </c>
      <c r="CL26">
        <v>116517</v>
      </c>
      <c r="CM26">
        <v>7860</v>
      </c>
      <c r="CN26">
        <v>7809</v>
      </c>
      <c r="CO26">
        <v>2371157</v>
      </c>
      <c r="CP26">
        <v>11127</v>
      </c>
      <c r="CQ26">
        <v>9739</v>
      </c>
      <c r="CR26">
        <v>11304</v>
      </c>
      <c r="CS26">
        <v>3233248</v>
      </c>
      <c r="CT26">
        <v>16676</v>
      </c>
      <c r="CU26" t="s">
        <v>73</v>
      </c>
      <c r="CV26" t="s">
        <v>73</v>
      </c>
      <c r="CW26" t="s">
        <v>73</v>
      </c>
      <c r="CX26" t="s">
        <v>73</v>
      </c>
      <c r="CY26">
        <v>10247</v>
      </c>
      <c r="CZ26">
        <v>13399</v>
      </c>
      <c r="DA26">
        <v>9655710</v>
      </c>
      <c r="DB26">
        <v>43950</v>
      </c>
      <c r="DC26">
        <v>1804</v>
      </c>
      <c r="DD26">
        <v>2717</v>
      </c>
      <c r="DE26">
        <v>12065945</v>
      </c>
      <c r="DF26">
        <v>9002</v>
      </c>
      <c r="DG26">
        <v>13125</v>
      </c>
      <c r="DH26">
        <v>12209</v>
      </c>
      <c r="DI26">
        <v>5251812</v>
      </c>
      <c r="DJ26">
        <v>41500</v>
      </c>
      <c r="DK26" t="s">
        <v>73</v>
      </c>
      <c r="DL26" t="s">
        <v>73</v>
      </c>
      <c r="DM26" t="s">
        <v>73</v>
      </c>
      <c r="DN26" t="s">
        <v>73</v>
      </c>
      <c r="DO26">
        <v>6297</v>
      </c>
      <c r="DP26">
        <v>246</v>
      </c>
      <c r="DQ26">
        <v>129972</v>
      </c>
      <c r="DR26">
        <v>3598</v>
      </c>
      <c r="DS26" t="s">
        <v>73</v>
      </c>
      <c r="DT26" t="s">
        <v>73</v>
      </c>
      <c r="DU26" t="s">
        <v>73</v>
      </c>
      <c r="DV26" t="s">
        <v>73</v>
      </c>
      <c r="DW26" t="s">
        <v>73</v>
      </c>
      <c r="DX26" t="s">
        <v>73</v>
      </c>
      <c r="DY26" t="s">
        <v>73</v>
      </c>
      <c r="DZ26" t="s">
        <v>73</v>
      </c>
      <c r="EA26">
        <v>7937</v>
      </c>
      <c r="EB26">
        <v>8548</v>
      </c>
      <c r="EC26">
        <v>3557909</v>
      </c>
      <c r="ED26">
        <v>19237</v>
      </c>
      <c r="EE26">
        <v>2585</v>
      </c>
      <c r="EF26">
        <v>2462</v>
      </c>
      <c r="EG26">
        <v>2627988</v>
      </c>
      <c r="EH26">
        <v>7897</v>
      </c>
      <c r="EI26">
        <v>18879</v>
      </c>
      <c r="EJ26">
        <v>9709</v>
      </c>
      <c r="EK26">
        <v>4211777</v>
      </c>
      <c r="EL26">
        <v>26622</v>
      </c>
    </row>
    <row r="27" spans="1:142" x14ac:dyDescent="0.4">
      <c r="A27" s="1" t="s">
        <v>42</v>
      </c>
      <c r="B27" s="1" t="s">
        <v>43</v>
      </c>
      <c r="C27">
        <v>1459</v>
      </c>
      <c r="D27">
        <v>1677</v>
      </c>
      <c r="E27">
        <v>989394</v>
      </c>
      <c r="F27">
        <v>2024</v>
      </c>
      <c r="G27">
        <v>1225</v>
      </c>
      <c r="H27">
        <v>844</v>
      </c>
      <c r="I27">
        <v>681439</v>
      </c>
      <c r="J27">
        <v>964</v>
      </c>
      <c r="K27">
        <v>9589</v>
      </c>
      <c r="L27">
        <v>9711</v>
      </c>
      <c r="M27">
        <v>1015630</v>
      </c>
      <c r="N27">
        <v>2455</v>
      </c>
      <c r="O27">
        <v>7463</v>
      </c>
      <c r="P27">
        <v>7125</v>
      </c>
      <c r="Q27">
        <v>3708174</v>
      </c>
      <c r="R27">
        <v>6664</v>
      </c>
      <c r="S27">
        <v>3165</v>
      </c>
      <c r="T27">
        <v>2532</v>
      </c>
      <c r="U27">
        <v>327837</v>
      </c>
      <c r="V27">
        <v>1100</v>
      </c>
      <c r="W27">
        <v>140</v>
      </c>
      <c r="X27">
        <v>158</v>
      </c>
      <c r="Y27">
        <v>1170623</v>
      </c>
      <c r="Z27">
        <v>225</v>
      </c>
      <c r="AA27">
        <v>1071</v>
      </c>
      <c r="AB27">
        <v>1349</v>
      </c>
      <c r="AC27">
        <v>767219</v>
      </c>
      <c r="AD27">
        <v>1573</v>
      </c>
      <c r="AE27">
        <v>2676</v>
      </c>
      <c r="AF27">
        <v>2007</v>
      </c>
      <c r="AG27">
        <v>316213</v>
      </c>
      <c r="AH27">
        <v>517</v>
      </c>
      <c r="AI27">
        <v>888</v>
      </c>
      <c r="AJ27">
        <v>784</v>
      </c>
      <c r="AK27">
        <v>313020</v>
      </c>
      <c r="AL27">
        <v>549</v>
      </c>
      <c r="AM27">
        <v>4138</v>
      </c>
      <c r="AN27">
        <v>3477</v>
      </c>
      <c r="AO27">
        <v>1424707</v>
      </c>
      <c r="AP27">
        <v>4011</v>
      </c>
      <c r="AQ27">
        <v>2660</v>
      </c>
      <c r="AR27">
        <v>1439</v>
      </c>
      <c r="AS27">
        <v>666174</v>
      </c>
      <c r="AT27">
        <v>3704</v>
      </c>
      <c r="AU27">
        <v>4387</v>
      </c>
      <c r="AV27">
        <v>2528</v>
      </c>
      <c r="AW27">
        <v>1500987</v>
      </c>
      <c r="AX27">
        <v>9971</v>
      </c>
      <c r="AY27">
        <v>8295</v>
      </c>
      <c r="AZ27">
        <v>7925</v>
      </c>
      <c r="BA27">
        <v>6490869</v>
      </c>
      <c r="BB27">
        <v>17816</v>
      </c>
      <c r="BC27">
        <v>8247</v>
      </c>
      <c r="BD27">
        <v>7899</v>
      </c>
      <c r="BE27">
        <v>6279080</v>
      </c>
      <c r="BF27">
        <v>2684</v>
      </c>
      <c r="BG27">
        <v>5285</v>
      </c>
      <c r="BH27">
        <v>5206</v>
      </c>
      <c r="BI27">
        <v>3365712</v>
      </c>
      <c r="BJ27">
        <v>1099</v>
      </c>
      <c r="BK27">
        <v>33858</v>
      </c>
      <c r="BL27">
        <v>26351</v>
      </c>
      <c r="BM27">
        <v>6910352</v>
      </c>
      <c r="BN27">
        <v>29345</v>
      </c>
      <c r="BO27">
        <v>8175</v>
      </c>
      <c r="BP27">
        <v>6764</v>
      </c>
      <c r="BQ27">
        <v>2322157</v>
      </c>
      <c r="BR27">
        <v>13728</v>
      </c>
      <c r="BS27">
        <v>2570</v>
      </c>
      <c r="BT27">
        <v>1406</v>
      </c>
      <c r="BU27">
        <v>1114005</v>
      </c>
      <c r="BV27">
        <v>2004</v>
      </c>
      <c r="BW27">
        <v>38814</v>
      </c>
      <c r="BX27">
        <v>13427</v>
      </c>
      <c r="BY27">
        <v>1842802</v>
      </c>
      <c r="BZ27">
        <v>11317</v>
      </c>
      <c r="CA27">
        <v>15287</v>
      </c>
      <c r="CB27">
        <v>13633</v>
      </c>
      <c r="CC27">
        <v>6625600</v>
      </c>
      <c r="CD27">
        <v>49850</v>
      </c>
      <c r="CE27">
        <v>215410</v>
      </c>
      <c r="CF27">
        <v>174031</v>
      </c>
      <c r="CG27">
        <v>14700330</v>
      </c>
      <c r="CH27">
        <v>23097</v>
      </c>
      <c r="CI27">
        <v>103142</v>
      </c>
      <c r="CJ27">
        <v>96312</v>
      </c>
      <c r="CK27">
        <v>15101958</v>
      </c>
      <c r="CL27">
        <v>123942</v>
      </c>
      <c r="CM27">
        <v>7521</v>
      </c>
      <c r="CN27">
        <v>6383</v>
      </c>
      <c r="CO27">
        <v>2170720</v>
      </c>
      <c r="CP27">
        <v>12265</v>
      </c>
      <c r="CQ27">
        <v>9665</v>
      </c>
      <c r="CR27">
        <v>10424</v>
      </c>
      <c r="CS27">
        <v>3053603</v>
      </c>
      <c r="CT27">
        <v>15916</v>
      </c>
      <c r="CU27" t="s">
        <v>73</v>
      </c>
      <c r="CV27" t="s">
        <v>73</v>
      </c>
      <c r="CW27" t="s">
        <v>73</v>
      </c>
      <c r="CX27" t="s">
        <v>73</v>
      </c>
      <c r="CY27">
        <v>12763</v>
      </c>
      <c r="CZ27">
        <v>14307</v>
      </c>
      <c r="DA27">
        <v>10204099</v>
      </c>
      <c r="DB27">
        <v>42153</v>
      </c>
      <c r="DC27">
        <v>2249</v>
      </c>
      <c r="DD27">
        <v>2127</v>
      </c>
      <c r="DE27">
        <v>9365352</v>
      </c>
      <c r="DF27">
        <v>9255</v>
      </c>
      <c r="DG27">
        <v>15809</v>
      </c>
      <c r="DH27">
        <v>17220</v>
      </c>
      <c r="DI27">
        <v>7281037</v>
      </c>
      <c r="DJ27">
        <v>39566</v>
      </c>
      <c r="DK27" t="s">
        <v>73</v>
      </c>
      <c r="DL27" t="s">
        <v>73</v>
      </c>
      <c r="DM27" t="s">
        <v>73</v>
      </c>
      <c r="DN27" t="s">
        <v>73</v>
      </c>
      <c r="DO27">
        <v>8768</v>
      </c>
      <c r="DP27">
        <v>225</v>
      </c>
      <c r="DQ27">
        <v>110041</v>
      </c>
      <c r="DR27">
        <v>4540</v>
      </c>
      <c r="DS27" t="s">
        <v>73</v>
      </c>
      <c r="DT27" t="s">
        <v>73</v>
      </c>
      <c r="DU27" t="s">
        <v>73</v>
      </c>
      <c r="DV27" t="s">
        <v>73</v>
      </c>
      <c r="DW27" t="s">
        <v>73</v>
      </c>
      <c r="DX27" t="s">
        <v>73</v>
      </c>
      <c r="DY27" t="s">
        <v>73</v>
      </c>
      <c r="DZ27" t="s">
        <v>73</v>
      </c>
      <c r="EA27">
        <v>9232</v>
      </c>
      <c r="EB27">
        <v>8879</v>
      </c>
      <c r="EC27">
        <v>3684865</v>
      </c>
      <c r="ED27">
        <v>19581</v>
      </c>
      <c r="EE27">
        <v>3132</v>
      </c>
      <c r="EF27">
        <v>2745</v>
      </c>
      <c r="EG27">
        <v>2856794</v>
      </c>
      <c r="EH27">
        <v>7385</v>
      </c>
      <c r="EI27">
        <v>17507</v>
      </c>
      <c r="EJ27">
        <v>9376</v>
      </c>
      <c r="EK27">
        <v>4080491</v>
      </c>
      <c r="EL27">
        <v>26865</v>
      </c>
    </row>
    <row r="28" spans="1:142" x14ac:dyDescent="0.4">
      <c r="A28" s="1" t="s">
        <v>44</v>
      </c>
      <c r="B28" s="1" t="s">
        <v>45</v>
      </c>
      <c r="C28">
        <v>1301</v>
      </c>
      <c r="D28">
        <v>1572</v>
      </c>
      <c r="E28">
        <v>946243</v>
      </c>
      <c r="F28">
        <v>1923</v>
      </c>
      <c r="G28">
        <v>1052</v>
      </c>
      <c r="H28">
        <v>736</v>
      </c>
      <c r="I28">
        <v>633719</v>
      </c>
      <c r="J28">
        <v>931</v>
      </c>
      <c r="K28">
        <v>9494</v>
      </c>
      <c r="L28">
        <v>9521</v>
      </c>
      <c r="M28">
        <v>977395</v>
      </c>
      <c r="N28">
        <v>2425</v>
      </c>
      <c r="O28">
        <v>6551</v>
      </c>
      <c r="P28">
        <v>6256</v>
      </c>
      <c r="Q28">
        <v>3631571</v>
      </c>
      <c r="R28">
        <v>6726</v>
      </c>
      <c r="S28">
        <v>3204</v>
      </c>
      <c r="T28">
        <v>2544</v>
      </c>
      <c r="U28">
        <v>329572</v>
      </c>
      <c r="V28">
        <v>1220</v>
      </c>
      <c r="W28">
        <v>141</v>
      </c>
      <c r="X28">
        <v>177</v>
      </c>
      <c r="Y28">
        <v>1302537</v>
      </c>
      <c r="Z28">
        <v>219</v>
      </c>
      <c r="AA28">
        <v>1524</v>
      </c>
      <c r="AB28">
        <v>1237</v>
      </c>
      <c r="AC28">
        <v>670886</v>
      </c>
      <c r="AD28">
        <v>1693</v>
      </c>
      <c r="AE28">
        <v>2557</v>
      </c>
      <c r="AF28">
        <v>1636</v>
      </c>
      <c r="AG28">
        <v>255832</v>
      </c>
      <c r="AH28">
        <v>615</v>
      </c>
      <c r="AI28">
        <v>762</v>
      </c>
      <c r="AJ28">
        <v>708</v>
      </c>
      <c r="AK28">
        <v>290967</v>
      </c>
      <c r="AL28">
        <v>562</v>
      </c>
      <c r="AM28">
        <v>3388</v>
      </c>
      <c r="AN28">
        <v>2781</v>
      </c>
      <c r="AO28">
        <v>1145243</v>
      </c>
      <c r="AP28">
        <v>3925</v>
      </c>
      <c r="AQ28">
        <v>2473</v>
      </c>
      <c r="AR28">
        <v>1310</v>
      </c>
      <c r="AS28">
        <v>603610</v>
      </c>
      <c r="AT28">
        <v>3835</v>
      </c>
      <c r="AU28">
        <v>4114</v>
      </c>
      <c r="AV28">
        <v>2412</v>
      </c>
      <c r="AW28">
        <v>1320241</v>
      </c>
      <c r="AX28">
        <v>9853</v>
      </c>
      <c r="AY28">
        <v>7222</v>
      </c>
      <c r="AZ28">
        <v>7488</v>
      </c>
      <c r="BA28">
        <v>5735960</v>
      </c>
      <c r="BB28">
        <v>17719</v>
      </c>
      <c r="BC28">
        <v>7998</v>
      </c>
      <c r="BD28">
        <v>7672</v>
      </c>
      <c r="BE28">
        <v>6110079</v>
      </c>
      <c r="BF28">
        <v>2696</v>
      </c>
      <c r="BG28">
        <v>4871</v>
      </c>
      <c r="BH28">
        <v>4699</v>
      </c>
      <c r="BI28">
        <v>3024259</v>
      </c>
      <c r="BJ28">
        <v>1141</v>
      </c>
      <c r="BK28">
        <v>30938</v>
      </c>
      <c r="BL28">
        <v>24783</v>
      </c>
      <c r="BM28">
        <v>6197394</v>
      </c>
      <c r="BN28">
        <v>29930</v>
      </c>
      <c r="BO28">
        <v>6515</v>
      </c>
      <c r="BP28">
        <v>5468</v>
      </c>
      <c r="BQ28">
        <v>1951723</v>
      </c>
      <c r="BR28">
        <v>14745</v>
      </c>
      <c r="BS28">
        <v>2801</v>
      </c>
      <c r="BT28">
        <v>1503</v>
      </c>
      <c r="BU28">
        <v>1167066</v>
      </c>
      <c r="BV28">
        <v>2388</v>
      </c>
      <c r="BW28">
        <v>39431</v>
      </c>
      <c r="BX28">
        <v>13109</v>
      </c>
      <c r="BY28">
        <v>1851413</v>
      </c>
      <c r="BZ28">
        <v>8526</v>
      </c>
      <c r="CA28">
        <v>14441</v>
      </c>
      <c r="CB28">
        <v>9997</v>
      </c>
      <c r="CC28">
        <v>5146565</v>
      </c>
      <c r="CD28">
        <v>52503</v>
      </c>
      <c r="CE28">
        <v>155853</v>
      </c>
      <c r="CF28">
        <v>113620</v>
      </c>
      <c r="CG28">
        <v>9341817</v>
      </c>
      <c r="CH28">
        <v>17481</v>
      </c>
      <c r="CI28">
        <v>104836</v>
      </c>
      <c r="CJ28">
        <v>100184</v>
      </c>
      <c r="CK28">
        <v>15287367</v>
      </c>
      <c r="CL28">
        <v>129191</v>
      </c>
      <c r="CM28">
        <v>4455</v>
      </c>
      <c r="CN28">
        <v>6152</v>
      </c>
      <c r="CO28">
        <v>1989039</v>
      </c>
      <c r="CP28">
        <v>10857</v>
      </c>
      <c r="CQ28">
        <v>8695</v>
      </c>
      <c r="CR28">
        <v>9187</v>
      </c>
      <c r="CS28">
        <v>2678048</v>
      </c>
      <c r="CT28">
        <v>15424</v>
      </c>
      <c r="CU28" t="s">
        <v>73</v>
      </c>
      <c r="CV28" t="s">
        <v>73</v>
      </c>
      <c r="CW28" t="s">
        <v>73</v>
      </c>
      <c r="CX28" t="s">
        <v>73</v>
      </c>
      <c r="CY28">
        <v>12829</v>
      </c>
      <c r="CZ28">
        <v>12442</v>
      </c>
      <c r="DA28">
        <v>9047275</v>
      </c>
      <c r="DB28">
        <v>41931</v>
      </c>
      <c r="DC28">
        <v>2621</v>
      </c>
      <c r="DD28">
        <v>2290</v>
      </c>
      <c r="DE28">
        <v>9863600</v>
      </c>
      <c r="DF28">
        <v>9642</v>
      </c>
      <c r="DG28">
        <v>18500</v>
      </c>
      <c r="DH28">
        <v>17119</v>
      </c>
      <c r="DI28">
        <v>7187740</v>
      </c>
      <c r="DJ28">
        <v>40547</v>
      </c>
      <c r="DK28" t="s">
        <v>73</v>
      </c>
      <c r="DL28" t="s">
        <v>73</v>
      </c>
      <c r="DM28" t="s">
        <v>73</v>
      </c>
      <c r="DN28" t="s">
        <v>73</v>
      </c>
      <c r="DO28">
        <v>7795</v>
      </c>
      <c r="DP28">
        <v>415</v>
      </c>
      <c r="DQ28">
        <v>219215</v>
      </c>
      <c r="DR28">
        <v>5385</v>
      </c>
      <c r="DS28" t="s">
        <v>73</v>
      </c>
      <c r="DT28" t="s">
        <v>73</v>
      </c>
      <c r="DU28" t="s">
        <v>73</v>
      </c>
      <c r="DV28" t="s">
        <v>73</v>
      </c>
      <c r="DW28" t="s">
        <v>73</v>
      </c>
      <c r="DX28" t="s">
        <v>73</v>
      </c>
      <c r="DY28" t="s">
        <v>73</v>
      </c>
      <c r="DZ28" t="s">
        <v>73</v>
      </c>
      <c r="EA28">
        <v>9497</v>
      </c>
      <c r="EB28">
        <v>7754</v>
      </c>
      <c r="EC28">
        <v>3269240</v>
      </c>
      <c r="ED28">
        <v>21468</v>
      </c>
      <c r="EE28">
        <v>3824</v>
      </c>
      <c r="EF28">
        <v>2378</v>
      </c>
      <c r="EG28">
        <v>2489969</v>
      </c>
      <c r="EH28">
        <v>7981</v>
      </c>
      <c r="EI28">
        <v>14441</v>
      </c>
      <c r="EJ28">
        <v>9016</v>
      </c>
      <c r="EK28">
        <v>3953267</v>
      </c>
      <c r="EL28">
        <v>27004</v>
      </c>
    </row>
    <row r="29" spans="1:142" x14ac:dyDescent="0.4">
      <c r="A29" s="1" t="s">
        <v>46</v>
      </c>
      <c r="B29" s="1" t="s">
        <v>47</v>
      </c>
      <c r="C29">
        <v>1365</v>
      </c>
      <c r="D29">
        <v>1657</v>
      </c>
      <c r="E29">
        <v>989672</v>
      </c>
      <c r="F29">
        <v>1805</v>
      </c>
      <c r="G29">
        <v>1161</v>
      </c>
      <c r="H29">
        <v>767</v>
      </c>
      <c r="I29">
        <v>615957</v>
      </c>
      <c r="J29">
        <v>963</v>
      </c>
      <c r="K29">
        <v>10046</v>
      </c>
      <c r="L29">
        <v>9762</v>
      </c>
      <c r="M29">
        <v>1005886</v>
      </c>
      <c r="N29">
        <v>2707</v>
      </c>
      <c r="O29">
        <v>7592</v>
      </c>
      <c r="P29">
        <v>7441</v>
      </c>
      <c r="Q29">
        <v>4229225</v>
      </c>
      <c r="R29">
        <v>6915</v>
      </c>
      <c r="S29">
        <v>3382</v>
      </c>
      <c r="T29">
        <v>2512</v>
      </c>
      <c r="U29">
        <v>359174</v>
      </c>
      <c r="V29">
        <v>1289</v>
      </c>
      <c r="W29">
        <v>136</v>
      </c>
      <c r="X29">
        <v>166</v>
      </c>
      <c r="Y29">
        <v>1292572</v>
      </c>
      <c r="Z29">
        <v>223</v>
      </c>
      <c r="AA29">
        <v>1656</v>
      </c>
      <c r="AB29">
        <v>1282</v>
      </c>
      <c r="AC29">
        <v>690543</v>
      </c>
      <c r="AD29">
        <v>1873</v>
      </c>
      <c r="AE29">
        <v>2807</v>
      </c>
      <c r="AF29">
        <v>2036</v>
      </c>
      <c r="AG29">
        <v>311467</v>
      </c>
      <c r="AH29">
        <v>550</v>
      </c>
      <c r="AI29">
        <v>844</v>
      </c>
      <c r="AJ29">
        <v>758</v>
      </c>
      <c r="AK29">
        <v>301006</v>
      </c>
      <c r="AL29">
        <v>612</v>
      </c>
      <c r="AM29">
        <v>3918</v>
      </c>
      <c r="AN29">
        <v>3306</v>
      </c>
      <c r="AO29">
        <v>1337430</v>
      </c>
      <c r="AP29">
        <v>3855</v>
      </c>
      <c r="AQ29">
        <v>3085</v>
      </c>
      <c r="AR29">
        <v>1539</v>
      </c>
      <c r="AS29">
        <v>722405</v>
      </c>
      <c r="AT29">
        <v>3892</v>
      </c>
      <c r="AU29">
        <v>4669</v>
      </c>
      <c r="AV29">
        <v>2656</v>
      </c>
      <c r="AW29">
        <v>1570951</v>
      </c>
      <c r="AX29">
        <v>9911</v>
      </c>
      <c r="AY29">
        <v>8508</v>
      </c>
      <c r="AZ29">
        <v>7556</v>
      </c>
      <c r="BA29">
        <v>6321045</v>
      </c>
      <c r="BB29">
        <v>18010</v>
      </c>
      <c r="BC29">
        <v>8732</v>
      </c>
      <c r="BD29">
        <v>8330</v>
      </c>
      <c r="BE29">
        <v>6586651</v>
      </c>
      <c r="BF29">
        <v>2738</v>
      </c>
      <c r="BG29">
        <v>5113</v>
      </c>
      <c r="BH29">
        <v>4816</v>
      </c>
      <c r="BI29">
        <v>3173962</v>
      </c>
      <c r="BJ29">
        <v>1161</v>
      </c>
      <c r="BK29">
        <v>17609</v>
      </c>
      <c r="BL29">
        <v>21495</v>
      </c>
      <c r="BM29">
        <v>5380745</v>
      </c>
      <c r="BN29">
        <v>22564</v>
      </c>
      <c r="BO29">
        <v>5913</v>
      </c>
      <c r="BP29">
        <v>6871</v>
      </c>
      <c r="BQ29">
        <v>2435906</v>
      </c>
      <c r="BR29">
        <v>13843</v>
      </c>
      <c r="BS29">
        <v>2770</v>
      </c>
      <c r="BT29">
        <v>1889</v>
      </c>
      <c r="BU29">
        <v>1330245</v>
      </c>
      <c r="BV29">
        <v>2358</v>
      </c>
      <c r="BW29">
        <v>38554</v>
      </c>
      <c r="BX29">
        <v>11751</v>
      </c>
      <c r="BY29">
        <v>1601394</v>
      </c>
      <c r="BZ29">
        <v>11166</v>
      </c>
      <c r="CA29">
        <v>12507</v>
      </c>
      <c r="CB29">
        <v>11334</v>
      </c>
      <c r="CC29">
        <v>5538690</v>
      </c>
      <c r="CD29">
        <v>51218</v>
      </c>
      <c r="CE29">
        <v>140828</v>
      </c>
      <c r="CF29">
        <v>83328</v>
      </c>
      <c r="CG29">
        <v>7222948</v>
      </c>
      <c r="CH29">
        <v>16021</v>
      </c>
      <c r="CI29">
        <v>97487</v>
      </c>
      <c r="CJ29">
        <v>95670</v>
      </c>
      <c r="CK29">
        <v>14525481</v>
      </c>
      <c r="CL29">
        <v>131601</v>
      </c>
      <c r="CM29">
        <v>6876</v>
      </c>
      <c r="CN29">
        <v>7149</v>
      </c>
      <c r="CO29">
        <v>2209108</v>
      </c>
      <c r="CP29">
        <v>10993</v>
      </c>
      <c r="CQ29">
        <v>10282</v>
      </c>
      <c r="CR29">
        <v>10088</v>
      </c>
      <c r="CS29">
        <v>2907733</v>
      </c>
      <c r="CT29">
        <v>15619</v>
      </c>
      <c r="CU29" t="s">
        <v>73</v>
      </c>
      <c r="CV29" t="s">
        <v>73</v>
      </c>
      <c r="CW29" t="s">
        <v>73</v>
      </c>
      <c r="CX29" t="s">
        <v>73</v>
      </c>
      <c r="CY29">
        <v>11478</v>
      </c>
      <c r="CZ29">
        <v>13946</v>
      </c>
      <c r="DA29">
        <v>9798174</v>
      </c>
      <c r="DB29">
        <v>38795</v>
      </c>
      <c r="DC29">
        <v>2318</v>
      </c>
      <c r="DD29">
        <v>2597</v>
      </c>
      <c r="DE29">
        <v>10632638</v>
      </c>
      <c r="DF29">
        <v>10004</v>
      </c>
      <c r="DG29">
        <v>13498</v>
      </c>
      <c r="DH29">
        <v>15062</v>
      </c>
      <c r="DI29">
        <v>6250322</v>
      </c>
      <c r="DJ29">
        <v>38771</v>
      </c>
      <c r="DK29" t="s">
        <v>73</v>
      </c>
      <c r="DL29" t="s">
        <v>73</v>
      </c>
      <c r="DM29" t="s">
        <v>73</v>
      </c>
      <c r="DN29" t="s">
        <v>73</v>
      </c>
      <c r="DO29">
        <v>8538</v>
      </c>
      <c r="DP29">
        <v>206</v>
      </c>
      <c r="DQ29">
        <v>65567</v>
      </c>
      <c r="DR29">
        <v>5966</v>
      </c>
      <c r="DS29" t="s">
        <v>73</v>
      </c>
      <c r="DT29" t="s">
        <v>73</v>
      </c>
      <c r="DU29" t="s">
        <v>73</v>
      </c>
      <c r="DV29" t="s">
        <v>73</v>
      </c>
      <c r="DW29" t="s">
        <v>73</v>
      </c>
      <c r="DX29" t="s">
        <v>73</v>
      </c>
      <c r="DY29" t="s">
        <v>73</v>
      </c>
      <c r="DZ29" t="s">
        <v>73</v>
      </c>
      <c r="EA29">
        <v>9254</v>
      </c>
      <c r="EB29">
        <v>8629</v>
      </c>
      <c r="EC29">
        <v>3614077</v>
      </c>
      <c r="ED29">
        <v>21887</v>
      </c>
      <c r="EE29">
        <v>3417</v>
      </c>
      <c r="EF29">
        <v>2596</v>
      </c>
      <c r="EG29">
        <v>2752007</v>
      </c>
      <c r="EH29">
        <v>8115</v>
      </c>
      <c r="EI29">
        <v>8437</v>
      </c>
      <c r="EJ29">
        <v>7990</v>
      </c>
      <c r="EK29">
        <v>3751364</v>
      </c>
      <c r="EL29">
        <v>21020</v>
      </c>
    </row>
    <row r="30" spans="1:142" x14ac:dyDescent="0.4">
      <c r="A30" s="1" t="s">
        <v>48</v>
      </c>
      <c r="B30" s="1" t="s">
        <v>49</v>
      </c>
      <c r="C30">
        <v>1573</v>
      </c>
      <c r="D30">
        <v>1736</v>
      </c>
      <c r="E30">
        <v>1033192</v>
      </c>
      <c r="F30">
        <v>1849</v>
      </c>
      <c r="G30">
        <v>1221</v>
      </c>
      <c r="H30">
        <v>834</v>
      </c>
      <c r="I30">
        <v>700290</v>
      </c>
      <c r="J30">
        <v>1004</v>
      </c>
      <c r="K30">
        <v>9929</v>
      </c>
      <c r="L30">
        <v>9992</v>
      </c>
      <c r="M30">
        <v>1003225</v>
      </c>
      <c r="N30">
        <v>2642</v>
      </c>
      <c r="O30">
        <v>7652</v>
      </c>
      <c r="P30">
        <v>7655</v>
      </c>
      <c r="Q30">
        <v>4232007</v>
      </c>
      <c r="R30">
        <v>6519</v>
      </c>
      <c r="S30">
        <v>3442</v>
      </c>
      <c r="T30">
        <v>2814</v>
      </c>
      <c r="U30">
        <v>393843</v>
      </c>
      <c r="V30">
        <v>1079</v>
      </c>
      <c r="W30">
        <v>153</v>
      </c>
      <c r="X30">
        <v>186</v>
      </c>
      <c r="Y30">
        <v>1387877</v>
      </c>
      <c r="Z30">
        <v>233</v>
      </c>
      <c r="AA30">
        <v>1746</v>
      </c>
      <c r="AB30">
        <v>1578</v>
      </c>
      <c r="AC30">
        <v>842235</v>
      </c>
      <c r="AD30">
        <v>1856</v>
      </c>
      <c r="AE30">
        <v>3003</v>
      </c>
      <c r="AF30">
        <v>2096</v>
      </c>
      <c r="AG30">
        <v>325995</v>
      </c>
      <c r="AH30">
        <v>638</v>
      </c>
      <c r="AI30">
        <v>811</v>
      </c>
      <c r="AJ30">
        <v>816</v>
      </c>
      <c r="AK30">
        <v>327399</v>
      </c>
      <c r="AL30">
        <v>567</v>
      </c>
      <c r="AM30">
        <v>4778</v>
      </c>
      <c r="AN30">
        <v>3499</v>
      </c>
      <c r="AO30">
        <v>1445297</v>
      </c>
      <c r="AP30">
        <v>4212</v>
      </c>
      <c r="AQ30">
        <v>2929</v>
      </c>
      <c r="AR30">
        <v>1495</v>
      </c>
      <c r="AS30">
        <v>666630</v>
      </c>
      <c r="AT30">
        <v>4066</v>
      </c>
      <c r="AU30">
        <v>4937</v>
      </c>
      <c r="AV30">
        <v>2819</v>
      </c>
      <c r="AW30">
        <v>1605794</v>
      </c>
      <c r="AX30">
        <v>10063</v>
      </c>
      <c r="AY30">
        <v>9197</v>
      </c>
      <c r="AZ30">
        <v>8218</v>
      </c>
      <c r="BA30">
        <v>6946332</v>
      </c>
      <c r="BB30">
        <v>18323</v>
      </c>
      <c r="BC30">
        <v>9489</v>
      </c>
      <c r="BD30">
        <v>9079</v>
      </c>
      <c r="BE30">
        <v>7076427</v>
      </c>
      <c r="BF30">
        <v>2705</v>
      </c>
      <c r="BG30">
        <v>5636</v>
      </c>
      <c r="BH30">
        <v>5443</v>
      </c>
      <c r="BI30">
        <v>3551151</v>
      </c>
      <c r="BJ30">
        <v>1163</v>
      </c>
      <c r="BK30">
        <v>23452</v>
      </c>
      <c r="BL30">
        <v>18340</v>
      </c>
      <c r="BM30">
        <v>4864387</v>
      </c>
      <c r="BN30">
        <v>22172</v>
      </c>
      <c r="BO30">
        <v>5854</v>
      </c>
      <c r="BP30">
        <v>7036</v>
      </c>
      <c r="BQ30">
        <v>2411254</v>
      </c>
      <c r="BR30">
        <v>12719</v>
      </c>
      <c r="BS30">
        <v>2860</v>
      </c>
      <c r="BT30">
        <v>1765</v>
      </c>
      <c r="BU30">
        <v>1371478</v>
      </c>
      <c r="BV30">
        <v>2563</v>
      </c>
      <c r="BW30">
        <v>31051</v>
      </c>
      <c r="BX30">
        <v>14685</v>
      </c>
      <c r="BY30">
        <v>1937113</v>
      </c>
      <c r="BZ30">
        <v>10959</v>
      </c>
      <c r="CA30">
        <v>13490</v>
      </c>
      <c r="CB30">
        <v>12236</v>
      </c>
      <c r="CC30">
        <v>6137280</v>
      </c>
      <c r="CD30">
        <v>49922</v>
      </c>
      <c r="CE30">
        <v>196708</v>
      </c>
      <c r="CF30">
        <v>160811</v>
      </c>
      <c r="CG30">
        <v>13497531</v>
      </c>
      <c r="CH30">
        <v>21983</v>
      </c>
      <c r="CI30">
        <v>105650</v>
      </c>
      <c r="CJ30">
        <v>111170</v>
      </c>
      <c r="CK30">
        <v>16510367</v>
      </c>
      <c r="CL30">
        <v>126736</v>
      </c>
      <c r="CM30">
        <v>7868</v>
      </c>
      <c r="CN30">
        <v>8145</v>
      </c>
      <c r="CO30">
        <v>2620225</v>
      </c>
      <c r="CP30">
        <v>11124</v>
      </c>
      <c r="CQ30">
        <v>10475</v>
      </c>
      <c r="CR30">
        <v>10402</v>
      </c>
      <c r="CS30">
        <v>3013716</v>
      </c>
      <c r="CT30">
        <v>15692</v>
      </c>
      <c r="CU30" t="s">
        <v>73</v>
      </c>
      <c r="CV30" t="s">
        <v>73</v>
      </c>
      <c r="CW30" t="s">
        <v>73</v>
      </c>
      <c r="CX30" t="s">
        <v>73</v>
      </c>
      <c r="CY30">
        <v>13443</v>
      </c>
      <c r="CZ30">
        <v>14247</v>
      </c>
      <c r="DA30">
        <v>10082769</v>
      </c>
      <c r="DB30">
        <v>37410</v>
      </c>
      <c r="DC30">
        <v>2680</v>
      </c>
      <c r="DD30">
        <v>2667</v>
      </c>
      <c r="DE30">
        <v>10274072</v>
      </c>
      <c r="DF30">
        <v>9827</v>
      </c>
      <c r="DG30">
        <v>8769</v>
      </c>
      <c r="DH30">
        <v>14448</v>
      </c>
      <c r="DI30">
        <v>6016737</v>
      </c>
      <c r="DJ30">
        <v>32940</v>
      </c>
      <c r="DK30" t="s">
        <v>73</v>
      </c>
      <c r="DL30" t="s">
        <v>73</v>
      </c>
      <c r="DM30" t="s">
        <v>73</v>
      </c>
      <c r="DN30" t="s">
        <v>73</v>
      </c>
      <c r="DO30">
        <v>9140</v>
      </c>
      <c r="DP30">
        <v>103</v>
      </c>
      <c r="DQ30">
        <v>37410</v>
      </c>
      <c r="DR30">
        <v>6761</v>
      </c>
      <c r="DS30" t="s">
        <v>73</v>
      </c>
      <c r="DT30" t="s">
        <v>73</v>
      </c>
      <c r="DU30" t="s">
        <v>73</v>
      </c>
      <c r="DV30" t="s">
        <v>73</v>
      </c>
      <c r="DW30" t="s">
        <v>73</v>
      </c>
      <c r="DX30" t="s">
        <v>73</v>
      </c>
      <c r="DY30" t="s">
        <v>73</v>
      </c>
      <c r="DZ30" t="s">
        <v>73</v>
      </c>
      <c r="EA30">
        <v>11363</v>
      </c>
      <c r="EB30">
        <v>9127</v>
      </c>
      <c r="EC30">
        <v>3876811</v>
      </c>
      <c r="ED30">
        <v>24095</v>
      </c>
      <c r="EE30">
        <v>4433</v>
      </c>
      <c r="EF30">
        <v>3015</v>
      </c>
      <c r="EG30">
        <v>3162970</v>
      </c>
      <c r="EH30">
        <v>8301</v>
      </c>
      <c r="EI30">
        <v>11907</v>
      </c>
      <c r="EJ30">
        <v>9137</v>
      </c>
      <c r="EK30">
        <v>4047324</v>
      </c>
      <c r="EL30">
        <v>18661</v>
      </c>
    </row>
    <row r="31" spans="1:142" x14ac:dyDescent="0.4">
      <c r="A31" s="1" t="s">
        <v>50</v>
      </c>
      <c r="B31" s="1" t="s">
        <v>51</v>
      </c>
      <c r="C31">
        <v>1223</v>
      </c>
      <c r="D31">
        <v>1497</v>
      </c>
      <c r="E31">
        <v>915310</v>
      </c>
      <c r="F31">
        <v>1728</v>
      </c>
      <c r="G31">
        <v>867</v>
      </c>
      <c r="H31">
        <v>619</v>
      </c>
      <c r="I31">
        <v>603168</v>
      </c>
      <c r="J31">
        <v>963</v>
      </c>
      <c r="K31">
        <v>8182</v>
      </c>
      <c r="L31">
        <v>8409</v>
      </c>
      <c r="M31">
        <v>844902</v>
      </c>
      <c r="N31">
        <v>2411</v>
      </c>
      <c r="O31">
        <v>5548</v>
      </c>
      <c r="P31">
        <v>5954</v>
      </c>
      <c r="Q31">
        <v>2937823</v>
      </c>
      <c r="R31">
        <v>6054</v>
      </c>
      <c r="S31">
        <v>2592</v>
      </c>
      <c r="T31">
        <v>1751</v>
      </c>
      <c r="U31">
        <v>248842</v>
      </c>
      <c r="V31">
        <v>1210</v>
      </c>
      <c r="W31">
        <v>110</v>
      </c>
      <c r="X31">
        <v>141</v>
      </c>
      <c r="Y31">
        <v>1081546</v>
      </c>
      <c r="Z31">
        <v>236</v>
      </c>
      <c r="AA31">
        <v>1243</v>
      </c>
      <c r="AB31">
        <v>1067</v>
      </c>
      <c r="AC31">
        <v>599540</v>
      </c>
      <c r="AD31">
        <v>1899</v>
      </c>
      <c r="AE31">
        <v>2127</v>
      </c>
      <c r="AF31">
        <v>1628</v>
      </c>
      <c r="AG31">
        <v>249880</v>
      </c>
      <c r="AH31">
        <v>538</v>
      </c>
      <c r="AI31">
        <v>527</v>
      </c>
      <c r="AJ31">
        <v>556</v>
      </c>
      <c r="AK31">
        <v>249256</v>
      </c>
      <c r="AL31">
        <v>511</v>
      </c>
      <c r="AM31">
        <v>3172</v>
      </c>
      <c r="AN31">
        <v>2690</v>
      </c>
      <c r="AO31">
        <v>1154133</v>
      </c>
      <c r="AP31">
        <v>4259</v>
      </c>
      <c r="AQ31">
        <v>1017</v>
      </c>
      <c r="AR31">
        <v>929</v>
      </c>
      <c r="AS31">
        <v>411051</v>
      </c>
      <c r="AT31">
        <v>3657</v>
      </c>
      <c r="AU31">
        <v>3577</v>
      </c>
      <c r="AV31">
        <v>2227</v>
      </c>
      <c r="AW31">
        <v>1251506</v>
      </c>
      <c r="AX31">
        <v>9876</v>
      </c>
      <c r="AY31">
        <v>6723</v>
      </c>
      <c r="AZ31">
        <v>6764</v>
      </c>
      <c r="BA31">
        <v>5617525</v>
      </c>
      <c r="BB31">
        <v>18593</v>
      </c>
      <c r="BC31">
        <v>6603</v>
      </c>
      <c r="BD31">
        <v>6370</v>
      </c>
      <c r="BE31">
        <v>4999994</v>
      </c>
      <c r="BF31">
        <v>2704</v>
      </c>
      <c r="BG31">
        <v>4351</v>
      </c>
      <c r="BH31">
        <v>4406</v>
      </c>
      <c r="BI31">
        <v>2901602</v>
      </c>
      <c r="BJ31">
        <v>1124</v>
      </c>
      <c r="BK31">
        <v>19156</v>
      </c>
      <c r="BL31">
        <v>14360</v>
      </c>
      <c r="BM31">
        <v>4231289</v>
      </c>
      <c r="BN31">
        <v>21539</v>
      </c>
      <c r="BO31">
        <v>6347</v>
      </c>
      <c r="BP31">
        <v>5725</v>
      </c>
      <c r="BQ31">
        <v>2064882</v>
      </c>
      <c r="BR31">
        <v>13386</v>
      </c>
      <c r="BS31">
        <v>1864</v>
      </c>
      <c r="BT31">
        <v>1270</v>
      </c>
      <c r="BU31">
        <v>973112</v>
      </c>
      <c r="BV31">
        <v>2601</v>
      </c>
      <c r="BW31">
        <v>40009</v>
      </c>
      <c r="BX31">
        <v>15527</v>
      </c>
      <c r="BY31">
        <v>2079409</v>
      </c>
      <c r="BZ31">
        <v>11338</v>
      </c>
      <c r="CA31">
        <v>15259</v>
      </c>
      <c r="CB31">
        <v>10057</v>
      </c>
      <c r="CC31">
        <v>4952525</v>
      </c>
      <c r="CD31">
        <v>52714</v>
      </c>
      <c r="CE31">
        <v>196385</v>
      </c>
      <c r="CF31">
        <v>158899</v>
      </c>
      <c r="CG31">
        <v>13427354</v>
      </c>
      <c r="CH31">
        <v>28103</v>
      </c>
      <c r="CI31">
        <v>106104</v>
      </c>
      <c r="CJ31">
        <v>88800</v>
      </c>
      <c r="CK31">
        <v>12945566</v>
      </c>
      <c r="CL31">
        <v>144549</v>
      </c>
      <c r="CM31">
        <v>7952</v>
      </c>
      <c r="CN31">
        <v>7732</v>
      </c>
      <c r="CO31">
        <v>2381599</v>
      </c>
      <c r="CP31">
        <v>11680</v>
      </c>
      <c r="CQ31">
        <v>10892</v>
      </c>
      <c r="CR31">
        <v>8621</v>
      </c>
      <c r="CS31">
        <v>2374073</v>
      </c>
      <c r="CT31">
        <v>17963</v>
      </c>
      <c r="CU31" t="s">
        <v>73</v>
      </c>
      <c r="CV31" t="s">
        <v>73</v>
      </c>
      <c r="CW31" t="s">
        <v>73</v>
      </c>
      <c r="CX31" t="s">
        <v>73</v>
      </c>
      <c r="CY31">
        <v>14655</v>
      </c>
      <c r="CZ31">
        <v>11434</v>
      </c>
      <c r="DA31">
        <v>8233523</v>
      </c>
      <c r="DB31">
        <v>40767</v>
      </c>
      <c r="DC31">
        <v>2588</v>
      </c>
      <c r="DD31">
        <v>2140</v>
      </c>
      <c r="DE31">
        <v>9041242</v>
      </c>
      <c r="DF31">
        <v>10159</v>
      </c>
      <c r="DG31">
        <v>11802</v>
      </c>
      <c r="DH31">
        <v>12233</v>
      </c>
      <c r="DI31">
        <v>5122667</v>
      </c>
      <c r="DJ31">
        <v>31981</v>
      </c>
      <c r="DK31" t="s">
        <v>73</v>
      </c>
      <c r="DL31" t="s">
        <v>73</v>
      </c>
      <c r="DM31" t="s">
        <v>73</v>
      </c>
      <c r="DN31" t="s">
        <v>73</v>
      </c>
      <c r="DO31">
        <v>8747</v>
      </c>
      <c r="DP31">
        <v>213</v>
      </c>
      <c r="DQ31">
        <v>108474</v>
      </c>
      <c r="DR31">
        <v>6994</v>
      </c>
      <c r="DS31" t="s">
        <v>73</v>
      </c>
      <c r="DT31" t="s">
        <v>73</v>
      </c>
      <c r="DU31" t="s">
        <v>73</v>
      </c>
      <c r="DV31" t="s">
        <v>73</v>
      </c>
      <c r="DW31" t="s">
        <v>73</v>
      </c>
      <c r="DX31" t="s">
        <v>73</v>
      </c>
      <c r="DY31" t="s">
        <v>73</v>
      </c>
      <c r="DZ31" t="s">
        <v>73</v>
      </c>
      <c r="EA31">
        <v>9912</v>
      </c>
      <c r="EB31">
        <v>7748</v>
      </c>
      <c r="EC31">
        <v>3184764</v>
      </c>
      <c r="ED31">
        <v>26179</v>
      </c>
      <c r="EE31">
        <v>3372</v>
      </c>
      <c r="EF31">
        <v>2296</v>
      </c>
      <c r="EG31">
        <v>2373721</v>
      </c>
      <c r="EH31">
        <v>8586</v>
      </c>
      <c r="EI31">
        <v>16087</v>
      </c>
      <c r="EJ31">
        <v>8492</v>
      </c>
      <c r="EK31">
        <v>3662366</v>
      </c>
      <c r="EL31">
        <v>19938</v>
      </c>
    </row>
    <row r="32" spans="1:142" x14ac:dyDescent="0.4">
      <c r="A32" s="1" t="s">
        <v>52</v>
      </c>
      <c r="B32" s="1" t="s">
        <v>53</v>
      </c>
      <c r="C32">
        <v>1471</v>
      </c>
      <c r="D32">
        <v>1563</v>
      </c>
      <c r="E32">
        <v>1033426</v>
      </c>
      <c r="F32">
        <v>1842</v>
      </c>
      <c r="G32">
        <v>1179</v>
      </c>
      <c r="H32">
        <v>789</v>
      </c>
      <c r="I32">
        <v>683207</v>
      </c>
      <c r="J32">
        <v>1025</v>
      </c>
      <c r="K32">
        <v>9908</v>
      </c>
      <c r="L32">
        <v>9880</v>
      </c>
      <c r="M32">
        <v>992689</v>
      </c>
      <c r="N32">
        <v>2435</v>
      </c>
      <c r="O32">
        <v>7694</v>
      </c>
      <c r="P32">
        <v>7269</v>
      </c>
      <c r="Q32">
        <v>4001897</v>
      </c>
      <c r="R32">
        <v>6202</v>
      </c>
      <c r="S32">
        <v>3638</v>
      </c>
      <c r="T32">
        <v>2879</v>
      </c>
      <c r="U32">
        <v>419140</v>
      </c>
      <c r="V32">
        <v>1158</v>
      </c>
      <c r="W32">
        <v>156</v>
      </c>
      <c r="X32">
        <v>183</v>
      </c>
      <c r="Y32">
        <v>1295571</v>
      </c>
      <c r="Z32">
        <v>240</v>
      </c>
      <c r="AA32">
        <v>1538</v>
      </c>
      <c r="AB32">
        <v>1180</v>
      </c>
      <c r="AC32">
        <v>639162</v>
      </c>
      <c r="AD32">
        <v>2093</v>
      </c>
      <c r="AE32">
        <v>2829</v>
      </c>
      <c r="AF32">
        <v>2021</v>
      </c>
      <c r="AG32">
        <v>318074</v>
      </c>
      <c r="AH32">
        <v>592</v>
      </c>
      <c r="AI32">
        <v>810</v>
      </c>
      <c r="AJ32">
        <v>771</v>
      </c>
      <c r="AK32">
        <v>316768</v>
      </c>
      <c r="AL32">
        <v>507</v>
      </c>
      <c r="AM32">
        <v>4266</v>
      </c>
      <c r="AN32">
        <v>3432</v>
      </c>
      <c r="AO32">
        <v>1399492</v>
      </c>
      <c r="AP32">
        <v>4157</v>
      </c>
      <c r="AQ32">
        <v>2887</v>
      </c>
      <c r="AR32">
        <v>1435</v>
      </c>
      <c r="AS32">
        <v>703096</v>
      </c>
      <c r="AT32">
        <v>3828</v>
      </c>
      <c r="AU32">
        <v>4549</v>
      </c>
      <c r="AV32">
        <v>2657</v>
      </c>
      <c r="AW32">
        <v>1495038</v>
      </c>
      <c r="AX32">
        <v>9939</v>
      </c>
      <c r="AY32">
        <v>9790</v>
      </c>
      <c r="AZ32">
        <v>7738</v>
      </c>
      <c r="BA32">
        <v>6509803</v>
      </c>
      <c r="BB32">
        <v>19909</v>
      </c>
      <c r="BC32">
        <v>9162</v>
      </c>
      <c r="BD32">
        <v>8758</v>
      </c>
      <c r="BE32">
        <v>7010997</v>
      </c>
      <c r="BF32">
        <v>2692</v>
      </c>
      <c r="BG32">
        <v>5367</v>
      </c>
      <c r="BH32">
        <v>5351</v>
      </c>
      <c r="BI32">
        <v>3555603</v>
      </c>
      <c r="BJ32">
        <v>1145</v>
      </c>
      <c r="BK32">
        <v>23393</v>
      </c>
      <c r="BL32">
        <v>16998</v>
      </c>
      <c r="BM32">
        <v>5053490</v>
      </c>
      <c r="BN32">
        <v>20358</v>
      </c>
      <c r="BO32">
        <v>9022</v>
      </c>
      <c r="BP32">
        <v>8816</v>
      </c>
      <c r="BQ32">
        <v>2996560</v>
      </c>
      <c r="BR32">
        <v>13710</v>
      </c>
      <c r="BS32">
        <v>2574</v>
      </c>
      <c r="BT32">
        <v>1843</v>
      </c>
      <c r="BU32">
        <v>1378925</v>
      </c>
      <c r="BV32">
        <v>2606</v>
      </c>
      <c r="BW32">
        <v>33870</v>
      </c>
      <c r="BX32">
        <v>11289</v>
      </c>
      <c r="BY32">
        <v>1551668</v>
      </c>
      <c r="BZ32">
        <v>12786</v>
      </c>
      <c r="CA32">
        <v>12504</v>
      </c>
      <c r="CB32">
        <v>11065</v>
      </c>
      <c r="CC32">
        <v>5821421</v>
      </c>
      <c r="CD32">
        <v>52465</v>
      </c>
      <c r="CE32">
        <v>216776</v>
      </c>
      <c r="CF32">
        <v>173664</v>
      </c>
      <c r="CG32">
        <v>14694672</v>
      </c>
      <c r="CH32">
        <v>24343</v>
      </c>
      <c r="CI32">
        <v>105777</v>
      </c>
      <c r="CJ32">
        <v>112294</v>
      </c>
      <c r="CK32">
        <v>16720655</v>
      </c>
      <c r="CL32">
        <v>138655</v>
      </c>
      <c r="CM32">
        <v>8625</v>
      </c>
      <c r="CN32">
        <v>7813</v>
      </c>
      <c r="CO32">
        <v>2519024</v>
      </c>
      <c r="CP32">
        <v>12972</v>
      </c>
      <c r="CQ32">
        <v>10593</v>
      </c>
      <c r="CR32">
        <v>10332</v>
      </c>
      <c r="CS32">
        <v>2955012</v>
      </c>
      <c r="CT32">
        <v>18222</v>
      </c>
      <c r="CU32" t="s">
        <v>73</v>
      </c>
      <c r="CV32" t="s">
        <v>73</v>
      </c>
      <c r="CW32" t="s">
        <v>73</v>
      </c>
      <c r="CX32" t="s">
        <v>73</v>
      </c>
      <c r="CY32">
        <v>15392</v>
      </c>
      <c r="CZ32">
        <v>13977</v>
      </c>
      <c r="DA32">
        <v>9856890</v>
      </c>
      <c r="DB32">
        <v>41651</v>
      </c>
      <c r="DC32">
        <v>2552</v>
      </c>
      <c r="DD32">
        <v>2114</v>
      </c>
      <c r="DE32">
        <v>9156720</v>
      </c>
      <c r="DF32">
        <v>10613</v>
      </c>
      <c r="DG32">
        <v>20857</v>
      </c>
      <c r="DH32">
        <v>17703</v>
      </c>
      <c r="DI32">
        <v>7369247</v>
      </c>
      <c r="DJ32">
        <v>34720</v>
      </c>
      <c r="DK32" t="s">
        <v>73</v>
      </c>
      <c r="DL32" t="s">
        <v>73</v>
      </c>
      <c r="DM32" t="s">
        <v>73</v>
      </c>
      <c r="DN32" t="s">
        <v>73</v>
      </c>
      <c r="DO32">
        <v>5137</v>
      </c>
      <c r="DP32">
        <v>395</v>
      </c>
      <c r="DQ32">
        <v>222151</v>
      </c>
      <c r="DR32">
        <v>5000</v>
      </c>
      <c r="DS32" t="s">
        <v>73</v>
      </c>
      <c r="DT32" t="s">
        <v>73</v>
      </c>
      <c r="DU32" t="s">
        <v>73</v>
      </c>
      <c r="DV32" t="s">
        <v>73</v>
      </c>
      <c r="DW32" t="s">
        <v>73</v>
      </c>
      <c r="DX32" t="s">
        <v>73</v>
      </c>
      <c r="DY32" t="s">
        <v>73</v>
      </c>
      <c r="DZ32" t="s">
        <v>73</v>
      </c>
      <c r="EA32">
        <v>7787</v>
      </c>
      <c r="EB32">
        <v>9214</v>
      </c>
      <c r="EC32">
        <v>3821564</v>
      </c>
      <c r="ED32">
        <v>24853</v>
      </c>
      <c r="EE32">
        <v>2556</v>
      </c>
      <c r="EF32">
        <v>2530</v>
      </c>
      <c r="EG32">
        <v>2750566</v>
      </c>
      <c r="EH32">
        <v>8121</v>
      </c>
      <c r="EI32">
        <v>16386</v>
      </c>
      <c r="EJ32">
        <v>9193</v>
      </c>
      <c r="EK32">
        <v>4102617</v>
      </c>
      <c r="EL32">
        <v>19204</v>
      </c>
    </row>
    <row r="33" spans="1:142" x14ac:dyDescent="0.4">
      <c r="A33" s="1" t="s">
        <v>54</v>
      </c>
      <c r="B33" s="1" t="s">
        <v>55</v>
      </c>
      <c r="C33">
        <v>1478</v>
      </c>
      <c r="D33">
        <v>1717</v>
      </c>
      <c r="E33">
        <v>1075558</v>
      </c>
      <c r="F33">
        <v>1798</v>
      </c>
      <c r="G33">
        <v>1237</v>
      </c>
      <c r="H33">
        <v>838</v>
      </c>
      <c r="I33">
        <v>731130</v>
      </c>
      <c r="J33">
        <v>1050</v>
      </c>
      <c r="K33">
        <v>10358</v>
      </c>
      <c r="L33">
        <v>10006</v>
      </c>
      <c r="M33">
        <v>1007456</v>
      </c>
      <c r="N33">
        <v>2787</v>
      </c>
      <c r="O33">
        <v>7754</v>
      </c>
      <c r="P33">
        <v>7524</v>
      </c>
      <c r="Q33">
        <v>4140925</v>
      </c>
      <c r="R33">
        <v>6476</v>
      </c>
      <c r="S33">
        <v>3949</v>
      </c>
      <c r="T33">
        <v>3017</v>
      </c>
      <c r="U33">
        <v>403009</v>
      </c>
      <c r="V33">
        <v>1273</v>
      </c>
      <c r="W33">
        <v>140</v>
      </c>
      <c r="X33">
        <v>166</v>
      </c>
      <c r="Y33">
        <v>1247405</v>
      </c>
      <c r="Z33">
        <v>231</v>
      </c>
      <c r="AA33">
        <v>1599</v>
      </c>
      <c r="AB33">
        <v>1568</v>
      </c>
      <c r="AC33">
        <v>839441</v>
      </c>
      <c r="AD33">
        <v>1923</v>
      </c>
      <c r="AE33">
        <v>2930</v>
      </c>
      <c r="AF33">
        <v>2085</v>
      </c>
      <c r="AG33">
        <v>318537</v>
      </c>
      <c r="AH33">
        <v>573</v>
      </c>
      <c r="AI33">
        <v>788</v>
      </c>
      <c r="AJ33">
        <v>759</v>
      </c>
      <c r="AK33">
        <v>319258</v>
      </c>
      <c r="AL33">
        <v>482</v>
      </c>
      <c r="AM33">
        <v>4098</v>
      </c>
      <c r="AN33">
        <v>3566</v>
      </c>
      <c r="AO33">
        <v>1446959</v>
      </c>
      <c r="AP33">
        <v>3902</v>
      </c>
      <c r="AQ33">
        <v>3145</v>
      </c>
      <c r="AR33">
        <v>1540</v>
      </c>
      <c r="AS33">
        <v>693243</v>
      </c>
      <c r="AT33">
        <v>4000</v>
      </c>
      <c r="AU33">
        <v>5245</v>
      </c>
      <c r="AV33">
        <v>3152</v>
      </c>
      <c r="AW33">
        <v>1738646</v>
      </c>
      <c r="AX33">
        <v>10131</v>
      </c>
      <c r="AY33">
        <v>8096</v>
      </c>
      <c r="AZ33">
        <v>8300</v>
      </c>
      <c r="BA33">
        <v>6791006</v>
      </c>
      <c r="BB33">
        <v>19143</v>
      </c>
      <c r="BC33">
        <v>9874</v>
      </c>
      <c r="BD33">
        <v>9419</v>
      </c>
      <c r="BE33">
        <v>7348229</v>
      </c>
      <c r="BF33">
        <v>2651</v>
      </c>
      <c r="BG33">
        <v>5664</v>
      </c>
      <c r="BH33">
        <v>5595</v>
      </c>
      <c r="BI33">
        <v>3738186</v>
      </c>
      <c r="BJ33">
        <v>1109</v>
      </c>
      <c r="BK33">
        <v>18889</v>
      </c>
      <c r="BL33">
        <v>17831</v>
      </c>
      <c r="BM33">
        <v>4753157</v>
      </c>
      <c r="BN33">
        <v>16619</v>
      </c>
      <c r="BO33">
        <v>6009</v>
      </c>
      <c r="BP33">
        <v>6842</v>
      </c>
      <c r="BQ33">
        <v>2288060</v>
      </c>
      <c r="BR33">
        <v>12977</v>
      </c>
      <c r="BS33">
        <v>2199</v>
      </c>
      <c r="BT33">
        <v>1861</v>
      </c>
      <c r="BU33">
        <v>1421622</v>
      </c>
      <c r="BV33">
        <v>2029</v>
      </c>
      <c r="BW33">
        <v>34558</v>
      </c>
      <c r="BX33">
        <v>13640</v>
      </c>
      <c r="BY33">
        <v>1809460</v>
      </c>
      <c r="BZ33">
        <v>11995</v>
      </c>
      <c r="CA33">
        <v>12751</v>
      </c>
      <c r="CB33">
        <v>9140</v>
      </c>
      <c r="CC33">
        <v>4474625</v>
      </c>
      <c r="CD33">
        <v>55021</v>
      </c>
      <c r="CE33">
        <v>218967</v>
      </c>
      <c r="CF33">
        <v>165963</v>
      </c>
      <c r="CG33">
        <v>13585814</v>
      </c>
      <c r="CH33">
        <v>29789</v>
      </c>
      <c r="CI33">
        <v>117745</v>
      </c>
      <c r="CJ33">
        <v>119712</v>
      </c>
      <c r="CK33">
        <v>18008853</v>
      </c>
      <c r="CL33">
        <v>137281</v>
      </c>
      <c r="CM33">
        <v>8304</v>
      </c>
      <c r="CN33">
        <v>8807</v>
      </c>
      <c r="CO33">
        <v>2729134</v>
      </c>
      <c r="CP33">
        <v>13691</v>
      </c>
      <c r="CQ33">
        <v>11600</v>
      </c>
      <c r="CR33">
        <v>10890</v>
      </c>
      <c r="CS33">
        <v>3151087</v>
      </c>
      <c r="CT33">
        <v>18934</v>
      </c>
      <c r="CU33" t="s">
        <v>73</v>
      </c>
      <c r="CV33" t="s">
        <v>73</v>
      </c>
      <c r="CW33" t="s">
        <v>73</v>
      </c>
      <c r="CX33" t="s">
        <v>73</v>
      </c>
      <c r="CY33">
        <v>14309</v>
      </c>
      <c r="CZ33">
        <v>15598</v>
      </c>
      <c r="DA33">
        <v>11045267</v>
      </c>
      <c r="DB33">
        <v>40354</v>
      </c>
      <c r="DC33">
        <v>2611</v>
      </c>
      <c r="DD33">
        <v>2481</v>
      </c>
      <c r="DE33">
        <v>9541037</v>
      </c>
      <c r="DF33">
        <v>10531</v>
      </c>
      <c r="DG33">
        <v>19971</v>
      </c>
      <c r="DH33">
        <v>17741</v>
      </c>
      <c r="DI33">
        <v>7139255</v>
      </c>
      <c r="DJ33">
        <v>36832</v>
      </c>
      <c r="DK33" t="s">
        <v>73</v>
      </c>
      <c r="DL33" t="s">
        <v>73</v>
      </c>
      <c r="DM33" t="s">
        <v>73</v>
      </c>
      <c r="DN33" t="s">
        <v>73</v>
      </c>
      <c r="DO33">
        <v>4785</v>
      </c>
      <c r="DP33">
        <v>327</v>
      </c>
      <c r="DQ33">
        <v>167329</v>
      </c>
      <c r="DR33">
        <v>4383</v>
      </c>
      <c r="DS33" t="s">
        <v>73</v>
      </c>
      <c r="DT33" t="s">
        <v>73</v>
      </c>
      <c r="DU33" t="s">
        <v>73</v>
      </c>
      <c r="DV33" t="s">
        <v>73</v>
      </c>
      <c r="DW33" t="s">
        <v>73</v>
      </c>
      <c r="DX33" t="s">
        <v>73</v>
      </c>
      <c r="DY33" t="s">
        <v>73</v>
      </c>
      <c r="DZ33" t="s">
        <v>73</v>
      </c>
      <c r="EA33">
        <v>4414</v>
      </c>
      <c r="EB33">
        <v>8824</v>
      </c>
      <c r="EC33">
        <v>3768709</v>
      </c>
      <c r="ED33">
        <v>20361</v>
      </c>
      <c r="EE33">
        <v>1743</v>
      </c>
      <c r="EF33">
        <v>2052</v>
      </c>
      <c r="EG33">
        <v>2217448</v>
      </c>
      <c r="EH33">
        <v>7447</v>
      </c>
      <c r="EI33">
        <v>18014</v>
      </c>
      <c r="EJ33">
        <v>11631</v>
      </c>
      <c r="EK33">
        <v>4760430</v>
      </c>
      <c r="EL33">
        <v>17133</v>
      </c>
    </row>
    <row r="34" spans="1:142" x14ac:dyDescent="0.4">
      <c r="A34" s="1" t="s">
        <v>56</v>
      </c>
      <c r="B34" s="1" t="s">
        <v>57</v>
      </c>
      <c r="C34">
        <v>1344</v>
      </c>
      <c r="D34">
        <v>1661</v>
      </c>
      <c r="E34">
        <v>1057139</v>
      </c>
      <c r="F34">
        <v>1700</v>
      </c>
      <c r="G34">
        <v>1012</v>
      </c>
      <c r="H34">
        <v>737</v>
      </c>
      <c r="I34">
        <v>626128</v>
      </c>
      <c r="J34">
        <v>1077</v>
      </c>
      <c r="K34">
        <v>8719</v>
      </c>
      <c r="L34">
        <v>9123</v>
      </c>
      <c r="M34">
        <v>894289</v>
      </c>
      <c r="N34">
        <v>2381</v>
      </c>
      <c r="O34">
        <v>6650</v>
      </c>
      <c r="P34">
        <v>6844</v>
      </c>
      <c r="Q34">
        <v>3704170</v>
      </c>
      <c r="R34">
        <v>6344</v>
      </c>
      <c r="S34">
        <v>3575</v>
      </c>
      <c r="T34">
        <v>2950</v>
      </c>
      <c r="U34">
        <v>384454</v>
      </c>
      <c r="V34">
        <v>1160</v>
      </c>
      <c r="W34">
        <v>134</v>
      </c>
      <c r="X34">
        <v>171</v>
      </c>
      <c r="Y34">
        <v>1289957</v>
      </c>
      <c r="Z34">
        <v>225</v>
      </c>
      <c r="AA34">
        <v>1722</v>
      </c>
      <c r="AB34">
        <v>1333</v>
      </c>
      <c r="AC34">
        <v>706767</v>
      </c>
      <c r="AD34">
        <v>2169</v>
      </c>
      <c r="AE34">
        <v>2763</v>
      </c>
      <c r="AF34">
        <v>1879</v>
      </c>
      <c r="AG34">
        <v>285384</v>
      </c>
      <c r="AH34">
        <v>585</v>
      </c>
      <c r="AI34">
        <v>795</v>
      </c>
      <c r="AJ34">
        <v>677</v>
      </c>
      <c r="AK34">
        <v>289998</v>
      </c>
      <c r="AL34">
        <v>558</v>
      </c>
      <c r="AM34">
        <v>4211</v>
      </c>
      <c r="AN34">
        <v>3437</v>
      </c>
      <c r="AO34">
        <v>1410061</v>
      </c>
      <c r="AP34">
        <v>3997</v>
      </c>
      <c r="AQ34">
        <v>2697</v>
      </c>
      <c r="AR34">
        <v>1381</v>
      </c>
      <c r="AS34">
        <v>600772</v>
      </c>
      <c r="AT34">
        <v>4136</v>
      </c>
      <c r="AU34">
        <v>4592</v>
      </c>
      <c r="AV34">
        <v>2587</v>
      </c>
      <c r="AW34">
        <v>1418801</v>
      </c>
      <c r="AX34">
        <v>10260</v>
      </c>
      <c r="AY34">
        <v>6008</v>
      </c>
      <c r="AZ34">
        <v>7346</v>
      </c>
      <c r="BA34">
        <v>6159601</v>
      </c>
      <c r="BB34">
        <v>17882</v>
      </c>
      <c r="BC34">
        <v>8731</v>
      </c>
      <c r="BD34">
        <v>8096</v>
      </c>
      <c r="BE34">
        <v>6417134</v>
      </c>
      <c r="BF34">
        <v>2686</v>
      </c>
      <c r="BG34">
        <v>5117</v>
      </c>
      <c r="BH34">
        <v>4921</v>
      </c>
      <c r="BI34">
        <v>3293288</v>
      </c>
      <c r="BJ34">
        <v>1110</v>
      </c>
      <c r="BK34">
        <v>28316</v>
      </c>
      <c r="BL34">
        <v>20204</v>
      </c>
      <c r="BM34">
        <v>5385731</v>
      </c>
      <c r="BN34">
        <v>20800</v>
      </c>
      <c r="BO34">
        <v>4331</v>
      </c>
      <c r="BP34">
        <v>4732</v>
      </c>
      <c r="BQ34">
        <v>1496594</v>
      </c>
      <c r="BR34">
        <v>12821</v>
      </c>
      <c r="BS34">
        <v>2309</v>
      </c>
      <c r="BT34">
        <v>1522</v>
      </c>
      <c r="BU34">
        <v>1193875</v>
      </c>
      <c r="BV34">
        <v>2054</v>
      </c>
      <c r="BW34">
        <v>36469</v>
      </c>
      <c r="BX34">
        <v>10765</v>
      </c>
      <c r="BY34">
        <v>1523236</v>
      </c>
      <c r="BZ34">
        <v>12216</v>
      </c>
      <c r="CA34">
        <v>15454</v>
      </c>
      <c r="CB34">
        <v>11655</v>
      </c>
      <c r="CC34">
        <v>5817920</v>
      </c>
      <c r="CD34">
        <v>55778</v>
      </c>
      <c r="CE34">
        <v>206632</v>
      </c>
      <c r="CF34">
        <v>168742</v>
      </c>
      <c r="CG34">
        <v>13536244</v>
      </c>
      <c r="CH34">
        <v>26702</v>
      </c>
      <c r="CI34">
        <v>103645</v>
      </c>
      <c r="CJ34">
        <v>100309</v>
      </c>
      <c r="CK34">
        <v>15081233</v>
      </c>
      <c r="CL34">
        <v>141279</v>
      </c>
      <c r="CM34">
        <v>4252</v>
      </c>
      <c r="CN34">
        <v>6710</v>
      </c>
      <c r="CO34">
        <v>2059542</v>
      </c>
      <c r="CP34">
        <v>11594</v>
      </c>
      <c r="CQ34">
        <v>5436</v>
      </c>
      <c r="CR34">
        <v>7960</v>
      </c>
      <c r="CS34">
        <v>2464649</v>
      </c>
      <c r="CT34">
        <v>16411</v>
      </c>
      <c r="CU34" t="s">
        <v>73</v>
      </c>
      <c r="CV34" t="s">
        <v>73</v>
      </c>
      <c r="CW34" t="s">
        <v>73</v>
      </c>
      <c r="CX34" t="s">
        <v>73</v>
      </c>
      <c r="CY34">
        <v>14421</v>
      </c>
      <c r="CZ34">
        <v>12116</v>
      </c>
      <c r="DA34">
        <v>8859739</v>
      </c>
      <c r="DB34">
        <v>42686</v>
      </c>
      <c r="DC34">
        <v>2581</v>
      </c>
      <c r="DD34">
        <v>2333</v>
      </c>
      <c r="DE34">
        <v>9822093</v>
      </c>
      <c r="DF34">
        <v>10465</v>
      </c>
      <c r="DG34">
        <v>16026</v>
      </c>
      <c r="DH34">
        <v>15631</v>
      </c>
      <c r="DI34">
        <v>6207500</v>
      </c>
      <c r="DJ34">
        <v>36990</v>
      </c>
      <c r="DK34" t="s">
        <v>73</v>
      </c>
      <c r="DL34" t="s">
        <v>73</v>
      </c>
      <c r="DM34" t="s">
        <v>73</v>
      </c>
      <c r="DN34" t="s">
        <v>73</v>
      </c>
      <c r="DO34">
        <v>7249</v>
      </c>
      <c r="DP34">
        <v>304</v>
      </c>
      <c r="DQ34">
        <v>156452</v>
      </c>
      <c r="DR34">
        <v>4951</v>
      </c>
      <c r="DS34" t="s">
        <v>73</v>
      </c>
      <c r="DT34" t="s">
        <v>73</v>
      </c>
      <c r="DU34" t="s">
        <v>73</v>
      </c>
      <c r="DV34" t="s">
        <v>73</v>
      </c>
      <c r="DW34" t="s">
        <v>73</v>
      </c>
      <c r="DX34" t="s">
        <v>73</v>
      </c>
      <c r="DY34" t="s">
        <v>73</v>
      </c>
      <c r="DZ34" t="s">
        <v>73</v>
      </c>
      <c r="EA34">
        <v>6056</v>
      </c>
      <c r="EB34">
        <v>8003</v>
      </c>
      <c r="EC34">
        <v>3305779</v>
      </c>
      <c r="ED34">
        <v>19015</v>
      </c>
      <c r="EE34">
        <v>2631</v>
      </c>
      <c r="EF34">
        <v>2436</v>
      </c>
      <c r="EG34">
        <v>2630597</v>
      </c>
      <c r="EH34">
        <v>6654</v>
      </c>
      <c r="EI34">
        <v>13787</v>
      </c>
      <c r="EJ34">
        <v>6071</v>
      </c>
      <c r="EK34">
        <v>3175121</v>
      </c>
      <c r="EL34">
        <v>17384</v>
      </c>
    </row>
    <row r="35" spans="1:142" x14ac:dyDescent="0.4">
      <c r="A35" s="1" t="s">
        <v>58</v>
      </c>
      <c r="B35" s="1" t="s">
        <v>59</v>
      </c>
      <c r="C35">
        <v>1555</v>
      </c>
      <c r="D35">
        <v>1634</v>
      </c>
      <c r="E35">
        <v>1048210</v>
      </c>
      <c r="F35">
        <v>1797</v>
      </c>
      <c r="G35">
        <v>1109</v>
      </c>
      <c r="H35">
        <v>785</v>
      </c>
      <c r="I35">
        <v>731780</v>
      </c>
      <c r="J35">
        <v>1085</v>
      </c>
      <c r="K35">
        <v>9270</v>
      </c>
      <c r="L35">
        <v>9178</v>
      </c>
      <c r="M35">
        <v>891727</v>
      </c>
      <c r="N35">
        <v>2460</v>
      </c>
      <c r="O35">
        <v>6890</v>
      </c>
      <c r="P35">
        <v>6758</v>
      </c>
      <c r="Q35">
        <v>3832874</v>
      </c>
      <c r="R35">
        <v>6523</v>
      </c>
      <c r="S35">
        <v>3145</v>
      </c>
      <c r="T35">
        <v>2478</v>
      </c>
      <c r="U35">
        <v>337851</v>
      </c>
      <c r="V35">
        <v>1158</v>
      </c>
      <c r="W35">
        <v>135</v>
      </c>
      <c r="X35">
        <v>160</v>
      </c>
      <c r="Y35">
        <v>1262593</v>
      </c>
      <c r="Z35">
        <v>229</v>
      </c>
      <c r="AA35">
        <v>1534</v>
      </c>
      <c r="AB35">
        <v>1531</v>
      </c>
      <c r="AC35">
        <v>821017</v>
      </c>
      <c r="AD35">
        <v>1999</v>
      </c>
      <c r="AE35">
        <v>2410</v>
      </c>
      <c r="AF35">
        <v>1805</v>
      </c>
      <c r="AG35">
        <v>275397</v>
      </c>
      <c r="AH35">
        <v>547</v>
      </c>
      <c r="AI35">
        <v>768</v>
      </c>
      <c r="AJ35">
        <v>742</v>
      </c>
      <c r="AK35">
        <v>314789</v>
      </c>
      <c r="AL35">
        <v>515</v>
      </c>
      <c r="AM35">
        <v>4208</v>
      </c>
      <c r="AN35">
        <v>3444</v>
      </c>
      <c r="AO35">
        <v>1406210</v>
      </c>
      <c r="AP35">
        <v>3904</v>
      </c>
      <c r="AQ35">
        <v>2264</v>
      </c>
      <c r="AR35">
        <v>1415</v>
      </c>
      <c r="AS35">
        <v>631126</v>
      </c>
      <c r="AT35">
        <v>4035</v>
      </c>
      <c r="AU35">
        <v>4102</v>
      </c>
      <c r="AV35">
        <v>2719</v>
      </c>
      <c r="AW35">
        <v>1512475</v>
      </c>
      <c r="AX35">
        <v>10012</v>
      </c>
      <c r="AY35">
        <v>6985</v>
      </c>
      <c r="AZ35">
        <v>7652</v>
      </c>
      <c r="BA35">
        <v>5925633</v>
      </c>
      <c r="BB35">
        <v>17188</v>
      </c>
      <c r="BC35">
        <v>8619</v>
      </c>
      <c r="BD35">
        <v>7987</v>
      </c>
      <c r="BE35">
        <v>6438971</v>
      </c>
      <c r="BF35">
        <v>2919</v>
      </c>
      <c r="BG35">
        <v>5137</v>
      </c>
      <c r="BH35">
        <v>4962</v>
      </c>
      <c r="BI35">
        <v>3327222</v>
      </c>
      <c r="BJ35">
        <v>1128</v>
      </c>
      <c r="BK35">
        <v>32135</v>
      </c>
      <c r="BL35">
        <v>21754</v>
      </c>
      <c r="BM35">
        <v>5468273</v>
      </c>
      <c r="BN35">
        <v>23541</v>
      </c>
      <c r="BO35">
        <v>6539</v>
      </c>
      <c r="BP35">
        <v>8777</v>
      </c>
      <c r="BQ35">
        <v>2999846</v>
      </c>
      <c r="BR35">
        <v>10816</v>
      </c>
      <c r="BS35">
        <v>2682</v>
      </c>
      <c r="BT35">
        <v>1743</v>
      </c>
      <c r="BU35">
        <v>1332056</v>
      </c>
      <c r="BV35">
        <v>2233</v>
      </c>
      <c r="BW35">
        <v>39255</v>
      </c>
      <c r="BX35">
        <v>11541</v>
      </c>
      <c r="BY35">
        <v>1560750</v>
      </c>
      <c r="BZ35">
        <v>13515</v>
      </c>
      <c r="CA35">
        <v>15040</v>
      </c>
      <c r="CB35">
        <v>10142</v>
      </c>
      <c r="CC35">
        <v>4840543</v>
      </c>
      <c r="CD35">
        <v>57118</v>
      </c>
      <c r="CE35">
        <v>224738</v>
      </c>
      <c r="CF35">
        <v>177367</v>
      </c>
      <c r="CG35">
        <v>13436237</v>
      </c>
      <c r="CH35">
        <v>26097</v>
      </c>
      <c r="CI35">
        <v>115511</v>
      </c>
      <c r="CJ35">
        <v>107327</v>
      </c>
      <c r="CK35">
        <v>15764779</v>
      </c>
      <c r="CL35">
        <v>150060</v>
      </c>
      <c r="CM35">
        <v>8775</v>
      </c>
      <c r="CN35">
        <v>8108</v>
      </c>
      <c r="CO35">
        <v>2383215</v>
      </c>
      <c r="CP35">
        <v>12778</v>
      </c>
      <c r="CQ35">
        <v>10021</v>
      </c>
      <c r="CR35">
        <v>8550</v>
      </c>
      <c r="CS35">
        <v>2560525</v>
      </c>
      <c r="CT35">
        <v>17882</v>
      </c>
      <c r="CU35" t="s">
        <v>73</v>
      </c>
      <c r="CV35" t="s">
        <v>73</v>
      </c>
      <c r="CW35" t="s">
        <v>73</v>
      </c>
      <c r="CX35" t="s">
        <v>73</v>
      </c>
      <c r="CY35">
        <v>14730</v>
      </c>
      <c r="CZ35">
        <v>11884</v>
      </c>
      <c r="DA35">
        <v>8652709</v>
      </c>
      <c r="DB35">
        <v>45248</v>
      </c>
      <c r="DC35">
        <v>2906</v>
      </c>
      <c r="DD35">
        <v>2505</v>
      </c>
      <c r="DE35">
        <v>10950206</v>
      </c>
      <c r="DF35">
        <v>10478</v>
      </c>
      <c r="DG35">
        <v>20041</v>
      </c>
      <c r="DH35">
        <v>18032</v>
      </c>
      <c r="DI35">
        <v>7338398</v>
      </c>
      <c r="DJ35">
        <v>38765</v>
      </c>
      <c r="DK35" t="s">
        <v>73</v>
      </c>
      <c r="DL35" t="s">
        <v>73</v>
      </c>
      <c r="DM35" t="s">
        <v>73</v>
      </c>
      <c r="DN35" t="s">
        <v>73</v>
      </c>
      <c r="DO35">
        <v>7926</v>
      </c>
      <c r="DP35">
        <v>180</v>
      </c>
      <c r="DQ35">
        <v>126933</v>
      </c>
      <c r="DR35">
        <v>5689</v>
      </c>
      <c r="DS35" t="s">
        <v>73</v>
      </c>
      <c r="DT35" t="s">
        <v>73</v>
      </c>
      <c r="DU35" t="s">
        <v>73</v>
      </c>
      <c r="DV35" t="s">
        <v>73</v>
      </c>
      <c r="DW35" t="s">
        <v>73</v>
      </c>
      <c r="DX35" t="s">
        <v>73</v>
      </c>
      <c r="DY35" t="s">
        <v>73</v>
      </c>
      <c r="DZ35" t="s">
        <v>73</v>
      </c>
      <c r="EA35">
        <v>9109</v>
      </c>
      <c r="EB35">
        <v>8174</v>
      </c>
      <c r="EC35">
        <v>3429962</v>
      </c>
      <c r="ED35">
        <v>19970</v>
      </c>
      <c r="EE35">
        <v>3121</v>
      </c>
      <c r="EF35">
        <v>2391</v>
      </c>
      <c r="EG35">
        <v>2480282</v>
      </c>
      <c r="EH35">
        <v>6448</v>
      </c>
      <c r="EI35">
        <v>15850</v>
      </c>
      <c r="EJ35">
        <v>7654</v>
      </c>
      <c r="EK35">
        <v>3737864</v>
      </c>
      <c r="EL35">
        <v>18130</v>
      </c>
    </row>
    <row r="36" spans="1:142" x14ac:dyDescent="0.4">
      <c r="A36" s="1" t="s">
        <v>60</v>
      </c>
      <c r="B36" s="1" t="s">
        <v>61</v>
      </c>
      <c r="C36">
        <v>1416</v>
      </c>
      <c r="D36">
        <v>1602</v>
      </c>
      <c r="E36">
        <v>1013875</v>
      </c>
      <c r="F36">
        <v>1797</v>
      </c>
      <c r="G36">
        <v>1055</v>
      </c>
      <c r="H36">
        <v>699</v>
      </c>
      <c r="I36">
        <v>646156</v>
      </c>
      <c r="J36">
        <v>1102</v>
      </c>
      <c r="K36">
        <v>9134</v>
      </c>
      <c r="L36">
        <v>9184</v>
      </c>
      <c r="M36">
        <v>910518</v>
      </c>
      <c r="N36">
        <v>2406</v>
      </c>
      <c r="O36">
        <v>6690</v>
      </c>
      <c r="P36">
        <v>6742</v>
      </c>
      <c r="Q36">
        <v>3731708</v>
      </c>
      <c r="R36">
        <v>6342</v>
      </c>
      <c r="S36">
        <v>3540</v>
      </c>
      <c r="T36">
        <v>2485</v>
      </c>
      <c r="U36">
        <v>343054</v>
      </c>
      <c r="V36">
        <v>1338</v>
      </c>
      <c r="W36">
        <v>123</v>
      </c>
      <c r="X36">
        <v>166</v>
      </c>
      <c r="Y36">
        <v>1294498</v>
      </c>
      <c r="Z36">
        <v>234</v>
      </c>
      <c r="AA36">
        <v>1363</v>
      </c>
      <c r="AB36">
        <v>1131</v>
      </c>
      <c r="AC36">
        <v>614587</v>
      </c>
      <c r="AD36">
        <v>2111</v>
      </c>
      <c r="AE36">
        <v>2819</v>
      </c>
      <c r="AF36">
        <v>1934</v>
      </c>
      <c r="AG36">
        <v>298779</v>
      </c>
      <c r="AH36">
        <v>593</v>
      </c>
      <c r="AI36">
        <v>807</v>
      </c>
      <c r="AJ36">
        <v>766</v>
      </c>
      <c r="AK36">
        <v>320539</v>
      </c>
      <c r="AL36">
        <v>514</v>
      </c>
      <c r="AM36">
        <v>3929</v>
      </c>
      <c r="AN36">
        <v>2996</v>
      </c>
      <c r="AO36">
        <v>1212733</v>
      </c>
      <c r="AP36">
        <v>4172</v>
      </c>
      <c r="AQ36">
        <v>2238</v>
      </c>
      <c r="AR36">
        <v>1210</v>
      </c>
      <c r="AS36">
        <v>535677</v>
      </c>
      <c r="AT36">
        <v>3927</v>
      </c>
      <c r="AU36">
        <v>3685</v>
      </c>
      <c r="AV36">
        <v>2119</v>
      </c>
      <c r="AW36">
        <v>1226617</v>
      </c>
      <c r="AX36">
        <v>9828</v>
      </c>
      <c r="AY36">
        <v>7112</v>
      </c>
      <c r="AZ36">
        <v>7533</v>
      </c>
      <c r="BA36">
        <v>6569323</v>
      </c>
      <c r="BB36">
        <v>16796</v>
      </c>
      <c r="BC36">
        <v>8029</v>
      </c>
      <c r="BD36">
        <v>7751</v>
      </c>
      <c r="BE36">
        <v>6366435</v>
      </c>
      <c r="BF36">
        <v>2778</v>
      </c>
      <c r="BG36">
        <v>5069</v>
      </c>
      <c r="BH36">
        <v>4811</v>
      </c>
      <c r="BI36">
        <v>3170818</v>
      </c>
      <c r="BJ36">
        <v>1126</v>
      </c>
      <c r="BK36">
        <v>27125</v>
      </c>
      <c r="BL36">
        <v>19360</v>
      </c>
      <c r="BM36">
        <v>4747080</v>
      </c>
      <c r="BN36">
        <v>25061</v>
      </c>
      <c r="BO36">
        <v>7696</v>
      </c>
      <c r="BP36">
        <v>6335</v>
      </c>
      <c r="BQ36">
        <v>2271889</v>
      </c>
      <c r="BR36">
        <v>12378</v>
      </c>
      <c r="BS36">
        <v>2528</v>
      </c>
      <c r="BT36">
        <v>1762</v>
      </c>
      <c r="BU36">
        <v>1349032</v>
      </c>
      <c r="BV36">
        <v>2233</v>
      </c>
      <c r="BW36">
        <v>39799</v>
      </c>
      <c r="BX36">
        <v>14711</v>
      </c>
      <c r="BY36">
        <v>1955401</v>
      </c>
      <c r="BZ36">
        <v>12146</v>
      </c>
      <c r="CA36">
        <v>15334</v>
      </c>
      <c r="CB36">
        <v>10325</v>
      </c>
      <c r="CC36">
        <v>4932834</v>
      </c>
      <c r="CD36">
        <v>58644</v>
      </c>
      <c r="CE36">
        <v>226225</v>
      </c>
      <c r="CF36">
        <v>180382</v>
      </c>
      <c r="CG36">
        <v>14256264</v>
      </c>
      <c r="CH36">
        <v>29823</v>
      </c>
      <c r="CI36">
        <v>107146</v>
      </c>
      <c r="CJ36">
        <v>95370</v>
      </c>
      <c r="CK36">
        <v>14314900</v>
      </c>
      <c r="CL36">
        <v>161835</v>
      </c>
      <c r="CM36">
        <v>7988</v>
      </c>
      <c r="CN36">
        <v>6988</v>
      </c>
      <c r="CO36">
        <v>2167126</v>
      </c>
      <c r="CP36">
        <v>14151</v>
      </c>
      <c r="CQ36">
        <v>10277</v>
      </c>
      <c r="CR36">
        <v>9829</v>
      </c>
      <c r="CS36">
        <v>2828941</v>
      </c>
      <c r="CT36">
        <v>18331</v>
      </c>
      <c r="CU36" t="s">
        <v>73</v>
      </c>
      <c r="CV36" t="s">
        <v>73</v>
      </c>
      <c r="CW36" t="s">
        <v>73</v>
      </c>
      <c r="CX36" t="s">
        <v>73</v>
      </c>
      <c r="CY36">
        <v>16425</v>
      </c>
      <c r="CZ36">
        <v>13063</v>
      </c>
      <c r="DA36">
        <v>9489870</v>
      </c>
      <c r="DB36">
        <v>48270</v>
      </c>
      <c r="DC36">
        <v>2871</v>
      </c>
      <c r="DD36">
        <v>2159</v>
      </c>
      <c r="DE36">
        <v>8809822</v>
      </c>
      <c r="DF36">
        <v>10941</v>
      </c>
      <c r="DG36">
        <v>16637</v>
      </c>
      <c r="DH36">
        <v>16176</v>
      </c>
      <c r="DI36">
        <v>6475995</v>
      </c>
      <c r="DJ36">
        <v>39227</v>
      </c>
      <c r="DK36" t="s">
        <v>73</v>
      </c>
      <c r="DL36" t="s">
        <v>73</v>
      </c>
      <c r="DM36" t="s">
        <v>73</v>
      </c>
      <c r="DN36" t="s">
        <v>73</v>
      </c>
      <c r="DO36">
        <v>7058</v>
      </c>
      <c r="DP36">
        <v>120</v>
      </c>
      <c r="DQ36">
        <v>70281</v>
      </c>
      <c r="DR36">
        <v>6335</v>
      </c>
      <c r="DS36" t="s">
        <v>73</v>
      </c>
      <c r="DT36" t="s">
        <v>73</v>
      </c>
      <c r="DU36" t="s">
        <v>73</v>
      </c>
      <c r="DV36" t="s">
        <v>73</v>
      </c>
      <c r="DW36" t="s">
        <v>73</v>
      </c>
      <c r="DX36" t="s">
        <v>73</v>
      </c>
      <c r="DY36" t="s">
        <v>73</v>
      </c>
      <c r="DZ36" t="s">
        <v>73</v>
      </c>
      <c r="EA36">
        <v>9175</v>
      </c>
      <c r="EB36">
        <v>8471</v>
      </c>
      <c r="EC36">
        <v>3581004</v>
      </c>
      <c r="ED36">
        <v>20709</v>
      </c>
      <c r="EE36">
        <v>3363</v>
      </c>
      <c r="EF36">
        <v>2529</v>
      </c>
      <c r="EG36">
        <v>2706808</v>
      </c>
      <c r="EH36">
        <v>6347</v>
      </c>
      <c r="EI36">
        <v>13903</v>
      </c>
      <c r="EJ36">
        <v>6369</v>
      </c>
      <c r="EK36">
        <v>3466764</v>
      </c>
      <c r="EL36">
        <v>19322</v>
      </c>
    </row>
    <row r="37" spans="1:142" x14ac:dyDescent="0.4">
      <c r="A37" s="1" t="s">
        <v>62</v>
      </c>
      <c r="B37" s="1" t="s">
        <v>63</v>
      </c>
      <c r="C37">
        <v>1445</v>
      </c>
      <c r="D37">
        <v>1779</v>
      </c>
      <c r="E37">
        <v>1151153</v>
      </c>
      <c r="F37">
        <v>1632</v>
      </c>
      <c r="G37">
        <v>1069</v>
      </c>
      <c r="H37">
        <v>750</v>
      </c>
      <c r="I37">
        <v>672398</v>
      </c>
      <c r="J37">
        <v>1126</v>
      </c>
      <c r="K37">
        <v>8901</v>
      </c>
      <c r="L37">
        <v>8751</v>
      </c>
      <c r="M37">
        <v>859010</v>
      </c>
      <c r="N37">
        <v>2554</v>
      </c>
      <c r="O37">
        <v>7128</v>
      </c>
      <c r="P37">
        <v>6730</v>
      </c>
      <c r="Q37">
        <v>3585904</v>
      </c>
      <c r="R37">
        <v>6492</v>
      </c>
      <c r="S37">
        <v>3265</v>
      </c>
      <c r="T37">
        <v>2534</v>
      </c>
      <c r="U37">
        <v>347539</v>
      </c>
      <c r="V37">
        <v>1390</v>
      </c>
      <c r="W37">
        <v>127</v>
      </c>
      <c r="X37">
        <v>155</v>
      </c>
      <c r="Y37">
        <v>1274608</v>
      </c>
      <c r="Z37">
        <v>228</v>
      </c>
      <c r="AA37">
        <v>1655</v>
      </c>
      <c r="AB37">
        <v>1217</v>
      </c>
      <c r="AC37">
        <v>702819</v>
      </c>
      <c r="AD37">
        <v>2430</v>
      </c>
      <c r="AE37">
        <v>2704</v>
      </c>
      <c r="AF37">
        <v>1813</v>
      </c>
      <c r="AG37">
        <v>275903</v>
      </c>
      <c r="AH37">
        <v>624</v>
      </c>
      <c r="AI37">
        <v>818</v>
      </c>
      <c r="AJ37">
        <v>738</v>
      </c>
      <c r="AK37">
        <v>307262</v>
      </c>
      <c r="AL37">
        <v>544</v>
      </c>
      <c r="AM37">
        <v>3912</v>
      </c>
      <c r="AN37">
        <v>2930</v>
      </c>
      <c r="AO37">
        <v>1206768</v>
      </c>
      <c r="AP37">
        <v>4552</v>
      </c>
      <c r="AQ37">
        <v>2665</v>
      </c>
      <c r="AR37">
        <v>1225</v>
      </c>
      <c r="AS37">
        <v>593091</v>
      </c>
      <c r="AT37">
        <v>4128</v>
      </c>
      <c r="AU37">
        <v>4184</v>
      </c>
      <c r="AV37">
        <v>2497</v>
      </c>
      <c r="AW37">
        <v>1377932</v>
      </c>
      <c r="AX37">
        <v>10366</v>
      </c>
      <c r="AY37">
        <v>7967</v>
      </c>
      <c r="AZ37">
        <v>7358</v>
      </c>
      <c r="BA37">
        <v>5920676</v>
      </c>
      <c r="BB37">
        <v>17118</v>
      </c>
      <c r="BC37">
        <v>8634</v>
      </c>
      <c r="BD37">
        <v>8220</v>
      </c>
      <c r="BE37">
        <v>6718112</v>
      </c>
      <c r="BF37">
        <v>2702</v>
      </c>
      <c r="BG37">
        <v>4754</v>
      </c>
      <c r="BH37">
        <v>4632</v>
      </c>
      <c r="BI37">
        <v>3024684</v>
      </c>
      <c r="BJ37">
        <v>1088</v>
      </c>
      <c r="BK37">
        <v>23652</v>
      </c>
      <c r="BL37">
        <v>19952</v>
      </c>
      <c r="BM37">
        <v>4957065</v>
      </c>
      <c r="BN37">
        <v>23334</v>
      </c>
      <c r="BO37">
        <v>7097</v>
      </c>
      <c r="BP37">
        <v>6549</v>
      </c>
      <c r="BQ37">
        <v>2215239</v>
      </c>
      <c r="BR37">
        <v>13089</v>
      </c>
      <c r="BS37">
        <v>2754</v>
      </c>
      <c r="BT37">
        <v>1923</v>
      </c>
      <c r="BU37">
        <v>1477473</v>
      </c>
      <c r="BV37">
        <v>2325</v>
      </c>
      <c r="BW37">
        <v>34480</v>
      </c>
      <c r="BX37">
        <v>8548</v>
      </c>
      <c r="BY37">
        <v>1121905</v>
      </c>
      <c r="BZ37">
        <v>13908</v>
      </c>
      <c r="CA37">
        <v>14810</v>
      </c>
      <c r="CB37">
        <v>9827</v>
      </c>
      <c r="CC37">
        <v>4899061</v>
      </c>
      <c r="CD37">
        <v>60117</v>
      </c>
      <c r="CE37">
        <v>198603</v>
      </c>
      <c r="CF37">
        <v>160342</v>
      </c>
      <c r="CG37">
        <v>13126255</v>
      </c>
      <c r="CH37">
        <v>24759</v>
      </c>
      <c r="CI37">
        <v>96638</v>
      </c>
      <c r="CJ37">
        <v>103475</v>
      </c>
      <c r="CK37">
        <v>15046914</v>
      </c>
      <c r="CL37">
        <v>155594</v>
      </c>
      <c r="CM37">
        <v>7150</v>
      </c>
      <c r="CN37">
        <v>8995</v>
      </c>
      <c r="CO37">
        <v>2654415</v>
      </c>
      <c r="CP37">
        <v>12306</v>
      </c>
      <c r="CQ37">
        <v>10416</v>
      </c>
      <c r="CR37">
        <v>10511</v>
      </c>
      <c r="CS37">
        <v>2965766</v>
      </c>
      <c r="CT37">
        <v>18236</v>
      </c>
      <c r="CU37" t="s">
        <v>73</v>
      </c>
      <c r="CV37" t="s">
        <v>73</v>
      </c>
      <c r="CW37" t="s">
        <v>73</v>
      </c>
      <c r="CX37" t="s">
        <v>73</v>
      </c>
      <c r="CY37">
        <v>13545</v>
      </c>
      <c r="CZ37">
        <v>11763</v>
      </c>
      <c r="DA37">
        <v>8491021</v>
      </c>
      <c r="DB37">
        <v>49523</v>
      </c>
      <c r="DC37">
        <v>2354</v>
      </c>
      <c r="DD37">
        <v>2470</v>
      </c>
      <c r="DE37">
        <v>10425585</v>
      </c>
      <c r="DF37">
        <v>10665</v>
      </c>
      <c r="DG37">
        <v>16520</v>
      </c>
      <c r="DH37">
        <v>14609</v>
      </c>
      <c r="DI37">
        <v>5915831</v>
      </c>
      <c r="DJ37">
        <v>41086</v>
      </c>
      <c r="DK37" t="s">
        <v>73</v>
      </c>
      <c r="DL37" t="s">
        <v>73</v>
      </c>
      <c r="DM37" t="s">
        <v>73</v>
      </c>
      <c r="DN37" t="s">
        <v>73</v>
      </c>
      <c r="DO37">
        <v>6504</v>
      </c>
      <c r="DP37">
        <v>140</v>
      </c>
      <c r="DQ37">
        <v>102621</v>
      </c>
      <c r="DR37">
        <v>6603</v>
      </c>
      <c r="DS37" t="s">
        <v>73</v>
      </c>
      <c r="DT37" t="s">
        <v>73</v>
      </c>
      <c r="DU37" t="s">
        <v>73</v>
      </c>
      <c r="DV37" t="s">
        <v>73</v>
      </c>
      <c r="DW37" t="s">
        <v>73</v>
      </c>
      <c r="DX37" t="s">
        <v>73</v>
      </c>
      <c r="DY37" t="s">
        <v>73</v>
      </c>
      <c r="DZ37" t="s">
        <v>73</v>
      </c>
      <c r="EA37">
        <v>8431</v>
      </c>
      <c r="EB37">
        <v>8246</v>
      </c>
      <c r="EC37">
        <v>3500784</v>
      </c>
      <c r="ED37">
        <v>20892</v>
      </c>
      <c r="EE37">
        <v>2439</v>
      </c>
      <c r="EF37">
        <v>2128</v>
      </c>
      <c r="EG37">
        <v>2289643</v>
      </c>
      <c r="EH37">
        <v>6132</v>
      </c>
      <c r="EI37">
        <v>10592</v>
      </c>
      <c r="EJ37">
        <v>6822</v>
      </c>
      <c r="EK37">
        <v>3665145</v>
      </c>
      <c r="EL37">
        <v>18916</v>
      </c>
    </row>
    <row r="38" spans="1:142" x14ac:dyDescent="0.4">
      <c r="A38" s="1" t="s">
        <v>64</v>
      </c>
      <c r="B38" s="1" t="s">
        <v>65</v>
      </c>
      <c r="C38">
        <v>1447</v>
      </c>
      <c r="D38">
        <v>1304</v>
      </c>
      <c r="E38">
        <v>868014</v>
      </c>
      <c r="F38">
        <v>1784</v>
      </c>
      <c r="G38">
        <v>1253</v>
      </c>
      <c r="H38">
        <v>789</v>
      </c>
      <c r="I38">
        <v>704892</v>
      </c>
      <c r="J38">
        <v>1237</v>
      </c>
      <c r="K38">
        <v>9290</v>
      </c>
      <c r="L38">
        <v>9277</v>
      </c>
      <c r="M38">
        <v>907822</v>
      </c>
      <c r="N38">
        <v>2575</v>
      </c>
      <c r="O38">
        <v>7888</v>
      </c>
      <c r="P38">
        <v>7805</v>
      </c>
      <c r="Q38">
        <v>4215804</v>
      </c>
      <c r="R38">
        <v>6487</v>
      </c>
      <c r="S38">
        <v>3167</v>
      </c>
      <c r="T38">
        <v>2878</v>
      </c>
      <c r="U38">
        <v>389145</v>
      </c>
      <c r="V38">
        <v>1058</v>
      </c>
      <c r="W38">
        <v>140</v>
      </c>
      <c r="X38">
        <v>159</v>
      </c>
      <c r="Y38">
        <v>1312876</v>
      </c>
      <c r="Z38">
        <v>233</v>
      </c>
      <c r="AA38">
        <v>1634</v>
      </c>
      <c r="AB38">
        <v>1835</v>
      </c>
      <c r="AC38">
        <v>1112419</v>
      </c>
      <c r="AD38">
        <v>2076</v>
      </c>
      <c r="AE38">
        <v>2988</v>
      </c>
      <c r="AF38">
        <v>2201</v>
      </c>
      <c r="AG38">
        <v>330562</v>
      </c>
      <c r="AH38">
        <v>593</v>
      </c>
      <c r="AI38">
        <v>868</v>
      </c>
      <c r="AJ38">
        <v>870</v>
      </c>
      <c r="AK38">
        <v>386240</v>
      </c>
      <c r="AL38">
        <v>501</v>
      </c>
      <c r="AM38">
        <v>4149</v>
      </c>
      <c r="AN38">
        <v>3644</v>
      </c>
      <c r="AO38">
        <v>1469662</v>
      </c>
      <c r="AP38">
        <v>4319</v>
      </c>
      <c r="AQ38">
        <v>2568</v>
      </c>
      <c r="AR38">
        <v>1311</v>
      </c>
      <c r="AS38">
        <v>587110</v>
      </c>
      <c r="AT38">
        <v>3943</v>
      </c>
      <c r="AU38">
        <v>4325</v>
      </c>
      <c r="AV38">
        <v>2744</v>
      </c>
      <c r="AW38">
        <v>1517687</v>
      </c>
      <c r="AX38">
        <v>10276</v>
      </c>
      <c r="AY38">
        <v>8700</v>
      </c>
      <c r="AZ38">
        <v>8991</v>
      </c>
      <c r="BA38">
        <v>7527515</v>
      </c>
      <c r="BB38">
        <v>16401</v>
      </c>
      <c r="BC38">
        <v>9216</v>
      </c>
      <c r="BD38">
        <v>8735</v>
      </c>
      <c r="BE38">
        <v>7434729</v>
      </c>
      <c r="BF38">
        <v>2615</v>
      </c>
      <c r="BG38">
        <v>5201</v>
      </c>
      <c r="BH38">
        <v>5154</v>
      </c>
      <c r="BI38">
        <v>3341823</v>
      </c>
      <c r="BJ38">
        <v>1080</v>
      </c>
      <c r="BK38">
        <v>23356</v>
      </c>
      <c r="BL38">
        <v>20234</v>
      </c>
      <c r="BM38">
        <v>5075633</v>
      </c>
      <c r="BN38">
        <v>18542</v>
      </c>
      <c r="BO38">
        <v>7853</v>
      </c>
      <c r="BP38">
        <v>8047</v>
      </c>
      <c r="BQ38">
        <v>2727482</v>
      </c>
      <c r="BR38">
        <v>13097</v>
      </c>
      <c r="BS38">
        <v>1876</v>
      </c>
      <c r="BT38">
        <v>1912</v>
      </c>
      <c r="BU38">
        <v>1507811</v>
      </c>
      <c r="BV38">
        <v>1657</v>
      </c>
      <c r="BW38">
        <v>26695</v>
      </c>
      <c r="BX38">
        <v>3950</v>
      </c>
      <c r="BY38">
        <v>601139</v>
      </c>
      <c r="BZ38">
        <v>12882</v>
      </c>
      <c r="CA38">
        <v>15045</v>
      </c>
      <c r="CB38">
        <v>12298</v>
      </c>
      <c r="CC38">
        <v>6453298</v>
      </c>
      <c r="CD38">
        <v>60863</v>
      </c>
      <c r="CE38">
        <v>179075</v>
      </c>
      <c r="CF38">
        <v>141551</v>
      </c>
      <c r="CG38">
        <v>14557816</v>
      </c>
      <c r="CH38">
        <v>24260</v>
      </c>
      <c r="CI38">
        <v>79842</v>
      </c>
      <c r="CJ38">
        <v>118315</v>
      </c>
      <c r="CK38">
        <v>17573523</v>
      </c>
      <c r="CL38">
        <v>118305</v>
      </c>
      <c r="CM38">
        <v>8183</v>
      </c>
      <c r="CN38">
        <v>9924</v>
      </c>
      <c r="CO38">
        <v>2956892</v>
      </c>
      <c r="CP38">
        <v>11308</v>
      </c>
      <c r="CQ38">
        <v>10304</v>
      </c>
      <c r="CR38">
        <v>10681</v>
      </c>
      <c r="CS38">
        <v>3093962</v>
      </c>
      <c r="CT38">
        <v>17858</v>
      </c>
      <c r="CU38" t="s">
        <v>73</v>
      </c>
      <c r="CV38" t="s">
        <v>73</v>
      </c>
      <c r="CW38" t="s">
        <v>73</v>
      </c>
      <c r="CX38" t="s">
        <v>73</v>
      </c>
      <c r="CY38">
        <v>12623</v>
      </c>
      <c r="CZ38">
        <v>13975</v>
      </c>
      <c r="DA38">
        <v>10170330</v>
      </c>
      <c r="DB38">
        <v>47909</v>
      </c>
      <c r="DC38">
        <v>2617</v>
      </c>
      <c r="DD38">
        <v>3235</v>
      </c>
      <c r="DE38">
        <v>13513068</v>
      </c>
      <c r="DF38">
        <v>9861</v>
      </c>
      <c r="DG38">
        <v>15151</v>
      </c>
      <c r="DH38">
        <v>15350</v>
      </c>
      <c r="DI38">
        <v>6456592</v>
      </c>
      <c r="DJ38">
        <v>40700</v>
      </c>
      <c r="DK38" t="s">
        <v>73</v>
      </c>
      <c r="DL38" t="s">
        <v>73</v>
      </c>
      <c r="DM38" t="s">
        <v>73</v>
      </c>
      <c r="DN38" t="s">
        <v>73</v>
      </c>
      <c r="DO38">
        <v>4036</v>
      </c>
      <c r="DP38">
        <v>180</v>
      </c>
      <c r="DQ38">
        <v>135769</v>
      </c>
      <c r="DR38">
        <v>4659</v>
      </c>
      <c r="DS38" t="s">
        <v>73</v>
      </c>
      <c r="DT38" t="s">
        <v>73</v>
      </c>
      <c r="DU38" t="s">
        <v>73</v>
      </c>
      <c r="DV38" t="s">
        <v>73</v>
      </c>
      <c r="DW38" t="s">
        <v>73</v>
      </c>
      <c r="DX38" t="s">
        <v>73</v>
      </c>
      <c r="DY38" t="s">
        <v>73</v>
      </c>
      <c r="DZ38" t="s">
        <v>73</v>
      </c>
      <c r="EA38">
        <v>8644</v>
      </c>
      <c r="EB38">
        <v>8559</v>
      </c>
      <c r="EC38">
        <v>3708612</v>
      </c>
      <c r="ED38">
        <v>20897</v>
      </c>
      <c r="EE38">
        <v>2328</v>
      </c>
      <c r="EF38">
        <v>2463</v>
      </c>
      <c r="EG38">
        <v>2626260</v>
      </c>
      <c r="EH38">
        <v>5364</v>
      </c>
      <c r="EI38">
        <v>8920</v>
      </c>
      <c r="EJ38">
        <v>7090</v>
      </c>
      <c r="EK38">
        <v>3595904</v>
      </c>
      <c r="EL38">
        <v>16955</v>
      </c>
    </row>
    <row r="39" spans="1:142" x14ac:dyDescent="0.4">
      <c r="A39" s="1"/>
      <c r="B39" s="1"/>
    </row>
    <row r="40" spans="1:142" x14ac:dyDescent="0.4">
      <c r="A40" s="1"/>
      <c r="B40" s="1"/>
    </row>
  </sheetData>
  <phoneticPr fontId="2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CD0E9-1003-42C2-BDDE-3E5A0621F61B}">
  <dimension ref="A1:DV40"/>
  <sheetViews>
    <sheetView workbookViewId="0">
      <selection activeCell="C9" sqref="C9"/>
    </sheetView>
  </sheetViews>
  <sheetFormatPr defaultColWidth="15.62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2632</v>
      </c>
      <c r="D3" t="s">
        <v>2632</v>
      </c>
      <c r="E3" t="s">
        <v>2632</v>
      </c>
      <c r="F3" t="s">
        <v>2632</v>
      </c>
      <c r="G3" t="s">
        <v>2634</v>
      </c>
      <c r="H3" t="s">
        <v>2634</v>
      </c>
      <c r="I3" t="s">
        <v>2634</v>
      </c>
      <c r="J3" t="s">
        <v>2634</v>
      </c>
      <c r="K3" t="s">
        <v>2636</v>
      </c>
      <c r="L3" t="s">
        <v>2636</v>
      </c>
      <c r="M3" t="s">
        <v>2636</v>
      </c>
      <c r="N3" t="s">
        <v>2636</v>
      </c>
      <c r="O3" t="s">
        <v>2638</v>
      </c>
      <c r="P3" t="s">
        <v>2638</v>
      </c>
      <c r="Q3" t="s">
        <v>2638</v>
      </c>
      <c r="R3" t="s">
        <v>2638</v>
      </c>
      <c r="S3" t="s">
        <v>2640</v>
      </c>
      <c r="T3" t="s">
        <v>2640</v>
      </c>
      <c r="U3" t="s">
        <v>2640</v>
      </c>
      <c r="V3" t="s">
        <v>2640</v>
      </c>
      <c r="W3" t="s">
        <v>2642</v>
      </c>
      <c r="X3" t="s">
        <v>2642</v>
      </c>
      <c r="Y3" t="s">
        <v>2642</v>
      </c>
      <c r="Z3" t="s">
        <v>2642</v>
      </c>
      <c r="AA3" t="s">
        <v>2644</v>
      </c>
      <c r="AB3" t="s">
        <v>2644</v>
      </c>
      <c r="AC3" t="s">
        <v>2644</v>
      </c>
      <c r="AD3" t="s">
        <v>2644</v>
      </c>
      <c r="AE3" t="s">
        <v>2646</v>
      </c>
      <c r="AF3" t="s">
        <v>2646</v>
      </c>
      <c r="AG3" t="s">
        <v>2646</v>
      </c>
      <c r="AH3" t="s">
        <v>2646</v>
      </c>
      <c r="AI3" t="s">
        <v>2648</v>
      </c>
      <c r="AJ3" t="s">
        <v>2648</v>
      </c>
      <c r="AK3" t="s">
        <v>2648</v>
      </c>
      <c r="AL3" t="s">
        <v>2648</v>
      </c>
      <c r="AM3" t="s">
        <v>2650</v>
      </c>
      <c r="AN3" t="s">
        <v>2650</v>
      </c>
      <c r="AO3" t="s">
        <v>2650</v>
      </c>
      <c r="AP3" t="s">
        <v>2650</v>
      </c>
      <c r="AQ3" t="s">
        <v>2652</v>
      </c>
      <c r="AR3" t="s">
        <v>2652</v>
      </c>
      <c r="AS3" t="s">
        <v>2652</v>
      </c>
      <c r="AT3" t="s">
        <v>2652</v>
      </c>
      <c r="AU3" t="s">
        <v>2654</v>
      </c>
      <c r="AV3" t="s">
        <v>2654</v>
      </c>
      <c r="AW3" t="s">
        <v>2654</v>
      </c>
      <c r="AX3" t="s">
        <v>2654</v>
      </c>
      <c r="AY3" t="s">
        <v>2656</v>
      </c>
      <c r="AZ3" t="s">
        <v>2656</v>
      </c>
      <c r="BA3" t="s">
        <v>2656</v>
      </c>
      <c r="BB3" t="s">
        <v>2656</v>
      </c>
      <c r="BC3" t="s">
        <v>2658</v>
      </c>
      <c r="BD3" t="s">
        <v>2658</v>
      </c>
      <c r="BE3" t="s">
        <v>2658</v>
      </c>
      <c r="BF3" t="s">
        <v>2658</v>
      </c>
      <c r="BG3" t="s">
        <v>2660</v>
      </c>
      <c r="BH3" t="s">
        <v>2660</v>
      </c>
      <c r="BI3" t="s">
        <v>2660</v>
      </c>
      <c r="BJ3" t="s">
        <v>2660</v>
      </c>
      <c r="BK3" t="s">
        <v>2662</v>
      </c>
      <c r="BL3" t="s">
        <v>2662</v>
      </c>
      <c r="BM3" t="s">
        <v>2662</v>
      </c>
      <c r="BN3" t="s">
        <v>2662</v>
      </c>
      <c r="BO3" t="s">
        <v>2664</v>
      </c>
      <c r="BP3" t="s">
        <v>2664</v>
      </c>
      <c r="BQ3" t="s">
        <v>2664</v>
      </c>
      <c r="BR3" t="s">
        <v>2664</v>
      </c>
      <c r="BS3" t="s">
        <v>2666</v>
      </c>
      <c r="BT3" t="s">
        <v>2666</v>
      </c>
      <c r="BU3" t="s">
        <v>2666</v>
      </c>
      <c r="BV3" t="s">
        <v>2666</v>
      </c>
      <c r="BW3" t="s">
        <v>2668</v>
      </c>
      <c r="BX3" t="s">
        <v>2668</v>
      </c>
      <c r="BY3" t="s">
        <v>2668</v>
      </c>
      <c r="BZ3" t="s">
        <v>2668</v>
      </c>
      <c r="CA3" t="s">
        <v>2670</v>
      </c>
      <c r="CB3" t="s">
        <v>2670</v>
      </c>
      <c r="CC3" t="s">
        <v>2670</v>
      </c>
      <c r="CD3" t="s">
        <v>2670</v>
      </c>
      <c r="CE3" t="s">
        <v>2672</v>
      </c>
      <c r="CF3" t="s">
        <v>2672</v>
      </c>
      <c r="CG3" t="s">
        <v>2672</v>
      </c>
      <c r="CH3" t="s">
        <v>2672</v>
      </c>
      <c r="CI3" t="s">
        <v>2674</v>
      </c>
      <c r="CJ3" t="s">
        <v>2674</v>
      </c>
      <c r="CK3" t="s">
        <v>2674</v>
      </c>
      <c r="CL3" t="s">
        <v>2674</v>
      </c>
      <c r="CM3" t="s">
        <v>2676</v>
      </c>
      <c r="CN3" t="s">
        <v>2676</v>
      </c>
      <c r="CO3" t="s">
        <v>2676</v>
      </c>
      <c r="CP3" t="s">
        <v>2676</v>
      </c>
      <c r="CQ3" t="s">
        <v>2678</v>
      </c>
      <c r="CR3" t="s">
        <v>2678</v>
      </c>
      <c r="CS3" t="s">
        <v>2678</v>
      </c>
      <c r="CT3" t="s">
        <v>2678</v>
      </c>
      <c r="CU3" t="s">
        <v>2680</v>
      </c>
      <c r="CV3" t="s">
        <v>2680</v>
      </c>
      <c r="CW3" t="s">
        <v>2680</v>
      </c>
      <c r="CX3" t="s">
        <v>2680</v>
      </c>
      <c r="CY3" t="s">
        <v>2682</v>
      </c>
      <c r="CZ3" t="s">
        <v>2682</v>
      </c>
      <c r="DA3" t="s">
        <v>2682</v>
      </c>
      <c r="DB3" t="s">
        <v>2682</v>
      </c>
      <c r="DC3" t="s">
        <v>2684</v>
      </c>
      <c r="DD3" t="s">
        <v>2684</v>
      </c>
      <c r="DE3" t="s">
        <v>2684</v>
      </c>
      <c r="DF3" t="s">
        <v>2684</v>
      </c>
      <c r="DG3" t="s">
        <v>2686</v>
      </c>
      <c r="DH3" t="s">
        <v>2686</v>
      </c>
      <c r="DI3" t="s">
        <v>2686</v>
      </c>
      <c r="DJ3" t="s">
        <v>2686</v>
      </c>
      <c r="DK3" t="s">
        <v>2688</v>
      </c>
      <c r="DL3" t="s">
        <v>2688</v>
      </c>
      <c r="DM3" t="s">
        <v>2688</v>
      </c>
      <c r="DN3" t="s">
        <v>2688</v>
      </c>
      <c r="DO3" t="s">
        <v>2690</v>
      </c>
      <c r="DP3" t="s">
        <v>2690</v>
      </c>
      <c r="DQ3" t="s">
        <v>2690</v>
      </c>
      <c r="DR3" t="s">
        <v>2690</v>
      </c>
      <c r="DS3" t="s">
        <v>2692</v>
      </c>
      <c r="DT3" t="s">
        <v>2692</v>
      </c>
      <c r="DU3" t="s">
        <v>2692</v>
      </c>
      <c r="DV3" t="s">
        <v>2692</v>
      </c>
    </row>
    <row r="4" spans="1:126" x14ac:dyDescent="0.4">
      <c r="A4" s="1"/>
      <c r="B4" s="2" t="s">
        <v>1</v>
      </c>
      <c r="C4" t="s">
        <v>2633</v>
      </c>
      <c r="D4" t="s">
        <v>2633</v>
      </c>
      <c r="E4" t="s">
        <v>2633</v>
      </c>
      <c r="F4" t="s">
        <v>2633</v>
      </c>
      <c r="G4" t="s">
        <v>2635</v>
      </c>
      <c r="H4" t="s">
        <v>2635</v>
      </c>
      <c r="I4" t="s">
        <v>2635</v>
      </c>
      <c r="J4" t="s">
        <v>2635</v>
      </c>
      <c r="K4" t="s">
        <v>2637</v>
      </c>
      <c r="L4" t="s">
        <v>2637</v>
      </c>
      <c r="M4" t="s">
        <v>2637</v>
      </c>
      <c r="N4" t="s">
        <v>2637</v>
      </c>
      <c r="O4" t="s">
        <v>2639</v>
      </c>
      <c r="P4" t="s">
        <v>2639</v>
      </c>
      <c r="Q4" t="s">
        <v>2639</v>
      </c>
      <c r="R4" t="s">
        <v>2639</v>
      </c>
      <c r="S4" t="s">
        <v>2641</v>
      </c>
      <c r="T4" t="s">
        <v>2641</v>
      </c>
      <c r="U4" t="s">
        <v>2641</v>
      </c>
      <c r="V4" t="s">
        <v>2641</v>
      </c>
      <c r="W4" t="s">
        <v>2643</v>
      </c>
      <c r="X4" t="s">
        <v>2643</v>
      </c>
      <c r="Y4" t="s">
        <v>2643</v>
      </c>
      <c r="Z4" t="s">
        <v>2643</v>
      </c>
      <c r="AA4" t="s">
        <v>2645</v>
      </c>
      <c r="AB4" t="s">
        <v>2645</v>
      </c>
      <c r="AC4" t="s">
        <v>2645</v>
      </c>
      <c r="AD4" t="s">
        <v>2645</v>
      </c>
      <c r="AE4" t="s">
        <v>2647</v>
      </c>
      <c r="AF4" t="s">
        <v>2647</v>
      </c>
      <c r="AG4" t="s">
        <v>2647</v>
      </c>
      <c r="AH4" t="s">
        <v>2647</v>
      </c>
      <c r="AI4" t="s">
        <v>2649</v>
      </c>
      <c r="AJ4" t="s">
        <v>2649</v>
      </c>
      <c r="AK4" t="s">
        <v>2649</v>
      </c>
      <c r="AL4" t="s">
        <v>2649</v>
      </c>
      <c r="AM4" t="s">
        <v>2651</v>
      </c>
      <c r="AN4" t="s">
        <v>2651</v>
      </c>
      <c r="AO4" t="s">
        <v>2651</v>
      </c>
      <c r="AP4" t="s">
        <v>2651</v>
      </c>
      <c r="AQ4" t="s">
        <v>2653</v>
      </c>
      <c r="AR4" t="s">
        <v>2653</v>
      </c>
      <c r="AS4" t="s">
        <v>2653</v>
      </c>
      <c r="AT4" t="s">
        <v>2653</v>
      </c>
      <c r="AU4" t="s">
        <v>2655</v>
      </c>
      <c r="AV4" t="s">
        <v>2655</v>
      </c>
      <c r="AW4" t="s">
        <v>2655</v>
      </c>
      <c r="AX4" t="s">
        <v>2655</v>
      </c>
      <c r="AY4" t="s">
        <v>2657</v>
      </c>
      <c r="AZ4" t="s">
        <v>2657</v>
      </c>
      <c r="BA4" t="s">
        <v>2657</v>
      </c>
      <c r="BB4" t="s">
        <v>2657</v>
      </c>
      <c r="BC4" t="s">
        <v>2659</v>
      </c>
      <c r="BD4" t="s">
        <v>2659</v>
      </c>
      <c r="BE4" t="s">
        <v>2659</v>
      </c>
      <c r="BF4" t="s">
        <v>2659</v>
      </c>
      <c r="BG4" t="s">
        <v>2661</v>
      </c>
      <c r="BH4" t="s">
        <v>2661</v>
      </c>
      <c r="BI4" t="s">
        <v>2661</v>
      </c>
      <c r="BJ4" t="s">
        <v>2661</v>
      </c>
      <c r="BK4" t="s">
        <v>2663</v>
      </c>
      <c r="BL4" t="s">
        <v>2663</v>
      </c>
      <c r="BM4" t="s">
        <v>2663</v>
      </c>
      <c r="BN4" t="s">
        <v>2663</v>
      </c>
      <c r="BO4" t="s">
        <v>2665</v>
      </c>
      <c r="BP4" t="s">
        <v>2665</v>
      </c>
      <c r="BQ4" t="s">
        <v>2665</v>
      </c>
      <c r="BR4" t="s">
        <v>2665</v>
      </c>
      <c r="BS4" t="s">
        <v>2667</v>
      </c>
      <c r="BT4" t="s">
        <v>2667</v>
      </c>
      <c r="BU4" t="s">
        <v>2667</v>
      </c>
      <c r="BV4" t="s">
        <v>2667</v>
      </c>
      <c r="BW4" t="s">
        <v>2669</v>
      </c>
      <c r="BX4" t="s">
        <v>2669</v>
      </c>
      <c r="BY4" t="s">
        <v>2669</v>
      </c>
      <c r="BZ4" t="s">
        <v>2669</v>
      </c>
      <c r="CA4" t="s">
        <v>2671</v>
      </c>
      <c r="CB4" t="s">
        <v>2671</v>
      </c>
      <c r="CC4" t="s">
        <v>2671</v>
      </c>
      <c r="CD4" t="s">
        <v>2671</v>
      </c>
      <c r="CE4" t="s">
        <v>2673</v>
      </c>
      <c r="CF4" t="s">
        <v>2673</v>
      </c>
      <c r="CG4" t="s">
        <v>2673</v>
      </c>
      <c r="CH4" t="s">
        <v>2673</v>
      </c>
      <c r="CI4" t="s">
        <v>2675</v>
      </c>
      <c r="CJ4" t="s">
        <v>2675</v>
      </c>
      <c r="CK4" t="s">
        <v>2675</v>
      </c>
      <c r="CL4" t="s">
        <v>2675</v>
      </c>
      <c r="CM4" t="s">
        <v>2677</v>
      </c>
      <c r="CN4" t="s">
        <v>2677</v>
      </c>
      <c r="CO4" t="s">
        <v>2677</v>
      </c>
      <c r="CP4" t="s">
        <v>2677</v>
      </c>
      <c r="CQ4" t="s">
        <v>2679</v>
      </c>
      <c r="CR4" t="s">
        <v>2679</v>
      </c>
      <c r="CS4" t="s">
        <v>2679</v>
      </c>
      <c r="CT4" t="s">
        <v>2679</v>
      </c>
      <c r="CU4" t="s">
        <v>2681</v>
      </c>
      <c r="CV4" t="s">
        <v>2681</v>
      </c>
      <c r="CW4" t="s">
        <v>2681</v>
      </c>
      <c r="CX4" t="s">
        <v>2681</v>
      </c>
      <c r="CY4" t="s">
        <v>2683</v>
      </c>
      <c r="CZ4" t="s">
        <v>2683</v>
      </c>
      <c r="DA4" t="s">
        <v>2683</v>
      </c>
      <c r="DB4" t="s">
        <v>2683</v>
      </c>
      <c r="DC4" t="s">
        <v>2685</v>
      </c>
      <c r="DD4" t="s">
        <v>2685</v>
      </c>
      <c r="DE4" t="s">
        <v>2685</v>
      </c>
      <c r="DF4" t="s">
        <v>2685</v>
      </c>
      <c r="DG4" t="s">
        <v>2687</v>
      </c>
      <c r="DH4" t="s">
        <v>2687</v>
      </c>
      <c r="DI4" t="s">
        <v>2687</v>
      </c>
      <c r="DJ4" t="s">
        <v>2687</v>
      </c>
      <c r="DK4" t="s">
        <v>2689</v>
      </c>
      <c r="DL4" t="s">
        <v>2689</v>
      </c>
      <c r="DM4" t="s">
        <v>2689</v>
      </c>
      <c r="DN4" t="s">
        <v>2689</v>
      </c>
      <c r="DO4" t="s">
        <v>2691</v>
      </c>
      <c r="DP4" t="s">
        <v>2691</v>
      </c>
      <c r="DQ4" t="s">
        <v>2691</v>
      </c>
      <c r="DR4" t="s">
        <v>2691</v>
      </c>
      <c r="DS4" t="s">
        <v>2693</v>
      </c>
      <c r="DT4" t="s">
        <v>2693</v>
      </c>
      <c r="DU4" t="s">
        <v>2693</v>
      </c>
      <c r="DV4" t="s">
        <v>2693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</row>
    <row r="9" spans="1:126" x14ac:dyDescent="0.4">
      <c r="A9" s="1" t="s">
        <v>6</v>
      </c>
      <c r="B9" s="3" t="s">
        <v>7</v>
      </c>
      <c r="C9">
        <v>115897</v>
      </c>
      <c r="D9">
        <v>31142</v>
      </c>
      <c r="E9">
        <v>3631261</v>
      </c>
      <c r="F9">
        <v>1575</v>
      </c>
      <c r="G9">
        <v>42544</v>
      </c>
      <c r="H9">
        <v>27454</v>
      </c>
      <c r="I9">
        <v>3277830</v>
      </c>
      <c r="J9">
        <v>1907</v>
      </c>
      <c r="K9">
        <v>72924</v>
      </c>
      <c r="L9">
        <v>22776</v>
      </c>
      <c r="M9">
        <v>5020304</v>
      </c>
      <c r="N9">
        <v>2987</v>
      </c>
      <c r="O9">
        <v>35305</v>
      </c>
      <c r="P9">
        <v>61302</v>
      </c>
      <c r="Q9">
        <v>11514870</v>
      </c>
      <c r="R9">
        <v>7296</v>
      </c>
      <c r="S9">
        <v>23699</v>
      </c>
      <c r="T9">
        <v>33192</v>
      </c>
      <c r="U9">
        <v>21238921</v>
      </c>
      <c r="V9">
        <v>4156</v>
      </c>
      <c r="W9">
        <v>66851</v>
      </c>
      <c r="X9">
        <v>94332</v>
      </c>
      <c r="Y9">
        <v>37754671</v>
      </c>
      <c r="Z9">
        <v>3244</v>
      </c>
      <c r="AA9">
        <v>36553</v>
      </c>
      <c r="AB9">
        <v>25669</v>
      </c>
      <c r="AC9">
        <v>6527495</v>
      </c>
      <c r="AD9">
        <v>2392</v>
      </c>
      <c r="AE9">
        <v>136985</v>
      </c>
      <c r="AF9">
        <v>143074</v>
      </c>
      <c r="AG9">
        <v>77243192</v>
      </c>
      <c r="AH9">
        <v>9413</v>
      </c>
      <c r="AI9">
        <v>124489</v>
      </c>
      <c r="AJ9">
        <v>118900</v>
      </c>
      <c r="AK9">
        <v>28519087</v>
      </c>
      <c r="AL9">
        <v>2706</v>
      </c>
      <c r="AM9">
        <v>434098</v>
      </c>
      <c r="AN9">
        <v>428334</v>
      </c>
      <c r="AO9">
        <v>118492326</v>
      </c>
      <c r="AP9">
        <v>7517</v>
      </c>
      <c r="AQ9">
        <v>225262</v>
      </c>
      <c r="AR9">
        <v>212513</v>
      </c>
      <c r="AS9">
        <v>52301942</v>
      </c>
      <c r="AT9">
        <v>8718</v>
      </c>
      <c r="AU9">
        <v>264109</v>
      </c>
      <c r="AV9">
        <v>255444</v>
      </c>
      <c r="AW9">
        <v>65536280</v>
      </c>
      <c r="AX9">
        <v>8367</v>
      </c>
      <c r="AY9">
        <v>147190</v>
      </c>
      <c r="AZ9">
        <v>139148</v>
      </c>
      <c r="BA9">
        <v>42779863</v>
      </c>
      <c r="BB9">
        <v>6432</v>
      </c>
      <c r="BC9">
        <v>397029</v>
      </c>
      <c r="BD9">
        <v>395615</v>
      </c>
      <c r="BE9">
        <v>120486611</v>
      </c>
      <c r="BF9">
        <v>9302</v>
      </c>
      <c r="BG9">
        <v>133801</v>
      </c>
      <c r="BH9">
        <v>128878</v>
      </c>
      <c r="BI9">
        <v>34729110</v>
      </c>
      <c r="BJ9">
        <v>4744</v>
      </c>
      <c r="BK9">
        <v>139805</v>
      </c>
      <c r="BL9">
        <v>129335</v>
      </c>
      <c r="BM9">
        <v>24592582</v>
      </c>
      <c r="BN9">
        <v>3867</v>
      </c>
      <c r="BO9">
        <v>118156</v>
      </c>
      <c r="BP9">
        <v>121705</v>
      </c>
      <c r="BQ9">
        <v>19338454</v>
      </c>
      <c r="BR9">
        <v>3820</v>
      </c>
      <c r="BS9">
        <v>3288</v>
      </c>
      <c r="BT9">
        <v>3563</v>
      </c>
      <c r="BU9">
        <v>606498</v>
      </c>
      <c r="BV9">
        <v>160</v>
      </c>
      <c r="BW9">
        <v>142753</v>
      </c>
      <c r="BX9">
        <v>71901</v>
      </c>
      <c r="BY9">
        <v>13489980</v>
      </c>
      <c r="BZ9">
        <v>9916</v>
      </c>
      <c r="CA9">
        <v>56795</v>
      </c>
      <c r="CB9">
        <v>39456</v>
      </c>
      <c r="CC9">
        <v>6739214</v>
      </c>
      <c r="CD9">
        <v>4138</v>
      </c>
      <c r="CE9">
        <v>47809</v>
      </c>
      <c r="CF9">
        <v>30006</v>
      </c>
      <c r="CG9">
        <v>7006337</v>
      </c>
      <c r="CH9">
        <v>2800</v>
      </c>
      <c r="CI9">
        <v>186892</v>
      </c>
      <c r="CJ9">
        <v>144184</v>
      </c>
      <c r="CK9">
        <v>38022741</v>
      </c>
      <c r="CL9">
        <v>19953</v>
      </c>
      <c r="CM9">
        <v>44522</v>
      </c>
      <c r="CN9">
        <v>36698</v>
      </c>
      <c r="CO9">
        <v>15063377</v>
      </c>
      <c r="CP9">
        <v>4057</v>
      </c>
      <c r="CQ9">
        <v>289283</v>
      </c>
      <c r="CR9">
        <v>254274</v>
      </c>
      <c r="CS9">
        <v>63155163</v>
      </c>
      <c r="CT9">
        <v>24967</v>
      </c>
      <c r="CU9">
        <v>25404</v>
      </c>
      <c r="CV9">
        <v>6379</v>
      </c>
      <c r="CW9">
        <v>1953315</v>
      </c>
      <c r="CX9">
        <v>1710</v>
      </c>
      <c r="CY9">
        <v>163734</v>
      </c>
      <c r="CZ9">
        <v>123592</v>
      </c>
      <c r="DA9">
        <v>34776317</v>
      </c>
      <c r="DB9">
        <v>20501</v>
      </c>
      <c r="DC9">
        <v>66504</v>
      </c>
      <c r="DD9">
        <v>47272</v>
      </c>
      <c r="DE9">
        <v>17934864</v>
      </c>
      <c r="DF9">
        <v>7806</v>
      </c>
      <c r="DG9">
        <v>71111</v>
      </c>
      <c r="DH9">
        <v>65755</v>
      </c>
      <c r="DI9">
        <v>43920407</v>
      </c>
      <c r="DJ9">
        <v>9933</v>
      </c>
      <c r="DK9">
        <v>91163</v>
      </c>
      <c r="DL9">
        <v>65724</v>
      </c>
      <c r="DM9">
        <v>24474037</v>
      </c>
      <c r="DN9">
        <v>9753</v>
      </c>
      <c r="DO9">
        <v>32984</v>
      </c>
      <c r="DP9">
        <v>26153</v>
      </c>
      <c r="DQ9">
        <v>5236382</v>
      </c>
      <c r="DR9">
        <v>2420</v>
      </c>
      <c r="DS9">
        <v>40057</v>
      </c>
      <c r="DT9">
        <v>29605</v>
      </c>
      <c r="DU9">
        <v>16401649</v>
      </c>
      <c r="DV9">
        <v>4124</v>
      </c>
    </row>
    <row r="10" spans="1:126" x14ac:dyDescent="0.4">
      <c r="A10" s="1" t="s">
        <v>8</v>
      </c>
      <c r="B10" s="3" t="s">
        <v>9</v>
      </c>
      <c r="C10">
        <v>106632</v>
      </c>
      <c r="D10">
        <v>29409</v>
      </c>
      <c r="E10">
        <v>5072532</v>
      </c>
      <c r="F10">
        <v>1879</v>
      </c>
      <c r="G10">
        <v>36939</v>
      </c>
      <c r="H10">
        <v>23060</v>
      </c>
      <c r="I10">
        <v>3307193</v>
      </c>
      <c r="J10">
        <v>2129</v>
      </c>
      <c r="K10">
        <v>73493</v>
      </c>
      <c r="L10">
        <v>19990</v>
      </c>
      <c r="M10">
        <v>6032931</v>
      </c>
      <c r="N10">
        <v>3235</v>
      </c>
      <c r="O10">
        <v>39191</v>
      </c>
      <c r="P10">
        <v>58613</v>
      </c>
      <c r="Q10">
        <v>16252878</v>
      </c>
      <c r="R10">
        <v>8869</v>
      </c>
      <c r="S10">
        <v>22548</v>
      </c>
      <c r="T10">
        <v>32155</v>
      </c>
      <c r="U10">
        <v>20639998</v>
      </c>
      <c r="V10">
        <v>4481</v>
      </c>
      <c r="W10">
        <v>74217</v>
      </c>
      <c r="X10">
        <v>103641</v>
      </c>
      <c r="Y10">
        <v>40104129</v>
      </c>
      <c r="Z10">
        <v>1724</v>
      </c>
      <c r="AA10">
        <v>33745</v>
      </c>
      <c r="AB10">
        <v>24227</v>
      </c>
      <c r="AC10">
        <v>6813615</v>
      </c>
      <c r="AD10">
        <v>2333</v>
      </c>
      <c r="AE10">
        <v>147352</v>
      </c>
      <c r="AF10">
        <v>157167</v>
      </c>
      <c r="AG10">
        <v>82714925</v>
      </c>
      <c r="AH10">
        <v>8998</v>
      </c>
      <c r="AI10">
        <v>105312</v>
      </c>
      <c r="AJ10">
        <v>96348</v>
      </c>
      <c r="AK10">
        <v>23738941</v>
      </c>
      <c r="AL10">
        <v>2943</v>
      </c>
      <c r="AM10">
        <v>443595</v>
      </c>
      <c r="AN10">
        <v>440839</v>
      </c>
      <c r="AO10">
        <v>130153976</v>
      </c>
      <c r="AP10">
        <v>6206</v>
      </c>
      <c r="AQ10">
        <v>215773</v>
      </c>
      <c r="AR10">
        <v>204452</v>
      </c>
      <c r="AS10">
        <v>53772323</v>
      </c>
      <c r="AT10">
        <v>7507</v>
      </c>
      <c r="AU10">
        <v>294921</v>
      </c>
      <c r="AV10">
        <v>275059</v>
      </c>
      <c r="AW10">
        <v>72638813</v>
      </c>
      <c r="AX10">
        <v>11987</v>
      </c>
      <c r="AY10">
        <v>144981</v>
      </c>
      <c r="AZ10">
        <v>137425</v>
      </c>
      <c r="BA10">
        <v>42193482</v>
      </c>
      <c r="BB10">
        <v>6930</v>
      </c>
      <c r="BC10">
        <v>416847</v>
      </c>
      <c r="BD10">
        <v>406071</v>
      </c>
      <c r="BE10">
        <v>121059082</v>
      </c>
      <c r="BF10">
        <v>12800</v>
      </c>
      <c r="BG10">
        <v>131344</v>
      </c>
      <c r="BH10">
        <v>127208</v>
      </c>
      <c r="BI10">
        <v>34744822</v>
      </c>
      <c r="BJ10">
        <v>4756</v>
      </c>
      <c r="BK10">
        <v>147281</v>
      </c>
      <c r="BL10">
        <v>136425</v>
      </c>
      <c r="BM10">
        <v>24474245</v>
      </c>
      <c r="BN10">
        <v>4640</v>
      </c>
      <c r="BO10">
        <v>134271</v>
      </c>
      <c r="BP10">
        <v>132441</v>
      </c>
      <c r="BQ10">
        <v>20747506</v>
      </c>
      <c r="BR10">
        <v>4441</v>
      </c>
      <c r="BS10">
        <v>3298</v>
      </c>
      <c r="BT10">
        <v>3532</v>
      </c>
      <c r="BU10">
        <v>571568</v>
      </c>
      <c r="BV10">
        <v>143</v>
      </c>
      <c r="BW10">
        <v>146853</v>
      </c>
      <c r="BX10">
        <v>65392</v>
      </c>
      <c r="BY10">
        <v>14501654</v>
      </c>
      <c r="BZ10">
        <v>11300</v>
      </c>
      <c r="CA10">
        <v>55965</v>
      </c>
      <c r="CB10">
        <v>35075</v>
      </c>
      <c r="CC10">
        <v>7635099</v>
      </c>
      <c r="CD10">
        <v>4034</v>
      </c>
      <c r="CE10">
        <v>39136</v>
      </c>
      <c r="CF10">
        <v>25914</v>
      </c>
      <c r="CG10">
        <v>6678130</v>
      </c>
      <c r="CH10">
        <v>3098</v>
      </c>
      <c r="CI10">
        <v>187747</v>
      </c>
      <c r="CJ10">
        <v>135980</v>
      </c>
      <c r="CK10">
        <v>39398151</v>
      </c>
      <c r="CL10">
        <v>25934</v>
      </c>
      <c r="CM10">
        <v>46089</v>
      </c>
      <c r="CN10">
        <v>35568</v>
      </c>
      <c r="CO10">
        <v>17667646</v>
      </c>
      <c r="CP10">
        <v>5226</v>
      </c>
      <c r="CQ10">
        <v>273919</v>
      </c>
      <c r="CR10">
        <v>233898</v>
      </c>
      <c r="CS10">
        <v>65953597</v>
      </c>
      <c r="CT10">
        <v>28761</v>
      </c>
      <c r="CU10">
        <v>24530</v>
      </c>
      <c r="CV10">
        <v>5760</v>
      </c>
      <c r="CW10">
        <v>2008539</v>
      </c>
      <c r="CX10">
        <v>2040</v>
      </c>
      <c r="CY10">
        <v>157624</v>
      </c>
      <c r="CZ10">
        <v>109180</v>
      </c>
      <c r="DA10">
        <v>36397470</v>
      </c>
      <c r="DB10">
        <v>28335</v>
      </c>
      <c r="DC10">
        <v>64929</v>
      </c>
      <c r="DD10">
        <v>40764</v>
      </c>
      <c r="DE10">
        <v>19099998</v>
      </c>
      <c r="DF10">
        <v>10364</v>
      </c>
      <c r="DG10">
        <v>69817</v>
      </c>
      <c r="DH10">
        <v>62197</v>
      </c>
      <c r="DI10">
        <v>46802487</v>
      </c>
      <c r="DJ10">
        <v>11891</v>
      </c>
      <c r="DK10">
        <v>84704</v>
      </c>
      <c r="DL10">
        <v>56127</v>
      </c>
      <c r="DM10">
        <v>25933354</v>
      </c>
      <c r="DN10">
        <v>12840</v>
      </c>
      <c r="DO10">
        <v>30844</v>
      </c>
      <c r="DP10">
        <v>25153</v>
      </c>
      <c r="DQ10">
        <v>5913026</v>
      </c>
      <c r="DR10">
        <v>2103</v>
      </c>
      <c r="DS10">
        <v>38310</v>
      </c>
      <c r="DT10">
        <v>28507</v>
      </c>
      <c r="DU10">
        <v>17107249</v>
      </c>
      <c r="DV10">
        <v>4273</v>
      </c>
    </row>
    <row r="11" spans="1:126" x14ac:dyDescent="0.4">
      <c r="A11" s="1" t="s">
        <v>10</v>
      </c>
      <c r="B11" s="3" t="s">
        <v>11</v>
      </c>
      <c r="C11">
        <v>101001</v>
      </c>
      <c r="D11">
        <v>29335</v>
      </c>
      <c r="E11">
        <v>4984852</v>
      </c>
      <c r="F11">
        <v>1742</v>
      </c>
      <c r="G11">
        <v>33117</v>
      </c>
      <c r="H11">
        <v>21924</v>
      </c>
      <c r="I11">
        <v>3138739</v>
      </c>
      <c r="J11">
        <v>1644</v>
      </c>
      <c r="K11">
        <v>68047</v>
      </c>
      <c r="L11">
        <v>18117</v>
      </c>
      <c r="M11">
        <v>5012146</v>
      </c>
      <c r="N11">
        <v>3063</v>
      </c>
      <c r="O11">
        <v>35905</v>
      </c>
      <c r="P11">
        <v>51168</v>
      </c>
      <c r="Q11">
        <v>14059032</v>
      </c>
      <c r="R11">
        <v>8031</v>
      </c>
      <c r="S11">
        <v>22267</v>
      </c>
      <c r="T11">
        <v>31975</v>
      </c>
      <c r="U11">
        <v>21380656</v>
      </c>
      <c r="V11">
        <v>4253</v>
      </c>
      <c r="W11">
        <v>82862</v>
      </c>
      <c r="X11">
        <v>118497</v>
      </c>
      <c r="Y11">
        <v>44812123</v>
      </c>
      <c r="Z11">
        <v>2397</v>
      </c>
      <c r="AA11">
        <v>34075</v>
      </c>
      <c r="AB11">
        <v>24944</v>
      </c>
      <c r="AC11">
        <v>7331761</v>
      </c>
      <c r="AD11">
        <v>2370</v>
      </c>
      <c r="AE11">
        <v>154086</v>
      </c>
      <c r="AF11">
        <v>154138</v>
      </c>
      <c r="AG11">
        <v>80960916</v>
      </c>
      <c r="AH11">
        <v>12104</v>
      </c>
      <c r="AI11">
        <v>84016</v>
      </c>
      <c r="AJ11">
        <v>81962</v>
      </c>
      <c r="AK11">
        <v>21738152</v>
      </c>
      <c r="AL11">
        <v>3465</v>
      </c>
      <c r="AM11">
        <v>426073</v>
      </c>
      <c r="AN11">
        <v>419101</v>
      </c>
      <c r="AO11">
        <v>127484643</v>
      </c>
      <c r="AP11">
        <v>6866</v>
      </c>
      <c r="AQ11">
        <v>218877</v>
      </c>
      <c r="AR11">
        <v>205257</v>
      </c>
      <c r="AS11">
        <v>56202461</v>
      </c>
      <c r="AT11">
        <v>7616</v>
      </c>
      <c r="AU11">
        <v>282141</v>
      </c>
      <c r="AV11">
        <v>268334</v>
      </c>
      <c r="AW11">
        <v>71788041</v>
      </c>
      <c r="AX11">
        <v>10630</v>
      </c>
      <c r="AY11">
        <v>123754</v>
      </c>
      <c r="AZ11">
        <v>123260</v>
      </c>
      <c r="BA11">
        <v>35767753</v>
      </c>
      <c r="BB11">
        <v>5116</v>
      </c>
      <c r="BC11">
        <v>395311</v>
      </c>
      <c r="BD11">
        <v>402127</v>
      </c>
      <c r="BE11">
        <v>121907571</v>
      </c>
      <c r="BF11">
        <v>10501</v>
      </c>
      <c r="BG11">
        <v>131124</v>
      </c>
      <c r="BH11">
        <v>119520</v>
      </c>
      <c r="BI11">
        <v>32378407</v>
      </c>
      <c r="BJ11">
        <v>6823</v>
      </c>
      <c r="BK11">
        <v>142082</v>
      </c>
      <c r="BL11">
        <v>132203</v>
      </c>
      <c r="BM11">
        <v>22904052</v>
      </c>
      <c r="BN11">
        <v>4538</v>
      </c>
      <c r="BO11">
        <v>133088</v>
      </c>
      <c r="BP11">
        <v>133215</v>
      </c>
      <c r="BQ11">
        <v>21853863</v>
      </c>
      <c r="BR11">
        <v>3577</v>
      </c>
      <c r="BS11">
        <v>3391</v>
      </c>
      <c r="BT11">
        <v>3537</v>
      </c>
      <c r="BU11">
        <v>562986</v>
      </c>
      <c r="BV11">
        <v>144</v>
      </c>
      <c r="BW11">
        <v>133467</v>
      </c>
      <c r="BX11">
        <v>60090</v>
      </c>
      <c r="BY11">
        <v>13676705</v>
      </c>
      <c r="BZ11">
        <v>8458</v>
      </c>
      <c r="CA11">
        <v>55155</v>
      </c>
      <c r="CB11">
        <v>33112</v>
      </c>
      <c r="CC11">
        <v>8149555</v>
      </c>
      <c r="CD11">
        <v>3803</v>
      </c>
      <c r="CE11">
        <v>39575</v>
      </c>
      <c r="CF11">
        <v>26373</v>
      </c>
      <c r="CG11">
        <v>8091113</v>
      </c>
      <c r="CH11">
        <v>3251</v>
      </c>
      <c r="CI11">
        <v>158335</v>
      </c>
      <c r="CJ11">
        <v>121836</v>
      </c>
      <c r="CK11">
        <v>37030786</v>
      </c>
      <c r="CL11">
        <v>17456</v>
      </c>
      <c r="CM11">
        <v>38480</v>
      </c>
      <c r="CN11">
        <v>31259</v>
      </c>
      <c r="CO11">
        <v>17382981</v>
      </c>
      <c r="CP11">
        <v>3109</v>
      </c>
      <c r="CQ11">
        <v>231237</v>
      </c>
      <c r="CR11">
        <v>202278</v>
      </c>
      <c r="CS11">
        <v>60656088</v>
      </c>
      <c r="CT11">
        <v>19101</v>
      </c>
      <c r="CU11">
        <v>17633</v>
      </c>
      <c r="CV11">
        <v>3508</v>
      </c>
      <c r="CW11">
        <v>1483872</v>
      </c>
      <c r="CX11">
        <v>1039</v>
      </c>
      <c r="CY11">
        <v>149432</v>
      </c>
      <c r="CZ11">
        <v>118630</v>
      </c>
      <c r="DA11">
        <v>43942515</v>
      </c>
      <c r="DB11">
        <v>24342</v>
      </c>
      <c r="DC11">
        <v>65002</v>
      </c>
      <c r="DD11">
        <v>44048</v>
      </c>
      <c r="DE11">
        <v>21067485</v>
      </c>
      <c r="DF11">
        <v>9508</v>
      </c>
      <c r="DG11">
        <v>67126</v>
      </c>
      <c r="DH11">
        <v>62127</v>
      </c>
      <c r="DI11">
        <v>50203449</v>
      </c>
      <c r="DJ11">
        <v>11492</v>
      </c>
      <c r="DK11">
        <v>59513</v>
      </c>
      <c r="DL11">
        <v>41293</v>
      </c>
      <c r="DM11">
        <v>22327832</v>
      </c>
      <c r="DN11">
        <v>6891</v>
      </c>
      <c r="DO11">
        <v>26734</v>
      </c>
      <c r="DP11">
        <v>22293</v>
      </c>
      <c r="DQ11">
        <v>5782020</v>
      </c>
      <c r="DR11">
        <v>2198</v>
      </c>
      <c r="DS11">
        <v>32086</v>
      </c>
      <c r="DT11">
        <v>25143</v>
      </c>
      <c r="DU11">
        <v>16333956</v>
      </c>
      <c r="DV11">
        <v>3707</v>
      </c>
    </row>
    <row r="12" spans="1:126" x14ac:dyDescent="0.4">
      <c r="A12" s="1" t="s">
        <v>12</v>
      </c>
      <c r="B12" s="3" t="s">
        <v>13</v>
      </c>
      <c r="C12">
        <v>96783</v>
      </c>
      <c r="D12">
        <v>30542</v>
      </c>
      <c r="E12">
        <v>4878295</v>
      </c>
      <c r="F12">
        <v>1846</v>
      </c>
      <c r="G12">
        <v>24647</v>
      </c>
      <c r="H12">
        <v>12752</v>
      </c>
      <c r="I12">
        <v>2638373</v>
      </c>
      <c r="J12">
        <v>1457</v>
      </c>
      <c r="K12">
        <v>69680</v>
      </c>
      <c r="L12">
        <v>17835</v>
      </c>
      <c r="M12">
        <v>4657217</v>
      </c>
      <c r="N12">
        <v>2865</v>
      </c>
      <c r="O12">
        <v>41788</v>
      </c>
      <c r="P12">
        <v>51301</v>
      </c>
      <c r="Q12">
        <v>12520997</v>
      </c>
      <c r="R12">
        <v>9241</v>
      </c>
      <c r="S12">
        <v>23256</v>
      </c>
      <c r="T12">
        <v>29857</v>
      </c>
      <c r="U12">
        <v>21642447</v>
      </c>
      <c r="V12">
        <v>3094</v>
      </c>
      <c r="W12">
        <v>85104</v>
      </c>
      <c r="X12">
        <v>116272</v>
      </c>
      <c r="Y12">
        <v>42556291</v>
      </c>
      <c r="Z12">
        <v>2420</v>
      </c>
      <c r="AA12">
        <v>33614</v>
      </c>
      <c r="AB12">
        <v>23705</v>
      </c>
      <c r="AC12">
        <v>6737562</v>
      </c>
      <c r="AD12">
        <v>2015</v>
      </c>
      <c r="AE12">
        <v>164980</v>
      </c>
      <c r="AF12">
        <v>163097</v>
      </c>
      <c r="AG12">
        <v>79025871</v>
      </c>
      <c r="AH12">
        <v>13547</v>
      </c>
      <c r="AI12">
        <v>79743</v>
      </c>
      <c r="AJ12">
        <v>72524</v>
      </c>
      <c r="AK12">
        <v>21537153</v>
      </c>
      <c r="AL12">
        <v>2635</v>
      </c>
      <c r="AM12">
        <v>384892</v>
      </c>
      <c r="AN12">
        <v>379115</v>
      </c>
      <c r="AO12">
        <v>118745810</v>
      </c>
      <c r="AP12">
        <v>6729</v>
      </c>
      <c r="AQ12">
        <v>237364</v>
      </c>
      <c r="AR12">
        <v>211896</v>
      </c>
      <c r="AS12">
        <v>64247220</v>
      </c>
      <c r="AT12">
        <v>11979</v>
      </c>
      <c r="AU12">
        <v>275792</v>
      </c>
      <c r="AV12">
        <v>265133</v>
      </c>
      <c r="AW12">
        <v>71967384</v>
      </c>
      <c r="AX12">
        <v>9294</v>
      </c>
      <c r="AY12">
        <v>119514</v>
      </c>
      <c r="AZ12">
        <v>117421</v>
      </c>
      <c r="BA12">
        <v>34851533</v>
      </c>
      <c r="BB12">
        <v>4036</v>
      </c>
      <c r="BC12">
        <v>387544</v>
      </c>
      <c r="BD12">
        <v>373235</v>
      </c>
      <c r="BE12">
        <v>117051148</v>
      </c>
      <c r="BF12">
        <v>11675</v>
      </c>
      <c r="BG12">
        <v>118194</v>
      </c>
      <c r="BH12">
        <v>110455</v>
      </c>
      <c r="BI12">
        <v>33844497</v>
      </c>
      <c r="BJ12">
        <v>3522</v>
      </c>
      <c r="BK12">
        <v>145924</v>
      </c>
      <c r="BL12">
        <v>129366</v>
      </c>
      <c r="BM12">
        <v>26026110</v>
      </c>
      <c r="BN12">
        <v>4357</v>
      </c>
      <c r="BO12">
        <v>139923</v>
      </c>
      <c r="BP12">
        <v>138359</v>
      </c>
      <c r="BQ12">
        <v>22771165</v>
      </c>
      <c r="BR12">
        <v>4317</v>
      </c>
      <c r="BS12">
        <v>3145</v>
      </c>
      <c r="BT12">
        <v>3241</v>
      </c>
      <c r="BU12">
        <v>487580</v>
      </c>
      <c r="BV12">
        <v>215</v>
      </c>
      <c r="BW12">
        <v>113581</v>
      </c>
      <c r="BX12">
        <v>53386</v>
      </c>
      <c r="BY12">
        <v>12703220</v>
      </c>
      <c r="BZ12">
        <v>7741</v>
      </c>
      <c r="CA12">
        <v>50600</v>
      </c>
      <c r="CB12">
        <v>31156</v>
      </c>
      <c r="CC12">
        <v>7675953</v>
      </c>
      <c r="CD12">
        <v>3547</v>
      </c>
      <c r="CE12">
        <v>41362</v>
      </c>
      <c r="CF12">
        <v>24720</v>
      </c>
      <c r="CG12">
        <v>7456183</v>
      </c>
      <c r="CH12">
        <v>2628</v>
      </c>
      <c r="CI12">
        <v>153685</v>
      </c>
      <c r="CJ12">
        <v>116488</v>
      </c>
      <c r="CK12">
        <v>37530993</v>
      </c>
      <c r="CL12">
        <v>16966</v>
      </c>
      <c r="CM12">
        <v>38067</v>
      </c>
      <c r="CN12">
        <v>28363</v>
      </c>
      <c r="CO12">
        <v>16417617</v>
      </c>
      <c r="CP12">
        <v>3365</v>
      </c>
      <c r="CQ12">
        <v>209796</v>
      </c>
      <c r="CR12">
        <v>184423</v>
      </c>
      <c r="CS12">
        <v>57400764</v>
      </c>
      <c r="CT12">
        <v>18841</v>
      </c>
      <c r="CU12">
        <v>16311</v>
      </c>
      <c r="CV12">
        <v>2511</v>
      </c>
      <c r="CW12">
        <v>1357136</v>
      </c>
      <c r="CX12">
        <v>1044</v>
      </c>
      <c r="CY12">
        <v>157894</v>
      </c>
      <c r="CZ12">
        <v>123658</v>
      </c>
      <c r="DA12">
        <v>47335528</v>
      </c>
      <c r="DB12">
        <v>26416</v>
      </c>
      <c r="DC12">
        <v>69947</v>
      </c>
      <c r="DD12">
        <v>48710</v>
      </c>
      <c r="DE12">
        <v>23591821</v>
      </c>
      <c r="DF12">
        <v>10126</v>
      </c>
      <c r="DG12">
        <v>67811</v>
      </c>
      <c r="DH12">
        <v>63167</v>
      </c>
      <c r="DI12">
        <v>52514013</v>
      </c>
      <c r="DJ12">
        <v>11386</v>
      </c>
      <c r="DK12">
        <v>64083</v>
      </c>
      <c r="DL12">
        <v>37301</v>
      </c>
      <c r="DM12">
        <v>21887802</v>
      </c>
      <c r="DN12">
        <v>7061</v>
      </c>
      <c r="DO12">
        <v>26877</v>
      </c>
      <c r="DP12">
        <v>22642</v>
      </c>
      <c r="DQ12">
        <v>6119143</v>
      </c>
      <c r="DR12">
        <v>2042</v>
      </c>
      <c r="DS12">
        <v>32371</v>
      </c>
      <c r="DT12">
        <v>25815</v>
      </c>
      <c r="DU12">
        <v>17974927</v>
      </c>
      <c r="DV12">
        <v>3863</v>
      </c>
    </row>
    <row r="13" spans="1:126" x14ac:dyDescent="0.4">
      <c r="A13" s="1" t="s">
        <v>14</v>
      </c>
      <c r="B13" s="3" t="s">
        <v>15</v>
      </c>
      <c r="C13">
        <v>101045</v>
      </c>
      <c r="D13">
        <v>29892</v>
      </c>
      <c r="E13">
        <v>5525568</v>
      </c>
      <c r="F13">
        <v>2641</v>
      </c>
      <c r="G13">
        <v>24802</v>
      </c>
      <c r="H13">
        <v>12156</v>
      </c>
      <c r="I13">
        <v>2667478</v>
      </c>
      <c r="J13">
        <v>1405</v>
      </c>
      <c r="K13">
        <v>66363</v>
      </c>
      <c r="L13">
        <v>17651</v>
      </c>
      <c r="M13">
        <v>5734873</v>
      </c>
      <c r="N13">
        <v>3638</v>
      </c>
      <c r="O13">
        <v>41637</v>
      </c>
      <c r="P13">
        <v>51131</v>
      </c>
      <c r="Q13">
        <v>12870309</v>
      </c>
      <c r="R13">
        <v>7672</v>
      </c>
      <c r="S13">
        <v>23093</v>
      </c>
      <c r="T13">
        <v>29943</v>
      </c>
      <c r="U13">
        <v>21500007</v>
      </c>
      <c r="V13">
        <v>3155</v>
      </c>
      <c r="W13">
        <v>93842</v>
      </c>
      <c r="X13">
        <v>123425</v>
      </c>
      <c r="Y13">
        <v>46036823</v>
      </c>
      <c r="Z13">
        <v>3856</v>
      </c>
      <c r="AA13">
        <v>36818</v>
      </c>
      <c r="AB13">
        <v>26643</v>
      </c>
      <c r="AC13">
        <v>7075117</v>
      </c>
      <c r="AD13">
        <v>1806</v>
      </c>
      <c r="AE13">
        <v>162371</v>
      </c>
      <c r="AF13">
        <v>165244</v>
      </c>
      <c r="AG13">
        <v>77690061</v>
      </c>
      <c r="AH13">
        <v>11757</v>
      </c>
      <c r="AI13">
        <v>79461</v>
      </c>
      <c r="AJ13">
        <v>64299</v>
      </c>
      <c r="AK13">
        <v>20333171</v>
      </c>
      <c r="AL13">
        <v>2806</v>
      </c>
      <c r="AM13">
        <v>320695</v>
      </c>
      <c r="AN13">
        <v>314974</v>
      </c>
      <c r="AO13">
        <v>113488144</v>
      </c>
      <c r="AP13">
        <v>4786</v>
      </c>
      <c r="AQ13">
        <v>296183</v>
      </c>
      <c r="AR13">
        <v>273376</v>
      </c>
      <c r="AS13">
        <v>89461864</v>
      </c>
      <c r="AT13">
        <v>13367</v>
      </c>
      <c r="AU13">
        <v>296093</v>
      </c>
      <c r="AV13">
        <v>279720</v>
      </c>
      <c r="AW13">
        <v>77345570</v>
      </c>
      <c r="AX13">
        <v>8076</v>
      </c>
      <c r="AY13">
        <v>130301</v>
      </c>
      <c r="AZ13">
        <v>125515</v>
      </c>
      <c r="BA13">
        <v>38821363</v>
      </c>
      <c r="BB13">
        <v>4467</v>
      </c>
      <c r="BC13">
        <v>391470</v>
      </c>
      <c r="BD13">
        <v>370772</v>
      </c>
      <c r="BE13">
        <v>120197454</v>
      </c>
      <c r="BF13">
        <v>11967</v>
      </c>
      <c r="BG13">
        <v>119785</v>
      </c>
      <c r="BH13">
        <v>107605</v>
      </c>
      <c r="BI13">
        <v>34474241</v>
      </c>
      <c r="BJ13">
        <v>3846</v>
      </c>
      <c r="BK13">
        <v>144035</v>
      </c>
      <c r="BL13">
        <v>126699</v>
      </c>
      <c r="BM13">
        <v>26254481</v>
      </c>
      <c r="BN13">
        <v>3436</v>
      </c>
      <c r="BO13">
        <v>144186</v>
      </c>
      <c r="BP13">
        <v>143243</v>
      </c>
      <c r="BQ13">
        <v>23980250</v>
      </c>
      <c r="BR13">
        <v>4159</v>
      </c>
      <c r="BS13">
        <v>3622</v>
      </c>
      <c r="BT13">
        <v>3487</v>
      </c>
      <c r="BU13">
        <v>462822</v>
      </c>
      <c r="BV13">
        <v>346</v>
      </c>
      <c r="BW13">
        <v>111074</v>
      </c>
      <c r="BX13">
        <v>52446</v>
      </c>
      <c r="BY13">
        <v>13575534</v>
      </c>
      <c r="BZ13">
        <v>8746</v>
      </c>
      <c r="CA13">
        <v>48085</v>
      </c>
      <c r="CB13">
        <v>29132</v>
      </c>
      <c r="CC13">
        <v>7443682</v>
      </c>
      <c r="CD13">
        <v>3833</v>
      </c>
      <c r="CE13">
        <v>42336</v>
      </c>
      <c r="CF13">
        <v>24219</v>
      </c>
      <c r="CG13">
        <v>7097998</v>
      </c>
      <c r="CH13">
        <v>2626</v>
      </c>
      <c r="CI13">
        <v>152563</v>
      </c>
      <c r="CJ13">
        <v>106864</v>
      </c>
      <c r="CK13">
        <v>35179603</v>
      </c>
      <c r="CL13">
        <v>17296</v>
      </c>
      <c r="CM13">
        <v>36452</v>
      </c>
      <c r="CN13">
        <v>27321</v>
      </c>
      <c r="CO13">
        <v>17110519</v>
      </c>
      <c r="CP13">
        <v>3342</v>
      </c>
      <c r="CQ13">
        <v>213268</v>
      </c>
      <c r="CR13">
        <v>185033</v>
      </c>
      <c r="CS13">
        <v>57084970</v>
      </c>
      <c r="CT13">
        <v>21200</v>
      </c>
      <c r="CU13">
        <v>14337</v>
      </c>
      <c r="CV13">
        <v>2169</v>
      </c>
      <c r="CW13">
        <v>1288711</v>
      </c>
      <c r="CX13">
        <v>1068</v>
      </c>
      <c r="CY13">
        <v>143679</v>
      </c>
      <c r="CZ13">
        <v>113316</v>
      </c>
      <c r="DA13">
        <v>44598267</v>
      </c>
      <c r="DB13">
        <v>26058</v>
      </c>
      <c r="DC13">
        <v>64860</v>
      </c>
      <c r="DD13">
        <v>44757</v>
      </c>
      <c r="DE13">
        <v>23439996</v>
      </c>
      <c r="DF13">
        <v>9818</v>
      </c>
      <c r="DG13">
        <v>69254</v>
      </c>
      <c r="DH13">
        <v>63195</v>
      </c>
      <c r="DI13">
        <v>54456968</v>
      </c>
      <c r="DJ13">
        <v>12405</v>
      </c>
      <c r="DK13">
        <v>63326</v>
      </c>
      <c r="DL13">
        <v>37567</v>
      </c>
      <c r="DM13">
        <v>21942868</v>
      </c>
      <c r="DN13">
        <v>7492</v>
      </c>
      <c r="DO13">
        <v>27665</v>
      </c>
      <c r="DP13">
        <v>23681</v>
      </c>
      <c r="DQ13">
        <v>6579202</v>
      </c>
      <c r="DR13">
        <v>2140</v>
      </c>
      <c r="DS13">
        <v>31767</v>
      </c>
      <c r="DT13">
        <v>25347</v>
      </c>
      <c r="DU13">
        <v>18416472</v>
      </c>
      <c r="DV13">
        <v>3690</v>
      </c>
    </row>
    <row r="14" spans="1:126" x14ac:dyDescent="0.4">
      <c r="A14" s="1" t="s">
        <v>16</v>
      </c>
      <c r="B14" s="1" t="s">
        <v>17</v>
      </c>
      <c r="C14">
        <v>7905</v>
      </c>
      <c r="D14">
        <v>2472</v>
      </c>
      <c r="E14">
        <v>389785</v>
      </c>
      <c r="F14">
        <v>1891</v>
      </c>
      <c r="G14">
        <v>1667</v>
      </c>
      <c r="H14">
        <v>1022</v>
      </c>
      <c r="I14">
        <v>229740</v>
      </c>
      <c r="J14">
        <v>1573</v>
      </c>
      <c r="K14">
        <v>5149</v>
      </c>
      <c r="L14">
        <v>1315</v>
      </c>
      <c r="M14">
        <v>327593</v>
      </c>
      <c r="N14">
        <v>2806</v>
      </c>
      <c r="O14">
        <v>3942</v>
      </c>
      <c r="P14">
        <v>4335</v>
      </c>
      <c r="Q14">
        <v>1086350</v>
      </c>
      <c r="R14">
        <v>9130</v>
      </c>
      <c r="S14">
        <v>1739</v>
      </c>
      <c r="T14">
        <v>2351</v>
      </c>
      <c r="U14">
        <v>1678692</v>
      </c>
      <c r="V14">
        <v>4180</v>
      </c>
      <c r="W14">
        <v>7965</v>
      </c>
      <c r="X14">
        <v>11389</v>
      </c>
      <c r="Y14">
        <v>4113920</v>
      </c>
      <c r="Z14">
        <v>3943</v>
      </c>
      <c r="AA14">
        <v>2657</v>
      </c>
      <c r="AB14">
        <v>1689</v>
      </c>
      <c r="AC14">
        <v>588819</v>
      </c>
      <c r="AD14">
        <v>2230</v>
      </c>
      <c r="AE14">
        <v>12480</v>
      </c>
      <c r="AF14">
        <v>12126</v>
      </c>
      <c r="AG14">
        <v>5593305</v>
      </c>
      <c r="AH14">
        <v>13013</v>
      </c>
      <c r="AI14">
        <v>4893</v>
      </c>
      <c r="AJ14">
        <v>5960</v>
      </c>
      <c r="AK14">
        <v>1719297</v>
      </c>
      <c r="AL14">
        <v>2466</v>
      </c>
      <c r="AM14">
        <v>36554</v>
      </c>
      <c r="AN14">
        <v>36140</v>
      </c>
      <c r="AO14">
        <v>12295228</v>
      </c>
      <c r="AP14">
        <v>8593</v>
      </c>
      <c r="AQ14">
        <v>24798</v>
      </c>
      <c r="AR14">
        <v>20503</v>
      </c>
      <c r="AS14">
        <v>6064554</v>
      </c>
      <c r="AT14">
        <v>10936</v>
      </c>
      <c r="AU14">
        <v>22415</v>
      </c>
      <c r="AV14">
        <v>23168</v>
      </c>
      <c r="AW14">
        <v>6345569</v>
      </c>
      <c r="AX14">
        <v>9101</v>
      </c>
      <c r="AY14">
        <v>9998</v>
      </c>
      <c r="AZ14">
        <v>9615</v>
      </c>
      <c r="BA14">
        <v>2769515</v>
      </c>
      <c r="BB14">
        <v>5138</v>
      </c>
      <c r="BC14">
        <v>34223</v>
      </c>
      <c r="BD14">
        <v>33666</v>
      </c>
      <c r="BE14">
        <v>10178895</v>
      </c>
      <c r="BF14">
        <v>13126</v>
      </c>
      <c r="BG14">
        <v>8546</v>
      </c>
      <c r="BH14">
        <v>9881</v>
      </c>
      <c r="BI14">
        <v>2838462</v>
      </c>
      <c r="BJ14">
        <v>3503</v>
      </c>
      <c r="BK14">
        <v>11659</v>
      </c>
      <c r="BL14">
        <v>10392</v>
      </c>
      <c r="BM14">
        <v>1968067</v>
      </c>
      <c r="BN14">
        <v>5813</v>
      </c>
      <c r="BO14">
        <v>10464</v>
      </c>
      <c r="BP14">
        <v>10438</v>
      </c>
      <c r="BQ14">
        <v>1666087</v>
      </c>
      <c r="BR14">
        <v>4218</v>
      </c>
      <c r="BS14">
        <v>269</v>
      </c>
      <c r="BT14">
        <v>257</v>
      </c>
      <c r="BU14">
        <v>38780</v>
      </c>
      <c r="BV14">
        <v>250</v>
      </c>
      <c r="BW14">
        <v>11637</v>
      </c>
      <c r="BX14">
        <v>4705</v>
      </c>
      <c r="BY14">
        <v>1068354</v>
      </c>
      <c r="BZ14">
        <v>8004</v>
      </c>
      <c r="CA14">
        <v>4563</v>
      </c>
      <c r="CB14">
        <v>2666</v>
      </c>
      <c r="CC14">
        <v>656063</v>
      </c>
      <c r="CD14">
        <v>3811</v>
      </c>
      <c r="CE14">
        <v>3025</v>
      </c>
      <c r="CF14">
        <v>2084</v>
      </c>
      <c r="CG14">
        <v>698789</v>
      </c>
      <c r="CH14">
        <v>3339</v>
      </c>
      <c r="CI14">
        <v>13116</v>
      </c>
      <c r="CJ14">
        <v>9270</v>
      </c>
      <c r="CK14">
        <v>2867309</v>
      </c>
      <c r="CL14">
        <v>19078</v>
      </c>
      <c r="CM14">
        <v>3686</v>
      </c>
      <c r="CN14">
        <v>2808</v>
      </c>
      <c r="CO14">
        <v>1501670</v>
      </c>
      <c r="CP14">
        <v>2901</v>
      </c>
      <c r="CQ14">
        <v>17385</v>
      </c>
      <c r="CR14">
        <v>17109</v>
      </c>
      <c r="CS14">
        <v>5234240</v>
      </c>
      <c r="CT14">
        <v>18122</v>
      </c>
      <c r="CU14">
        <v>1097</v>
      </c>
      <c r="CV14">
        <v>174</v>
      </c>
      <c r="CW14">
        <v>92607</v>
      </c>
      <c r="CX14">
        <v>999</v>
      </c>
      <c r="CY14">
        <v>13824</v>
      </c>
      <c r="CZ14">
        <v>10107</v>
      </c>
      <c r="DA14">
        <v>3781203</v>
      </c>
      <c r="DB14">
        <v>24729</v>
      </c>
      <c r="DC14">
        <v>6493</v>
      </c>
      <c r="DD14">
        <v>3949</v>
      </c>
      <c r="DE14">
        <v>1872420</v>
      </c>
      <c r="DF14">
        <v>9714</v>
      </c>
      <c r="DG14">
        <v>4969</v>
      </c>
      <c r="DH14">
        <v>5252</v>
      </c>
      <c r="DI14">
        <v>4445694</v>
      </c>
      <c r="DJ14">
        <v>10578</v>
      </c>
      <c r="DK14">
        <v>5258</v>
      </c>
      <c r="DL14">
        <v>3358</v>
      </c>
      <c r="DM14">
        <v>1894670</v>
      </c>
      <c r="DN14">
        <v>6642</v>
      </c>
      <c r="DO14">
        <v>2241</v>
      </c>
      <c r="DP14">
        <v>1887</v>
      </c>
      <c r="DQ14">
        <v>508040</v>
      </c>
      <c r="DR14">
        <v>1853</v>
      </c>
      <c r="DS14">
        <v>2685</v>
      </c>
      <c r="DT14">
        <v>2134</v>
      </c>
      <c r="DU14">
        <v>1466385</v>
      </c>
      <c r="DV14">
        <v>3621</v>
      </c>
    </row>
    <row r="15" spans="1:126" x14ac:dyDescent="0.4">
      <c r="A15" s="1" t="s">
        <v>18</v>
      </c>
      <c r="B15" s="1" t="s">
        <v>19</v>
      </c>
      <c r="C15">
        <v>8427</v>
      </c>
      <c r="D15">
        <v>2756</v>
      </c>
      <c r="E15">
        <v>436339</v>
      </c>
      <c r="F15">
        <v>1666</v>
      </c>
      <c r="G15">
        <v>2491</v>
      </c>
      <c r="H15">
        <v>1248</v>
      </c>
      <c r="I15">
        <v>256772</v>
      </c>
      <c r="J15">
        <v>1506</v>
      </c>
      <c r="K15">
        <v>6496</v>
      </c>
      <c r="L15">
        <v>1652</v>
      </c>
      <c r="M15">
        <v>408900</v>
      </c>
      <c r="N15">
        <v>2926</v>
      </c>
      <c r="O15">
        <v>2952</v>
      </c>
      <c r="P15">
        <v>4719</v>
      </c>
      <c r="Q15">
        <v>1165421</v>
      </c>
      <c r="R15">
        <v>7978</v>
      </c>
      <c r="S15">
        <v>1848</v>
      </c>
      <c r="T15">
        <v>2672</v>
      </c>
      <c r="U15">
        <v>1933862</v>
      </c>
      <c r="V15">
        <v>4170</v>
      </c>
      <c r="W15">
        <v>7563</v>
      </c>
      <c r="X15">
        <v>11889</v>
      </c>
      <c r="Y15">
        <v>4411706</v>
      </c>
      <c r="Z15">
        <v>3156</v>
      </c>
      <c r="AA15">
        <v>2520</v>
      </c>
      <c r="AB15">
        <v>2378</v>
      </c>
      <c r="AC15">
        <v>724095</v>
      </c>
      <c r="AD15">
        <v>1852</v>
      </c>
      <c r="AE15">
        <v>13563</v>
      </c>
      <c r="AF15">
        <v>13536</v>
      </c>
      <c r="AG15">
        <v>6350779</v>
      </c>
      <c r="AH15">
        <v>13070</v>
      </c>
      <c r="AI15">
        <v>7175</v>
      </c>
      <c r="AJ15">
        <v>6848</v>
      </c>
      <c r="AK15">
        <v>2009434</v>
      </c>
      <c r="AL15">
        <v>2551</v>
      </c>
      <c r="AM15">
        <v>33940</v>
      </c>
      <c r="AN15">
        <v>33239</v>
      </c>
      <c r="AO15">
        <v>9826105</v>
      </c>
      <c r="AP15">
        <v>8285</v>
      </c>
      <c r="AQ15">
        <v>23428</v>
      </c>
      <c r="AR15">
        <v>19395</v>
      </c>
      <c r="AS15">
        <v>5312989</v>
      </c>
      <c r="AT15">
        <v>12830</v>
      </c>
      <c r="AU15">
        <v>21620</v>
      </c>
      <c r="AV15">
        <v>21268</v>
      </c>
      <c r="AW15">
        <v>5817777</v>
      </c>
      <c r="AX15">
        <v>8813</v>
      </c>
      <c r="AY15">
        <v>10470</v>
      </c>
      <c r="AZ15">
        <v>10429</v>
      </c>
      <c r="BA15">
        <v>3128397</v>
      </c>
      <c r="BB15">
        <v>5197</v>
      </c>
      <c r="BC15">
        <v>31367</v>
      </c>
      <c r="BD15">
        <v>32497</v>
      </c>
      <c r="BE15">
        <v>9887084</v>
      </c>
      <c r="BF15">
        <v>11310</v>
      </c>
      <c r="BG15">
        <v>8501</v>
      </c>
      <c r="BH15">
        <v>7844</v>
      </c>
      <c r="BI15">
        <v>2400911</v>
      </c>
      <c r="BJ15">
        <v>3355</v>
      </c>
      <c r="BK15">
        <v>12756</v>
      </c>
      <c r="BL15">
        <v>10960</v>
      </c>
      <c r="BM15">
        <v>2381125</v>
      </c>
      <c r="BN15">
        <v>5922</v>
      </c>
      <c r="BO15">
        <v>12653</v>
      </c>
      <c r="BP15">
        <v>12385</v>
      </c>
      <c r="BQ15">
        <v>1903944</v>
      </c>
      <c r="BR15">
        <v>4293</v>
      </c>
      <c r="BS15">
        <v>289</v>
      </c>
      <c r="BT15">
        <v>299</v>
      </c>
      <c r="BU15">
        <v>45115</v>
      </c>
      <c r="BV15">
        <v>246</v>
      </c>
      <c r="BW15">
        <v>9092</v>
      </c>
      <c r="BX15">
        <v>4448</v>
      </c>
      <c r="BY15">
        <v>1054672</v>
      </c>
      <c r="BZ15">
        <v>7728</v>
      </c>
      <c r="CA15">
        <v>4309</v>
      </c>
      <c r="CB15">
        <v>2531</v>
      </c>
      <c r="CC15">
        <v>646416</v>
      </c>
      <c r="CD15">
        <v>3749</v>
      </c>
      <c r="CE15">
        <v>3142</v>
      </c>
      <c r="CF15">
        <v>1984</v>
      </c>
      <c r="CG15">
        <v>561348</v>
      </c>
      <c r="CH15">
        <v>3317</v>
      </c>
      <c r="CI15">
        <v>12219</v>
      </c>
      <c r="CJ15">
        <v>9593</v>
      </c>
      <c r="CK15">
        <v>3174619</v>
      </c>
      <c r="CL15">
        <v>18232</v>
      </c>
      <c r="CM15">
        <v>2776</v>
      </c>
      <c r="CN15">
        <v>2080</v>
      </c>
      <c r="CO15">
        <v>1288761</v>
      </c>
      <c r="CP15">
        <v>2893</v>
      </c>
      <c r="CQ15">
        <v>16221</v>
      </c>
      <c r="CR15">
        <v>14864</v>
      </c>
      <c r="CS15">
        <v>4693459</v>
      </c>
      <c r="CT15">
        <v>16894</v>
      </c>
      <c r="CU15">
        <v>924</v>
      </c>
      <c r="CV15">
        <v>286</v>
      </c>
      <c r="CW15">
        <v>128560</v>
      </c>
      <c r="CX15">
        <v>946</v>
      </c>
      <c r="CY15">
        <v>13720</v>
      </c>
      <c r="CZ15">
        <v>9537</v>
      </c>
      <c r="DA15">
        <v>3731842</v>
      </c>
      <c r="DB15">
        <v>25611</v>
      </c>
      <c r="DC15">
        <v>6155</v>
      </c>
      <c r="DD15">
        <v>3806</v>
      </c>
      <c r="DE15">
        <v>1928017</v>
      </c>
      <c r="DF15">
        <v>10338</v>
      </c>
      <c r="DG15">
        <v>6024</v>
      </c>
      <c r="DH15">
        <v>5434</v>
      </c>
      <c r="DI15">
        <v>4463945</v>
      </c>
      <c r="DJ15">
        <v>10798</v>
      </c>
      <c r="DK15">
        <v>6612</v>
      </c>
      <c r="DL15">
        <v>3468</v>
      </c>
      <c r="DM15">
        <v>2072346</v>
      </c>
      <c r="DN15">
        <v>7133</v>
      </c>
      <c r="DO15">
        <v>2476</v>
      </c>
      <c r="DP15">
        <v>1994</v>
      </c>
      <c r="DQ15">
        <v>547951</v>
      </c>
      <c r="DR15">
        <v>1919</v>
      </c>
      <c r="DS15">
        <v>2858</v>
      </c>
      <c r="DT15">
        <v>2254</v>
      </c>
      <c r="DU15">
        <v>1530272</v>
      </c>
      <c r="DV15">
        <v>3659</v>
      </c>
    </row>
    <row r="16" spans="1:126" x14ac:dyDescent="0.4">
      <c r="A16" s="1" t="s">
        <v>20</v>
      </c>
      <c r="B16" s="1" t="s">
        <v>21</v>
      </c>
      <c r="C16">
        <v>7860</v>
      </c>
      <c r="D16">
        <v>2689</v>
      </c>
      <c r="E16">
        <v>424734</v>
      </c>
      <c r="F16">
        <v>1665</v>
      </c>
      <c r="G16">
        <v>1933</v>
      </c>
      <c r="H16">
        <v>1027</v>
      </c>
      <c r="I16">
        <v>219379</v>
      </c>
      <c r="J16">
        <v>1425</v>
      </c>
      <c r="K16">
        <v>5933</v>
      </c>
      <c r="L16">
        <v>1300</v>
      </c>
      <c r="M16">
        <v>350750</v>
      </c>
      <c r="N16">
        <v>3147</v>
      </c>
      <c r="O16">
        <v>3325</v>
      </c>
      <c r="P16">
        <v>4149</v>
      </c>
      <c r="Q16">
        <v>1021711</v>
      </c>
      <c r="R16">
        <v>7732</v>
      </c>
      <c r="S16">
        <v>2072</v>
      </c>
      <c r="T16">
        <v>2475</v>
      </c>
      <c r="U16">
        <v>1809671</v>
      </c>
      <c r="V16">
        <v>3241</v>
      </c>
      <c r="W16">
        <v>5229</v>
      </c>
      <c r="X16">
        <v>7253</v>
      </c>
      <c r="Y16">
        <v>2544401</v>
      </c>
      <c r="Z16">
        <v>2399</v>
      </c>
      <c r="AA16">
        <v>3167</v>
      </c>
      <c r="AB16">
        <v>1958</v>
      </c>
      <c r="AC16">
        <v>540920</v>
      </c>
      <c r="AD16">
        <v>1711</v>
      </c>
      <c r="AE16">
        <v>13585</v>
      </c>
      <c r="AF16">
        <v>13198</v>
      </c>
      <c r="AG16">
        <v>6333718</v>
      </c>
      <c r="AH16">
        <v>14105</v>
      </c>
      <c r="AI16">
        <v>6312</v>
      </c>
      <c r="AJ16">
        <v>5619</v>
      </c>
      <c r="AK16">
        <v>1664158</v>
      </c>
      <c r="AL16">
        <v>2615</v>
      </c>
      <c r="AM16">
        <v>29171</v>
      </c>
      <c r="AN16">
        <v>28439</v>
      </c>
      <c r="AO16">
        <v>8766007</v>
      </c>
      <c r="AP16">
        <v>8803</v>
      </c>
      <c r="AQ16">
        <v>15525</v>
      </c>
      <c r="AR16">
        <v>17472</v>
      </c>
      <c r="AS16">
        <v>4987669</v>
      </c>
      <c r="AT16">
        <v>9951</v>
      </c>
      <c r="AU16">
        <v>21136</v>
      </c>
      <c r="AV16">
        <v>19688</v>
      </c>
      <c r="AW16">
        <v>5326417</v>
      </c>
      <c r="AX16">
        <v>9703</v>
      </c>
      <c r="AY16">
        <v>9555</v>
      </c>
      <c r="AZ16">
        <v>8108</v>
      </c>
      <c r="BA16">
        <v>2357657</v>
      </c>
      <c r="BB16">
        <v>6308</v>
      </c>
      <c r="BC16">
        <v>26607</v>
      </c>
      <c r="BD16">
        <v>24734</v>
      </c>
      <c r="BE16">
        <v>7365431</v>
      </c>
      <c r="BF16">
        <v>11949</v>
      </c>
      <c r="BG16">
        <v>8946</v>
      </c>
      <c r="BH16">
        <v>8594</v>
      </c>
      <c r="BI16">
        <v>2654371</v>
      </c>
      <c r="BJ16">
        <v>2717</v>
      </c>
      <c r="BK16">
        <v>11784</v>
      </c>
      <c r="BL16">
        <v>10365</v>
      </c>
      <c r="BM16">
        <v>2073164</v>
      </c>
      <c r="BN16">
        <v>5863</v>
      </c>
      <c r="BO16">
        <v>11592</v>
      </c>
      <c r="BP16">
        <v>11528</v>
      </c>
      <c r="BQ16">
        <v>1814692</v>
      </c>
      <c r="BR16">
        <v>4348</v>
      </c>
      <c r="BS16">
        <v>269</v>
      </c>
      <c r="BT16">
        <v>245</v>
      </c>
      <c r="BU16">
        <v>36626</v>
      </c>
      <c r="BV16">
        <v>276</v>
      </c>
      <c r="BW16">
        <v>8608</v>
      </c>
      <c r="BX16">
        <v>4277</v>
      </c>
      <c r="BY16">
        <v>1045701</v>
      </c>
      <c r="BZ16">
        <v>7632</v>
      </c>
      <c r="CA16">
        <v>4217</v>
      </c>
      <c r="CB16">
        <v>2801</v>
      </c>
      <c r="CC16">
        <v>645518</v>
      </c>
      <c r="CD16">
        <v>3215</v>
      </c>
      <c r="CE16">
        <v>3573</v>
      </c>
      <c r="CF16">
        <v>2002</v>
      </c>
      <c r="CG16">
        <v>614209</v>
      </c>
      <c r="CH16">
        <v>3210</v>
      </c>
      <c r="CI16">
        <v>11005</v>
      </c>
      <c r="CJ16">
        <v>9899</v>
      </c>
      <c r="CK16">
        <v>3227438</v>
      </c>
      <c r="CL16">
        <v>16623</v>
      </c>
      <c r="CM16">
        <v>2315</v>
      </c>
      <c r="CN16">
        <v>1784</v>
      </c>
      <c r="CO16">
        <v>1184110</v>
      </c>
      <c r="CP16">
        <v>2871</v>
      </c>
      <c r="CQ16">
        <v>17553</v>
      </c>
      <c r="CR16">
        <v>15145</v>
      </c>
      <c r="CS16">
        <v>4805241</v>
      </c>
      <c r="CT16">
        <v>17850</v>
      </c>
      <c r="CU16">
        <v>1063</v>
      </c>
      <c r="CV16">
        <v>160</v>
      </c>
      <c r="CW16">
        <v>96616</v>
      </c>
      <c r="CX16">
        <v>928</v>
      </c>
      <c r="CY16">
        <v>11855</v>
      </c>
      <c r="CZ16">
        <v>11959</v>
      </c>
      <c r="DA16">
        <v>4511342</v>
      </c>
      <c r="DB16">
        <v>23635</v>
      </c>
      <c r="DC16">
        <v>5195</v>
      </c>
      <c r="DD16">
        <v>4505</v>
      </c>
      <c r="DE16">
        <v>2130609</v>
      </c>
      <c r="DF16">
        <v>9738</v>
      </c>
      <c r="DG16">
        <v>5448</v>
      </c>
      <c r="DH16">
        <v>5158</v>
      </c>
      <c r="DI16">
        <v>4194433</v>
      </c>
      <c r="DJ16">
        <v>10740</v>
      </c>
      <c r="DK16">
        <v>5075</v>
      </c>
      <c r="DL16">
        <v>3289</v>
      </c>
      <c r="DM16">
        <v>1962776</v>
      </c>
      <c r="DN16">
        <v>6783</v>
      </c>
      <c r="DO16">
        <v>2049</v>
      </c>
      <c r="DP16">
        <v>1892</v>
      </c>
      <c r="DQ16">
        <v>480660</v>
      </c>
      <c r="DR16">
        <v>1703</v>
      </c>
      <c r="DS16">
        <v>2486</v>
      </c>
      <c r="DT16">
        <v>2210</v>
      </c>
      <c r="DU16">
        <v>1566357</v>
      </c>
      <c r="DV16">
        <v>3604</v>
      </c>
    </row>
    <row r="17" spans="1:126" x14ac:dyDescent="0.4">
      <c r="A17" s="1" t="s">
        <v>22</v>
      </c>
      <c r="B17" s="1" t="s">
        <v>23</v>
      </c>
      <c r="C17">
        <v>7993</v>
      </c>
      <c r="D17">
        <v>2739</v>
      </c>
      <c r="E17">
        <v>434830</v>
      </c>
      <c r="F17">
        <v>1727</v>
      </c>
      <c r="G17">
        <v>1876</v>
      </c>
      <c r="H17">
        <v>939</v>
      </c>
      <c r="I17">
        <v>193357</v>
      </c>
      <c r="J17">
        <v>1471</v>
      </c>
      <c r="K17">
        <v>6204</v>
      </c>
      <c r="L17">
        <v>1541</v>
      </c>
      <c r="M17">
        <v>380842</v>
      </c>
      <c r="N17">
        <v>3027</v>
      </c>
      <c r="O17">
        <v>3758</v>
      </c>
      <c r="P17">
        <v>4188</v>
      </c>
      <c r="Q17">
        <v>1022210</v>
      </c>
      <c r="R17">
        <v>7889</v>
      </c>
      <c r="S17">
        <v>1910</v>
      </c>
      <c r="T17">
        <v>2402</v>
      </c>
      <c r="U17">
        <v>1716598</v>
      </c>
      <c r="V17">
        <v>3324</v>
      </c>
      <c r="W17">
        <v>7624</v>
      </c>
      <c r="X17">
        <v>11404</v>
      </c>
      <c r="Y17">
        <v>4163791</v>
      </c>
      <c r="Z17">
        <v>2221</v>
      </c>
      <c r="AA17">
        <v>2163</v>
      </c>
      <c r="AB17">
        <v>1518</v>
      </c>
      <c r="AC17">
        <v>474386</v>
      </c>
      <c r="AD17">
        <v>1868</v>
      </c>
      <c r="AE17">
        <v>14659</v>
      </c>
      <c r="AF17">
        <v>14542</v>
      </c>
      <c r="AG17">
        <v>7306910</v>
      </c>
      <c r="AH17">
        <v>14404</v>
      </c>
      <c r="AI17">
        <v>7348</v>
      </c>
      <c r="AJ17">
        <v>6244</v>
      </c>
      <c r="AK17">
        <v>1839606</v>
      </c>
      <c r="AL17">
        <v>2663</v>
      </c>
      <c r="AM17">
        <v>30083</v>
      </c>
      <c r="AN17">
        <v>29813</v>
      </c>
      <c r="AO17">
        <v>9572311</v>
      </c>
      <c r="AP17">
        <v>8368</v>
      </c>
      <c r="AQ17">
        <v>16859</v>
      </c>
      <c r="AR17">
        <v>14183</v>
      </c>
      <c r="AS17">
        <v>4246288</v>
      </c>
      <c r="AT17">
        <v>11036</v>
      </c>
      <c r="AU17">
        <v>21436</v>
      </c>
      <c r="AV17">
        <v>21183</v>
      </c>
      <c r="AW17">
        <v>5757873</v>
      </c>
      <c r="AX17">
        <v>9088</v>
      </c>
      <c r="AY17">
        <v>10384</v>
      </c>
      <c r="AZ17">
        <v>9972</v>
      </c>
      <c r="BA17">
        <v>3008134</v>
      </c>
      <c r="BB17">
        <v>6492</v>
      </c>
      <c r="BC17">
        <v>31357</v>
      </c>
      <c r="BD17">
        <v>27649</v>
      </c>
      <c r="BE17">
        <v>8300196</v>
      </c>
      <c r="BF17">
        <v>13940</v>
      </c>
      <c r="BG17">
        <v>11218</v>
      </c>
      <c r="BH17">
        <v>9620</v>
      </c>
      <c r="BI17">
        <v>2909817</v>
      </c>
      <c r="BJ17">
        <v>3358</v>
      </c>
      <c r="BK17">
        <v>13177</v>
      </c>
      <c r="BL17">
        <v>11184</v>
      </c>
      <c r="BM17">
        <v>2379588</v>
      </c>
      <c r="BN17">
        <v>6282</v>
      </c>
      <c r="BO17">
        <v>11507</v>
      </c>
      <c r="BP17">
        <v>11248</v>
      </c>
      <c r="BQ17">
        <v>1791778</v>
      </c>
      <c r="BR17">
        <v>4593</v>
      </c>
      <c r="BS17">
        <v>258</v>
      </c>
      <c r="BT17">
        <v>232</v>
      </c>
      <c r="BU17">
        <v>34639</v>
      </c>
      <c r="BV17">
        <v>308</v>
      </c>
      <c r="BW17">
        <v>9492</v>
      </c>
      <c r="BX17">
        <v>4435</v>
      </c>
      <c r="BY17">
        <v>1017755</v>
      </c>
      <c r="BZ17">
        <v>7722</v>
      </c>
      <c r="CA17">
        <v>4784</v>
      </c>
      <c r="CB17">
        <v>2594</v>
      </c>
      <c r="CC17">
        <v>622441</v>
      </c>
      <c r="CD17">
        <v>4218</v>
      </c>
      <c r="CE17">
        <v>3758</v>
      </c>
      <c r="CF17">
        <v>2045</v>
      </c>
      <c r="CG17">
        <v>627141</v>
      </c>
      <c r="CH17">
        <v>3135</v>
      </c>
      <c r="CI17">
        <v>12953</v>
      </c>
      <c r="CJ17">
        <v>9403</v>
      </c>
      <c r="CK17">
        <v>2993537</v>
      </c>
      <c r="CL17">
        <v>16924</v>
      </c>
      <c r="CM17">
        <v>3364</v>
      </c>
      <c r="CN17">
        <v>2582</v>
      </c>
      <c r="CO17">
        <v>1434446</v>
      </c>
      <c r="CP17">
        <v>2914</v>
      </c>
      <c r="CQ17">
        <v>17777</v>
      </c>
      <c r="CR17">
        <v>15865</v>
      </c>
      <c r="CS17">
        <v>4946957</v>
      </c>
      <c r="CT17">
        <v>17750</v>
      </c>
      <c r="CU17">
        <v>956</v>
      </c>
      <c r="CV17">
        <v>179</v>
      </c>
      <c r="CW17">
        <v>105174</v>
      </c>
      <c r="CX17">
        <v>870</v>
      </c>
      <c r="CY17">
        <v>13188</v>
      </c>
      <c r="CZ17">
        <v>8639</v>
      </c>
      <c r="DA17">
        <v>3459916</v>
      </c>
      <c r="DB17">
        <v>25663</v>
      </c>
      <c r="DC17">
        <v>6126</v>
      </c>
      <c r="DD17">
        <v>3808</v>
      </c>
      <c r="DE17">
        <v>1936994</v>
      </c>
      <c r="DF17">
        <v>10359</v>
      </c>
      <c r="DG17">
        <v>5435</v>
      </c>
      <c r="DH17">
        <v>5018</v>
      </c>
      <c r="DI17">
        <v>4133770</v>
      </c>
      <c r="DJ17">
        <v>10827</v>
      </c>
      <c r="DK17">
        <v>5702</v>
      </c>
      <c r="DL17">
        <v>3101</v>
      </c>
      <c r="DM17">
        <v>1789382</v>
      </c>
      <c r="DN17">
        <v>6982</v>
      </c>
      <c r="DO17">
        <v>2414</v>
      </c>
      <c r="DP17">
        <v>1969</v>
      </c>
      <c r="DQ17">
        <v>499259</v>
      </c>
      <c r="DR17">
        <v>1733</v>
      </c>
      <c r="DS17">
        <v>2822</v>
      </c>
      <c r="DT17">
        <v>2045</v>
      </c>
      <c r="DU17">
        <v>1464533</v>
      </c>
      <c r="DV17">
        <v>3737</v>
      </c>
    </row>
    <row r="18" spans="1:126" x14ac:dyDescent="0.4">
      <c r="A18" s="1" t="s">
        <v>24</v>
      </c>
      <c r="B18" s="1" t="s">
        <v>25</v>
      </c>
      <c r="C18">
        <v>8845</v>
      </c>
      <c r="D18">
        <v>3111</v>
      </c>
      <c r="E18">
        <v>494742</v>
      </c>
      <c r="F18">
        <v>1601</v>
      </c>
      <c r="G18">
        <v>2276</v>
      </c>
      <c r="H18">
        <v>1194</v>
      </c>
      <c r="I18">
        <v>235762</v>
      </c>
      <c r="J18">
        <v>1521</v>
      </c>
      <c r="K18">
        <v>6164</v>
      </c>
      <c r="L18">
        <v>1647</v>
      </c>
      <c r="M18">
        <v>425298</v>
      </c>
      <c r="N18">
        <v>3021</v>
      </c>
      <c r="O18">
        <v>3844</v>
      </c>
      <c r="P18">
        <v>4843</v>
      </c>
      <c r="Q18">
        <v>1185299</v>
      </c>
      <c r="R18">
        <v>7795</v>
      </c>
      <c r="S18">
        <v>2109</v>
      </c>
      <c r="T18">
        <v>2429</v>
      </c>
      <c r="U18">
        <v>1803358</v>
      </c>
      <c r="V18">
        <v>3458</v>
      </c>
      <c r="W18">
        <v>8578</v>
      </c>
      <c r="X18">
        <v>11459</v>
      </c>
      <c r="Y18">
        <v>4041302</v>
      </c>
      <c r="Z18">
        <v>2304</v>
      </c>
      <c r="AA18">
        <v>2710</v>
      </c>
      <c r="AB18">
        <v>1932</v>
      </c>
      <c r="AC18">
        <v>541856</v>
      </c>
      <c r="AD18">
        <v>1932</v>
      </c>
      <c r="AE18">
        <v>15179</v>
      </c>
      <c r="AF18">
        <v>15477</v>
      </c>
      <c r="AG18">
        <v>7876129</v>
      </c>
      <c r="AH18">
        <v>13997</v>
      </c>
      <c r="AI18">
        <v>7804</v>
      </c>
      <c r="AJ18">
        <v>7579</v>
      </c>
      <c r="AK18">
        <v>2335214</v>
      </c>
      <c r="AL18">
        <v>2102</v>
      </c>
      <c r="AM18">
        <v>32044</v>
      </c>
      <c r="AN18">
        <v>32023</v>
      </c>
      <c r="AO18">
        <v>10278601</v>
      </c>
      <c r="AP18">
        <v>8179</v>
      </c>
      <c r="AQ18">
        <v>16909</v>
      </c>
      <c r="AR18">
        <v>16726</v>
      </c>
      <c r="AS18">
        <v>5510339</v>
      </c>
      <c r="AT18">
        <v>9781</v>
      </c>
      <c r="AU18">
        <v>24785</v>
      </c>
      <c r="AV18">
        <v>25288</v>
      </c>
      <c r="AW18">
        <v>6692208</v>
      </c>
      <c r="AX18">
        <v>7654</v>
      </c>
      <c r="AY18">
        <v>12128</v>
      </c>
      <c r="AZ18">
        <v>10598</v>
      </c>
      <c r="BA18">
        <v>3146651</v>
      </c>
      <c r="BB18">
        <v>7588</v>
      </c>
      <c r="BC18">
        <v>36199</v>
      </c>
      <c r="BD18">
        <v>36323</v>
      </c>
      <c r="BE18">
        <v>11687768</v>
      </c>
      <c r="BF18">
        <v>13020</v>
      </c>
      <c r="BG18">
        <v>12090</v>
      </c>
      <c r="BH18">
        <v>10404</v>
      </c>
      <c r="BI18">
        <v>3266650</v>
      </c>
      <c r="BJ18">
        <v>4192</v>
      </c>
      <c r="BK18">
        <v>14563</v>
      </c>
      <c r="BL18">
        <v>13435</v>
      </c>
      <c r="BM18">
        <v>2873668</v>
      </c>
      <c r="BN18">
        <v>5925</v>
      </c>
      <c r="BO18">
        <v>14013</v>
      </c>
      <c r="BP18">
        <v>13209</v>
      </c>
      <c r="BQ18">
        <v>2139150</v>
      </c>
      <c r="BR18">
        <v>5010</v>
      </c>
      <c r="BS18">
        <v>270</v>
      </c>
      <c r="BT18">
        <v>295</v>
      </c>
      <c r="BU18">
        <v>44809</v>
      </c>
      <c r="BV18">
        <v>289</v>
      </c>
      <c r="BW18">
        <v>10090</v>
      </c>
      <c r="BX18">
        <v>4809</v>
      </c>
      <c r="BY18">
        <v>1118288</v>
      </c>
      <c r="BZ18">
        <v>7640</v>
      </c>
      <c r="CA18">
        <v>4934</v>
      </c>
      <c r="CB18">
        <v>3159</v>
      </c>
      <c r="CC18">
        <v>699600</v>
      </c>
      <c r="CD18">
        <v>4272</v>
      </c>
      <c r="CE18">
        <v>3924</v>
      </c>
      <c r="CF18">
        <v>2077</v>
      </c>
      <c r="CG18">
        <v>607632</v>
      </c>
      <c r="CH18">
        <v>3188</v>
      </c>
      <c r="CI18">
        <v>13948</v>
      </c>
      <c r="CJ18">
        <v>11151</v>
      </c>
      <c r="CK18">
        <v>3493114</v>
      </c>
      <c r="CL18">
        <v>16666</v>
      </c>
      <c r="CM18">
        <v>3504</v>
      </c>
      <c r="CN18">
        <v>2361</v>
      </c>
      <c r="CO18">
        <v>1490943</v>
      </c>
      <c r="CP18">
        <v>3167</v>
      </c>
      <c r="CQ18">
        <v>15290</v>
      </c>
      <c r="CR18">
        <v>15124</v>
      </c>
      <c r="CS18">
        <v>4915889</v>
      </c>
      <c r="CT18">
        <v>15977</v>
      </c>
      <c r="CU18">
        <v>1180</v>
      </c>
      <c r="CV18">
        <v>182</v>
      </c>
      <c r="CW18">
        <v>110592</v>
      </c>
      <c r="CX18">
        <v>846</v>
      </c>
      <c r="CY18">
        <v>13632</v>
      </c>
      <c r="CZ18">
        <v>11129</v>
      </c>
      <c r="DA18">
        <v>4389477</v>
      </c>
      <c r="DB18">
        <v>25250</v>
      </c>
      <c r="DC18">
        <v>6394</v>
      </c>
      <c r="DD18">
        <v>4650</v>
      </c>
      <c r="DE18">
        <v>2343985</v>
      </c>
      <c r="DF18">
        <v>9981</v>
      </c>
      <c r="DG18">
        <v>6345</v>
      </c>
      <c r="DH18">
        <v>5838</v>
      </c>
      <c r="DI18">
        <v>4827601</v>
      </c>
      <c r="DJ18">
        <v>10855</v>
      </c>
      <c r="DK18">
        <v>6743</v>
      </c>
      <c r="DL18">
        <v>3513</v>
      </c>
      <c r="DM18">
        <v>2121117</v>
      </c>
      <c r="DN18">
        <v>7167</v>
      </c>
      <c r="DO18">
        <v>2736</v>
      </c>
      <c r="DP18">
        <v>2281</v>
      </c>
      <c r="DQ18">
        <v>581315</v>
      </c>
      <c r="DR18">
        <v>1803</v>
      </c>
      <c r="DS18">
        <v>3056</v>
      </c>
      <c r="DT18">
        <v>2343</v>
      </c>
      <c r="DU18">
        <v>1578584</v>
      </c>
      <c r="DV18">
        <v>3831</v>
      </c>
    </row>
    <row r="19" spans="1:126" x14ac:dyDescent="0.4">
      <c r="A19" s="1" t="s">
        <v>26</v>
      </c>
      <c r="B19" s="1" t="s">
        <v>27</v>
      </c>
      <c r="C19">
        <v>7453</v>
      </c>
      <c r="D19">
        <v>2039</v>
      </c>
      <c r="E19">
        <v>324923</v>
      </c>
      <c r="F19">
        <v>1693</v>
      </c>
      <c r="G19">
        <v>1455</v>
      </c>
      <c r="H19">
        <v>938</v>
      </c>
      <c r="I19">
        <v>195839</v>
      </c>
      <c r="J19">
        <v>1369</v>
      </c>
      <c r="K19">
        <v>4052</v>
      </c>
      <c r="L19">
        <v>1288</v>
      </c>
      <c r="M19">
        <v>352692</v>
      </c>
      <c r="N19">
        <v>3019</v>
      </c>
      <c r="O19">
        <v>2894</v>
      </c>
      <c r="P19">
        <v>4175</v>
      </c>
      <c r="Q19">
        <v>904185</v>
      </c>
      <c r="R19">
        <v>8465</v>
      </c>
      <c r="S19">
        <v>1780</v>
      </c>
      <c r="T19">
        <v>2693</v>
      </c>
      <c r="U19">
        <v>1894765</v>
      </c>
      <c r="V19">
        <v>3306</v>
      </c>
      <c r="W19">
        <v>4186</v>
      </c>
      <c r="X19">
        <v>4969</v>
      </c>
      <c r="Y19">
        <v>2202514</v>
      </c>
      <c r="Z19">
        <v>2517</v>
      </c>
      <c r="AA19">
        <v>2846</v>
      </c>
      <c r="AB19">
        <v>1696</v>
      </c>
      <c r="AC19">
        <v>457934</v>
      </c>
      <c r="AD19">
        <v>1901</v>
      </c>
      <c r="AE19">
        <v>12309</v>
      </c>
      <c r="AF19">
        <v>12792</v>
      </c>
      <c r="AG19">
        <v>6076038</v>
      </c>
      <c r="AH19">
        <v>13122</v>
      </c>
      <c r="AI19">
        <v>6102</v>
      </c>
      <c r="AJ19">
        <v>5142</v>
      </c>
      <c r="AK19">
        <v>1560977</v>
      </c>
      <c r="AL19">
        <v>2597</v>
      </c>
      <c r="AM19">
        <v>29669</v>
      </c>
      <c r="AN19">
        <v>29702</v>
      </c>
      <c r="AO19">
        <v>8868435</v>
      </c>
      <c r="AP19">
        <v>7038</v>
      </c>
      <c r="AQ19">
        <v>15374</v>
      </c>
      <c r="AR19">
        <v>17458</v>
      </c>
      <c r="AS19">
        <v>5501307</v>
      </c>
      <c r="AT19">
        <v>6768</v>
      </c>
      <c r="AU19">
        <v>21808</v>
      </c>
      <c r="AV19">
        <v>19884</v>
      </c>
      <c r="AW19">
        <v>5487238</v>
      </c>
      <c r="AX19">
        <v>8689</v>
      </c>
      <c r="AY19">
        <v>6170</v>
      </c>
      <c r="AZ19">
        <v>7695</v>
      </c>
      <c r="BA19">
        <v>2238848</v>
      </c>
      <c r="BB19">
        <v>5691</v>
      </c>
      <c r="BC19">
        <v>28360</v>
      </c>
      <c r="BD19">
        <v>26592</v>
      </c>
      <c r="BE19">
        <v>8355356</v>
      </c>
      <c r="BF19">
        <v>13167</v>
      </c>
      <c r="BG19">
        <v>9673</v>
      </c>
      <c r="BH19">
        <v>9908</v>
      </c>
      <c r="BI19">
        <v>3158658</v>
      </c>
      <c r="BJ19">
        <v>3460</v>
      </c>
      <c r="BK19">
        <v>10231</v>
      </c>
      <c r="BL19">
        <v>10874</v>
      </c>
      <c r="BM19">
        <v>2271877</v>
      </c>
      <c r="BN19">
        <v>4248</v>
      </c>
      <c r="BO19">
        <v>10503</v>
      </c>
      <c r="BP19">
        <v>11001</v>
      </c>
      <c r="BQ19">
        <v>1859976</v>
      </c>
      <c r="BR19">
        <v>4470</v>
      </c>
      <c r="BS19">
        <v>202</v>
      </c>
      <c r="BT19">
        <v>222</v>
      </c>
      <c r="BU19">
        <v>33346</v>
      </c>
      <c r="BV19">
        <v>275</v>
      </c>
      <c r="BW19">
        <v>8662</v>
      </c>
      <c r="BX19">
        <v>4312</v>
      </c>
      <c r="BY19">
        <v>977782</v>
      </c>
      <c r="BZ19">
        <v>7030</v>
      </c>
      <c r="CA19">
        <v>3439</v>
      </c>
      <c r="CB19">
        <v>2444</v>
      </c>
      <c r="CC19">
        <v>597405</v>
      </c>
      <c r="CD19">
        <v>4242</v>
      </c>
      <c r="CE19">
        <v>3187</v>
      </c>
      <c r="CF19">
        <v>1790</v>
      </c>
      <c r="CG19">
        <v>515626</v>
      </c>
      <c r="CH19">
        <v>3235</v>
      </c>
      <c r="CI19">
        <v>10971</v>
      </c>
      <c r="CJ19">
        <v>8898</v>
      </c>
      <c r="CK19">
        <v>2888617</v>
      </c>
      <c r="CL19">
        <v>15941</v>
      </c>
      <c r="CM19">
        <v>2334</v>
      </c>
      <c r="CN19">
        <v>1904</v>
      </c>
      <c r="CO19">
        <v>1182913</v>
      </c>
      <c r="CP19">
        <v>2955</v>
      </c>
      <c r="CQ19">
        <v>15506</v>
      </c>
      <c r="CR19">
        <v>13759</v>
      </c>
      <c r="CS19">
        <v>4352143</v>
      </c>
      <c r="CT19">
        <v>15968</v>
      </c>
      <c r="CU19">
        <v>1087</v>
      </c>
      <c r="CV19">
        <v>135</v>
      </c>
      <c r="CW19">
        <v>70784</v>
      </c>
      <c r="CX19">
        <v>857</v>
      </c>
      <c r="CY19">
        <v>11693</v>
      </c>
      <c r="CZ19">
        <v>9221</v>
      </c>
      <c r="DA19">
        <v>3468126</v>
      </c>
      <c r="DB19">
        <v>25346</v>
      </c>
      <c r="DC19">
        <v>4916</v>
      </c>
      <c r="DD19">
        <v>3572</v>
      </c>
      <c r="DE19">
        <v>1709031</v>
      </c>
      <c r="DF19">
        <v>9816</v>
      </c>
      <c r="DG19">
        <v>4408</v>
      </c>
      <c r="DH19">
        <v>4491</v>
      </c>
      <c r="DI19">
        <v>3857081</v>
      </c>
      <c r="DJ19">
        <v>10518</v>
      </c>
      <c r="DK19">
        <v>3791</v>
      </c>
      <c r="DL19">
        <v>2693</v>
      </c>
      <c r="DM19">
        <v>1604926</v>
      </c>
      <c r="DN19">
        <v>6724</v>
      </c>
      <c r="DO19">
        <v>1946</v>
      </c>
      <c r="DP19">
        <v>1493</v>
      </c>
      <c r="DQ19">
        <v>419223</v>
      </c>
      <c r="DR19">
        <v>1830</v>
      </c>
      <c r="DS19">
        <v>2571</v>
      </c>
      <c r="DT19">
        <v>1979</v>
      </c>
      <c r="DU19">
        <v>1426194</v>
      </c>
      <c r="DV19">
        <v>3829</v>
      </c>
    </row>
    <row r="20" spans="1:126" x14ac:dyDescent="0.4">
      <c r="A20" s="1" t="s">
        <v>28</v>
      </c>
      <c r="B20" s="1" t="s">
        <v>29</v>
      </c>
      <c r="C20">
        <v>8191</v>
      </c>
      <c r="D20">
        <v>2399</v>
      </c>
      <c r="E20">
        <v>382076</v>
      </c>
      <c r="F20">
        <v>1799</v>
      </c>
      <c r="G20">
        <v>2091</v>
      </c>
      <c r="H20">
        <v>1013</v>
      </c>
      <c r="I20">
        <v>208857</v>
      </c>
      <c r="J20">
        <v>1411</v>
      </c>
      <c r="K20">
        <v>6253</v>
      </c>
      <c r="L20">
        <v>1541</v>
      </c>
      <c r="M20">
        <v>410346</v>
      </c>
      <c r="N20">
        <v>2789</v>
      </c>
      <c r="O20">
        <v>3318</v>
      </c>
      <c r="P20">
        <v>4295</v>
      </c>
      <c r="Q20">
        <v>1049814</v>
      </c>
      <c r="R20">
        <v>7931</v>
      </c>
      <c r="S20">
        <v>1971</v>
      </c>
      <c r="T20">
        <v>2491</v>
      </c>
      <c r="U20">
        <v>1808794</v>
      </c>
      <c r="V20">
        <v>3363</v>
      </c>
      <c r="W20">
        <v>6669</v>
      </c>
      <c r="X20">
        <v>7607</v>
      </c>
      <c r="Y20">
        <v>2946249</v>
      </c>
      <c r="Z20">
        <v>1865</v>
      </c>
      <c r="AA20">
        <v>2670</v>
      </c>
      <c r="AB20">
        <v>1826</v>
      </c>
      <c r="AC20">
        <v>497006</v>
      </c>
      <c r="AD20">
        <v>1854</v>
      </c>
      <c r="AE20">
        <v>15484</v>
      </c>
      <c r="AF20">
        <v>14776</v>
      </c>
      <c r="AG20">
        <v>6961141</v>
      </c>
      <c r="AH20">
        <v>13511</v>
      </c>
      <c r="AI20">
        <v>7017</v>
      </c>
      <c r="AJ20">
        <v>6061</v>
      </c>
      <c r="AK20">
        <v>1822618</v>
      </c>
      <c r="AL20">
        <v>2071</v>
      </c>
      <c r="AM20">
        <v>33097</v>
      </c>
      <c r="AN20">
        <v>33189</v>
      </c>
      <c r="AO20">
        <v>10773558</v>
      </c>
      <c r="AP20">
        <v>6872</v>
      </c>
      <c r="AQ20">
        <v>22592</v>
      </c>
      <c r="AR20">
        <v>18101</v>
      </c>
      <c r="AS20">
        <v>5646928</v>
      </c>
      <c r="AT20">
        <v>8828</v>
      </c>
      <c r="AU20">
        <v>25961</v>
      </c>
      <c r="AV20">
        <v>23579</v>
      </c>
      <c r="AW20">
        <v>6385860</v>
      </c>
      <c r="AX20">
        <v>9460</v>
      </c>
      <c r="AY20">
        <v>10477</v>
      </c>
      <c r="AZ20">
        <v>10122</v>
      </c>
      <c r="BA20">
        <v>3042091</v>
      </c>
      <c r="BB20">
        <v>5543</v>
      </c>
      <c r="BC20">
        <v>36192</v>
      </c>
      <c r="BD20">
        <v>36456</v>
      </c>
      <c r="BE20">
        <v>11426738</v>
      </c>
      <c r="BF20">
        <v>12660</v>
      </c>
      <c r="BG20">
        <v>10928</v>
      </c>
      <c r="BH20">
        <v>10013</v>
      </c>
      <c r="BI20">
        <v>3170107</v>
      </c>
      <c r="BJ20">
        <v>3275</v>
      </c>
      <c r="BK20">
        <v>13597</v>
      </c>
      <c r="BL20">
        <v>11363</v>
      </c>
      <c r="BM20">
        <v>2342709</v>
      </c>
      <c r="BN20">
        <v>4988</v>
      </c>
      <c r="BO20">
        <v>12257</v>
      </c>
      <c r="BP20">
        <v>12098</v>
      </c>
      <c r="BQ20">
        <v>2039278</v>
      </c>
      <c r="BR20">
        <v>4450</v>
      </c>
      <c r="BS20">
        <v>211</v>
      </c>
      <c r="BT20">
        <v>266</v>
      </c>
      <c r="BU20">
        <v>40545</v>
      </c>
      <c r="BV20">
        <v>225</v>
      </c>
      <c r="BW20">
        <v>10568</v>
      </c>
      <c r="BX20">
        <v>4276</v>
      </c>
      <c r="BY20">
        <v>983064</v>
      </c>
      <c r="BZ20">
        <v>7421</v>
      </c>
      <c r="CA20">
        <v>3268</v>
      </c>
      <c r="CB20">
        <v>2269</v>
      </c>
      <c r="CC20">
        <v>605793</v>
      </c>
      <c r="CD20">
        <v>3641</v>
      </c>
      <c r="CE20">
        <v>3596</v>
      </c>
      <c r="CF20">
        <v>1918</v>
      </c>
      <c r="CG20">
        <v>614303</v>
      </c>
      <c r="CH20">
        <v>3099</v>
      </c>
      <c r="CI20">
        <v>13873</v>
      </c>
      <c r="CJ20">
        <v>9617</v>
      </c>
      <c r="CK20">
        <v>3154663</v>
      </c>
      <c r="CL20">
        <v>16809</v>
      </c>
      <c r="CM20">
        <v>3602</v>
      </c>
      <c r="CN20">
        <v>2645</v>
      </c>
      <c r="CO20">
        <v>1503651</v>
      </c>
      <c r="CP20">
        <v>3166</v>
      </c>
      <c r="CQ20">
        <v>19511</v>
      </c>
      <c r="CR20">
        <v>14584</v>
      </c>
      <c r="CS20">
        <v>4608624</v>
      </c>
      <c r="CT20">
        <v>18557</v>
      </c>
      <c r="CU20">
        <v>1170</v>
      </c>
      <c r="CV20">
        <v>188</v>
      </c>
      <c r="CW20">
        <v>105976</v>
      </c>
      <c r="CX20">
        <v>925</v>
      </c>
      <c r="CY20">
        <v>14066</v>
      </c>
      <c r="CZ20">
        <v>9321</v>
      </c>
      <c r="DA20">
        <v>3497362</v>
      </c>
      <c r="DB20">
        <v>27106</v>
      </c>
      <c r="DC20">
        <v>6527</v>
      </c>
      <c r="DD20">
        <v>3739</v>
      </c>
      <c r="DE20">
        <v>1818288</v>
      </c>
      <c r="DF20">
        <v>10483</v>
      </c>
      <c r="DG20">
        <v>5978</v>
      </c>
      <c r="DH20">
        <v>5342</v>
      </c>
      <c r="DI20">
        <v>4613622</v>
      </c>
      <c r="DJ20">
        <v>10793</v>
      </c>
      <c r="DK20">
        <v>5942</v>
      </c>
      <c r="DL20">
        <v>3082</v>
      </c>
      <c r="DM20">
        <v>1783197</v>
      </c>
      <c r="DN20">
        <v>6859</v>
      </c>
      <c r="DO20">
        <v>2404</v>
      </c>
      <c r="DP20">
        <v>2048</v>
      </c>
      <c r="DQ20">
        <v>544099</v>
      </c>
      <c r="DR20">
        <v>1849</v>
      </c>
      <c r="DS20">
        <v>2800</v>
      </c>
      <c r="DT20">
        <v>2079</v>
      </c>
      <c r="DU20">
        <v>1432739</v>
      </c>
      <c r="DV20">
        <v>3904</v>
      </c>
    </row>
    <row r="21" spans="1:126" x14ac:dyDescent="0.4">
      <c r="A21" s="1" t="s">
        <v>30</v>
      </c>
      <c r="B21" s="1" t="s">
        <v>31</v>
      </c>
      <c r="C21">
        <v>9048</v>
      </c>
      <c r="D21">
        <v>2764</v>
      </c>
      <c r="E21">
        <v>442255</v>
      </c>
      <c r="F21">
        <v>1825</v>
      </c>
      <c r="G21">
        <v>2361</v>
      </c>
      <c r="H21">
        <v>1152</v>
      </c>
      <c r="I21">
        <v>236117</v>
      </c>
      <c r="J21">
        <v>1486</v>
      </c>
      <c r="K21">
        <v>7564</v>
      </c>
      <c r="L21">
        <v>1954</v>
      </c>
      <c r="M21">
        <v>522170</v>
      </c>
      <c r="N21">
        <v>3093</v>
      </c>
      <c r="O21">
        <v>4282</v>
      </c>
      <c r="P21">
        <v>4491</v>
      </c>
      <c r="Q21">
        <v>1109952</v>
      </c>
      <c r="R21">
        <v>8511</v>
      </c>
      <c r="S21">
        <v>2193</v>
      </c>
      <c r="T21">
        <v>2993</v>
      </c>
      <c r="U21">
        <v>2169491</v>
      </c>
      <c r="V21">
        <v>3500</v>
      </c>
      <c r="W21">
        <v>8558</v>
      </c>
      <c r="X21">
        <v>12068</v>
      </c>
      <c r="Y21">
        <v>4402137</v>
      </c>
      <c r="Z21">
        <v>2061</v>
      </c>
      <c r="AA21">
        <v>3055</v>
      </c>
      <c r="AB21">
        <v>2163</v>
      </c>
      <c r="AC21">
        <v>575158</v>
      </c>
      <c r="AD21">
        <v>1897</v>
      </c>
      <c r="AE21">
        <v>15871</v>
      </c>
      <c r="AF21">
        <v>15555</v>
      </c>
      <c r="AG21">
        <v>7278292</v>
      </c>
      <c r="AH21">
        <v>13798</v>
      </c>
      <c r="AI21">
        <v>8638</v>
      </c>
      <c r="AJ21">
        <v>6851</v>
      </c>
      <c r="AK21">
        <v>2060747</v>
      </c>
      <c r="AL21">
        <v>2208</v>
      </c>
      <c r="AM21">
        <v>37945</v>
      </c>
      <c r="AN21">
        <v>35316</v>
      </c>
      <c r="AO21">
        <v>11209649</v>
      </c>
      <c r="AP21">
        <v>9035</v>
      </c>
      <c r="AQ21">
        <v>23784</v>
      </c>
      <c r="AR21">
        <v>20683</v>
      </c>
      <c r="AS21">
        <v>6518614</v>
      </c>
      <c r="AT21">
        <v>9357</v>
      </c>
      <c r="AU21">
        <v>25561</v>
      </c>
      <c r="AV21">
        <v>24133</v>
      </c>
      <c r="AW21">
        <v>6724513</v>
      </c>
      <c r="AX21">
        <v>9443</v>
      </c>
      <c r="AY21">
        <v>13127</v>
      </c>
      <c r="AZ21">
        <v>12689</v>
      </c>
      <c r="BA21">
        <v>3759813</v>
      </c>
      <c r="BB21">
        <v>5450</v>
      </c>
      <c r="BC21">
        <v>32869</v>
      </c>
      <c r="BD21">
        <v>31544</v>
      </c>
      <c r="BE21">
        <v>10522600</v>
      </c>
      <c r="BF21">
        <v>12382</v>
      </c>
      <c r="BG21">
        <v>11989</v>
      </c>
      <c r="BH21">
        <v>9881</v>
      </c>
      <c r="BI21">
        <v>3070350</v>
      </c>
      <c r="BJ21">
        <v>3952</v>
      </c>
      <c r="BK21">
        <v>13222</v>
      </c>
      <c r="BL21">
        <v>12883</v>
      </c>
      <c r="BM21">
        <v>2768421</v>
      </c>
      <c r="BN21">
        <v>3889</v>
      </c>
      <c r="BO21">
        <v>13435</v>
      </c>
      <c r="BP21">
        <v>13244</v>
      </c>
      <c r="BQ21">
        <v>2277462</v>
      </c>
      <c r="BR21">
        <v>4512</v>
      </c>
      <c r="BS21">
        <v>294</v>
      </c>
      <c r="BT21">
        <v>295</v>
      </c>
      <c r="BU21">
        <v>45664</v>
      </c>
      <c r="BV21">
        <v>231</v>
      </c>
      <c r="BW21">
        <v>9780</v>
      </c>
      <c r="BX21">
        <v>4738</v>
      </c>
      <c r="BY21">
        <v>1161763</v>
      </c>
      <c r="BZ21">
        <v>7233</v>
      </c>
      <c r="CA21">
        <v>4394</v>
      </c>
      <c r="CB21">
        <v>2573</v>
      </c>
      <c r="CC21">
        <v>654938</v>
      </c>
      <c r="CD21">
        <v>3519</v>
      </c>
      <c r="CE21">
        <v>3666</v>
      </c>
      <c r="CF21">
        <v>2315</v>
      </c>
      <c r="CG21">
        <v>723411</v>
      </c>
      <c r="CH21">
        <v>2729</v>
      </c>
      <c r="CI21">
        <v>13813</v>
      </c>
      <c r="CJ21">
        <v>10650</v>
      </c>
      <c r="CK21">
        <v>3466473</v>
      </c>
      <c r="CL21">
        <v>16549</v>
      </c>
      <c r="CM21">
        <v>3201</v>
      </c>
      <c r="CN21">
        <v>2539</v>
      </c>
      <c r="CO21">
        <v>1421956</v>
      </c>
      <c r="CP21">
        <v>3220</v>
      </c>
      <c r="CQ21">
        <v>20243</v>
      </c>
      <c r="CR21">
        <v>17894</v>
      </c>
      <c r="CS21">
        <v>5447909</v>
      </c>
      <c r="CT21">
        <v>18654</v>
      </c>
      <c r="CU21">
        <v>1361</v>
      </c>
      <c r="CV21">
        <v>160</v>
      </c>
      <c r="CW21">
        <v>94518</v>
      </c>
      <c r="CX21">
        <v>954</v>
      </c>
      <c r="CY21">
        <v>12684</v>
      </c>
      <c r="CZ21">
        <v>11487</v>
      </c>
      <c r="DA21">
        <v>4365512</v>
      </c>
      <c r="DB21">
        <v>25959</v>
      </c>
      <c r="DC21">
        <v>5434</v>
      </c>
      <c r="DD21">
        <v>4356</v>
      </c>
      <c r="DE21">
        <v>2050495</v>
      </c>
      <c r="DF21">
        <v>10186</v>
      </c>
      <c r="DG21">
        <v>6503</v>
      </c>
      <c r="DH21">
        <v>5705</v>
      </c>
      <c r="DI21">
        <v>4677115</v>
      </c>
      <c r="DJ21">
        <v>11161</v>
      </c>
      <c r="DK21">
        <v>4892</v>
      </c>
      <c r="DL21">
        <v>2911</v>
      </c>
      <c r="DM21">
        <v>1739095</v>
      </c>
      <c r="DN21">
        <v>6867</v>
      </c>
      <c r="DO21">
        <v>2357</v>
      </c>
      <c r="DP21">
        <v>2024</v>
      </c>
      <c r="DQ21">
        <v>555199</v>
      </c>
      <c r="DR21">
        <v>1869</v>
      </c>
      <c r="DS21">
        <v>2673</v>
      </c>
      <c r="DT21">
        <v>2398</v>
      </c>
      <c r="DU21">
        <v>1655286</v>
      </c>
      <c r="DV21">
        <v>3812</v>
      </c>
    </row>
    <row r="22" spans="1:126" x14ac:dyDescent="0.4">
      <c r="A22" s="1" t="s">
        <v>32</v>
      </c>
      <c r="B22" s="1" t="s">
        <v>33</v>
      </c>
      <c r="C22">
        <v>8322</v>
      </c>
      <c r="D22">
        <v>2680</v>
      </c>
      <c r="E22">
        <v>415709</v>
      </c>
      <c r="F22">
        <v>1724</v>
      </c>
      <c r="G22">
        <v>2220</v>
      </c>
      <c r="H22">
        <v>985</v>
      </c>
      <c r="I22">
        <v>201672</v>
      </c>
      <c r="J22">
        <v>1687</v>
      </c>
      <c r="K22">
        <v>6523</v>
      </c>
      <c r="L22">
        <v>1430</v>
      </c>
      <c r="M22">
        <v>386646</v>
      </c>
      <c r="N22">
        <v>3023</v>
      </c>
      <c r="O22">
        <v>3525</v>
      </c>
      <c r="P22">
        <v>4237</v>
      </c>
      <c r="Q22">
        <v>1030225</v>
      </c>
      <c r="R22">
        <v>8473</v>
      </c>
      <c r="S22">
        <v>2157</v>
      </c>
      <c r="T22">
        <v>3067</v>
      </c>
      <c r="U22">
        <v>2097394</v>
      </c>
      <c r="V22">
        <v>3259</v>
      </c>
      <c r="W22">
        <v>8027</v>
      </c>
      <c r="X22">
        <v>11172</v>
      </c>
      <c r="Y22">
        <v>3988066</v>
      </c>
      <c r="Z22">
        <v>2264</v>
      </c>
      <c r="AA22">
        <v>3310</v>
      </c>
      <c r="AB22">
        <v>2211</v>
      </c>
      <c r="AC22">
        <v>536791</v>
      </c>
      <c r="AD22">
        <v>1979</v>
      </c>
      <c r="AE22">
        <v>15045</v>
      </c>
      <c r="AF22">
        <v>14615</v>
      </c>
      <c r="AG22">
        <v>6814864</v>
      </c>
      <c r="AH22">
        <v>14108</v>
      </c>
      <c r="AI22">
        <v>7892</v>
      </c>
      <c r="AJ22">
        <v>6256</v>
      </c>
      <c r="AK22">
        <v>1868833</v>
      </c>
      <c r="AL22">
        <v>2254</v>
      </c>
      <c r="AM22">
        <v>37200</v>
      </c>
      <c r="AN22">
        <v>34806</v>
      </c>
      <c r="AO22">
        <v>10867853</v>
      </c>
      <c r="AP22">
        <v>9909</v>
      </c>
      <c r="AQ22">
        <v>22642</v>
      </c>
      <c r="AR22">
        <v>19515</v>
      </c>
      <c r="AS22">
        <v>6136366</v>
      </c>
      <c r="AT22">
        <v>10156</v>
      </c>
      <c r="AU22">
        <v>27514</v>
      </c>
      <c r="AV22">
        <v>25021</v>
      </c>
      <c r="AW22">
        <v>6886437</v>
      </c>
      <c r="AX22">
        <v>9875</v>
      </c>
      <c r="AY22">
        <v>11687</v>
      </c>
      <c r="AZ22">
        <v>10961</v>
      </c>
      <c r="BA22">
        <v>3310109</v>
      </c>
      <c r="BB22">
        <v>5732</v>
      </c>
      <c r="BC22">
        <v>38540</v>
      </c>
      <c r="BD22">
        <v>33507</v>
      </c>
      <c r="BE22">
        <v>10614953</v>
      </c>
      <c r="BF22">
        <v>14993</v>
      </c>
      <c r="BG22">
        <v>10873</v>
      </c>
      <c r="BH22">
        <v>10026</v>
      </c>
      <c r="BI22">
        <v>3101880</v>
      </c>
      <c r="BJ22">
        <v>3322</v>
      </c>
      <c r="BK22">
        <v>13484</v>
      </c>
      <c r="BL22">
        <v>11480</v>
      </c>
      <c r="BM22">
        <v>2335510</v>
      </c>
      <c r="BN22">
        <v>4122</v>
      </c>
      <c r="BO22">
        <v>12997</v>
      </c>
      <c r="BP22">
        <v>12602</v>
      </c>
      <c r="BQ22">
        <v>2141402</v>
      </c>
      <c r="BR22">
        <v>4829</v>
      </c>
      <c r="BS22">
        <v>302</v>
      </c>
      <c r="BT22">
        <v>289</v>
      </c>
      <c r="BU22">
        <v>44722</v>
      </c>
      <c r="BV22">
        <v>249</v>
      </c>
      <c r="BW22">
        <v>9901</v>
      </c>
      <c r="BX22">
        <v>4361</v>
      </c>
      <c r="BY22">
        <v>1089858</v>
      </c>
      <c r="BZ22">
        <v>7432</v>
      </c>
      <c r="CA22">
        <v>4144</v>
      </c>
      <c r="CB22">
        <v>2553</v>
      </c>
      <c r="CC22">
        <v>614266</v>
      </c>
      <c r="CD22">
        <v>3344</v>
      </c>
      <c r="CE22">
        <v>3950</v>
      </c>
      <c r="CF22">
        <v>2324</v>
      </c>
      <c r="CG22">
        <v>648726</v>
      </c>
      <c r="CH22">
        <v>2837</v>
      </c>
      <c r="CI22">
        <v>13745</v>
      </c>
      <c r="CJ22">
        <v>9774</v>
      </c>
      <c r="CK22">
        <v>3162225</v>
      </c>
      <c r="CL22">
        <v>17343</v>
      </c>
      <c r="CM22">
        <v>3843</v>
      </c>
      <c r="CN22">
        <v>2622</v>
      </c>
      <c r="CO22">
        <v>1478673</v>
      </c>
      <c r="CP22">
        <v>3421</v>
      </c>
      <c r="CQ22">
        <v>19455</v>
      </c>
      <c r="CR22">
        <v>16928</v>
      </c>
      <c r="CS22">
        <v>5193732</v>
      </c>
      <c r="CT22">
        <v>18930</v>
      </c>
      <c r="CU22">
        <v>2092</v>
      </c>
      <c r="CV22">
        <v>259</v>
      </c>
      <c r="CW22">
        <v>151603</v>
      </c>
      <c r="CX22">
        <v>1098</v>
      </c>
      <c r="CY22">
        <v>12897</v>
      </c>
      <c r="CZ22">
        <v>11001</v>
      </c>
      <c r="DA22">
        <v>4215026</v>
      </c>
      <c r="DB22">
        <v>25175</v>
      </c>
      <c r="DC22">
        <v>5589</v>
      </c>
      <c r="DD22">
        <v>4144</v>
      </c>
      <c r="DE22">
        <v>2021028</v>
      </c>
      <c r="DF22">
        <v>9978</v>
      </c>
      <c r="DG22">
        <v>5925</v>
      </c>
      <c r="DH22">
        <v>5361</v>
      </c>
      <c r="DI22">
        <v>4446599</v>
      </c>
      <c r="DJ22">
        <v>11218</v>
      </c>
      <c r="DK22">
        <v>4970</v>
      </c>
      <c r="DL22">
        <v>2898</v>
      </c>
      <c r="DM22">
        <v>1717942</v>
      </c>
      <c r="DN22">
        <v>6891</v>
      </c>
      <c r="DO22">
        <v>2340</v>
      </c>
      <c r="DP22">
        <v>2012</v>
      </c>
      <c r="DQ22">
        <v>593459</v>
      </c>
      <c r="DR22">
        <v>1856</v>
      </c>
      <c r="DS22">
        <v>2489</v>
      </c>
      <c r="DT22">
        <v>2152</v>
      </c>
      <c r="DU22">
        <v>1521306</v>
      </c>
      <c r="DV22">
        <v>3656</v>
      </c>
    </row>
    <row r="23" spans="1:126" x14ac:dyDescent="0.4">
      <c r="A23" s="1" t="s">
        <v>34</v>
      </c>
      <c r="B23" s="1" t="s">
        <v>35</v>
      </c>
      <c r="C23">
        <v>7735</v>
      </c>
      <c r="D23">
        <v>2354</v>
      </c>
      <c r="E23">
        <v>368565</v>
      </c>
      <c r="F23">
        <v>1846</v>
      </c>
      <c r="G23">
        <v>1978</v>
      </c>
      <c r="H23">
        <v>1138</v>
      </c>
      <c r="I23">
        <v>240012</v>
      </c>
      <c r="J23">
        <v>1457</v>
      </c>
      <c r="K23">
        <v>5323</v>
      </c>
      <c r="L23">
        <v>1468</v>
      </c>
      <c r="M23">
        <v>395377</v>
      </c>
      <c r="N23">
        <v>2865</v>
      </c>
      <c r="O23">
        <v>3709</v>
      </c>
      <c r="P23">
        <v>3980</v>
      </c>
      <c r="Q23">
        <v>983667</v>
      </c>
      <c r="R23">
        <v>9241</v>
      </c>
      <c r="S23">
        <v>2012</v>
      </c>
      <c r="T23">
        <v>2882</v>
      </c>
      <c r="U23">
        <v>2055591</v>
      </c>
      <c r="V23">
        <v>3094</v>
      </c>
      <c r="W23">
        <v>7017</v>
      </c>
      <c r="X23">
        <v>9385</v>
      </c>
      <c r="Y23">
        <v>3471689</v>
      </c>
      <c r="Z23">
        <v>2420</v>
      </c>
      <c r="AA23">
        <v>3014</v>
      </c>
      <c r="AB23">
        <v>2047</v>
      </c>
      <c r="AC23">
        <v>541871</v>
      </c>
      <c r="AD23">
        <v>2015</v>
      </c>
      <c r="AE23">
        <v>13961</v>
      </c>
      <c r="AF23">
        <v>14304</v>
      </c>
      <c r="AG23">
        <v>6759256</v>
      </c>
      <c r="AH23">
        <v>13547</v>
      </c>
      <c r="AI23">
        <v>7608</v>
      </c>
      <c r="AJ23">
        <v>5426</v>
      </c>
      <c r="AK23">
        <v>1613154</v>
      </c>
      <c r="AL23">
        <v>2635</v>
      </c>
      <c r="AM23">
        <v>31394</v>
      </c>
      <c r="AN23">
        <v>34535</v>
      </c>
      <c r="AO23">
        <v>10931718</v>
      </c>
      <c r="AP23">
        <v>6729</v>
      </c>
      <c r="AQ23">
        <v>24175</v>
      </c>
      <c r="AR23">
        <v>20005</v>
      </c>
      <c r="AS23">
        <v>6245733</v>
      </c>
      <c r="AT23">
        <v>11979</v>
      </c>
      <c r="AU23">
        <v>26018</v>
      </c>
      <c r="AV23">
        <v>25060</v>
      </c>
      <c r="AW23">
        <v>6633808</v>
      </c>
      <c r="AX23">
        <v>9294</v>
      </c>
      <c r="AY23">
        <v>10623</v>
      </c>
      <c r="AZ23">
        <v>12062</v>
      </c>
      <c r="BA23">
        <v>3640841</v>
      </c>
      <c r="BB23">
        <v>4036</v>
      </c>
      <c r="BC23">
        <v>32670</v>
      </c>
      <c r="BD23">
        <v>34647</v>
      </c>
      <c r="BE23">
        <v>10982309</v>
      </c>
      <c r="BF23">
        <v>11675</v>
      </c>
      <c r="BG23">
        <v>11211</v>
      </c>
      <c r="BH23">
        <v>9452</v>
      </c>
      <c r="BI23">
        <v>2873899</v>
      </c>
      <c r="BJ23">
        <v>3522</v>
      </c>
      <c r="BK23">
        <v>13395</v>
      </c>
      <c r="BL23">
        <v>11491</v>
      </c>
      <c r="BM23">
        <v>2328770</v>
      </c>
      <c r="BN23">
        <v>4357</v>
      </c>
      <c r="BO23">
        <v>12231</v>
      </c>
      <c r="BP23">
        <v>12717</v>
      </c>
      <c r="BQ23">
        <v>2329423</v>
      </c>
      <c r="BR23">
        <v>4317</v>
      </c>
      <c r="BS23">
        <v>279</v>
      </c>
      <c r="BT23">
        <v>319</v>
      </c>
      <c r="BU23">
        <v>49011</v>
      </c>
      <c r="BV23">
        <v>215</v>
      </c>
      <c r="BW23">
        <v>10115</v>
      </c>
      <c r="BX23">
        <v>4543</v>
      </c>
      <c r="BY23">
        <v>1038079</v>
      </c>
      <c r="BZ23">
        <v>7741</v>
      </c>
      <c r="CA23">
        <v>4253</v>
      </c>
      <c r="CB23">
        <v>2577</v>
      </c>
      <c r="CC23">
        <v>644702</v>
      </c>
      <c r="CD23">
        <v>3547</v>
      </c>
      <c r="CE23">
        <v>3650</v>
      </c>
      <c r="CF23">
        <v>2169</v>
      </c>
      <c r="CG23">
        <v>632186</v>
      </c>
      <c r="CH23">
        <v>2628</v>
      </c>
      <c r="CI23">
        <v>12577</v>
      </c>
      <c r="CJ23">
        <v>10280</v>
      </c>
      <c r="CK23">
        <v>3419285</v>
      </c>
      <c r="CL23">
        <v>16966</v>
      </c>
      <c r="CM23">
        <v>3454</v>
      </c>
      <c r="CN23">
        <v>2338</v>
      </c>
      <c r="CO23">
        <v>1343820</v>
      </c>
      <c r="CP23">
        <v>3365</v>
      </c>
      <c r="CQ23">
        <v>17420</v>
      </c>
      <c r="CR23">
        <v>15700</v>
      </c>
      <c r="CS23">
        <v>4783156</v>
      </c>
      <c r="CT23">
        <v>18841</v>
      </c>
      <c r="CU23">
        <v>1709</v>
      </c>
      <c r="CV23">
        <v>347</v>
      </c>
      <c r="CW23">
        <v>201066</v>
      </c>
      <c r="CX23">
        <v>1044</v>
      </c>
      <c r="CY23">
        <v>13234</v>
      </c>
      <c r="CZ23">
        <v>9607</v>
      </c>
      <c r="DA23">
        <v>3719021</v>
      </c>
      <c r="DB23">
        <v>26416</v>
      </c>
      <c r="DC23">
        <v>5784</v>
      </c>
      <c r="DD23">
        <v>3908</v>
      </c>
      <c r="DE23">
        <v>1926438</v>
      </c>
      <c r="DF23">
        <v>10126</v>
      </c>
      <c r="DG23">
        <v>6086</v>
      </c>
      <c r="DH23">
        <v>5534</v>
      </c>
      <c r="DI23">
        <v>4821249</v>
      </c>
      <c r="DJ23">
        <v>11386</v>
      </c>
      <c r="DK23">
        <v>5102</v>
      </c>
      <c r="DL23">
        <v>3133</v>
      </c>
      <c r="DM23">
        <v>1863537</v>
      </c>
      <c r="DN23">
        <v>7061</v>
      </c>
      <c r="DO23">
        <v>2320</v>
      </c>
      <c r="DP23">
        <v>1710</v>
      </c>
      <c r="DQ23">
        <v>490553</v>
      </c>
      <c r="DR23">
        <v>2042</v>
      </c>
      <c r="DS23">
        <v>2890</v>
      </c>
      <c r="DT23">
        <v>2017</v>
      </c>
      <c r="DU23">
        <v>1448842</v>
      </c>
      <c r="DV23">
        <v>3863</v>
      </c>
    </row>
    <row r="24" spans="1:126" x14ac:dyDescent="0.4">
      <c r="A24" s="1" t="s">
        <v>36</v>
      </c>
      <c r="B24" s="1" t="s">
        <v>37</v>
      </c>
      <c r="C24">
        <v>8037</v>
      </c>
      <c r="D24">
        <v>2523</v>
      </c>
      <c r="E24">
        <v>452244</v>
      </c>
      <c r="F24">
        <v>2093</v>
      </c>
      <c r="G24">
        <v>1804</v>
      </c>
      <c r="H24">
        <v>1057</v>
      </c>
      <c r="I24">
        <v>216770</v>
      </c>
      <c r="J24">
        <v>1351</v>
      </c>
      <c r="K24">
        <v>3990</v>
      </c>
      <c r="L24">
        <v>1503</v>
      </c>
      <c r="M24">
        <v>437625</v>
      </c>
      <c r="N24">
        <v>2831</v>
      </c>
      <c r="O24">
        <v>2969</v>
      </c>
      <c r="P24">
        <v>4001</v>
      </c>
      <c r="Q24">
        <v>988753</v>
      </c>
      <c r="R24">
        <v>9861</v>
      </c>
      <c r="S24">
        <v>1802</v>
      </c>
      <c r="T24">
        <v>1825</v>
      </c>
      <c r="U24">
        <v>1304941</v>
      </c>
      <c r="V24">
        <v>3614</v>
      </c>
      <c r="W24">
        <v>6863</v>
      </c>
      <c r="X24">
        <v>7274</v>
      </c>
      <c r="Y24">
        <v>2701453</v>
      </c>
      <c r="Z24">
        <v>3373</v>
      </c>
      <c r="AA24">
        <v>3532</v>
      </c>
      <c r="AB24">
        <v>2147</v>
      </c>
      <c r="AC24">
        <v>520773</v>
      </c>
      <c r="AD24">
        <v>1871</v>
      </c>
      <c r="AE24">
        <v>10881</v>
      </c>
      <c r="AF24">
        <v>10965</v>
      </c>
      <c r="AG24">
        <v>5092304</v>
      </c>
      <c r="AH24">
        <v>13005</v>
      </c>
      <c r="AI24">
        <v>6938</v>
      </c>
      <c r="AJ24">
        <v>4542</v>
      </c>
      <c r="AK24">
        <v>1376006</v>
      </c>
      <c r="AL24">
        <v>3356</v>
      </c>
      <c r="AM24">
        <v>20792</v>
      </c>
      <c r="AN24">
        <v>21307</v>
      </c>
      <c r="AO24">
        <v>7535825</v>
      </c>
      <c r="AP24">
        <v>5889</v>
      </c>
      <c r="AQ24">
        <v>20686</v>
      </c>
      <c r="AR24">
        <v>19541</v>
      </c>
      <c r="AS24">
        <v>5858101</v>
      </c>
      <c r="AT24">
        <v>11971</v>
      </c>
      <c r="AU24">
        <v>19501</v>
      </c>
      <c r="AV24">
        <v>18922</v>
      </c>
      <c r="AW24">
        <v>5372567</v>
      </c>
      <c r="AX24">
        <v>8673</v>
      </c>
      <c r="AY24">
        <v>9081</v>
      </c>
      <c r="AZ24">
        <v>7636</v>
      </c>
      <c r="BA24">
        <v>2285634</v>
      </c>
      <c r="BB24">
        <v>5101</v>
      </c>
      <c r="BC24">
        <v>28622</v>
      </c>
      <c r="BD24">
        <v>25796</v>
      </c>
      <c r="BE24">
        <v>8247862</v>
      </c>
      <c r="BF24">
        <v>13139</v>
      </c>
      <c r="BG24">
        <v>8376</v>
      </c>
      <c r="BH24">
        <v>6638</v>
      </c>
      <c r="BI24">
        <v>2060781</v>
      </c>
      <c r="BJ24">
        <v>4078</v>
      </c>
      <c r="BK24">
        <v>9377</v>
      </c>
      <c r="BL24">
        <v>7665</v>
      </c>
      <c r="BM24">
        <v>1652065</v>
      </c>
      <c r="BN24">
        <v>4934</v>
      </c>
      <c r="BO24">
        <v>8554</v>
      </c>
      <c r="BP24">
        <v>8351</v>
      </c>
      <c r="BQ24">
        <v>1428638</v>
      </c>
      <c r="BR24">
        <v>4418</v>
      </c>
      <c r="BS24">
        <v>341</v>
      </c>
      <c r="BT24">
        <v>236</v>
      </c>
      <c r="BU24">
        <v>30668</v>
      </c>
      <c r="BV24">
        <v>320</v>
      </c>
      <c r="BW24">
        <v>9241</v>
      </c>
      <c r="BX24">
        <v>4090</v>
      </c>
      <c r="BY24">
        <v>1088289</v>
      </c>
      <c r="BZ24">
        <v>7932</v>
      </c>
      <c r="CA24">
        <v>3588</v>
      </c>
      <c r="CB24">
        <v>2361</v>
      </c>
      <c r="CC24">
        <v>603173</v>
      </c>
      <c r="CD24">
        <v>3649</v>
      </c>
      <c r="CE24">
        <v>3116</v>
      </c>
      <c r="CF24">
        <v>1896</v>
      </c>
      <c r="CG24">
        <v>585863</v>
      </c>
      <c r="CH24">
        <v>2564</v>
      </c>
      <c r="CI24">
        <v>11354</v>
      </c>
      <c r="CJ24">
        <v>8529</v>
      </c>
      <c r="CK24">
        <v>2907775</v>
      </c>
      <c r="CL24">
        <v>16786</v>
      </c>
      <c r="CM24">
        <v>2507</v>
      </c>
      <c r="CN24">
        <v>2055</v>
      </c>
      <c r="CO24">
        <v>1349729</v>
      </c>
      <c r="CP24">
        <v>3026</v>
      </c>
      <c r="CQ24">
        <v>15542</v>
      </c>
      <c r="CR24">
        <v>12928</v>
      </c>
      <c r="CS24">
        <v>3863230</v>
      </c>
      <c r="CT24">
        <v>18204</v>
      </c>
      <c r="CU24">
        <v>1190</v>
      </c>
      <c r="CV24">
        <v>173</v>
      </c>
      <c r="CW24">
        <v>101558</v>
      </c>
      <c r="CX24">
        <v>1039</v>
      </c>
      <c r="CY24">
        <v>12043</v>
      </c>
      <c r="CZ24">
        <v>9062</v>
      </c>
      <c r="DA24">
        <v>3741570</v>
      </c>
      <c r="DB24">
        <v>26542</v>
      </c>
      <c r="DC24">
        <v>5101</v>
      </c>
      <c r="DD24">
        <v>3618</v>
      </c>
      <c r="DE24">
        <v>1914737</v>
      </c>
      <c r="DF24">
        <v>9772</v>
      </c>
      <c r="DG24">
        <v>5198</v>
      </c>
      <c r="DH24">
        <v>4904</v>
      </c>
      <c r="DI24">
        <v>4076105</v>
      </c>
      <c r="DJ24">
        <v>11236</v>
      </c>
      <c r="DK24">
        <v>4783</v>
      </c>
      <c r="DL24">
        <v>2797</v>
      </c>
      <c r="DM24">
        <v>1643438</v>
      </c>
      <c r="DN24">
        <v>7018</v>
      </c>
      <c r="DO24">
        <v>2129</v>
      </c>
      <c r="DP24">
        <v>1939</v>
      </c>
      <c r="DQ24">
        <v>516020</v>
      </c>
      <c r="DR24">
        <v>1843</v>
      </c>
      <c r="DS24">
        <v>2728</v>
      </c>
      <c r="DT24">
        <v>2060</v>
      </c>
      <c r="DU24">
        <v>1438819</v>
      </c>
      <c r="DV24">
        <v>3649</v>
      </c>
    </row>
    <row r="25" spans="1:126" x14ac:dyDescent="0.4">
      <c r="A25" s="1" t="s">
        <v>38</v>
      </c>
      <c r="B25" s="1" t="s">
        <v>39</v>
      </c>
      <c r="C25">
        <v>8177</v>
      </c>
      <c r="D25">
        <v>2560</v>
      </c>
      <c r="E25">
        <v>451320</v>
      </c>
      <c r="F25">
        <v>2013</v>
      </c>
      <c r="G25">
        <v>2086</v>
      </c>
      <c r="H25">
        <v>978</v>
      </c>
      <c r="I25">
        <v>214282</v>
      </c>
      <c r="J25">
        <v>1463</v>
      </c>
      <c r="K25">
        <v>6022</v>
      </c>
      <c r="L25">
        <v>1389</v>
      </c>
      <c r="M25">
        <v>407531</v>
      </c>
      <c r="N25">
        <v>3052</v>
      </c>
      <c r="O25">
        <v>3202</v>
      </c>
      <c r="P25">
        <v>3953</v>
      </c>
      <c r="Q25">
        <v>974030</v>
      </c>
      <c r="R25">
        <v>8419</v>
      </c>
      <c r="S25">
        <v>1756</v>
      </c>
      <c r="T25">
        <v>2029</v>
      </c>
      <c r="U25">
        <v>1465320</v>
      </c>
      <c r="V25">
        <v>3898</v>
      </c>
      <c r="W25">
        <v>6960</v>
      </c>
      <c r="X25">
        <v>8814</v>
      </c>
      <c r="Y25">
        <v>3282034</v>
      </c>
      <c r="Z25">
        <v>4094</v>
      </c>
      <c r="AA25">
        <v>2090</v>
      </c>
      <c r="AB25">
        <v>1807</v>
      </c>
      <c r="AC25">
        <v>454709</v>
      </c>
      <c r="AD25">
        <v>1996</v>
      </c>
      <c r="AE25">
        <v>12343</v>
      </c>
      <c r="AF25">
        <v>12796</v>
      </c>
      <c r="AG25">
        <v>5881853</v>
      </c>
      <c r="AH25">
        <v>12494</v>
      </c>
      <c r="AI25">
        <v>3373</v>
      </c>
      <c r="AJ25">
        <v>4542</v>
      </c>
      <c r="AK25">
        <v>1359644</v>
      </c>
      <c r="AL25">
        <v>2039</v>
      </c>
      <c r="AM25">
        <v>27180</v>
      </c>
      <c r="AN25">
        <v>26319</v>
      </c>
      <c r="AO25">
        <v>9042925</v>
      </c>
      <c r="AP25">
        <v>6126</v>
      </c>
      <c r="AQ25">
        <v>24021</v>
      </c>
      <c r="AR25">
        <v>17947</v>
      </c>
      <c r="AS25">
        <v>5730381</v>
      </c>
      <c r="AT25">
        <v>15078</v>
      </c>
      <c r="AU25">
        <v>21055</v>
      </c>
      <c r="AV25">
        <v>19716</v>
      </c>
      <c r="AW25">
        <v>5459624</v>
      </c>
      <c r="AX25">
        <v>8511</v>
      </c>
      <c r="AY25">
        <v>9261</v>
      </c>
      <c r="AZ25">
        <v>8496</v>
      </c>
      <c r="BA25">
        <v>2436232</v>
      </c>
      <c r="BB25">
        <v>5438</v>
      </c>
      <c r="BC25">
        <v>30883</v>
      </c>
      <c r="BD25">
        <v>27431</v>
      </c>
      <c r="BE25">
        <v>9222525</v>
      </c>
      <c r="BF25">
        <v>14625</v>
      </c>
      <c r="BG25">
        <v>7744</v>
      </c>
      <c r="BH25">
        <v>6904</v>
      </c>
      <c r="BI25">
        <v>2102704</v>
      </c>
      <c r="BJ25">
        <v>4166</v>
      </c>
      <c r="BK25">
        <v>8378</v>
      </c>
      <c r="BL25">
        <v>7064</v>
      </c>
      <c r="BM25">
        <v>1265942</v>
      </c>
      <c r="BN25">
        <v>5363</v>
      </c>
      <c r="BO25">
        <v>8411</v>
      </c>
      <c r="BP25">
        <v>8632</v>
      </c>
      <c r="BQ25">
        <v>1361277</v>
      </c>
      <c r="BR25">
        <v>4271</v>
      </c>
      <c r="BS25">
        <v>257</v>
      </c>
      <c r="BT25">
        <v>240</v>
      </c>
      <c r="BU25">
        <v>30522</v>
      </c>
      <c r="BV25">
        <v>337</v>
      </c>
      <c r="BW25">
        <v>8772</v>
      </c>
      <c r="BX25">
        <v>4333</v>
      </c>
      <c r="BY25">
        <v>1115449</v>
      </c>
      <c r="BZ25">
        <v>7755</v>
      </c>
      <c r="CA25">
        <v>4026</v>
      </c>
      <c r="CB25">
        <v>2244</v>
      </c>
      <c r="CC25">
        <v>599522</v>
      </c>
      <c r="CD25">
        <v>3860</v>
      </c>
      <c r="CE25">
        <v>3593</v>
      </c>
      <c r="CF25">
        <v>2153</v>
      </c>
      <c r="CG25">
        <v>626119</v>
      </c>
      <c r="CH25">
        <v>2480</v>
      </c>
      <c r="CI25">
        <v>11701</v>
      </c>
      <c r="CJ25">
        <v>8481</v>
      </c>
      <c r="CK25">
        <v>2832399</v>
      </c>
      <c r="CL25">
        <v>17343</v>
      </c>
      <c r="CM25">
        <v>3104</v>
      </c>
      <c r="CN25">
        <v>2373</v>
      </c>
      <c r="CO25">
        <v>1462704</v>
      </c>
      <c r="CP25">
        <v>3088</v>
      </c>
      <c r="CQ25">
        <v>18135</v>
      </c>
      <c r="CR25">
        <v>14451</v>
      </c>
      <c r="CS25">
        <v>4489474</v>
      </c>
      <c r="CT25">
        <v>19905</v>
      </c>
      <c r="CU25">
        <v>904</v>
      </c>
      <c r="CV25">
        <v>270</v>
      </c>
      <c r="CW25">
        <v>137635</v>
      </c>
      <c r="CX25">
        <v>964</v>
      </c>
      <c r="CY25">
        <v>12328</v>
      </c>
      <c r="CZ25">
        <v>9631</v>
      </c>
      <c r="DA25">
        <v>3806043</v>
      </c>
      <c r="DB25">
        <v>27195</v>
      </c>
      <c r="DC25">
        <v>5791</v>
      </c>
      <c r="DD25">
        <v>3862</v>
      </c>
      <c r="DE25">
        <v>2041408</v>
      </c>
      <c r="DF25">
        <v>9965</v>
      </c>
      <c r="DG25">
        <v>5651</v>
      </c>
      <c r="DH25">
        <v>5077</v>
      </c>
      <c r="DI25">
        <v>4399510</v>
      </c>
      <c r="DJ25">
        <v>11457</v>
      </c>
      <c r="DK25">
        <v>5105</v>
      </c>
      <c r="DL25">
        <v>3136</v>
      </c>
      <c r="DM25">
        <v>1926216</v>
      </c>
      <c r="DN25">
        <v>6720</v>
      </c>
      <c r="DO25">
        <v>2181</v>
      </c>
      <c r="DP25">
        <v>1873</v>
      </c>
      <c r="DQ25">
        <v>497744</v>
      </c>
      <c r="DR25">
        <v>1867</v>
      </c>
      <c r="DS25">
        <v>2182</v>
      </c>
      <c r="DT25">
        <v>2030</v>
      </c>
      <c r="DU25">
        <v>1458048</v>
      </c>
      <c r="DV25">
        <v>3743</v>
      </c>
    </row>
    <row r="26" spans="1:126" x14ac:dyDescent="0.4">
      <c r="A26" s="1" t="s">
        <v>40</v>
      </c>
      <c r="B26" s="1" t="s">
        <v>41</v>
      </c>
      <c r="C26">
        <v>8215</v>
      </c>
      <c r="D26">
        <v>2614</v>
      </c>
      <c r="E26">
        <v>459423</v>
      </c>
      <c r="F26">
        <v>2262</v>
      </c>
      <c r="G26">
        <v>2171</v>
      </c>
      <c r="H26">
        <v>1053</v>
      </c>
      <c r="I26">
        <v>215033</v>
      </c>
      <c r="J26">
        <v>1481</v>
      </c>
      <c r="K26">
        <v>5942</v>
      </c>
      <c r="L26">
        <v>1449</v>
      </c>
      <c r="M26">
        <v>413924</v>
      </c>
      <c r="N26">
        <v>2965</v>
      </c>
      <c r="O26">
        <v>3065</v>
      </c>
      <c r="P26">
        <v>4392</v>
      </c>
      <c r="Q26">
        <v>1082902</v>
      </c>
      <c r="R26">
        <v>7850</v>
      </c>
      <c r="S26">
        <v>1773</v>
      </c>
      <c r="T26">
        <v>2530</v>
      </c>
      <c r="U26">
        <v>1810814</v>
      </c>
      <c r="V26">
        <v>3785</v>
      </c>
      <c r="W26">
        <v>7455</v>
      </c>
      <c r="X26">
        <v>10238</v>
      </c>
      <c r="Y26">
        <v>3722231</v>
      </c>
      <c r="Z26">
        <v>4202</v>
      </c>
      <c r="AA26">
        <v>2500</v>
      </c>
      <c r="AB26">
        <v>1935</v>
      </c>
      <c r="AC26">
        <v>483554</v>
      </c>
      <c r="AD26">
        <v>1946</v>
      </c>
      <c r="AE26">
        <v>12699</v>
      </c>
      <c r="AF26">
        <v>12526</v>
      </c>
      <c r="AG26">
        <v>5769768</v>
      </c>
      <c r="AH26">
        <v>12440</v>
      </c>
      <c r="AI26">
        <v>7973</v>
      </c>
      <c r="AJ26">
        <v>5411</v>
      </c>
      <c r="AK26">
        <v>1637527</v>
      </c>
      <c r="AL26">
        <v>2568</v>
      </c>
      <c r="AM26">
        <v>31764</v>
      </c>
      <c r="AN26">
        <v>30577</v>
      </c>
      <c r="AO26">
        <v>10907458</v>
      </c>
      <c r="AP26">
        <v>6276</v>
      </c>
      <c r="AQ26">
        <v>32797</v>
      </c>
      <c r="AR26">
        <v>26571</v>
      </c>
      <c r="AS26">
        <v>8343777</v>
      </c>
      <c r="AT26">
        <v>18165</v>
      </c>
      <c r="AU26">
        <v>25653</v>
      </c>
      <c r="AV26">
        <v>23053</v>
      </c>
      <c r="AW26">
        <v>6364405</v>
      </c>
      <c r="AX26">
        <v>9769</v>
      </c>
      <c r="AY26">
        <v>12189</v>
      </c>
      <c r="AZ26">
        <v>11177</v>
      </c>
      <c r="BA26">
        <v>3290152</v>
      </c>
      <c r="BB26">
        <v>5419</v>
      </c>
      <c r="BC26">
        <v>38085</v>
      </c>
      <c r="BD26">
        <v>38473</v>
      </c>
      <c r="BE26">
        <v>12632726</v>
      </c>
      <c r="BF26">
        <v>13184</v>
      </c>
      <c r="BG26">
        <v>9579</v>
      </c>
      <c r="BH26">
        <v>7837</v>
      </c>
      <c r="BI26">
        <v>2452828</v>
      </c>
      <c r="BJ26">
        <v>4540</v>
      </c>
      <c r="BK26">
        <v>11202</v>
      </c>
      <c r="BL26">
        <v>9015</v>
      </c>
      <c r="BM26">
        <v>1749303</v>
      </c>
      <c r="BN26">
        <v>5848</v>
      </c>
      <c r="BO26">
        <v>10991</v>
      </c>
      <c r="BP26">
        <v>10767</v>
      </c>
      <c r="BQ26">
        <v>1691775</v>
      </c>
      <c r="BR26">
        <v>4351</v>
      </c>
      <c r="BS26">
        <v>322</v>
      </c>
      <c r="BT26">
        <v>270</v>
      </c>
      <c r="BU26">
        <v>34724</v>
      </c>
      <c r="BV26">
        <v>389</v>
      </c>
      <c r="BW26">
        <v>10146</v>
      </c>
      <c r="BX26">
        <v>4503</v>
      </c>
      <c r="BY26">
        <v>1113259</v>
      </c>
      <c r="BZ26">
        <v>8031</v>
      </c>
      <c r="CA26">
        <v>4206</v>
      </c>
      <c r="CB26">
        <v>2266</v>
      </c>
      <c r="CC26">
        <v>609468</v>
      </c>
      <c r="CD26">
        <v>4138</v>
      </c>
      <c r="CE26">
        <v>4288</v>
      </c>
      <c r="CF26">
        <v>2350</v>
      </c>
      <c r="CG26">
        <v>667684</v>
      </c>
      <c r="CH26">
        <v>2570</v>
      </c>
      <c r="CI26">
        <v>11835</v>
      </c>
      <c r="CJ26">
        <v>9492</v>
      </c>
      <c r="CK26">
        <v>3076529</v>
      </c>
      <c r="CL26">
        <v>16403</v>
      </c>
      <c r="CM26">
        <v>3539</v>
      </c>
      <c r="CN26">
        <v>2731</v>
      </c>
      <c r="CO26">
        <v>1625234</v>
      </c>
      <c r="CP26">
        <v>3010</v>
      </c>
      <c r="CQ26">
        <v>17002</v>
      </c>
      <c r="CR26">
        <v>16838</v>
      </c>
      <c r="CS26">
        <v>5145267</v>
      </c>
      <c r="CT26">
        <v>17963</v>
      </c>
      <c r="CU26">
        <v>833</v>
      </c>
      <c r="CV26">
        <v>284</v>
      </c>
      <c r="CW26">
        <v>188640</v>
      </c>
      <c r="CX26">
        <v>833</v>
      </c>
      <c r="CY26">
        <v>12652</v>
      </c>
      <c r="CZ26">
        <v>9619</v>
      </c>
      <c r="DA26">
        <v>3667830</v>
      </c>
      <c r="DB26">
        <v>27418</v>
      </c>
      <c r="DC26">
        <v>6037</v>
      </c>
      <c r="DD26">
        <v>3840</v>
      </c>
      <c r="DE26">
        <v>1983415</v>
      </c>
      <c r="DF26">
        <v>10339</v>
      </c>
      <c r="DG26">
        <v>5184</v>
      </c>
      <c r="DH26">
        <v>5561</v>
      </c>
      <c r="DI26">
        <v>4984672</v>
      </c>
      <c r="DJ26">
        <v>10710</v>
      </c>
      <c r="DK26">
        <v>4483</v>
      </c>
      <c r="DL26">
        <v>2944</v>
      </c>
      <c r="DM26">
        <v>1774850</v>
      </c>
      <c r="DN26">
        <v>6217</v>
      </c>
      <c r="DO26">
        <v>2515</v>
      </c>
      <c r="DP26">
        <v>2099</v>
      </c>
      <c r="DQ26">
        <v>568900</v>
      </c>
      <c r="DR26">
        <v>1933</v>
      </c>
      <c r="DS26">
        <v>2461</v>
      </c>
      <c r="DT26">
        <v>1953</v>
      </c>
      <c r="DU26">
        <v>1481980</v>
      </c>
      <c r="DV26">
        <v>3806</v>
      </c>
    </row>
    <row r="27" spans="1:126" x14ac:dyDescent="0.4">
      <c r="A27" s="1" t="s">
        <v>42</v>
      </c>
      <c r="B27" s="1" t="s">
        <v>43</v>
      </c>
      <c r="C27">
        <v>8612</v>
      </c>
      <c r="D27">
        <v>2395</v>
      </c>
      <c r="E27">
        <v>444160</v>
      </c>
      <c r="F27">
        <v>2327</v>
      </c>
      <c r="G27">
        <v>2467</v>
      </c>
      <c r="H27">
        <v>1196</v>
      </c>
      <c r="I27">
        <v>251845</v>
      </c>
      <c r="J27">
        <v>1566</v>
      </c>
      <c r="K27">
        <v>6563</v>
      </c>
      <c r="L27">
        <v>1485</v>
      </c>
      <c r="M27">
        <v>501682</v>
      </c>
      <c r="N27">
        <v>3174</v>
      </c>
      <c r="O27">
        <v>3168</v>
      </c>
      <c r="P27">
        <v>4533</v>
      </c>
      <c r="Q27">
        <v>1118516</v>
      </c>
      <c r="R27">
        <v>7208</v>
      </c>
      <c r="S27">
        <v>1860</v>
      </c>
      <c r="T27">
        <v>2476</v>
      </c>
      <c r="U27">
        <v>1806989</v>
      </c>
      <c r="V27">
        <v>3623</v>
      </c>
      <c r="W27">
        <v>8391</v>
      </c>
      <c r="X27">
        <v>11830</v>
      </c>
      <c r="Y27">
        <v>4477124</v>
      </c>
      <c r="Z27">
        <v>3466</v>
      </c>
      <c r="AA27">
        <v>3036</v>
      </c>
      <c r="AB27">
        <v>2408</v>
      </c>
      <c r="AC27">
        <v>528175</v>
      </c>
      <c r="AD27">
        <v>1893</v>
      </c>
      <c r="AE27">
        <v>13504</v>
      </c>
      <c r="AF27">
        <v>13526</v>
      </c>
      <c r="AG27">
        <v>6331546</v>
      </c>
      <c r="AH27">
        <v>11529</v>
      </c>
      <c r="AI27">
        <v>7820</v>
      </c>
      <c r="AJ27">
        <v>5706</v>
      </c>
      <c r="AK27">
        <v>1722804</v>
      </c>
      <c r="AL27">
        <v>3046</v>
      </c>
      <c r="AM27">
        <v>30447</v>
      </c>
      <c r="AN27">
        <v>29633</v>
      </c>
      <c r="AO27">
        <v>10937593</v>
      </c>
      <c r="AP27">
        <v>6547</v>
      </c>
      <c r="AQ27">
        <v>24263</v>
      </c>
      <c r="AR27">
        <v>25529</v>
      </c>
      <c r="AS27">
        <v>7997433</v>
      </c>
      <c r="AT27">
        <v>15088</v>
      </c>
      <c r="AU27">
        <v>26947</v>
      </c>
      <c r="AV27">
        <v>24885</v>
      </c>
      <c r="AW27">
        <v>6816146</v>
      </c>
      <c r="AX27">
        <v>10193</v>
      </c>
      <c r="AY27">
        <v>12256</v>
      </c>
      <c r="AZ27">
        <v>12024</v>
      </c>
      <c r="BA27">
        <v>3723575</v>
      </c>
      <c r="BB27">
        <v>5181</v>
      </c>
      <c r="BC27">
        <v>33002</v>
      </c>
      <c r="BD27">
        <v>31098</v>
      </c>
      <c r="BE27">
        <v>9968412</v>
      </c>
      <c r="BF27">
        <v>13193</v>
      </c>
      <c r="BG27">
        <v>8712</v>
      </c>
      <c r="BH27">
        <v>7752</v>
      </c>
      <c r="BI27">
        <v>2369579</v>
      </c>
      <c r="BJ27">
        <v>4732</v>
      </c>
      <c r="BK27">
        <v>11185</v>
      </c>
      <c r="BL27">
        <v>11151</v>
      </c>
      <c r="BM27">
        <v>2451068</v>
      </c>
      <c r="BN27">
        <v>4386</v>
      </c>
      <c r="BO27">
        <v>12825</v>
      </c>
      <c r="BP27">
        <v>12679</v>
      </c>
      <c r="BQ27">
        <v>2112918</v>
      </c>
      <c r="BR27">
        <v>4300</v>
      </c>
      <c r="BS27">
        <v>270</v>
      </c>
      <c r="BT27">
        <v>332</v>
      </c>
      <c r="BU27">
        <v>44526</v>
      </c>
      <c r="BV27">
        <v>328</v>
      </c>
      <c r="BW27">
        <v>10305</v>
      </c>
      <c r="BX27">
        <v>4325</v>
      </c>
      <c r="BY27">
        <v>1162670</v>
      </c>
      <c r="BZ27">
        <v>8457</v>
      </c>
      <c r="CA27">
        <v>3989</v>
      </c>
      <c r="CB27">
        <v>2318</v>
      </c>
      <c r="CC27">
        <v>635080</v>
      </c>
      <c r="CD27">
        <v>3885</v>
      </c>
      <c r="CE27">
        <v>3316</v>
      </c>
      <c r="CF27">
        <v>2064</v>
      </c>
      <c r="CG27">
        <v>610289</v>
      </c>
      <c r="CH27">
        <v>2388</v>
      </c>
      <c r="CI27">
        <v>12401</v>
      </c>
      <c r="CJ27">
        <v>9046</v>
      </c>
      <c r="CK27">
        <v>3057845</v>
      </c>
      <c r="CL27">
        <v>15723</v>
      </c>
      <c r="CM27">
        <v>2996</v>
      </c>
      <c r="CN27">
        <v>2202</v>
      </c>
      <c r="CO27">
        <v>1427454</v>
      </c>
      <c r="CP27">
        <v>3008</v>
      </c>
      <c r="CQ27">
        <v>17794</v>
      </c>
      <c r="CR27">
        <v>16949</v>
      </c>
      <c r="CS27">
        <v>5109766</v>
      </c>
      <c r="CT27">
        <v>16511</v>
      </c>
      <c r="CU27">
        <v>1061</v>
      </c>
      <c r="CV27">
        <v>167</v>
      </c>
      <c r="CW27">
        <v>98227</v>
      </c>
      <c r="CX27">
        <v>991</v>
      </c>
      <c r="CY27">
        <v>11760</v>
      </c>
      <c r="CZ27">
        <v>9891</v>
      </c>
      <c r="DA27">
        <v>3823115</v>
      </c>
      <c r="DB27">
        <v>26793</v>
      </c>
      <c r="DC27">
        <v>6092</v>
      </c>
      <c r="DD27">
        <v>3799</v>
      </c>
      <c r="DE27">
        <v>1982939</v>
      </c>
      <c r="DF27">
        <v>10561</v>
      </c>
      <c r="DG27">
        <v>6222</v>
      </c>
      <c r="DH27">
        <v>5389</v>
      </c>
      <c r="DI27">
        <v>4464083</v>
      </c>
      <c r="DJ27">
        <v>11117</v>
      </c>
      <c r="DK27">
        <v>5705</v>
      </c>
      <c r="DL27">
        <v>3497</v>
      </c>
      <c r="DM27">
        <v>2023932</v>
      </c>
      <c r="DN27">
        <v>6027</v>
      </c>
      <c r="DO27">
        <v>2310</v>
      </c>
      <c r="DP27">
        <v>2080</v>
      </c>
      <c r="DQ27">
        <v>604894</v>
      </c>
      <c r="DR27">
        <v>1851</v>
      </c>
      <c r="DS27">
        <v>2757</v>
      </c>
      <c r="DT27">
        <v>2128</v>
      </c>
      <c r="DU27">
        <v>1483659</v>
      </c>
      <c r="DV27">
        <v>3796</v>
      </c>
    </row>
    <row r="28" spans="1:126" x14ac:dyDescent="0.4">
      <c r="A28" s="1" t="s">
        <v>44</v>
      </c>
      <c r="B28" s="1" t="s">
        <v>45</v>
      </c>
      <c r="C28">
        <v>8344</v>
      </c>
      <c r="D28">
        <v>2325</v>
      </c>
      <c r="E28">
        <v>412923</v>
      </c>
      <c r="F28">
        <v>2364</v>
      </c>
      <c r="G28">
        <v>1837</v>
      </c>
      <c r="H28">
        <v>908</v>
      </c>
      <c r="I28">
        <v>210061</v>
      </c>
      <c r="J28">
        <v>1507</v>
      </c>
      <c r="K28">
        <v>5403</v>
      </c>
      <c r="L28">
        <v>1388</v>
      </c>
      <c r="M28">
        <v>459675</v>
      </c>
      <c r="N28">
        <v>3172</v>
      </c>
      <c r="O28">
        <v>3296</v>
      </c>
      <c r="P28">
        <v>3914</v>
      </c>
      <c r="Q28">
        <v>962400</v>
      </c>
      <c r="R28">
        <v>7040</v>
      </c>
      <c r="S28">
        <v>1932</v>
      </c>
      <c r="T28">
        <v>2351</v>
      </c>
      <c r="U28">
        <v>1703646</v>
      </c>
      <c r="V28">
        <v>3722</v>
      </c>
      <c r="W28">
        <v>5942</v>
      </c>
      <c r="X28">
        <v>8778</v>
      </c>
      <c r="Y28">
        <v>3272801</v>
      </c>
      <c r="Z28">
        <v>3098</v>
      </c>
      <c r="AA28">
        <v>3274</v>
      </c>
      <c r="AB28">
        <v>2174</v>
      </c>
      <c r="AC28">
        <v>523134</v>
      </c>
      <c r="AD28">
        <v>1902</v>
      </c>
      <c r="AE28">
        <v>12144</v>
      </c>
      <c r="AF28">
        <v>12286</v>
      </c>
      <c r="AG28">
        <v>5817187</v>
      </c>
      <c r="AH28">
        <v>11640</v>
      </c>
      <c r="AI28">
        <v>7569</v>
      </c>
      <c r="AJ28">
        <v>5522</v>
      </c>
      <c r="AK28">
        <v>1679084</v>
      </c>
      <c r="AL28">
        <v>3378</v>
      </c>
      <c r="AM28">
        <v>22696</v>
      </c>
      <c r="AN28">
        <v>21279</v>
      </c>
      <c r="AO28">
        <v>7732417</v>
      </c>
      <c r="AP28">
        <v>6926</v>
      </c>
      <c r="AQ28">
        <v>19674</v>
      </c>
      <c r="AR28">
        <v>21232</v>
      </c>
      <c r="AS28">
        <v>6655525</v>
      </c>
      <c r="AT28">
        <v>11868</v>
      </c>
      <c r="AU28">
        <v>24167</v>
      </c>
      <c r="AV28">
        <v>20823</v>
      </c>
      <c r="AW28">
        <v>5737837</v>
      </c>
      <c r="AX28">
        <v>11167</v>
      </c>
      <c r="AY28">
        <v>8326</v>
      </c>
      <c r="AZ28">
        <v>8323</v>
      </c>
      <c r="BA28">
        <v>2479385</v>
      </c>
      <c r="BB28">
        <v>4923</v>
      </c>
      <c r="BC28">
        <v>30146</v>
      </c>
      <c r="BD28">
        <v>23297</v>
      </c>
      <c r="BE28">
        <v>7645189</v>
      </c>
      <c r="BF28">
        <v>17194</v>
      </c>
      <c r="BG28">
        <v>9990</v>
      </c>
      <c r="BH28">
        <v>8675</v>
      </c>
      <c r="BI28">
        <v>2816978</v>
      </c>
      <c r="BJ28">
        <v>5304</v>
      </c>
      <c r="BK28">
        <v>11604</v>
      </c>
      <c r="BL28">
        <v>9924</v>
      </c>
      <c r="BM28">
        <v>2027338</v>
      </c>
      <c r="BN28">
        <v>4693</v>
      </c>
      <c r="BO28">
        <v>11189</v>
      </c>
      <c r="BP28">
        <v>10771</v>
      </c>
      <c r="BQ28">
        <v>1805897</v>
      </c>
      <c r="BR28">
        <v>4708</v>
      </c>
      <c r="BS28">
        <v>302</v>
      </c>
      <c r="BT28">
        <v>264</v>
      </c>
      <c r="BU28">
        <v>35585</v>
      </c>
      <c r="BV28">
        <v>365</v>
      </c>
      <c r="BW28">
        <v>8496</v>
      </c>
      <c r="BX28">
        <v>4366</v>
      </c>
      <c r="BY28">
        <v>1084462</v>
      </c>
      <c r="BZ28">
        <v>8175</v>
      </c>
      <c r="CA28">
        <v>3358</v>
      </c>
      <c r="CB28">
        <v>2762</v>
      </c>
      <c r="CC28">
        <v>623731</v>
      </c>
      <c r="CD28">
        <v>3679</v>
      </c>
      <c r="CE28">
        <v>3086</v>
      </c>
      <c r="CF28">
        <v>1889</v>
      </c>
      <c r="CG28">
        <v>557495</v>
      </c>
      <c r="CH28">
        <v>2372</v>
      </c>
      <c r="CI28">
        <v>10189</v>
      </c>
      <c r="CJ28">
        <v>8175</v>
      </c>
      <c r="CK28">
        <v>2684891</v>
      </c>
      <c r="CL28">
        <v>15006</v>
      </c>
      <c r="CM28">
        <v>2872</v>
      </c>
      <c r="CN28">
        <v>1978</v>
      </c>
      <c r="CO28">
        <v>1233212</v>
      </c>
      <c r="CP28">
        <v>3135</v>
      </c>
      <c r="CQ28">
        <v>17846</v>
      </c>
      <c r="CR28">
        <v>14290</v>
      </c>
      <c r="CS28">
        <v>4412062</v>
      </c>
      <c r="CT28">
        <v>18261</v>
      </c>
      <c r="CU28">
        <v>921</v>
      </c>
      <c r="CV28">
        <v>138</v>
      </c>
      <c r="CW28">
        <v>86172</v>
      </c>
      <c r="CX28">
        <v>1055</v>
      </c>
      <c r="CY28">
        <v>11116</v>
      </c>
      <c r="CZ28">
        <v>9503</v>
      </c>
      <c r="DA28">
        <v>3746957</v>
      </c>
      <c r="DB28">
        <v>26231</v>
      </c>
      <c r="DC28">
        <v>4856</v>
      </c>
      <c r="DD28">
        <v>3702</v>
      </c>
      <c r="DE28">
        <v>1917271</v>
      </c>
      <c r="DF28">
        <v>10188</v>
      </c>
      <c r="DG28">
        <v>5712</v>
      </c>
      <c r="DH28">
        <v>5055</v>
      </c>
      <c r="DI28">
        <v>4302569</v>
      </c>
      <c r="DJ28">
        <v>11325</v>
      </c>
      <c r="DK28">
        <v>6100</v>
      </c>
      <c r="DL28">
        <v>3301</v>
      </c>
      <c r="DM28">
        <v>1859892</v>
      </c>
      <c r="DN28">
        <v>6338</v>
      </c>
      <c r="DO28">
        <v>2000</v>
      </c>
      <c r="DP28">
        <v>1806</v>
      </c>
      <c r="DQ28">
        <v>504724</v>
      </c>
      <c r="DR28">
        <v>1836</v>
      </c>
      <c r="DS28">
        <v>2373</v>
      </c>
      <c r="DT28">
        <v>2173</v>
      </c>
      <c r="DU28">
        <v>1655927</v>
      </c>
      <c r="DV28">
        <v>3591</v>
      </c>
    </row>
    <row r="29" spans="1:126" x14ac:dyDescent="0.4">
      <c r="A29" s="1" t="s">
        <v>46</v>
      </c>
      <c r="B29" s="1" t="s">
        <v>47</v>
      </c>
      <c r="C29">
        <v>8675</v>
      </c>
      <c r="D29">
        <v>2433</v>
      </c>
      <c r="E29">
        <v>431338</v>
      </c>
      <c r="F29">
        <v>2384</v>
      </c>
      <c r="G29">
        <v>2412</v>
      </c>
      <c r="H29">
        <v>1031</v>
      </c>
      <c r="I29">
        <v>213506</v>
      </c>
      <c r="J29">
        <v>1641</v>
      </c>
      <c r="K29">
        <v>6182</v>
      </c>
      <c r="L29">
        <v>1551</v>
      </c>
      <c r="M29">
        <v>498758</v>
      </c>
      <c r="N29">
        <v>3072</v>
      </c>
      <c r="O29">
        <v>4259</v>
      </c>
      <c r="P29">
        <v>4577</v>
      </c>
      <c r="Q29">
        <v>1137496</v>
      </c>
      <c r="R29">
        <v>7721</v>
      </c>
      <c r="S29">
        <v>1946</v>
      </c>
      <c r="T29">
        <v>2578</v>
      </c>
      <c r="U29">
        <v>1825655</v>
      </c>
      <c r="V29">
        <v>3883</v>
      </c>
      <c r="W29">
        <v>8855</v>
      </c>
      <c r="X29">
        <v>11422</v>
      </c>
      <c r="Y29">
        <v>4284952</v>
      </c>
      <c r="Z29">
        <v>3646</v>
      </c>
      <c r="AA29">
        <v>2177</v>
      </c>
      <c r="AB29">
        <v>1949</v>
      </c>
      <c r="AC29">
        <v>560919</v>
      </c>
      <c r="AD29">
        <v>1856</v>
      </c>
      <c r="AE29">
        <v>14404</v>
      </c>
      <c r="AF29">
        <v>13735</v>
      </c>
      <c r="AG29">
        <v>6271490</v>
      </c>
      <c r="AH29">
        <v>12746</v>
      </c>
      <c r="AI29">
        <v>5333</v>
      </c>
      <c r="AJ29">
        <v>6148</v>
      </c>
      <c r="AK29">
        <v>1899603</v>
      </c>
      <c r="AL29">
        <v>1689</v>
      </c>
      <c r="AM29">
        <v>25756</v>
      </c>
      <c r="AN29">
        <v>27046</v>
      </c>
      <c r="AO29">
        <v>9594252</v>
      </c>
      <c r="AP29">
        <v>5370</v>
      </c>
      <c r="AQ29">
        <v>21727</v>
      </c>
      <c r="AR29">
        <v>19114</v>
      </c>
      <c r="AS29">
        <v>6095583</v>
      </c>
      <c r="AT29">
        <v>13482</v>
      </c>
      <c r="AU29">
        <v>27240</v>
      </c>
      <c r="AV29">
        <v>24633</v>
      </c>
      <c r="AW29">
        <v>7052822</v>
      </c>
      <c r="AX29">
        <v>12239</v>
      </c>
      <c r="AY29">
        <v>9869</v>
      </c>
      <c r="AZ29">
        <v>9558</v>
      </c>
      <c r="BA29">
        <v>2801839</v>
      </c>
      <c r="BB29">
        <v>5238</v>
      </c>
      <c r="BC29">
        <v>33198</v>
      </c>
      <c r="BD29">
        <v>29468</v>
      </c>
      <c r="BE29">
        <v>9401129</v>
      </c>
      <c r="BF29">
        <v>18776</v>
      </c>
      <c r="BG29">
        <v>12058</v>
      </c>
      <c r="BH29">
        <v>10294</v>
      </c>
      <c r="BI29">
        <v>3374611</v>
      </c>
      <c r="BJ29">
        <v>5632</v>
      </c>
      <c r="BK29">
        <v>12728</v>
      </c>
      <c r="BL29">
        <v>10944</v>
      </c>
      <c r="BM29">
        <v>2348830</v>
      </c>
      <c r="BN29">
        <v>4833</v>
      </c>
      <c r="BO29">
        <v>12380</v>
      </c>
      <c r="BP29">
        <v>12149</v>
      </c>
      <c r="BQ29">
        <v>1929730</v>
      </c>
      <c r="BR29">
        <v>5043</v>
      </c>
      <c r="BS29">
        <v>300</v>
      </c>
      <c r="BT29">
        <v>285</v>
      </c>
      <c r="BU29">
        <v>38833</v>
      </c>
      <c r="BV29">
        <v>380</v>
      </c>
      <c r="BW29">
        <v>7820</v>
      </c>
      <c r="BX29">
        <v>4169</v>
      </c>
      <c r="BY29">
        <v>1035878</v>
      </c>
      <c r="BZ29">
        <v>7667</v>
      </c>
      <c r="CA29">
        <v>4031</v>
      </c>
      <c r="CB29">
        <v>2518</v>
      </c>
      <c r="CC29">
        <v>624392</v>
      </c>
      <c r="CD29">
        <v>3889</v>
      </c>
      <c r="CE29">
        <v>3472</v>
      </c>
      <c r="CF29">
        <v>1924</v>
      </c>
      <c r="CG29">
        <v>583541</v>
      </c>
      <c r="CH29">
        <v>2391</v>
      </c>
      <c r="CI29">
        <v>14105</v>
      </c>
      <c r="CJ29">
        <v>9122</v>
      </c>
      <c r="CK29">
        <v>3011923</v>
      </c>
      <c r="CL29">
        <v>15896</v>
      </c>
      <c r="CM29">
        <v>3451</v>
      </c>
      <c r="CN29">
        <v>2865</v>
      </c>
      <c r="CO29">
        <v>1594117</v>
      </c>
      <c r="CP29">
        <v>2984</v>
      </c>
      <c r="CQ29">
        <v>17106</v>
      </c>
      <c r="CR29">
        <v>14238</v>
      </c>
      <c r="CS29">
        <v>4475516</v>
      </c>
      <c r="CT29">
        <v>19189</v>
      </c>
      <c r="CU29">
        <v>1206</v>
      </c>
      <c r="CV29">
        <v>124</v>
      </c>
      <c r="CW29">
        <v>77200</v>
      </c>
      <c r="CX29">
        <v>1120</v>
      </c>
      <c r="CY29">
        <v>11587</v>
      </c>
      <c r="CZ29">
        <v>8671</v>
      </c>
      <c r="DA29">
        <v>3390639</v>
      </c>
      <c r="DB29">
        <v>26429</v>
      </c>
      <c r="DC29">
        <v>5092</v>
      </c>
      <c r="DD29">
        <v>3695</v>
      </c>
      <c r="DE29">
        <v>1973560</v>
      </c>
      <c r="DF29">
        <v>10023</v>
      </c>
      <c r="DG29">
        <v>5683</v>
      </c>
      <c r="DH29">
        <v>5271</v>
      </c>
      <c r="DI29">
        <v>4620049</v>
      </c>
      <c r="DJ29">
        <v>11274</v>
      </c>
      <c r="DK29">
        <v>5983</v>
      </c>
      <c r="DL29">
        <v>3174</v>
      </c>
      <c r="DM29">
        <v>1879992</v>
      </c>
      <c r="DN29">
        <v>6522</v>
      </c>
      <c r="DO29">
        <v>2483</v>
      </c>
      <c r="DP29">
        <v>2084</v>
      </c>
      <c r="DQ29">
        <v>564265</v>
      </c>
      <c r="DR29">
        <v>1818</v>
      </c>
      <c r="DS29">
        <v>2752</v>
      </c>
      <c r="DT29">
        <v>2103</v>
      </c>
      <c r="DU29">
        <v>1531422</v>
      </c>
      <c r="DV29">
        <v>3665</v>
      </c>
    </row>
    <row r="30" spans="1:126" x14ac:dyDescent="0.4">
      <c r="A30" s="1" t="s">
        <v>48</v>
      </c>
      <c r="B30" s="1" t="s">
        <v>49</v>
      </c>
      <c r="C30">
        <v>8643</v>
      </c>
      <c r="D30">
        <v>2492</v>
      </c>
      <c r="E30">
        <v>479052</v>
      </c>
      <c r="F30">
        <v>2527</v>
      </c>
      <c r="G30">
        <v>2181</v>
      </c>
      <c r="H30">
        <v>1036</v>
      </c>
      <c r="I30">
        <v>230592</v>
      </c>
      <c r="J30">
        <v>1587</v>
      </c>
      <c r="K30">
        <v>5850</v>
      </c>
      <c r="L30">
        <v>1635</v>
      </c>
      <c r="M30">
        <v>563043</v>
      </c>
      <c r="N30">
        <v>3271</v>
      </c>
      <c r="O30">
        <v>4076</v>
      </c>
      <c r="P30">
        <v>4934</v>
      </c>
      <c r="Q30">
        <v>1241099</v>
      </c>
      <c r="R30">
        <v>7350</v>
      </c>
      <c r="S30">
        <v>2108</v>
      </c>
      <c r="T30">
        <v>2793</v>
      </c>
      <c r="U30">
        <v>1982339</v>
      </c>
      <c r="V30">
        <v>3700</v>
      </c>
      <c r="W30">
        <v>8540</v>
      </c>
      <c r="X30">
        <v>11052</v>
      </c>
      <c r="Y30">
        <v>4069136</v>
      </c>
      <c r="Z30">
        <v>3868</v>
      </c>
      <c r="AA30">
        <v>3544</v>
      </c>
      <c r="AB30">
        <v>2435</v>
      </c>
      <c r="AC30">
        <v>662876</v>
      </c>
      <c r="AD30">
        <v>1943</v>
      </c>
      <c r="AE30">
        <v>16634</v>
      </c>
      <c r="AF30">
        <v>15670</v>
      </c>
      <c r="AG30">
        <v>7648886</v>
      </c>
      <c r="AH30">
        <v>13617</v>
      </c>
      <c r="AI30">
        <v>7235</v>
      </c>
      <c r="AJ30">
        <v>4629</v>
      </c>
      <c r="AK30">
        <v>1454095</v>
      </c>
      <c r="AL30">
        <v>2769</v>
      </c>
      <c r="AM30">
        <v>28597</v>
      </c>
      <c r="AN30">
        <v>27616</v>
      </c>
      <c r="AO30">
        <v>9243919</v>
      </c>
      <c r="AP30">
        <v>5774</v>
      </c>
      <c r="AQ30">
        <v>24317</v>
      </c>
      <c r="AR30">
        <v>22715</v>
      </c>
      <c r="AS30">
        <v>7740793</v>
      </c>
      <c r="AT30">
        <v>12799</v>
      </c>
      <c r="AU30">
        <v>29201</v>
      </c>
      <c r="AV30">
        <v>26125</v>
      </c>
      <c r="AW30">
        <v>7203537</v>
      </c>
      <c r="AX30">
        <v>13120</v>
      </c>
      <c r="AY30">
        <v>10104</v>
      </c>
      <c r="AZ30">
        <v>9974</v>
      </c>
      <c r="BA30">
        <v>2895972</v>
      </c>
      <c r="BB30">
        <v>5387</v>
      </c>
      <c r="BC30">
        <v>36417</v>
      </c>
      <c r="BD30">
        <v>38480</v>
      </c>
      <c r="BE30">
        <v>12335696</v>
      </c>
      <c r="BF30">
        <v>15145</v>
      </c>
      <c r="BG30">
        <v>11900</v>
      </c>
      <c r="BH30">
        <v>11420</v>
      </c>
      <c r="BI30">
        <v>3750861</v>
      </c>
      <c r="BJ30">
        <v>4920</v>
      </c>
      <c r="BK30">
        <v>14695</v>
      </c>
      <c r="BL30">
        <v>12809</v>
      </c>
      <c r="BM30">
        <v>2604421</v>
      </c>
      <c r="BN30">
        <v>4899</v>
      </c>
      <c r="BO30">
        <v>12513</v>
      </c>
      <c r="BP30">
        <v>12479</v>
      </c>
      <c r="BQ30">
        <v>2117354</v>
      </c>
      <c r="BR30">
        <v>5459</v>
      </c>
      <c r="BS30">
        <v>322</v>
      </c>
      <c r="BT30">
        <v>308</v>
      </c>
      <c r="BU30">
        <v>41669</v>
      </c>
      <c r="BV30">
        <v>393</v>
      </c>
      <c r="BW30">
        <v>10645</v>
      </c>
      <c r="BX30">
        <v>4726</v>
      </c>
      <c r="BY30">
        <v>1238091</v>
      </c>
      <c r="BZ30">
        <v>8201</v>
      </c>
      <c r="CA30">
        <v>4518</v>
      </c>
      <c r="CB30">
        <v>2815</v>
      </c>
      <c r="CC30">
        <v>660011</v>
      </c>
      <c r="CD30">
        <v>3631</v>
      </c>
      <c r="CE30">
        <v>3831</v>
      </c>
      <c r="CF30">
        <v>2092</v>
      </c>
      <c r="CG30">
        <v>613174</v>
      </c>
      <c r="CH30">
        <v>2420</v>
      </c>
      <c r="CI30">
        <v>15865</v>
      </c>
      <c r="CJ30">
        <v>10104</v>
      </c>
      <c r="CK30">
        <v>3214017</v>
      </c>
      <c r="CL30">
        <v>16614</v>
      </c>
      <c r="CM30">
        <v>3196</v>
      </c>
      <c r="CN30">
        <v>2223</v>
      </c>
      <c r="CO30">
        <v>1483158</v>
      </c>
      <c r="CP30">
        <v>3063</v>
      </c>
      <c r="CQ30">
        <v>17971</v>
      </c>
      <c r="CR30">
        <v>14798</v>
      </c>
      <c r="CS30">
        <v>4729350</v>
      </c>
      <c r="CT30">
        <v>19622</v>
      </c>
      <c r="CU30">
        <v>1180</v>
      </c>
      <c r="CV30">
        <v>177</v>
      </c>
      <c r="CW30">
        <v>104420</v>
      </c>
      <c r="CX30">
        <v>1097</v>
      </c>
      <c r="CY30">
        <v>12637</v>
      </c>
      <c r="CZ30">
        <v>11051</v>
      </c>
      <c r="DA30">
        <v>4264502</v>
      </c>
      <c r="DB30">
        <v>25025</v>
      </c>
      <c r="DC30">
        <v>5909</v>
      </c>
      <c r="DD30">
        <v>4229</v>
      </c>
      <c r="DE30">
        <v>2109170</v>
      </c>
      <c r="DF30">
        <v>9853</v>
      </c>
      <c r="DG30">
        <v>6107</v>
      </c>
      <c r="DH30">
        <v>5636</v>
      </c>
      <c r="DI30">
        <v>4631773</v>
      </c>
      <c r="DJ30">
        <v>11189</v>
      </c>
      <c r="DK30">
        <v>6112</v>
      </c>
      <c r="DL30">
        <v>3415</v>
      </c>
      <c r="DM30">
        <v>1958944</v>
      </c>
      <c r="DN30">
        <v>7033</v>
      </c>
      <c r="DO30">
        <v>2951</v>
      </c>
      <c r="DP30">
        <v>2334</v>
      </c>
      <c r="DQ30">
        <v>637413</v>
      </c>
      <c r="DR30">
        <v>1964</v>
      </c>
      <c r="DS30">
        <v>3093</v>
      </c>
      <c r="DT30">
        <v>2280</v>
      </c>
      <c r="DU30">
        <v>1605197</v>
      </c>
      <c r="DV30">
        <v>3869</v>
      </c>
    </row>
    <row r="31" spans="1:126" x14ac:dyDescent="0.4">
      <c r="A31" s="1" t="s">
        <v>50</v>
      </c>
      <c r="B31" s="1" t="s">
        <v>51</v>
      </c>
      <c r="C31">
        <v>7514</v>
      </c>
      <c r="D31">
        <v>1964</v>
      </c>
      <c r="E31">
        <v>361743</v>
      </c>
      <c r="F31">
        <v>2585</v>
      </c>
      <c r="G31">
        <v>1452</v>
      </c>
      <c r="H31">
        <v>867</v>
      </c>
      <c r="I31">
        <v>196526</v>
      </c>
      <c r="J31">
        <v>1403</v>
      </c>
      <c r="K31">
        <v>3930</v>
      </c>
      <c r="L31">
        <v>1308</v>
      </c>
      <c r="M31">
        <v>431840</v>
      </c>
      <c r="N31">
        <v>3264</v>
      </c>
      <c r="O31">
        <v>2607</v>
      </c>
      <c r="P31">
        <v>3591</v>
      </c>
      <c r="Q31">
        <v>901370</v>
      </c>
      <c r="R31">
        <v>7140</v>
      </c>
      <c r="S31">
        <v>1763</v>
      </c>
      <c r="T31">
        <v>2383</v>
      </c>
      <c r="U31">
        <v>1748244</v>
      </c>
      <c r="V31">
        <v>3549</v>
      </c>
      <c r="W31">
        <v>5528</v>
      </c>
      <c r="X31">
        <v>6036</v>
      </c>
      <c r="Y31">
        <v>2171908</v>
      </c>
      <c r="Z31">
        <v>4023</v>
      </c>
      <c r="AA31">
        <v>2753</v>
      </c>
      <c r="AB31">
        <v>2037</v>
      </c>
      <c r="AC31">
        <v>557699</v>
      </c>
      <c r="AD31">
        <v>1791</v>
      </c>
      <c r="AE31">
        <v>13397</v>
      </c>
      <c r="AF31">
        <v>13835</v>
      </c>
      <c r="AG31">
        <v>6691814</v>
      </c>
      <c r="AH31">
        <v>13587</v>
      </c>
      <c r="AI31">
        <v>4958</v>
      </c>
      <c r="AJ31">
        <v>4969</v>
      </c>
      <c r="AK31">
        <v>1656632</v>
      </c>
      <c r="AL31">
        <v>2216</v>
      </c>
      <c r="AM31">
        <v>26091</v>
      </c>
      <c r="AN31">
        <v>24524</v>
      </c>
      <c r="AO31">
        <v>8312027</v>
      </c>
      <c r="AP31">
        <v>6915</v>
      </c>
      <c r="AQ31">
        <v>19878</v>
      </c>
      <c r="AR31">
        <v>18731</v>
      </c>
      <c r="AS31">
        <v>6354572</v>
      </c>
      <c r="AT31">
        <v>12785</v>
      </c>
      <c r="AU31">
        <v>20809</v>
      </c>
      <c r="AV31">
        <v>21604</v>
      </c>
      <c r="AW31">
        <v>6074351</v>
      </c>
      <c r="AX31">
        <v>12510</v>
      </c>
      <c r="AY31">
        <v>9160</v>
      </c>
      <c r="AZ31">
        <v>7937</v>
      </c>
      <c r="BA31">
        <v>2438013</v>
      </c>
      <c r="BB31">
        <v>6478</v>
      </c>
      <c r="BC31">
        <v>24022</v>
      </c>
      <c r="BD31">
        <v>25448</v>
      </c>
      <c r="BE31">
        <v>7756066</v>
      </c>
      <c r="BF31">
        <v>12351</v>
      </c>
      <c r="BG31">
        <v>8240</v>
      </c>
      <c r="BH31">
        <v>9345</v>
      </c>
      <c r="BI31">
        <v>3080972</v>
      </c>
      <c r="BJ31">
        <v>3416</v>
      </c>
      <c r="BK31">
        <v>10404</v>
      </c>
      <c r="BL31">
        <v>10575</v>
      </c>
      <c r="BM31">
        <v>2280200</v>
      </c>
      <c r="BN31">
        <v>3775</v>
      </c>
      <c r="BO31">
        <v>10576</v>
      </c>
      <c r="BP31">
        <v>9931</v>
      </c>
      <c r="BQ31">
        <v>1681137</v>
      </c>
      <c r="BR31">
        <v>7287</v>
      </c>
      <c r="BS31">
        <v>214</v>
      </c>
      <c r="BT31">
        <v>240</v>
      </c>
      <c r="BU31">
        <v>31266</v>
      </c>
      <c r="BV31">
        <v>357</v>
      </c>
      <c r="BW31">
        <v>7075</v>
      </c>
      <c r="BX31">
        <v>3691</v>
      </c>
      <c r="BY31">
        <v>970510</v>
      </c>
      <c r="BZ31">
        <v>7479</v>
      </c>
      <c r="CA31">
        <v>3031</v>
      </c>
      <c r="CB31">
        <v>2414</v>
      </c>
      <c r="CC31">
        <v>595946</v>
      </c>
      <c r="CD31">
        <v>2812</v>
      </c>
      <c r="CE31">
        <v>2859</v>
      </c>
      <c r="CF31">
        <v>1663</v>
      </c>
      <c r="CG31">
        <v>498589</v>
      </c>
      <c r="CH31">
        <v>2280</v>
      </c>
      <c r="CI31">
        <v>11173</v>
      </c>
      <c r="CJ31">
        <v>7643</v>
      </c>
      <c r="CK31">
        <v>2452377</v>
      </c>
      <c r="CL31">
        <v>16409</v>
      </c>
      <c r="CM31">
        <v>1725</v>
      </c>
      <c r="CN31">
        <v>1174</v>
      </c>
      <c r="CO31">
        <v>913297</v>
      </c>
      <c r="CP31">
        <v>3047</v>
      </c>
      <c r="CQ31">
        <v>13896</v>
      </c>
      <c r="CR31">
        <v>14108</v>
      </c>
      <c r="CS31">
        <v>4314063</v>
      </c>
      <c r="CT31">
        <v>17903</v>
      </c>
      <c r="CU31">
        <v>1269</v>
      </c>
      <c r="CV31">
        <v>203</v>
      </c>
      <c r="CW31">
        <v>115999</v>
      </c>
      <c r="CX31">
        <v>1056</v>
      </c>
      <c r="CY31">
        <v>10237</v>
      </c>
      <c r="CZ31">
        <v>7574</v>
      </c>
      <c r="DA31">
        <v>3057788</v>
      </c>
      <c r="DB31">
        <v>25292</v>
      </c>
      <c r="DC31">
        <v>4079</v>
      </c>
      <c r="DD31">
        <v>2985</v>
      </c>
      <c r="DE31">
        <v>1534720</v>
      </c>
      <c r="DF31">
        <v>9728</v>
      </c>
      <c r="DG31">
        <v>4628</v>
      </c>
      <c r="DH31">
        <v>4419</v>
      </c>
      <c r="DI31">
        <v>3940492</v>
      </c>
      <c r="DJ31">
        <v>11237</v>
      </c>
      <c r="DK31">
        <v>3984</v>
      </c>
      <c r="DL31">
        <v>2516</v>
      </c>
      <c r="DM31">
        <v>1448231</v>
      </c>
      <c r="DN31">
        <v>6826</v>
      </c>
      <c r="DO31">
        <v>1912</v>
      </c>
      <c r="DP31">
        <v>1649</v>
      </c>
      <c r="DQ31">
        <v>457770</v>
      </c>
      <c r="DR31">
        <v>1821</v>
      </c>
      <c r="DS31">
        <v>2344</v>
      </c>
      <c r="DT31">
        <v>1911</v>
      </c>
      <c r="DU31">
        <v>1431294</v>
      </c>
      <c r="DV31">
        <v>3762</v>
      </c>
    </row>
    <row r="32" spans="1:126" x14ac:dyDescent="0.4">
      <c r="A32" s="1" t="s">
        <v>52</v>
      </c>
      <c r="B32" s="1" t="s">
        <v>53</v>
      </c>
      <c r="C32">
        <v>9436</v>
      </c>
      <c r="D32">
        <v>2761</v>
      </c>
      <c r="E32">
        <v>516386</v>
      </c>
      <c r="F32">
        <v>2263</v>
      </c>
      <c r="G32">
        <v>2135</v>
      </c>
      <c r="H32">
        <v>1044</v>
      </c>
      <c r="I32">
        <v>245969</v>
      </c>
      <c r="J32">
        <v>1434</v>
      </c>
      <c r="K32">
        <v>5844</v>
      </c>
      <c r="L32">
        <v>1465</v>
      </c>
      <c r="M32">
        <v>461473</v>
      </c>
      <c r="N32">
        <v>3282</v>
      </c>
      <c r="O32">
        <v>4157</v>
      </c>
      <c r="P32">
        <v>4272</v>
      </c>
      <c r="Q32">
        <v>1078387</v>
      </c>
      <c r="R32">
        <v>7439</v>
      </c>
      <c r="S32">
        <v>1998</v>
      </c>
      <c r="T32">
        <v>2773</v>
      </c>
      <c r="U32">
        <v>1969103</v>
      </c>
      <c r="V32">
        <v>3531</v>
      </c>
      <c r="W32">
        <v>8977</v>
      </c>
      <c r="X32">
        <v>11936</v>
      </c>
      <c r="Y32">
        <v>4309641</v>
      </c>
      <c r="Z32">
        <v>4432</v>
      </c>
      <c r="AA32">
        <v>3819</v>
      </c>
      <c r="AB32">
        <v>2487</v>
      </c>
      <c r="AC32">
        <v>734034</v>
      </c>
      <c r="AD32">
        <v>1863</v>
      </c>
      <c r="AE32">
        <v>14118</v>
      </c>
      <c r="AF32">
        <v>14839</v>
      </c>
      <c r="AG32">
        <v>7017296</v>
      </c>
      <c r="AH32">
        <v>13567</v>
      </c>
      <c r="AI32">
        <v>6121</v>
      </c>
      <c r="AJ32">
        <v>5760</v>
      </c>
      <c r="AK32">
        <v>1896215</v>
      </c>
      <c r="AL32">
        <v>1834</v>
      </c>
      <c r="AM32">
        <v>27347</v>
      </c>
      <c r="AN32">
        <v>28862</v>
      </c>
      <c r="AO32">
        <v>11752002</v>
      </c>
      <c r="AP32">
        <v>4648</v>
      </c>
      <c r="AQ32">
        <v>29928</v>
      </c>
      <c r="AR32">
        <v>25794</v>
      </c>
      <c r="AS32">
        <v>8978858</v>
      </c>
      <c r="AT32">
        <v>14863</v>
      </c>
      <c r="AU32">
        <v>26952</v>
      </c>
      <c r="AV32">
        <v>25236</v>
      </c>
      <c r="AW32">
        <v>6946322</v>
      </c>
      <c r="AX32">
        <v>11565</v>
      </c>
      <c r="AY32">
        <v>12812</v>
      </c>
      <c r="AZ32">
        <v>11703</v>
      </c>
      <c r="BA32">
        <v>3934602</v>
      </c>
      <c r="BB32">
        <v>6649</v>
      </c>
      <c r="BC32">
        <v>39584</v>
      </c>
      <c r="BD32">
        <v>32834</v>
      </c>
      <c r="BE32">
        <v>10797303</v>
      </c>
      <c r="BF32">
        <v>16913</v>
      </c>
      <c r="BG32">
        <v>11209</v>
      </c>
      <c r="BH32">
        <v>9721</v>
      </c>
      <c r="BI32">
        <v>3166087</v>
      </c>
      <c r="BJ32">
        <v>3923</v>
      </c>
      <c r="BK32">
        <v>14776</v>
      </c>
      <c r="BL32">
        <v>11809</v>
      </c>
      <c r="BM32">
        <v>2384440</v>
      </c>
      <c r="BN32">
        <v>4686</v>
      </c>
      <c r="BO32">
        <v>16921</v>
      </c>
      <c r="BP32">
        <v>17394</v>
      </c>
      <c r="BQ32">
        <v>2829669</v>
      </c>
      <c r="BR32">
        <v>4743</v>
      </c>
      <c r="BS32">
        <v>293</v>
      </c>
      <c r="BT32">
        <v>308</v>
      </c>
      <c r="BU32">
        <v>40150</v>
      </c>
      <c r="BV32">
        <v>342</v>
      </c>
      <c r="BW32">
        <v>9370</v>
      </c>
      <c r="BX32">
        <v>4303</v>
      </c>
      <c r="BY32">
        <v>1138956</v>
      </c>
      <c r="BZ32">
        <v>7940</v>
      </c>
      <c r="CA32">
        <v>4381</v>
      </c>
      <c r="CB32">
        <v>2302</v>
      </c>
      <c r="CC32">
        <v>603245</v>
      </c>
      <c r="CD32">
        <v>3079</v>
      </c>
      <c r="CE32">
        <v>3677</v>
      </c>
      <c r="CF32">
        <v>1852</v>
      </c>
      <c r="CG32">
        <v>555566</v>
      </c>
      <c r="CH32">
        <v>2476</v>
      </c>
      <c r="CI32">
        <v>13718</v>
      </c>
      <c r="CJ32">
        <v>8912</v>
      </c>
      <c r="CK32">
        <v>2872689</v>
      </c>
      <c r="CL32">
        <v>16428</v>
      </c>
      <c r="CM32">
        <v>3538</v>
      </c>
      <c r="CN32">
        <v>2754</v>
      </c>
      <c r="CO32">
        <v>1682627</v>
      </c>
      <c r="CP32">
        <v>3084</v>
      </c>
      <c r="CQ32">
        <v>20067</v>
      </c>
      <c r="CR32">
        <v>17961</v>
      </c>
      <c r="CS32">
        <v>5450756</v>
      </c>
      <c r="CT32">
        <v>17457</v>
      </c>
      <c r="CU32">
        <v>1126</v>
      </c>
      <c r="CV32">
        <v>184</v>
      </c>
      <c r="CW32">
        <v>109865</v>
      </c>
      <c r="CX32">
        <v>947</v>
      </c>
      <c r="CY32">
        <v>13445</v>
      </c>
      <c r="CZ32">
        <v>9319</v>
      </c>
      <c r="DA32">
        <v>3629563</v>
      </c>
      <c r="DB32">
        <v>26454</v>
      </c>
      <c r="DC32">
        <v>5753</v>
      </c>
      <c r="DD32">
        <v>3655</v>
      </c>
      <c r="DE32">
        <v>1956636</v>
      </c>
      <c r="DF32">
        <v>10155</v>
      </c>
      <c r="DG32">
        <v>6712</v>
      </c>
      <c r="DH32">
        <v>5227</v>
      </c>
      <c r="DI32">
        <v>4473205</v>
      </c>
      <c r="DJ32">
        <v>12165</v>
      </c>
      <c r="DK32">
        <v>5203</v>
      </c>
      <c r="DL32">
        <v>2954</v>
      </c>
      <c r="DM32">
        <v>1715305</v>
      </c>
      <c r="DN32">
        <v>7201</v>
      </c>
      <c r="DO32">
        <v>2407</v>
      </c>
      <c r="DP32">
        <v>2080</v>
      </c>
      <c r="DQ32">
        <v>549746</v>
      </c>
      <c r="DR32">
        <v>1856</v>
      </c>
      <c r="DS32">
        <v>2649</v>
      </c>
      <c r="DT32">
        <v>2032</v>
      </c>
      <c r="DU32">
        <v>1414125</v>
      </c>
      <c r="DV32">
        <v>3781</v>
      </c>
    </row>
    <row r="33" spans="1:126" x14ac:dyDescent="0.4">
      <c r="A33" s="1" t="s">
        <v>54</v>
      </c>
      <c r="B33" s="1" t="s">
        <v>55</v>
      </c>
      <c r="C33">
        <v>9169</v>
      </c>
      <c r="D33">
        <v>3094</v>
      </c>
      <c r="E33">
        <v>569913</v>
      </c>
      <c r="F33">
        <v>2337</v>
      </c>
      <c r="G33">
        <v>2309</v>
      </c>
      <c r="H33">
        <v>1105</v>
      </c>
      <c r="I33">
        <v>247897</v>
      </c>
      <c r="J33">
        <v>1654</v>
      </c>
      <c r="K33">
        <v>6756</v>
      </c>
      <c r="L33">
        <v>1641</v>
      </c>
      <c r="M33">
        <v>568820</v>
      </c>
      <c r="N33">
        <v>3476</v>
      </c>
      <c r="O33">
        <v>3615</v>
      </c>
      <c r="P33">
        <v>4684</v>
      </c>
      <c r="Q33">
        <v>1189693</v>
      </c>
      <c r="R33">
        <v>7581</v>
      </c>
      <c r="S33">
        <v>2166</v>
      </c>
      <c r="T33">
        <v>2879</v>
      </c>
      <c r="U33">
        <v>2068655</v>
      </c>
      <c r="V33">
        <v>3494</v>
      </c>
      <c r="W33">
        <v>9337</v>
      </c>
      <c r="X33">
        <v>13266</v>
      </c>
      <c r="Y33">
        <v>4890970</v>
      </c>
      <c r="Z33">
        <v>3943</v>
      </c>
      <c r="AA33">
        <v>3005</v>
      </c>
      <c r="AB33">
        <v>2313</v>
      </c>
      <c r="AC33">
        <v>704271</v>
      </c>
      <c r="AD33">
        <v>1930</v>
      </c>
      <c r="AE33">
        <v>15103</v>
      </c>
      <c r="AF33">
        <v>15440</v>
      </c>
      <c r="AG33">
        <v>7343324</v>
      </c>
      <c r="AH33">
        <v>13479</v>
      </c>
      <c r="AI33">
        <v>7872</v>
      </c>
      <c r="AJ33">
        <v>5831</v>
      </c>
      <c r="AK33">
        <v>1923927</v>
      </c>
      <c r="AL33">
        <v>2497</v>
      </c>
      <c r="AM33">
        <v>27905</v>
      </c>
      <c r="AN33">
        <v>25911</v>
      </c>
      <c r="AO33">
        <v>9944790</v>
      </c>
      <c r="AP33">
        <v>5719</v>
      </c>
      <c r="AQ33">
        <v>30246</v>
      </c>
      <c r="AR33">
        <v>27025</v>
      </c>
      <c r="AS33">
        <v>9089959</v>
      </c>
      <c r="AT33">
        <v>16090</v>
      </c>
      <c r="AU33">
        <v>24692</v>
      </c>
      <c r="AV33">
        <v>25582</v>
      </c>
      <c r="AW33">
        <v>7108217</v>
      </c>
      <c r="AX33">
        <v>9316</v>
      </c>
      <c r="AY33">
        <v>13076</v>
      </c>
      <c r="AZ33">
        <v>14656</v>
      </c>
      <c r="BA33">
        <v>4620070</v>
      </c>
      <c r="BB33">
        <v>4833</v>
      </c>
      <c r="BC33">
        <v>35433</v>
      </c>
      <c r="BD33">
        <v>35530</v>
      </c>
      <c r="BE33">
        <v>11995034</v>
      </c>
      <c r="BF33">
        <v>15552</v>
      </c>
      <c r="BG33">
        <v>11364</v>
      </c>
      <c r="BH33">
        <v>9939</v>
      </c>
      <c r="BI33">
        <v>3225261</v>
      </c>
      <c r="BJ33">
        <v>4142</v>
      </c>
      <c r="BK33">
        <v>14152</v>
      </c>
      <c r="BL33">
        <v>12656</v>
      </c>
      <c r="BM33">
        <v>2826618</v>
      </c>
      <c r="BN33">
        <v>4430</v>
      </c>
      <c r="BO33">
        <v>14388</v>
      </c>
      <c r="BP33">
        <v>14327</v>
      </c>
      <c r="BQ33">
        <v>2545752</v>
      </c>
      <c r="BR33">
        <v>4783</v>
      </c>
      <c r="BS33">
        <v>290</v>
      </c>
      <c r="BT33">
        <v>316</v>
      </c>
      <c r="BU33">
        <v>44282</v>
      </c>
      <c r="BV33">
        <v>320</v>
      </c>
      <c r="BW33">
        <v>9580</v>
      </c>
      <c r="BX33">
        <v>4842</v>
      </c>
      <c r="BY33">
        <v>1275023</v>
      </c>
      <c r="BZ33">
        <v>7758</v>
      </c>
      <c r="CA33">
        <v>4594</v>
      </c>
      <c r="CB33">
        <v>2717</v>
      </c>
      <c r="CC33">
        <v>690487</v>
      </c>
      <c r="CD33">
        <v>3171</v>
      </c>
      <c r="CE33">
        <v>3736</v>
      </c>
      <c r="CF33">
        <v>2269</v>
      </c>
      <c r="CG33">
        <v>676804</v>
      </c>
      <c r="CH33">
        <v>2338</v>
      </c>
      <c r="CI33">
        <v>14000</v>
      </c>
      <c r="CJ33">
        <v>10030</v>
      </c>
      <c r="CK33">
        <v>3284287</v>
      </c>
      <c r="CL33">
        <v>16383</v>
      </c>
      <c r="CM33">
        <v>3417</v>
      </c>
      <c r="CN33">
        <v>2849</v>
      </c>
      <c r="CO33">
        <v>1624529</v>
      </c>
      <c r="CP33">
        <v>3024</v>
      </c>
      <c r="CQ33">
        <v>21572</v>
      </c>
      <c r="CR33">
        <v>18119</v>
      </c>
      <c r="CS33">
        <v>5608803</v>
      </c>
      <c r="CT33">
        <v>19121</v>
      </c>
      <c r="CU33">
        <v>1475</v>
      </c>
      <c r="CV33">
        <v>115</v>
      </c>
      <c r="CW33">
        <v>74500</v>
      </c>
      <c r="CX33">
        <v>966</v>
      </c>
      <c r="CY33">
        <v>12376</v>
      </c>
      <c r="CZ33">
        <v>10662</v>
      </c>
      <c r="DA33">
        <v>4167862</v>
      </c>
      <c r="DB33">
        <v>25783</v>
      </c>
      <c r="DC33">
        <v>5337</v>
      </c>
      <c r="DD33">
        <v>4161</v>
      </c>
      <c r="DE33">
        <v>2210871</v>
      </c>
      <c r="DF33">
        <v>9680</v>
      </c>
      <c r="DG33">
        <v>6509</v>
      </c>
      <c r="DH33">
        <v>5659</v>
      </c>
      <c r="DI33">
        <v>4908471</v>
      </c>
      <c r="DJ33">
        <v>12543</v>
      </c>
      <c r="DK33">
        <v>5304</v>
      </c>
      <c r="DL33">
        <v>3334</v>
      </c>
      <c r="DM33">
        <v>1941998</v>
      </c>
      <c r="DN33">
        <v>7350</v>
      </c>
      <c r="DO33">
        <v>2626</v>
      </c>
      <c r="DP33">
        <v>2197</v>
      </c>
      <c r="DQ33">
        <v>650058</v>
      </c>
      <c r="DR33">
        <v>1961</v>
      </c>
      <c r="DS33">
        <v>3031</v>
      </c>
      <c r="DT33">
        <v>2411</v>
      </c>
      <c r="DU33">
        <v>1794751</v>
      </c>
      <c r="DV33">
        <v>3738</v>
      </c>
    </row>
    <row r="34" spans="1:126" x14ac:dyDescent="0.4">
      <c r="A34" s="1" t="s">
        <v>56</v>
      </c>
      <c r="B34" s="1" t="s">
        <v>57</v>
      </c>
      <c r="C34">
        <v>8302</v>
      </c>
      <c r="D34">
        <v>2278</v>
      </c>
      <c r="E34">
        <v>470914</v>
      </c>
      <c r="F34">
        <v>2682</v>
      </c>
      <c r="G34">
        <v>2053</v>
      </c>
      <c r="H34">
        <v>922</v>
      </c>
      <c r="I34">
        <v>200744</v>
      </c>
      <c r="J34">
        <v>1635</v>
      </c>
      <c r="K34">
        <v>5619</v>
      </c>
      <c r="L34">
        <v>1407</v>
      </c>
      <c r="M34">
        <v>479149</v>
      </c>
      <c r="N34">
        <v>3823</v>
      </c>
      <c r="O34">
        <v>3445</v>
      </c>
      <c r="P34">
        <v>4028</v>
      </c>
      <c r="Q34">
        <v>1076422</v>
      </c>
      <c r="R34">
        <v>7589</v>
      </c>
      <c r="S34">
        <v>1937</v>
      </c>
      <c r="T34">
        <v>2546</v>
      </c>
      <c r="U34">
        <v>1783961</v>
      </c>
      <c r="V34">
        <v>3488</v>
      </c>
      <c r="W34">
        <v>8920</v>
      </c>
      <c r="X34">
        <v>12368</v>
      </c>
      <c r="Y34">
        <v>4754259</v>
      </c>
      <c r="Z34">
        <v>3849</v>
      </c>
      <c r="AA34">
        <v>3223</v>
      </c>
      <c r="AB34">
        <v>2284</v>
      </c>
      <c r="AC34">
        <v>631366</v>
      </c>
      <c r="AD34">
        <v>1930</v>
      </c>
      <c r="AE34">
        <v>14873</v>
      </c>
      <c r="AF34">
        <v>14783</v>
      </c>
      <c r="AG34">
        <v>6963983</v>
      </c>
      <c r="AH34">
        <v>13718</v>
      </c>
      <c r="AI34">
        <v>6483</v>
      </c>
      <c r="AJ34">
        <v>5349</v>
      </c>
      <c r="AK34">
        <v>1752283</v>
      </c>
      <c r="AL34">
        <v>2395</v>
      </c>
      <c r="AM34">
        <v>26851</v>
      </c>
      <c r="AN34">
        <v>26034</v>
      </c>
      <c r="AO34">
        <v>9117439</v>
      </c>
      <c r="AP34">
        <v>6024</v>
      </c>
      <c r="AQ34">
        <v>27222</v>
      </c>
      <c r="AR34">
        <v>25933</v>
      </c>
      <c r="AS34">
        <v>8816743</v>
      </c>
      <c r="AT34">
        <v>15766</v>
      </c>
      <c r="AU34">
        <v>25864</v>
      </c>
      <c r="AV34">
        <v>25016</v>
      </c>
      <c r="AW34">
        <v>6718722</v>
      </c>
      <c r="AX34">
        <v>9070</v>
      </c>
      <c r="AY34">
        <v>12571</v>
      </c>
      <c r="AZ34">
        <v>11370</v>
      </c>
      <c r="BA34">
        <v>3736746</v>
      </c>
      <c r="BB34">
        <v>5634</v>
      </c>
      <c r="BC34">
        <v>31975</v>
      </c>
      <c r="BD34">
        <v>30469</v>
      </c>
      <c r="BE34">
        <v>9750914</v>
      </c>
      <c r="BF34">
        <v>15508</v>
      </c>
      <c r="BG34">
        <v>10245</v>
      </c>
      <c r="BH34">
        <v>9825</v>
      </c>
      <c r="BI34">
        <v>3159506</v>
      </c>
      <c r="BJ34">
        <v>3683</v>
      </c>
      <c r="BK34">
        <v>13331</v>
      </c>
      <c r="BL34">
        <v>11531</v>
      </c>
      <c r="BM34">
        <v>2392659</v>
      </c>
      <c r="BN34">
        <v>4269</v>
      </c>
      <c r="BO34">
        <v>12874</v>
      </c>
      <c r="BP34">
        <v>12647</v>
      </c>
      <c r="BQ34">
        <v>2169705</v>
      </c>
      <c r="BR34">
        <v>4881</v>
      </c>
      <c r="BS34">
        <v>391</v>
      </c>
      <c r="BT34">
        <v>345</v>
      </c>
      <c r="BU34">
        <v>42191</v>
      </c>
      <c r="BV34">
        <v>367</v>
      </c>
      <c r="BW34">
        <v>9661</v>
      </c>
      <c r="BX34">
        <v>4506</v>
      </c>
      <c r="BY34">
        <v>1158908</v>
      </c>
      <c r="BZ34">
        <v>8175</v>
      </c>
      <c r="CA34">
        <v>4338</v>
      </c>
      <c r="CB34">
        <v>2211</v>
      </c>
      <c r="CC34">
        <v>592064</v>
      </c>
      <c r="CD34">
        <v>3606</v>
      </c>
      <c r="CE34">
        <v>3737</v>
      </c>
      <c r="CF34">
        <v>2016</v>
      </c>
      <c r="CG34">
        <v>561385</v>
      </c>
      <c r="CH34">
        <v>2558</v>
      </c>
      <c r="CI34">
        <v>13218</v>
      </c>
      <c r="CJ34">
        <v>8526</v>
      </c>
      <c r="CK34">
        <v>2847287</v>
      </c>
      <c r="CL34">
        <v>17057</v>
      </c>
      <c r="CM34">
        <v>3218</v>
      </c>
      <c r="CN34">
        <v>2193</v>
      </c>
      <c r="CO34">
        <v>1371784</v>
      </c>
      <c r="CP34">
        <v>3150</v>
      </c>
      <c r="CQ34">
        <v>18189</v>
      </c>
      <c r="CR34">
        <v>16302</v>
      </c>
      <c r="CS34">
        <v>4977515</v>
      </c>
      <c r="CT34">
        <v>19446</v>
      </c>
      <c r="CU34">
        <v>1727</v>
      </c>
      <c r="CV34">
        <v>175</v>
      </c>
      <c r="CW34">
        <v>103075</v>
      </c>
      <c r="CX34">
        <v>1057</v>
      </c>
      <c r="CY34">
        <v>11624</v>
      </c>
      <c r="CZ34">
        <v>9562</v>
      </c>
      <c r="DA34">
        <v>3775521</v>
      </c>
      <c r="DB34">
        <v>25555</v>
      </c>
      <c r="DC34">
        <v>5056</v>
      </c>
      <c r="DD34">
        <v>3565</v>
      </c>
      <c r="DE34">
        <v>1826304</v>
      </c>
      <c r="DF34">
        <v>9702</v>
      </c>
      <c r="DG34">
        <v>5780</v>
      </c>
      <c r="DH34">
        <v>5429</v>
      </c>
      <c r="DI34">
        <v>4707966</v>
      </c>
      <c r="DJ34">
        <v>12503</v>
      </c>
      <c r="DK34">
        <v>5147</v>
      </c>
      <c r="DL34">
        <v>3167</v>
      </c>
      <c r="DM34">
        <v>1797862</v>
      </c>
      <c r="DN34">
        <v>7296</v>
      </c>
      <c r="DO34">
        <v>2143</v>
      </c>
      <c r="DP34">
        <v>1901</v>
      </c>
      <c r="DQ34">
        <v>536698</v>
      </c>
      <c r="DR34">
        <v>1954</v>
      </c>
      <c r="DS34">
        <v>2814</v>
      </c>
      <c r="DT34">
        <v>2130</v>
      </c>
      <c r="DU34">
        <v>1547592</v>
      </c>
      <c r="DV34">
        <v>3729</v>
      </c>
    </row>
    <row r="35" spans="1:126" x14ac:dyDescent="0.4">
      <c r="A35" s="1" t="s">
        <v>58</v>
      </c>
      <c r="B35" s="1" t="s">
        <v>59</v>
      </c>
      <c r="C35">
        <v>7921</v>
      </c>
      <c r="D35">
        <v>2453</v>
      </c>
      <c r="E35">
        <v>476152</v>
      </c>
      <c r="F35">
        <v>2641</v>
      </c>
      <c r="G35">
        <v>1895</v>
      </c>
      <c r="H35">
        <v>959</v>
      </c>
      <c r="I35">
        <v>224253</v>
      </c>
      <c r="J35">
        <v>1405</v>
      </c>
      <c r="K35">
        <v>4262</v>
      </c>
      <c r="L35">
        <v>1430</v>
      </c>
      <c r="M35">
        <v>511353</v>
      </c>
      <c r="N35">
        <v>3638</v>
      </c>
      <c r="O35">
        <v>3778</v>
      </c>
      <c r="P35">
        <v>4252</v>
      </c>
      <c r="Q35">
        <v>1119241</v>
      </c>
      <c r="R35">
        <v>7672</v>
      </c>
      <c r="S35">
        <v>2052</v>
      </c>
      <c r="T35">
        <v>2780</v>
      </c>
      <c r="U35">
        <v>2030340</v>
      </c>
      <c r="V35">
        <v>3155</v>
      </c>
      <c r="W35">
        <v>8074</v>
      </c>
      <c r="X35">
        <v>10411</v>
      </c>
      <c r="Y35">
        <v>4100314</v>
      </c>
      <c r="Z35">
        <v>3856</v>
      </c>
      <c r="AA35">
        <v>3865</v>
      </c>
      <c r="AB35">
        <v>2667</v>
      </c>
      <c r="AC35">
        <v>713607</v>
      </c>
      <c r="AD35">
        <v>1806</v>
      </c>
      <c r="AE35">
        <v>12271</v>
      </c>
      <c r="AF35">
        <v>14843</v>
      </c>
      <c r="AG35">
        <v>6860610</v>
      </c>
      <c r="AH35">
        <v>11757</v>
      </c>
      <c r="AI35">
        <v>7786</v>
      </c>
      <c r="AJ35">
        <v>5890</v>
      </c>
      <c r="AK35">
        <v>1975351</v>
      </c>
      <c r="AL35">
        <v>2806</v>
      </c>
      <c r="AM35">
        <v>25269</v>
      </c>
      <c r="AN35">
        <v>25866</v>
      </c>
      <c r="AO35">
        <v>9367497</v>
      </c>
      <c r="AP35">
        <v>4786</v>
      </c>
      <c r="AQ35">
        <v>21424</v>
      </c>
      <c r="AR35">
        <v>23244</v>
      </c>
      <c r="AS35">
        <v>7800139</v>
      </c>
      <c r="AT35">
        <v>13367</v>
      </c>
      <c r="AU35">
        <v>24012</v>
      </c>
      <c r="AV35">
        <v>24125</v>
      </c>
      <c r="AW35">
        <v>6491020</v>
      </c>
      <c r="AX35">
        <v>8076</v>
      </c>
      <c r="AY35">
        <v>11596</v>
      </c>
      <c r="AZ35">
        <v>12661</v>
      </c>
      <c r="BA35">
        <v>4179143</v>
      </c>
      <c r="BB35">
        <v>4467</v>
      </c>
      <c r="BC35">
        <v>30103</v>
      </c>
      <c r="BD35">
        <v>32448</v>
      </c>
      <c r="BE35">
        <v>10444598</v>
      </c>
      <c r="BF35">
        <v>11967</v>
      </c>
      <c r="BG35">
        <v>10368</v>
      </c>
      <c r="BH35">
        <v>9255</v>
      </c>
      <c r="BI35">
        <v>2914073</v>
      </c>
      <c r="BJ35">
        <v>3846</v>
      </c>
      <c r="BK35">
        <v>12203</v>
      </c>
      <c r="BL35">
        <v>11556</v>
      </c>
      <c r="BM35">
        <v>2271597</v>
      </c>
      <c r="BN35">
        <v>3436</v>
      </c>
      <c r="BO35">
        <v>12564</v>
      </c>
      <c r="BP35">
        <v>13116</v>
      </c>
      <c r="BQ35">
        <v>2306398</v>
      </c>
      <c r="BR35">
        <v>4159</v>
      </c>
      <c r="BS35">
        <v>320</v>
      </c>
      <c r="BT35">
        <v>343</v>
      </c>
      <c r="BU35">
        <v>48406</v>
      </c>
      <c r="BV35">
        <v>346</v>
      </c>
      <c r="BW35">
        <v>9963</v>
      </c>
      <c r="BX35">
        <v>4592</v>
      </c>
      <c r="BY35">
        <v>1194039</v>
      </c>
      <c r="BZ35">
        <v>8746</v>
      </c>
      <c r="CA35">
        <v>4025</v>
      </c>
      <c r="CB35">
        <v>2204</v>
      </c>
      <c r="CC35">
        <v>606563</v>
      </c>
      <c r="CD35">
        <v>3833</v>
      </c>
      <c r="CE35">
        <v>3625</v>
      </c>
      <c r="CF35">
        <v>2051</v>
      </c>
      <c r="CG35">
        <v>561489</v>
      </c>
      <c r="CH35">
        <v>2626</v>
      </c>
      <c r="CI35">
        <v>13004</v>
      </c>
      <c r="CJ35">
        <v>8804</v>
      </c>
      <c r="CK35">
        <v>2937584</v>
      </c>
      <c r="CL35">
        <v>17296</v>
      </c>
      <c r="CM35">
        <v>2889</v>
      </c>
      <c r="CN35">
        <v>1924</v>
      </c>
      <c r="CO35">
        <v>1342674</v>
      </c>
      <c r="CP35">
        <v>3342</v>
      </c>
      <c r="CQ35">
        <v>18148</v>
      </c>
      <c r="CR35">
        <v>14051</v>
      </c>
      <c r="CS35">
        <v>4509168</v>
      </c>
      <c r="CT35">
        <v>21200</v>
      </c>
      <c r="CU35">
        <v>1445</v>
      </c>
      <c r="CV35">
        <v>159</v>
      </c>
      <c r="CW35">
        <v>91420</v>
      </c>
      <c r="CX35">
        <v>1068</v>
      </c>
      <c r="CY35">
        <v>11874</v>
      </c>
      <c r="CZ35">
        <v>8771</v>
      </c>
      <c r="DA35">
        <v>3526877</v>
      </c>
      <c r="DB35">
        <v>26058</v>
      </c>
      <c r="DC35">
        <v>5757</v>
      </c>
      <c r="DD35">
        <v>3646</v>
      </c>
      <c r="DE35">
        <v>1988965</v>
      </c>
      <c r="DF35">
        <v>9818</v>
      </c>
      <c r="DG35">
        <v>5868</v>
      </c>
      <c r="DH35">
        <v>5568</v>
      </c>
      <c r="DI35">
        <v>4948073</v>
      </c>
      <c r="DJ35">
        <v>12405</v>
      </c>
      <c r="DK35">
        <v>5417</v>
      </c>
      <c r="DL35">
        <v>3332</v>
      </c>
      <c r="DM35">
        <v>1972208</v>
      </c>
      <c r="DN35">
        <v>7492</v>
      </c>
      <c r="DO35">
        <v>2008</v>
      </c>
      <c r="DP35">
        <v>1639</v>
      </c>
      <c r="DQ35">
        <v>490970</v>
      </c>
      <c r="DR35">
        <v>2140</v>
      </c>
      <c r="DS35">
        <v>2583</v>
      </c>
      <c r="DT35">
        <v>2136</v>
      </c>
      <c r="DU35">
        <v>1573658</v>
      </c>
      <c r="DV35">
        <v>3690</v>
      </c>
    </row>
    <row r="36" spans="1:126" x14ac:dyDescent="0.4">
      <c r="A36" s="1" t="s">
        <v>60</v>
      </c>
      <c r="B36" s="1" t="s">
        <v>61</v>
      </c>
      <c r="C36">
        <v>8015</v>
      </c>
      <c r="D36">
        <v>2663</v>
      </c>
      <c r="E36">
        <v>555640</v>
      </c>
      <c r="F36">
        <v>2280</v>
      </c>
      <c r="G36">
        <v>1892</v>
      </c>
      <c r="H36">
        <v>1091</v>
      </c>
      <c r="I36">
        <v>267679</v>
      </c>
      <c r="J36">
        <v>1671</v>
      </c>
      <c r="K36">
        <v>4056</v>
      </c>
      <c r="L36">
        <v>1994</v>
      </c>
      <c r="M36">
        <v>695770</v>
      </c>
      <c r="N36">
        <v>3853</v>
      </c>
      <c r="O36">
        <v>3223</v>
      </c>
      <c r="P36">
        <v>4069</v>
      </c>
      <c r="Q36">
        <v>1050480</v>
      </c>
      <c r="R36">
        <v>8530</v>
      </c>
      <c r="S36">
        <v>1910</v>
      </c>
      <c r="T36">
        <v>1824</v>
      </c>
      <c r="U36">
        <v>1324948</v>
      </c>
      <c r="V36">
        <v>3678</v>
      </c>
      <c r="W36">
        <v>6279</v>
      </c>
      <c r="X36">
        <v>7124</v>
      </c>
      <c r="Y36">
        <v>2391580</v>
      </c>
      <c r="Z36">
        <v>4167</v>
      </c>
      <c r="AA36">
        <v>2390</v>
      </c>
      <c r="AB36">
        <v>2084</v>
      </c>
      <c r="AC36">
        <v>579814</v>
      </c>
      <c r="AD36">
        <v>1710</v>
      </c>
      <c r="AE36">
        <v>13644</v>
      </c>
      <c r="AF36">
        <v>11512</v>
      </c>
      <c r="AG36">
        <v>5768757</v>
      </c>
      <c r="AH36">
        <v>14035</v>
      </c>
      <c r="AI36">
        <v>5342</v>
      </c>
      <c r="AJ36">
        <v>4437</v>
      </c>
      <c r="AK36">
        <v>1465888</v>
      </c>
      <c r="AL36">
        <v>2817</v>
      </c>
      <c r="AM36">
        <v>19223</v>
      </c>
      <c r="AN36">
        <v>17699</v>
      </c>
      <c r="AO36">
        <v>6516266</v>
      </c>
      <c r="AP36">
        <v>5366</v>
      </c>
      <c r="AQ36">
        <v>16196</v>
      </c>
      <c r="AR36">
        <v>18214</v>
      </c>
      <c r="AS36">
        <v>6440170</v>
      </c>
      <c r="AT36">
        <v>10974</v>
      </c>
      <c r="AU36">
        <v>22772</v>
      </c>
      <c r="AV36">
        <v>19928</v>
      </c>
      <c r="AW36">
        <v>4872750</v>
      </c>
      <c r="AX36">
        <v>9793</v>
      </c>
      <c r="AY36">
        <v>9300</v>
      </c>
      <c r="AZ36">
        <v>8406</v>
      </c>
      <c r="BA36">
        <v>2776496</v>
      </c>
      <c r="BB36">
        <v>4953</v>
      </c>
      <c r="BC36">
        <v>29095</v>
      </c>
      <c r="BD36">
        <v>20595</v>
      </c>
      <c r="BE36">
        <v>6651349</v>
      </c>
      <c r="BF36">
        <v>19419</v>
      </c>
      <c r="BG36">
        <v>6895</v>
      </c>
      <c r="BH36">
        <v>7058</v>
      </c>
      <c r="BI36">
        <v>2495107</v>
      </c>
      <c r="BJ36">
        <v>3077</v>
      </c>
      <c r="BK36">
        <v>9536</v>
      </c>
      <c r="BL36">
        <v>7847</v>
      </c>
      <c r="BM36">
        <v>1577445</v>
      </c>
      <c r="BN36">
        <v>3852</v>
      </c>
      <c r="BO36">
        <v>10820</v>
      </c>
      <c r="BP36">
        <v>10279</v>
      </c>
      <c r="BQ36">
        <v>1618832</v>
      </c>
      <c r="BR36">
        <v>4588</v>
      </c>
      <c r="BS36">
        <v>285</v>
      </c>
      <c r="BT36">
        <v>247</v>
      </c>
      <c r="BU36">
        <v>32109</v>
      </c>
      <c r="BV36">
        <v>384</v>
      </c>
      <c r="BW36">
        <v>8793</v>
      </c>
      <c r="BX36">
        <v>4547</v>
      </c>
      <c r="BY36">
        <v>1159122</v>
      </c>
      <c r="BZ36">
        <v>8450</v>
      </c>
      <c r="CA36">
        <v>3606</v>
      </c>
      <c r="CB36">
        <v>2363</v>
      </c>
      <c r="CC36">
        <v>608090</v>
      </c>
      <c r="CD36">
        <v>3899</v>
      </c>
      <c r="CE36">
        <v>3390</v>
      </c>
      <c r="CF36">
        <v>1918</v>
      </c>
      <c r="CG36">
        <v>590391</v>
      </c>
      <c r="CH36">
        <v>2543</v>
      </c>
      <c r="CI36">
        <v>12090</v>
      </c>
      <c r="CJ36">
        <v>8579</v>
      </c>
      <c r="CK36">
        <v>2928026</v>
      </c>
      <c r="CL36">
        <v>16779</v>
      </c>
      <c r="CM36">
        <v>2655</v>
      </c>
      <c r="CN36">
        <v>1966</v>
      </c>
      <c r="CO36">
        <v>1298513</v>
      </c>
      <c r="CP36">
        <v>3084</v>
      </c>
      <c r="CQ36">
        <v>14589</v>
      </c>
      <c r="CR36">
        <v>12691</v>
      </c>
      <c r="CS36">
        <v>4243859</v>
      </c>
      <c r="CT36">
        <v>20978</v>
      </c>
      <c r="CU36">
        <v>1240</v>
      </c>
      <c r="CV36">
        <v>133</v>
      </c>
      <c r="CW36">
        <v>82666</v>
      </c>
      <c r="CX36">
        <v>1125</v>
      </c>
      <c r="CY36">
        <v>11030</v>
      </c>
      <c r="CZ36">
        <v>10404</v>
      </c>
      <c r="DA36">
        <v>4051569</v>
      </c>
      <c r="DB36">
        <v>23931</v>
      </c>
      <c r="DC36">
        <v>5137</v>
      </c>
      <c r="DD36">
        <v>4147</v>
      </c>
      <c r="DE36">
        <v>2170955</v>
      </c>
      <c r="DF36">
        <v>8702</v>
      </c>
      <c r="DG36">
        <v>4875</v>
      </c>
      <c r="DH36">
        <v>5075</v>
      </c>
      <c r="DI36">
        <v>4245713</v>
      </c>
      <c r="DJ36">
        <v>11846</v>
      </c>
      <c r="DK36">
        <v>4758</v>
      </c>
      <c r="DL36">
        <v>3111</v>
      </c>
      <c r="DM36">
        <v>1823940</v>
      </c>
      <c r="DN36">
        <v>7262</v>
      </c>
      <c r="DO36">
        <v>2007</v>
      </c>
      <c r="DP36">
        <v>1809</v>
      </c>
      <c r="DQ36">
        <v>528382</v>
      </c>
      <c r="DR36">
        <v>2016</v>
      </c>
      <c r="DS36">
        <v>2211</v>
      </c>
      <c r="DT36">
        <v>1960</v>
      </c>
      <c r="DU36">
        <v>1504493</v>
      </c>
      <c r="DV36">
        <v>3299</v>
      </c>
    </row>
    <row r="37" spans="1:126" x14ac:dyDescent="0.4">
      <c r="A37" s="1" t="s">
        <v>62</v>
      </c>
      <c r="B37" s="1" t="s">
        <v>63</v>
      </c>
      <c r="C37">
        <v>8288</v>
      </c>
      <c r="D37">
        <v>2726</v>
      </c>
      <c r="E37">
        <v>567336</v>
      </c>
      <c r="F37">
        <v>2450</v>
      </c>
      <c r="G37">
        <v>2061</v>
      </c>
      <c r="H37">
        <v>1128</v>
      </c>
      <c r="I37">
        <v>271217</v>
      </c>
      <c r="J37">
        <v>1534</v>
      </c>
      <c r="K37">
        <v>5875</v>
      </c>
      <c r="L37">
        <v>1633</v>
      </c>
      <c r="M37">
        <v>593105</v>
      </c>
      <c r="N37">
        <v>4401</v>
      </c>
      <c r="O37">
        <v>3560</v>
      </c>
      <c r="P37">
        <v>4288</v>
      </c>
      <c r="Q37">
        <v>1170640</v>
      </c>
      <c r="R37">
        <v>8897</v>
      </c>
      <c r="S37">
        <v>1677</v>
      </c>
      <c r="T37">
        <v>1934</v>
      </c>
      <c r="U37">
        <v>1412352</v>
      </c>
      <c r="V37">
        <v>3896</v>
      </c>
      <c r="W37">
        <v>8330</v>
      </c>
      <c r="X37">
        <v>9667</v>
      </c>
      <c r="Y37">
        <v>3498920</v>
      </c>
      <c r="Z37">
        <v>4739</v>
      </c>
      <c r="AA37">
        <v>2008</v>
      </c>
      <c r="AB37">
        <v>1934</v>
      </c>
      <c r="AC37">
        <v>555620</v>
      </c>
      <c r="AD37">
        <v>1591</v>
      </c>
      <c r="AE37">
        <v>12391</v>
      </c>
      <c r="AF37">
        <v>12448</v>
      </c>
      <c r="AG37">
        <v>6266966</v>
      </c>
      <c r="AH37">
        <v>14134</v>
      </c>
      <c r="AI37">
        <v>3435</v>
      </c>
      <c r="AJ37">
        <v>4615</v>
      </c>
      <c r="AK37">
        <v>1697367</v>
      </c>
      <c r="AL37">
        <v>1800</v>
      </c>
      <c r="AM37">
        <v>21122</v>
      </c>
      <c r="AN37">
        <v>21411</v>
      </c>
      <c r="AO37">
        <v>7269214</v>
      </c>
      <c r="AP37">
        <v>4313</v>
      </c>
      <c r="AQ37">
        <v>22307</v>
      </c>
      <c r="AR37">
        <v>19340</v>
      </c>
      <c r="AS37">
        <v>6708355</v>
      </c>
      <c r="AT37">
        <v>12647</v>
      </c>
      <c r="AU37">
        <v>21708</v>
      </c>
      <c r="AV37">
        <v>20557</v>
      </c>
      <c r="AW37">
        <v>4696655</v>
      </c>
      <c r="AX37">
        <v>10211</v>
      </c>
      <c r="AY37">
        <v>10084</v>
      </c>
      <c r="AZ37">
        <v>9625</v>
      </c>
      <c r="BA37">
        <v>3059221</v>
      </c>
      <c r="BB37">
        <v>4891</v>
      </c>
      <c r="BC37">
        <v>27644</v>
      </c>
      <c r="BD37">
        <v>33019</v>
      </c>
      <c r="BE37">
        <v>10386665</v>
      </c>
      <c r="BF37">
        <v>14349</v>
      </c>
      <c r="BG37">
        <v>7267</v>
      </c>
      <c r="BH37">
        <v>6339</v>
      </c>
      <c r="BI37">
        <v>2151765</v>
      </c>
      <c r="BJ37">
        <v>3343</v>
      </c>
      <c r="BK37">
        <v>10884</v>
      </c>
      <c r="BL37">
        <v>7995</v>
      </c>
      <c r="BM37">
        <v>1472186</v>
      </c>
      <c r="BN37">
        <v>5162</v>
      </c>
      <c r="BO37">
        <v>11208</v>
      </c>
      <c r="BP37">
        <v>10970</v>
      </c>
      <c r="BQ37">
        <v>1790195</v>
      </c>
      <c r="BR37">
        <v>4632</v>
      </c>
      <c r="BS37">
        <v>257</v>
      </c>
      <c r="BT37">
        <v>244</v>
      </c>
      <c r="BU37">
        <v>32405</v>
      </c>
      <c r="BV37">
        <v>397</v>
      </c>
      <c r="BW37">
        <v>7303</v>
      </c>
      <c r="BX37">
        <v>4607</v>
      </c>
      <c r="BY37">
        <v>1215119</v>
      </c>
      <c r="BZ37">
        <v>7754</v>
      </c>
      <c r="CA37">
        <v>3544</v>
      </c>
      <c r="CB37">
        <v>1995</v>
      </c>
      <c r="CC37">
        <v>540689</v>
      </c>
      <c r="CD37">
        <v>3650</v>
      </c>
      <c r="CE37">
        <v>3485</v>
      </c>
      <c r="CF37">
        <v>1802</v>
      </c>
      <c r="CG37">
        <v>548024</v>
      </c>
      <c r="CH37">
        <v>2570</v>
      </c>
      <c r="CI37">
        <v>12545</v>
      </c>
      <c r="CJ37">
        <v>8169</v>
      </c>
      <c r="CK37">
        <v>2788525</v>
      </c>
      <c r="CL37">
        <v>17332</v>
      </c>
      <c r="CM37">
        <v>2914</v>
      </c>
      <c r="CN37">
        <v>2095</v>
      </c>
      <c r="CO37">
        <v>1315114</v>
      </c>
      <c r="CP37">
        <v>3270</v>
      </c>
      <c r="CQ37">
        <v>17766</v>
      </c>
      <c r="CR37">
        <v>15125</v>
      </c>
      <c r="CS37">
        <v>4763936</v>
      </c>
      <c r="CT37">
        <v>21525</v>
      </c>
      <c r="CU37">
        <v>1361</v>
      </c>
      <c r="CV37">
        <v>203</v>
      </c>
      <c r="CW37">
        <v>114195</v>
      </c>
      <c r="CX37">
        <v>1058</v>
      </c>
      <c r="CY37">
        <v>11232</v>
      </c>
      <c r="CZ37">
        <v>9014</v>
      </c>
      <c r="DA37">
        <v>3626487</v>
      </c>
      <c r="DB37">
        <v>23735</v>
      </c>
      <c r="DC37">
        <v>5418</v>
      </c>
      <c r="DD37">
        <v>3735</v>
      </c>
      <c r="DE37">
        <v>2155582</v>
      </c>
      <c r="DF37">
        <v>8875</v>
      </c>
      <c r="DG37">
        <v>5660</v>
      </c>
      <c r="DH37">
        <v>5147</v>
      </c>
      <c r="DI37">
        <v>4815672</v>
      </c>
      <c r="DJ37">
        <v>12057</v>
      </c>
      <c r="DK37">
        <v>4873</v>
      </c>
      <c r="DL37">
        <v>3055</v>
      </c>
      <c r="DM37">
        <v>1813697</v>
      </c>
      <c r="DN37">
        <v>7593</v>
      </c>
      <c r="DO37">
        <v>2496</v>
      </c>
      <c r="DP37">
        <v>2051</v>
      </c>
      <c r="DQ37">
        <v>522470</v>
      </c>
      <c r="DR37">
        <v>2448</v>
      </c>
      <c r="DS37">
        <v>2456</v>
      </c>
      <c r="DT37">
        <v>1906</v>
      </c>
      <c r="DU37">
        <v>1486970</v>
      </c>
      <c r="DV37">
        <v>3599</v>
      </c>
    </row>
    <row r="38" spans="1:126" x14ac:dyDescent="0.4">
      <c r="A38" s="1" t="s">
        <v>64</v>
      </c>
      <c r="B38" s="1" t="s">
        <v>65</v>
      </c>
      <c r="C38">
        <v>8550</v>
      </c>
      <c r="D38">
        <v>3018</v>
      </c>
      <c r="E38">
        <v>605245</v>
      </c>
      <c r="F38">
        <v>2294</v>
      </c>
      <c r="G38">
        <v>1971</v>
      </c>
      <c r="H38">
        <v>994</v>
      </c>
      <c r="I38">
        <v>236188</v>
      </c>
      <c r="J38">
        <v>1505</v>
      </c>
      <c r="K38">
        <v>4703</v>
      </c>
      <c r="L38">
        <v>1423</v>
      </c>
      <c r="M38">
        <v>509866</v>
      </c>
      <c r="N38">
        <v>3838</v>
      </c>
      <c r="O38">
        <v>4275</v>
      </c>
      <c r="P38">
        <v>4635</v>
      </c>
      <c r="Q38">
        <v>1283665</v>
      </c>
      <c r="R38">
        <v>7693</v>
      </c>
      <c r="S38">
        <v>1883</v>
      </c>
      <c r="T38">
        <v>2443</v>
      </c>
      <c r="U38">
        <v>1831645</v>
      </c>
      <c r="V38">
        <v>3819</v>
      </c>
      <c r="W38">
        <v>9646</v>
      </c>
      <c r="X38">
        <v>12552</v>
      </c>
      <c r="Y38">
        <v>4780636</v>
      </c>
      <c r="Z38">
        <v>4544</v>
      </c>
      <c r="AA38">
        <v>3123</v>
      </c>
      <c r="AB38">
        <v>2176</v>
      </c>
      <c r="AC38">
        <v>649630</v>
      </c>
      <c r="AD38">
        <v>1813</v>
      </c>
      <c r="AE38">
        <v>13779</v>
      </c>
      <c r="AF38">
        <v>13692</v>
      </c>
      <c r="AG38">
        <v>7097192</v>
      </c>
      <c r="AH38">
        <v>14682</v>
      </c>
      <c r="AI38">
        <v>6733</v>
      </c>
      <c r="AJ38">
        <v>5472</v>
      </c>
      <c r="AK38">
        <v>2045026</v>
      </c>
      <c r="AL38">
        <v>1912</v>
      </c>
      <c r="AM38">
        <v>33043</v>
      </c>
      <c r="AN38">
        <v>29777</v>
      </c>
      <c r="AO38">
        <v>10453009</v>
      </c>
      <c r="AP38">
        <v>7160</v>
      </c>
      <c r="AQ38">
        <v>33084</v>
      </c>
      <c r="AR38">
        <v>29581</v>
      </c>
      <c r="AS38">
        <v>10756686</v>
      </c>
      <c r="AT38">
        <v>14445</v>
      </c>
      <c r="AU38">
        <v>28251</v>
      </c>
      <c r="AV38">
        <v>27329</v>
      </c>
      <c r="AW38">
        <v>6897979</v>
      </c>
      <c r="AX38">
        <v>10059</v>
      </c>
      <c r="AY38">
        <v>11955</v>
      </c>
      <c r="AZ38">
        <v>10733</v>
      </c>
      <c r="BA38">
        <v>3318212</v>
      </c>
      <c r="BB38">
        <v>5568</v>
      </c>
      <c r="BC38">
        <v>33600</v>
      </c>
      <c r="BD38">
        <v>32970</v>
      </c>
      <c r="BE38">
        <v>9493827</v>
      </c>
      <c r="BF38">
        <v>14730</v>
      </c>
      <c r="BG38">
        <v>9527</v>
      </c>
      <c r="BH38">
        <v>8051</v>
      </c>
      <c r="BI38">
        <v>2766433</v>
      </c>
      <c r="BJ38">
        <v>3979</v>
      </c>
      <c r="BK38">
        <v>10957</v>
      </c>
      <c r="BL38">
        <v>9460</v>
      </c>
      <c r="BM38">
        <v>1942881</v>
      </c>
      <c r="BN38">
        <v>5248</v>
      </c>
      <c r="BO38">
        <v>13295</v>
      </c>
      <c r="BP38">
        <v>13286</v>
      </c>
      <c r="BQ38">
        <v>2159127</v>
      </c>
      <c r="BR38">
        <v>4480</v>
      </c>
      <c r="BS38">
        <v>268</v>
      </c>
      <c r="BT38">
        <v>289</v>
      </c>
      <c r="BU38">
        <v>38543</v>
      </c>
      <c r="BV38">
        <v>376</v>
      </c>
      <c r="BW38">
        <v>10642</v>
      </c>
      <c r="BX38">
        <v>5230</v>
      </c>
      <c r="BY38">
        <v>1458391</v>
      </c>
      <c r="BZ38">
        <v>7703</v>
      </c>
      <c r="CA38">
        <v>4761</v>
      </c>
      <c r="CB38">
        <v>2524</v>
      </c>
      <c r="CC38">
        <v>659180</v>
      </c>
      <c r="CD38">
        <v>3802</v>
      </c>
      <c r="CE38">
        <v>4235</v>
      </c>
      <c r="CF38">
        <v>2051</v>
      </c>
      <c r="CG38">
        <v>632430</v>
      </c>
      <c r="CH38">
        <v>2593</v>
      </c>
      <c r="CI38">
        <v>12465</v>
      </c>
      <c r="CJ38">
        <v>9072</v>
      </c>
      <c r="CK38">
        <v>3047741</v>
      </c>
      <c r="CL38">
        <v>16979</v>
      </c>
      <c r="CM38">
        <v>2861</v>
      </c>
      <c r="CN38">
        <v>2286</v>
      </c>
      <c r="CO38">
        <v>1479243</v>
      </c>
      <c r="CP38">
        <v>3062</v>
      </c>
      <c r="CQ38">
        <v>15757</v>
      </c>
      <c r="CR38">
        <v>16584</v>
      </c>
      <c r="CS38">
        <v>5329552</v>
      </c>
      <c r="CT38">
        <v>18184</v>
      </c>
      <c r="CU38">
        <v>785</v>
      </c>
      <c r="CV38">
        <v>198</v>
      </c>
      <c r="CW38">
        <v>120620</v>
      </c>
      <c r="CX38">
        <v>917</v>
      </c>
      <c r="CY38">
        <v>12669</v>
      </c>
      <c r="CZ38">
        <v>9957</v>
      </c>
      <c r="DA38">
        <v>4048626</v>
      </c>
      <c r="DB38">
        <v>23684</v>
      </c>
      <c r="DC38">
        <v>7108</v>
      </c>
      <c r="DD38">
        <v>4131</v>
      </c>
      <c r="DE38">
        <v>2286707</v>
      </c>
      <c r="DF38">
        <v>9366</v>
      </c>
      <c r="DG38">
        <v>5764</v>
      </c>
      <c r="DH38">
        <v>5601</v>
      </c>
      <c r="DI38">
        <v>5151339</v>
      </c>
      <c r="DJ38">
        <v>11740</v>
      </c>
      <c r="DK38">
        <v>4420</v>
      </c>
      <c r="DL38">
        <v>3167</v>
      </c>
      <c r="DM38">
        <v>1827244</v>
      </c>
      <c r="DN38">
        <v>7090</v>
      </c>
      <c r="DO38">
        <v>2856</v>
      </c>
      <c r="DP38">
        <v>2291</v>
      </c>
      <c r="DQ38">
        <v>620137</v>
      </c>
      <c r="DR38">
        <v>2643</v>
      </c>
      <c r="DS38">
        <v>2768</v>
      </c>
      <c r="DT38">
        <v>2163</v>
      </c>
      <c r="DU38">
        <v>1592479</v>
      </c>
      <c r="DV38">
        <v>3545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754B5-BB5B-4DB9-9EC3-2277D584B09D}">
  <dimension ref="A1:FK40"/>
  <sheetViews>
    <sheetView workbookViewId="0">
      <selection activeCell="C9" sqref="C9"/>
    </sheetView>
  </sheetViews>
  <sheetFormatPr defaultColWidth="15.625" defaultRowHeight="18.75" x14ac:dyDescent="0.4"/>
  <sheetData>
    <row r="1" spans="1:167" x14ac:dyDescent="0.4">
      <c r="A1" s="1" t="s">
        <v>66</v>
      </c>
      <c r="B1" s="1"/>
    </row>
    <row r="2" spans="1:167" x14ac:dyDescent="0.4">
      <c r="A2" s="4" t="str">
        <f>HYPERLINK("#'目次(Contents)'!A3","目次に戻る(Return to Contents)")</f>
        <v>目次に戻る(Return to Contents)</v>
      </c>
      <c r="B2" s="1"/>
    </row>
    <row r="3" spans="1:167" x14ac:dyDescent="0.4">
      <c r="A3" s="1"/>
      <c r="B3" s="2" t="s">
        <v>0</v>
      </c>
      <c r="C3" t="s">
        <v>2694</v>
      </c>
      <c r="D3" t="s">
        <v>2694</v>
      </c>
      <c r="E3" t="s">
        <v>2694</v>
      </c>
      <c r="F3" t="s">
        <v>2694</v>
      </c>
      <c r="G3" t="s">
        <v>2694</v>
      </c>
      <c r="H3" t="s">
        <v>2700</v>
      </c>
      <c r="I3" t="s">
        <v>2700</v>
      </c>
      <c r="J3" t="s">
        <v>2700</v>
      </c>
      <c r="K3" t="s">
        <v>2700</v>
      </c>
      <c r="L3" t="s">
        <v>2700</v>
      </c>
      <c r="M3" t="s">
        <v>2702</v>
      </c>
      <c r="N3" t="s">
        <v>2702</v>
      </c>
      <c r="O3" t="s">
        <v>2702</v>
      </c>
      <c r="P3" t="s">
        <v>2702</v>
      </c>
      <c r="Q3" t="s">
        <v>2702</v>
      </c>
      <c r="R3" t="s">
        <v>2704</v>
      </c>
      <c r="S3" t="s">
        <v>2704</v>
      </c>
      <c r="T3" t="s">
        <v>2704</v>
      </c>
      <c r="U3" t="s">
        <v>2704</v>
      </c>
      <c r="V3" t="s">
        <v>2704</v>
      </c>
      <c r="W3" t="s">
        <v>2706</v>
      </c>
      <c r="X3" t="s">
        <v>2706</v>
      </c>
      <c r="Y3" t="s">
        <v>2706</v>
      </c>
      <c r="Z3" t="s">
        <v>2706</v>
      </c>
      <c r="AA3" t="s">
        <v>2706</v>
      </c>
      <c r="AB3" t="s">
        <v>2708</v>
      </c>
      <c r="AC3" t="s">
        <v>2708</v>
      </c>
      <c r="AD3" t="s">
        <v>2708</v>
      </c>
      <c r="AE3" t="s">
        <v>2708</v>
      </c>
      <c r="AF3" t="s">
        <v>2708</v>
      </c>
      <c r="AG3" t="s">
        <v>2710</v>
      </c>
      <c r="AH3" t="s">
        <v>2710</v>
      </c>
      <c r="AI3" t="s">
        <v>2710</v>
      </c>
      <c r="AJ3" t="s">
        <v>2710</v>
      </c>
      <c r="AK3" t="s">
        <v>2710</v>
      </c>
      <c r="AL3" t="s">
        <v>2712</v>
      </c>
      <c r="AM3" t="s">
        <v>2712</v>
      </c>
      <c r="AN3" t="s">
        <v>2712</v>
      </c>
      <c r="AO3" t="s">
        <v>2712</v>
      </c>
      <c r="AP3" t="s">
        <v>2712</v>
      </c>
      <c r="AQ3" t="s">
        <v>2714</v>
      </c>
      <c r="AR3" t="s">
        <v>2714</v>
      </c>
      <c r="AS3" t="s">
        <v>2714</v>
      </c>
      <c r="AT3" t="s">
        <v>2714</v>
      </c>
      <c r="AU3" t="s">
        <v>2714</v>
      </c>
      <c r="AV3" t="s">
        <v>2716</v>
      </c>
      <c r="AW3" t="s">
        <v>2716</v>
      </c>
      <c r="AX3" t="s">
        <v>2716</v>
      </c>
      <c r="AY3" t="s">
        <v>2716</v>
      </c>
      <c r="AZ3" t="s">
        <v>2716</v>
      </c>
      <c r="BA3" t="s">
        <v>2718</v>
      </c>
      <c r="BB3" t="s">
        <v>2718</v>
      </c>
      <c r="BC3" t="s">
        <v>2718</v>
      </c>
      <c r="BD3" t="s">
        <v>2718</v>
      </c>
      <c r="BE3" t="s">
        <v>2718</v>
      </c>
      <c r="BF3" t="s">
        <v>2720</v>
      </c>
      <c r="BG3" t="s">
        <v>2720</v>
      </c>
      <c r="BH3" t="s">
        <v>2720</v>
      </c>
      <c r="BI3" t="s">
        <v>2720</v>
      </c>
      <c r="BJ3" t="s">
        <v>2720</v>
      </c>
      <c r="BK3" t="s">
        <v>2722</v>
      </c>
      <c r="BL3" t="s">
        <v>2722</v>
      </c>
      <c r="BM3" t="s">
        <v>2722</v>
      </c>
      <c r="BN3" t="s">
        <v>2722</v>
      </c>
      <c r="BO3" t="s">
        <v>2722</v>
      </c>
      <c r="BP3" t="s">
        <v>2724</v>
      </c>
      <c r="BQ3" t="s">
        <v>2724</v>
      </c>
      <c r="BR3" t="s">
        <v>2724</v>
      </c>
      <c r="BS3" t="s">
        <v>2724</v>
      </c>
      <c r="BT3" t="s">
        <v>2724</v>
      </c>
      <c r="BU3" t="s">
        <v>2726</v>
      </c>
      <c r="BV3" t="s">
        <v>2726</v>
      </c>
      <c r="BW3" t="s">
        <v>2726</v>
      </c>
      <c r="BX3" t="s">
        <v>2726</v>
      </c>
      <c r="BY3" t="s">
        <v>2726</v>
      </c>
      <c r="BZ3" t="s">
        <v>2728</v>
      </c>
      <c r="CA3" t="s">
        <v>2728</v>
      </c>
      <c r="CB3" t="s">
        <v>2728</v>
      </c>
      <c r="CC3" t="s">
        <v>2728</v>
      </c>
      <c r="CD3" t="s">
        <v>2728</v>
      </c>
      <c r="CE3" t="s">
        <v>2730</v>
      </c>
      <c r="CF3" t="s">
        <v>2730</v>
      </c>
      <c r="CG3" t="s">
        <v>2730</v>
      </c>
      <c r="CH3" t="s">
        <v>2730</v>
      </c>
      <c r="CI3" t="s">
        <v>2730</v>
      </c>
      <c r="CJ3" t="s">
        <v>2732</v>
      </c>
      <c r="CK3" t="s">
        <v>2732</v>
      </c>
      <c r="CL3" t="s">
        <v>2732</v>
      </c>
      <c r="CM3" t="s">
        <v>2732</v>
      </c>
      <c r="CN3" t="s">
        <v>2732</v>
      </c>
      <c r="CO3" t="s">
        <v>2734</v>
      </c>
      <c r="CP3" t="s">
        <v>2734</v>
      </c>
      <c r="CQ3" t="s">
        <v>2734</v>
      </c>
      <c r="CR3" t="s">
        <v>2734</v>
      </c>
      <c r="CS3" t="s">
        <v>2734</v>
      </c>
      <c r="CT3" t="s">
        <v>2736</v>
      </c>
      <c r="CU3" t="s">
        <v>2736</v>
      </c>
      <c r="CV3" t="s">
        <v>2736</v>
      </c>
      <c r="CW3" t="s">
        <v>2736</v>
      </c>
      <c r="CX3" t="s">
        <v>2736</v>
      </c>
      <c r="CY3" t="s">
        <v>2738</v>
      </c>
      <c r="CZ3" t="s">
        <v>2738</v>
      </c>
      <c r="DA3" t="s">
        <v>2738</v>
      </c>
      <c r="DB3" t="s">
        <v>2738</v>
      </c>
      <c r="DC3" t="s">
        <v>2738</v>
      </c>
      <c r="DD3" t="s">
        <v>2740</v>
      </c>
      <c r="DE3" t="s">
        <v>2740</v>
      </c>
      <c r="DF3" t="s">
        <v>2740</v>
      </c>
      <c r="DG3" t="s">
        <v>2740</v>
      </c>
      <c r="DH3" t="s">
        <v>2740</v>
      </c>
      <c r="DI3" t="s">
        <v>2742</v>
      </c>
      <c r="DJ3" t="s">
        <v>2742</v>
      </c>
      <c r="DK3" t="s">
        <v>2742</v>
      </c>
      <c r="DL3" t="s">
        <v>2742</v>
      </c>
      <c r="DM3" t="s">
        <v>2742</v>
      </c>
      <c r="DN3" t="s">
        <v>2744</v>
      </c>
      <c r="DO3" t="s">
        <v>2744</v>
      </c>
      <c r="DP3" t="s">
        <v>2744</v>
      </c>
      <c r="DQ3" t="s">
        <v>2744</v>
      </c>
      <c r="DR3" t="s">
        <v>2744</v>
      </c>
      <c r="DS3" t="s">
        <v>2746</v>
      </c>
      <c r="DT3" t="s">
        <v>2746</v>
      </c>
      <c r="DU3" t="s">
        <v>2746</v>
      </c>
      <c r="DV3" t="s">
        <v>2746</v>
      </c>
      <c r="DW3" t="s">
        <v>2746</v>
      </c>
      <c r="DX3" t="s">
        <v>2748</v>
      </c>
      <c r="DY3" t="s">
        <v>2748</v>
      </c>
      <c r="DZ3" t="s">
        <v>2748</v>
      </c>
      <c r="EA3" t="s">
        <v>2748</v>
      </c>
      <c r="EB3" t="s">
        <v>2748</v>
      </c>
      <c r="EC3" t="s">
        <v>2750</v>
      </c>
      <c r="ED3" t="s">
        <v>2750</v>
      </c>
      <c r="EE3" t="s">
        <v>2750</v>
      </c>
      <c r="EF3" t="s">
        <v>2750</v>
      </c>
      <c r="EG3" t="s">
        <v>2750</v>
      </c>
      <c r="EH3" t="s">
        <v>2752</v>
      </c>
      <c r="EI3" t="s">
        <v>2752</v>
      </c>
      <c r="EJ3" t="s">
        <v>2752</v>
      </c>
      <c r="EK3" t="s">
        <v>2752</v>
      </c>
      <c r="EL3" t="s">
        <v>2752</v>
      </c>
      <c r="EM3" t="s">
        <v>2754</v>
      </c>
      <c r="EN3" t="s">
        <v>2754</v>
      </c>
      <c r="EO3" t="s">
        <v>2754</v>
      </c>
      <c r="EP3" t="s">
        <v>2754</v>
      </c>
      <c r="EQ3" t="s">
        <v>2754</v>
      </c>
      <c r="ER3" t="s">
        <v>2756</v>
      </c>
      <c r="ES3" t="s">
        <v>2756</v>
      </c>
      <c r="ET3" t="s">
        <v>2756</v>
      </c>
      <c r="EU3" t="s">
        <v>2756</v>
      </c>
      <c r="EV3" t="s">
        <v>2756</v>
      </c>
      <c r="EW3" t="s">
        <v>2758</v>
      </c>
      <c r="EX3" t="s">
        <v>2758</v>
      </c>
      <c r="EY3" t="s">
        <v>2758</v>
      </c>
      <c r="EZ3" t="s">
        <v>2758</v>
      </c>
      <c r="FA3" t="s">
        <v>2758</v>
      </c>
      <c r="FB3" t="s">
        <v>2760</v>
      </c>
      <c r="FC3" t="s">
        <v>2760</v>
      </c>
      <c r="FD3" t="s">
        <v>2760</v>
      </c>
      <c r="FE3" t="s">
        <v>2760</v>
      </c>
      <c r="FF3" t="s">
        <v>2760</v>
      </c>
      <c r="FG3" t="s">
        <v>2762</v>
      </c>
      <c r="FH3" t="s">
        <v>2762</v>
      </c>
      <c r="FI3" t="s">
        <v>2762</v>
      </c>
      <c r="FJ3" t="s">
        <v>2762</v>
      </c>
      <c r="FK3" t="s">
        <v>2762</v>
      </c>
    </row>
    <row r="4" spans="1:167" x14ac:dyDescent="0.4">
      <c r="A4" s="1"/>
      <c r="B4" s="2" t="s">
        <v>1</v>
      </c>
      <c r="C4" t="s">
        <v>2695</v>
      </c>
      <c r="D4" t="s">
        <v>2695</v>
      </c>
      <c r="E4" t="s">
        <v>2695</v>
      </c>
      <c r="F4" t="s">
        <v>2695</v>
      </c>
      <c r="G4" t="s">
        <v>2695</v>
      </c>
      <c r="H4" t="s">
        <v>2701</v>
      </c>
      <c r="I4" t="s">
        <v>2701</v>
      </c>
      <c r="J4" t="s">
        <v>2701</v>
      </c>
      <c r="K4" t="s">
        <v>2701</v>
      </c>
      <c r="L4" t="s">
        <v>2701</v>
      </c>
      <c r="M4" t="s">
        <v>2703</v>
      </c>
      <c r="N4" t="s">
        <v>2703</v>
      </c>
      <c r="O4" t="s">
        <v>2703</v>
      </c>
      <c r="P4" t="s">
        <v>2703</v>
      </c>
      <c r="Q4" t="s">
        <v>2703</v>
      </c>
      <c r="R4" t="s">
        <v>2705</v>
      </c>
      <c r="S4" t="s">
        <v>2705</v>
      </c>
      <c r="T4" t="s">
        <v>2705</v>
      </c>
      <c r="U4" t="s">
        <v>2705</v>
      </c>
      <c r="V4" t="s">
        <v>2705</v>
      </c>
      <c r="W4" t="s">
        <v>2707</v>
      </c>
      <c r="X4" t="s">
        <v>2707</v>
      </c>
      <c r="Y4" t="s">
        <v>2707</v>
      </c>
      <c r="Z4" t="s">
        <v>2707</v>
      </c>
      <c r="AA4" t="s">
        <v>2707</v>
      </c>
      <c r="AB4" t="s">
        <v>2709</v>
      </c>
      <c r="AC4" t="s">
        <v>2709</v>
      </c>
      <c r="AD4" t="s">
        <v>2709</v>
      </c>
      <c r="AE4" t="s">
        <v>2709</v>
      </c>
      <c r="AF4" t="s">
        <v>2709</v>
      </c>
      <c r="AG4" t="s">
        <v>2711</v>
      </c>
      <c r="AH4" t="s">
        <v>2711</v>
      </c>
      <c r="AI4" t="s">
        <v>2711</v>
      </c>
      <c r="AJ4" t="s">
        <v>2711</v>
      </c>
      <c r="AK4" t="s">
        <v>2711</v>
      </c>
      <c r="AL4" t="s">
        <v>2713</v>
      </c>
      <c r="AM4" t="s">
        <v>2713</v>
      </c>
      <c r="AN4" t="s">
        <v>2713</v>
      </c>
      <c r="AO4" t="s">
        <v>2713</v>
      </c>
      <c r="AP4" t="s">
        <v>2713</v>
      </c>
      <c r="AQ4" t="s">
        <v>2715</v>
      </c>
      <c r="AR4" t="s">
        <v>2715</v>
      </c>
      <c r="AS4" t="s">
        <v>2715</v>
      </c>
      <c r="AT4" t="s">
        <v>2715</v>
      </c>
      <c r="AU4" t="s">
        <v>2715</v>
      </c>
      <c r="AV4" t="s">
        <v>2717</v>
      </c>
      <c r="AW4" t="s">
        <v>2717</v>
      </c>
      <c r="AX4" t="s">
        <v>2717</v>
      </c>
      <c r="AY4" t="s">
        <v>2717</v>
      </c>
      <c r="AZ4" t="s">
        <v>2717</v>
      </c>
      <c r="BA4" t="s">
        <v>2719</v>
      </c>
      <c r="BB4" t="s">
        <v>2719</v>
      </c>
      <c r="BC4" t="s">
        <v>2719</v>
      </c>
      <c r="BD4" t="s">
        <v>2719</v>
      </c>
      <c r="BE4" t="s">
        <v>2719</v>
      </c>
      <c r="BF4" t="s">
        <v>2721</v>
      </c>
      <c r="BG4" t="s">
        <v>2721</v>
      </c>
      <c r="BH4" t="s">
        <v>2721</v>
      </c>
      <c r="BI4" t="s">
        <v>2721</v>
      </c>
      <c r="BJ4" t="s">
        <v>2721</v>
      </c>
      <c r="BK4" t="s">
        <v>2723</v>
      </c>
      <c r="BL4" t="s">
        <v>2723</v>
      </c>
      <c r="BM4" t="s">
        <v>2723</v>
      </c>
      <c r="BN4" t="s">
        <v>2723</v>
      </c>
      <c r="BO4" t="s">
        <v>2723</v>
      </c>
      <c r="BP4" t="s">
        <v>2725</v>
      </c>
      <c r="BQ4" t="s">
        <v>2725</v>
      </c>
      <c r="BR4" t="s">
        <v>2725</v>
      </c>
      <c r="BS4" t="s">
        <v>2725</v>
      </c>
      <c r="BT4" t="s">
        <v>2725</v>
      </c>
      <c r="BU4" t="s">
        <v>2727</v>
      </c>
      <c r="BV4" t="s">
        <v>2727</v>
      </c>
      <c r="BW4" t="s">
        <v>2727</v>
      </c>
      <c r="BX4" t="s">
        <v>2727</v>
      </c>
      <c r="BY4" t="s">
        <v>2727</v>
      </c>
      <c r="BZ4" t="s">
        <v>2729</v>
      </c>
      <c r="CA4" t="s">
        <v>2729</v>
      </c>
      <c r="CB4" t="s">
        <v>2729</v>
      </c>
      <c r="CC4" t="s">
        <v>2729</v>
      </c>
      <c r="CD4" t="s">
        <v>2729</v>
      </c>
      <c r="CE4" t="s">
        <v>2731</v>
      </c>
      <c r="CF4" t="s">
        <v>2731</v>
      </c>
      <c r="CG4" t="s">
        <v>2731</v>
      </c>
      <c r="CH4" t="s">
        <v>2731</v>
      </c>
      <c r="CI4" t="s">
        <v>2731</v>
      </c>
      <c r="CJ4" t="s">
        <v>2733</v>
      </c>
      <c r="CK4" t="s">
        <v>2733</v>
      </c>
      <c r="CL4" t="s">
        <v>2733</v>
      </c>
      <c r="CM4" t="s">
        <v>2733</v>
      </c>
      <c r="CN4" t="s">
        <v>2733</v>
      </c>
      <c r="CO4" t="s">
        <v>2735</v>
      </c>
      <c r="CP4" t="s">
        <v>2735</v>
      </c>
      <c r="CQ4" t="s">
        <v>2735</v>
      </c>
      <c r="CR4" t="s">
        <v>2735</v>
      </c>
      <c r="CS4" t="s">
        <v>2735</v>
      </c>
      <c r="CT4" t="s">
        <v>2737</v>
      </c>
      <c r="CU4" t="s">
        <v>2737</v>
      </c>
      <c r="CV4" t="s">
        <v>2737</v>
      </c>
      <c r="CW4" t="s">
        <v>2737</v>
      </c>
      <c r="CX4" t="s">
        <v>2737</v>
      </c>
      <c r="CY4" t="s">
        <v>2739</v>
      </c>
      <c r="CZ4" t="s">
        <v>2739</v>
      </c>
      <c r="DA4" t="s">
        <v>2739</v>
      </c>
      <c r="DB4" t="s">
        <v>2739</v>
      </c>
      <c r="DC4" t="s">
        <v>2739</v>
      </c>
      <c r="DD4" t="s">
        <v>2741</v>
      </c>
      <c r="DE4" t="s">
        <v>2741</v>
      </c>
      <c r="DF4" t="s">
        <v>2741</v>
      </c>
      <c r="DG4" t="s">
        <v>2741</v>
      </c>
      <c r="DH4" t="s">
        <v>2741</v>
      </c>
      <c r="DI4" t="s">
        <v>2743</v>
      </c>
      <c r="DJ4" t="s">
        <v>2743</v>
      </c>
      <c r="DK4" t="s">
        <v>2743</v>
      </c>
      <c r="DL4" t="s">
        <v>2743</v>
      </c>
      <c r="DM4" t="s">
        <v>2743</v>
      </c>
      <c r="DN4" t="s">
        <v>2745</v>
      </c>
      <c r="DO4" t="s">
        <v>2745</v>
      </c>
      <c r="DP4" t="s">
        <v>2745</v>
      </c>
      <c r="DQ4" t="s">
        <v>2745</v>
      </c>
      <c r="DR4" t="s">
        <v>2745</v>
      </c>
      <c r="DS4" t="s">
        <v>2747</v>
      </c>
      <c r="DT4" t="s">
        <v>2747</v>
      </c>
      <c r="DU4" t="s">
        <v>2747</v>
      </c>
      <c r="DV4" t="s">
        <v>2747</v>
      </c>
      <c r="DW4" t="s">
        <v>2747</v>
      </c>
      <c r="DX4" t="s">
        <v>2749</v>
      </c>
      <c r="DY4" t="s">
        <v>2749</v>
      </c>
      <c r="DZ4" t="s">
        <v>2749</v>
      </c>
      <c r="EA4" t="s">
        <v>2749</v>
      </c>
      <c r="EB4" t="s">
        <v>2749</v>
      </c>
      <c r="EC4" t="s">
        <v>2751</v>
      </c>
      <c r="ED4" t="s">
        <v>2751</v>
      </c>
      <c r="EE4" t="s">
        <v>2751</v>
      </c>
      <c r="EF4" t="s">
        <v>2751</v>
      </c>
      <c r="EG4" t="s">
        <v>2751</v>
      </c>
      <c r="EH4" t="s">
        <v>2753</v>
      </c>
      <c r="EI4" t="s">
        <v>2753</v>
      </c>
      <c r="EJ4" t="s">
        <v>2753</v>
      </c>
      <c r="EK4" t="s">
        <v>2753</v>
      </c>
      <c r="EL4" t="s">
        <v>2753</v>
      </c>
      <c r="EM4" t="s">
        <v>2755</v>
      </c>
      <c r="EN4" t="s">
        <v>2755</v>
      </c>
      <c r="EO4" t="s">
        <v>2755</v>
      </c>
      <c r="EP4" t="s">
        <v>2755</v>
      </c>
      <c r="EQ4" t="s">
        <v>2755</v>
      </c>
      <c r="ER4" t="s">
        <v>2757</v>
      </c>
      <c r="ES4" t="s">
        <v>2757</v>
      </c>
      <c r="ET4" t="s">
        <v>2757</v>
      </c>
      <c r="EU4" t="s">
        <v>2757</v>
      </c>
      <c r="EV4" t="s">
        <v>2757</v>
      </c>
      <c r="EW4" t="s">
        <v>2759</v>
      </c>
      <c r="EX4" t="s">
        <v>2759</v>
      </c>
      <c r="EY4" t="s">
        <v>2759</v>
      </c>
      <c r="EZ4" t="s">
        <v>2759</v>
      </c>
      <c r="FA4" t="s">
        <v>2759</v>
      </c>
      <c r="FB4" t="s">
        <v>2761</v>
      </c>
      <c r="FC4" t="s">
        <v>2761</v>
      </c>
      <c r="FD4" t="s">
        <v>2761</v>
      </c>
      <c r="FE4" t="s">
        <v>2761</v>
      </c>
      <c r="FF4" t="s">
        <v>2761</v>
      </c>
      <c r="FG4" t="s">
        <v>2763</v>
      </c>
      <c r="FH4" t="s">
        <v>2763</v>
      </c>
      <c r="FI4" t="s">
        <v>2763</v>
      </c>
      <c r="FJ4" t="s">
        <v>2763</v>
      </c>
      <c r="FK4" t="s">
        <v>2763</v>
      </c>
    </row>
    <row r="5" spans="1:167" x14ac:dyDescent="0.4">
      <c r="A5" s="1"/>
      <c r="B5" s="2" t="s">
        <v>2</v>
      </c>
      <c r="C5" t="s">
        <v>69</v>
      </c>
      <c r="D5" t="s">
        <v>2696</v>
      </c>
      <c r="E5" t="s">
        <v>74</v>
      </c>
      <c r="F5" t="s">
        <v>263</v>
      </c>
      <c r="G5" t="s">
        <v>76</v>
      </c>
      <c r="H5" t="s">
        <v>69</v>
      </c>
      <c r="I5" t="s">
        <v>2696</v>
      </c>
      <c r="J5" t="s">
        <v>74</v>
      </c>
      <c r="K5" t="s">
        <v>263</v>
      </c>
      <c r="L5" t="s">
        <v>76</v>
      </c>
      <c r="M5" t="s">
        <v>69</v>
      </c>
      <c r="N5" t="s">
        <v>2696</v>
      </c>
      <c r="O5" t="s">
        <v>74</v>
      </c>
      <c r="P5" t="s">
        <v>263</v>
      </c>
      <c r="Q5" t="s">
        <v>76</v>
      </c>
      <c r="R5" t="s">
        <v>69</v>
      </c>
      <c r="S5" t="s">
        <v>2696</v>
      </c>
      <c r="T5" t="s">
        <v>74</v>
      </c>
      <c r="U5" t="s">
        <v>263</v>
      </c>
      <c r="V5" t="s">
        <v>76</v>
      </c>
      <c r="W5" t="s">
        <v>69</v>
      </c>
      <c r="X5" t="s">
        <v>2696</v>
      </c>
      <c r="Y5" t="s">
        <v>74</v>
      </c>
      <c r="Z5" t="s">
        <v>263</v>
      </c>
      <c r="AA5" t="s">
        <v>76</v>
      </c>
      <c r="AB5" t="s">
        <v>69</v>
      </c>
      <c r="AC5" t="s">
        <v>2696</v>
      </c>
      <c r="AD5" t="s">
        <v>74</v>
      </c>
      <c r="AE5" t="s">
        <v>263</v>
      </c>
      <c r="AF5" t="s">
        <v>76</v>
      </c>
      <c r="AG5" t="s">
        <v>69</v>
      </c>
      <c r="AH5" t="s">
        <v>2696</v>
      </c>
      <c r="AI5" t="s">
        <v>74</v>
      </c>
      <c r="AJ5" t="s">
        <v>263</v>
      </c>
      <c r="AK5" t="s">
        <v>76</v>
      </c>
      <c r="AL5" t="s">
        <v>69</v>
      </c>
      <c r="AM5" t="s">
        <v>2696</v>
      </c>
      <c r="AN5" t="s">
        <v>74</v>
      </c>
      <c r="AO5" t="s">
        <v>263</v>
      </c>
      <c r="AP5" t="s">
        <v>76</v>
      </c>
      <c r="AQ5" t="s">
        <v>69</v>
      </c>
      <c r="AR5" t="s">
        <v>2696</v>
      </c>
      <c r="AS5" t="s">
        <v>74</v>
      </c>
      <c r="AT5" t="s">
        <v>263</v>
      </c>
      <c r="AU5" t="s">
        <v>76</v>
      </c>
      <c r="AV5" t="s">
        <v>69</v>
      </c>
      <c r="AW5" t="s">
        <v>2696</v>
      </c>
      <c r="AX5" t="s">
        <v>74</v>
      </c>
      <c r="AY5" t="s">
        <v>263</v>
      </c>
      <c r="AZ5" t="s">
        <v>76</v>
      </c>
      <c r="BA5" t="s">
        <v>69</v>
      </c>
      <c r="BB5" t="s">
        <v>2696</v>
      </c>
      <c r="BC5" t="s">
        <v>74</v>
      </c>
      <c r="BD5" t="s">
        <v>263</v>
      </c>
      <c r="BE5" t="s">
        <v>76</v>
      </c>
      <c r="BF5" t="s">
        <v>69</v>
      </c>
      <c r="BG5" t="s">
        <v>2696</v>
      </c>
      <c r="BH5" t="s">
        <v>74</v>
      </c>
      <c r="BI5" t="s">
        <v>263</v>
      </c>
      <c r="BJ5" t="s">
        <v>76</v>
      </c>
      <c r="BK5" t="s">
        <v>69</v>
      </c>
      <c r="BL5" t="s">
        <v>2696</v>
      </c>
      <c r="BM5" t="s">
        <v>74</v>
      </c>
      <c r="BN5" t="s">
        <v>263</v>
      </c>
      <c r="BO5" t="s">
        <v>76</v>
      </c>
      <c r="BP5" t="s">
        <v>69</v>
      </c>
      <c r="BQ5" t="s">
        <v>2696</v>
      </c>
      <c r="BR5" t="s">
        <v>74</v>
      </c>
      <c r="BS5" t="s">
        <v>263</v>
      </c>
      <c r="BT5" t="s">
        <v>76</v>
      </c>
      <c r="BU5" t="s">
        <v>69</v>
      </c>
      <c r="BV5" t="s">
        <v>2696</v>
      </c>
      <c r="BW5" t="s">
        <v>74</v>
      </c>
      <c r="BX5" t="s">
        <v>263</v>
      </c>
      <c r="BY5" t="s">
        <v>76</v>
      </c>
      <c r="BZ5" t="s">
        <v>69</v>
      </c>
      <c r="CA5" t="s">
        <v>2696</v>
      </c>
      <c r="CB5" t="s">
        <v>74</v>
      </c>
      <c r="CC5" t="s">
        <v>263</v>
      </c>
      <c r="CD5" t="s">
        <v>76</v>
      </c>
      <c r="CE5" t="s">
        <v>69</v>
      </c>
      <c r="CF5" t="s">
        <v>2696</v>
      </c>
      <c r="CG5" t="s">
        <v>74</v>
      </c>
      <c r="CH5" t="s">
        <v>263</v>
      </c>
      <c r="CI5" t="s">
        <v>76</v>
      </c>
      <c r="CJ5" t="s">
        <v>69</v>
      </c>
      <c r="CK5" t="s">
        <v>2696</v>
      </c>
      <c r="CL5" t="s">
        <v>74</v>
      </c>
      <c r="CM5" t="s">
        <v>263</v>
      </c>
      <c r="CN5" t="s">
        <v>76</v>
      </c>
      <c r="CO5" t="s">
        <v>69</v>
      </c>
      <c r="CP5" t="s">
        <v>2696</v>
      </c>
      <c r="CQ5" t="s">
        <v>74</v>
      </c>
      <c r="CR5" t="s">
        <v>263</v>
      </c>
      <c r="CS5" t="s">
        <v>76</v>
      </c>
      <c r="CT5" t="s">
        <v>69</v>
      </c>
      <c r="CU5" t="s">
        <v>2696</v>
      </c>
      <c r="CV5" t="s">
        <v>74</v>
      </c>
      <c r="CW5" t="s">
        <v>263</v>
      </c>
      <c r="CX5" t="s">
        <v>76</v>
      </c>
      <c r="CY5" t="s">
        <v>69</v>
      </c>
      <c r="CZ5" t="s">
        <v>2696</v>
      </c>
      <c r="DA5" t="s">
        <v>74</v>
      </c>
      <c r="DB5" t="s">
        <v>263</v>
      </c>
      <c r="DC5" t="s">
        <v>76</v>
      </c>
      <c r="DD5" t="s">
        <v>69</v>
      </c>
      <c r="DE5" t="s">
        <v>2696</v>
      </c>
      <c r="DF5" t="s">
        <v>74</v>
      </c>
      <c r="DG5" t="s">
        <v>263</v>
      </c>
      <c r="DH5" t="s">
        <v>76</v>
      </c>
      <c r="DI5" t="s">
        <v>69</v>
      </c>
      <c r="DJ5" t="s">
        <v>2696</v>
      </c>
      <c r="DK5" t="s">
        <v>74</v>
      </c>
      <c r="DL5" t="s">
        <v>263</v>
      </c>
      <c r="DM5" t="s">
        <v>76</v>
      </c>
      <c r="DN5" t="s">
        <v>69</v>
      </c>
      <c r="DO5" t="s">
        <v>2696</v>
      </c>
      <c r="DP5" t="s">
        <v>74</v>
      </c>
      <c r="DQ5" t="s">
        <v>263</v>
      </c>
      <c r="DR5" t="s">
        <v>76</v>
      </c>
      <c r="DS5" t="s">
        <v>69</v>
      </c>
      <c r="DT5" t="s">
        <v>2696</v>
      </c>
      <c r="DU5" t="s">
        <v>74</v>
      </c>
      <c r="DV5" t="s">
        <v>263</v>
      </c>
      <c r="DW5" t="s">
        <v>76</v>
      </c>
      <c r="DX5" t="s">
        <v>69</v>
      </c>
      <c r="DY5" t="s">
        <v>2696</v>
      </c>
      <c r="DZ5" t="s">
        <v>74</v>
      </c>
      <c r="EA5" t="s">
        <v>263</v>
      </c>
      <c r="EB5" t="s">
        <v>76</v>
      </c>
      <c r="EC5" t="s">
        <v>69</v>
      </c>
      <c r="ED5" t="s">
        <v>2696</v>
      </c>
      <c r="EE5" t="s">
        <v>74</v>
      </c>
      <c r="EF5" t="s">
        <v>263</v>
      </c>
      <c r="EG5" t="s">
        <v>76</v>
      </c>
      <c r="EH5" t="s">
        <v>69</v>
      </c>
      <c r="EI5" t="s">
        <v>2696</v>
      </c>
      <c r="EJ5" t="s">
        <v>74</v>
      </c>
      <c r="EK5" t="s">
        <v>263</v>
      </c>
      <c r="EL5" t="s">
        <v>76</v>
      </c>
      <c r="EM5" t="s">
        <v>69</v>
      </c>
      <c r="EN5" t="s">
        <v>2696</v>
      </c>
      <c r="EO5" t="s">
        <v>74</v>
      </c>
      <c r="EP5" t="s">
        <v>263</v>
      </c>
      <c r="EQ5" t="s">
        <v>76</v>
      </c>
      <c r="ER5" t="s">
        <v>69</v>
      </c>
      <c r="ES5" t="s">
        <v>2696</v>
      </c>
      <c r="ET5" t="s">
        <v>74</v>
      </c>
      <c r="EU5" t="s">
        <v>263</v>
      </c>
      <c r="EV5" t="s">
        <v>76</v>
      </c>
      <c r="EW5" t="s">
        <v>69</v>
      </c>
      <c r="EX5" t="s">
        <v>2696</v>
      </c>
      <c r="EY5" t="s">
        <v>74</v>
      </c>
      <c r="EZ5" t="s">
        <v>263</v>
      </c>
      <c r="FA5" t="s">
        <v>76</v>
      </c>
      <c r="FB5" t="s">
        <v>69</v>
      </c>
      <c r="FC5" t="s">
        <v>2696</v>
      </c>
      <c r="FD5" t="s">
        <v>74</v>
      </c>
      <c r="FE5" t="s">
        <v>263</v>
      </c>
      <c r="FF5" t="s">
        <v>76</v>
      </c>
      <c r="FG5" t="s">
        <v>69</v>
      </c>
      <c r="FH5" t="s">
        <v>2696</v>
      </c>
      <c r="FI5" t="s">
        <v>74</v>
      </c>
      <c r="FJ5" t="s">
        <v>263</v>
      </c>
      <c r="FK5" t="s">
        <v>76</v>
      </c>
    </row>
    <row r="6" spans="1:167" x14ac:dyDescent="0.4">
      <c r="A6" s="1"/>
      <c r="B6" s="2" t="s">
        <v>3</v>
      </c>
      <c r="C6" t="s">
        <v>72</v>
      </c>
      <c r="D6" t="s">
        <v>2698</v>
      </c>
      <c r="E6" t="s">
        <v>75</v>
      </c>
      <c r="F6" t="s">
        <v>264</v>
      </c>
      <c r="G6" t="s">
        <v>77</v>
      </c>
      <c r="H6" t="s">
        <v>72</v>
      </c>
      <c r="I6" t="s">
        <v>2698</v>
      </c>
      <c r="J6" t="s">
        <v>75</v>
      </c>
      <c r="K6" t="s">
        <v>264</v>
      </c>
      <c r="L6" t="s">
        <v>77</v>
      </c>
      <c r="M6" t="s">
        <v>72</v>
      </c>
      <c r="N6" t="s">
        <v>2698</v>
      </c>
      <c r="O6" t="s">
        <v>75</v>
      </c>
      <c r="P6" t="s">
        <v>264</v>
      </c>
      <c r="Q6" t="s">
        <v>77</v>
      </c>
      <c r="R6" t="s">
        <v>72</v>
      </c>
      <c r="S6" t="s">
        <v>2698</v>
      </c>
      <c r="T6" t="s">
        <v>75</v>
      </c>
      <c r="U6" t="s">
        <v>264</v>
      </c>
      <c r="V6" t="s">
        <v>77</v>
      </c>
      <c r="W6" t="s">
        <v>72</v>
      </c>
      <c r="X6" t="s">
        <v>2698</v>
      </c>
      <c r="Y6" t="s">
        <v>75</v>
      </c>
      <c r="Z6" t="s">
        <v>264</v>
      </c>
      <c r="AA6" t="s">
        <v>77</v>
      </c>
      <c r="AB6" t="s">
        <v>72</v>
      </c>
      <c r="AC6" t="s">
        <v>2698</v>
      </c>
      <c r="AD6" t="s">
        <v>75</v>
      </c>
      <c r="AE6" t="s">
        <v>264</v>
      </c>
      <c r="AF6" t="s">
        <v>77</v>
      </c>
      <c r="AG6" t="s">
        <v>72</v>
      </c>
      <c r="AH6" t="s">
        <v>2698</v>
      </c>
      <c r="AI6" t="s">
        <v>75</v>
      </c>
      <c r="AJ6" t="s">
        <v>264</v>
      </c>
      <c r="AK6" t="s">
        <v>77</v>
      </c>
      <c r="AL6" t="s">
        <v>72</v>
      </c>
      <c r="AM6" t="s">
        <v>2698</v>
      </c>
      <c r="AN6" t="s">
        <v>75</v>
      </c>
      <c r="AO6" t="s">
        <v>264</v>
      </c>
      <c r="AP6" t="s">
        <v>77</v>
      </c>
      <c r="AQ6" t="s">
        <v>72</v>
      </c>
      <c r="AR6" t="s">
        <v>2698</v>
      </c>
      <c r="AS6" t="s">
        <v>75</v>
      </c>
      <c r="AT6" t="s">
        <v>264</v>
      </c>
      <c r="AU6" t="s">
        <v>77</v>
      </c>
      <c r="AV6" t="s">
        <v>72</v>
      </c>
      <c r="AW6" t="s">
        <v>2698</v>
      </c>
      <c r="AX6" t="s">
        <v>75</v>
      </c>
      <c r="AY6" t="s">
        <v>264</v>
      </c>
      <c r="AZ6" t="s">
        <v>77</v>
      </c>
      <c r="BA6" t="s">
        <v>72</v>
      </c>
      <c r="BB6" t="s">
        <v>2698</v>
      </c>
      <c r="BC6" t="s">
        <v>75</v>
      </c>
      <c r="BD6" t="s">
        <v>264</v>
      </c>
      <c r="BE6" t="s">
        <v>77</v>
      </c>
      <c r="BF6" t="s">
        <v>72</v>
      </c>
      <c r="BG6" t="s">
        <v>2698</v>
      </c>
      <c r="BH6" t="s">
        <v>75</v>
      </c>
      <c r="BI6" t="s">
        <v>264</v>
      </c>
      <c r="BJ6" t="s">
        <v>77</v>
      </c>
      <c r="BK6" t="s">
        <v>72</v>
      </c>
      <c r="BL6" t="s">
        <v>2698</v>
      </c>
      <c r="BM6" t="s">
        <v>75</v>
      </c>
      <c r="BN6" t="s">
        <v>264</v>
      </c>
      <c r="BO6" t="s">
        <v>77</v>
      </c>
      <c r="BP6" t="s">
        <v>72</v>
      </c>
      <c r="BQ6" t="s">
        <v>2698</v>
      </c>
      <c r="BR6" t="s">
        <v>75</v>
      </c>
      <c r="BS6" t="s">
        <v>264</v>
      </c>
      <c r="BT6" t="s">
        <v>77</v>
      </c>
      <c r="BU6" t="s">
        <v>72</v>
      </c>
      <c r="BV6" t="s">
        <v>2698</v>
      </c>
      <c r="BW6" t="s">
        <v>75</v>
      </c>
      <c r="BX6" t="s">
        <v>264</v>
      </c>
      <c r="BY6" t="s">
        <v>77</v>
      </c>
      <c r="BZ6" t="s">
        <v>72</v>
      </c>
      <c r="CA6" t="s">
        <v>2698</v>
      </c>
      <c r="CB6" t="s">
        <v>75</v>
      </c>
      <c r="CC6" t="s">
        <v>264</v>
      </c>
      <c r="CD6" t="s">
        <v>77</v>
      </c>
      <c r="CE6" t="s">
        <v>72</v>
      </c>
      <c r="CF6" t="s">
        <v>2698</v>
      </c>
      <c r="CG6" t="s">
        <v>75</v>
      </c>
      <c r="CH6" t="s">
        <v>264</v>
      </c>
      <c r="CI6" t="s">
        <v>77</v>
      </c>
      <c r="CJ6" t="s">
        <v>72</v>
      </c>
      <c r="CK6" t="s">
        <v>2698</v>
      </c>
      <c r="CL6" t="s">
        <v>75</v>
      </c>
      <c r="CM6" t="s">
        <v>264</v>
      </c>
      <c r="CN6" t="s">
        <v>77</v>
      </c>
      <c r="CO6" t="s">
        <v>72</v>
      </c>
      <c r="CP6" t="s">
        <v>2698</v>
      </c>
      <c r="CQ6" t="s">
        <v>75</v>
      </c>
      <c r="CR6" t="s">
        <v>264</v>
      </c>
      <c r="CS6" t="s">
        <v>77</v>
      </c>
      <c r="CT6" t="s">
        <v>72</v>
      </c>
      <c r="CU6" t="s">
        <v>2698</v>
      </c>
      <c r="CV6" t="s">
        <v>75</v>
      </c>
      <c r="CW6" t="s">
        <v>264</v>
      </c>
      <c r="CX6" t="s">
        <v>77</v>
      </c>
      <c r="CY6" t="s">
        <v>72</v>
      </c>
      <c r="CZ6" t="s">
        <v>2698</v>
      </c>
      <c r="DA6" t="s">
        <v>75</v>
      </c>
      <c r="DB6" t="s">
        <v>264</v>
      </c>
      <c r="DC6" t="s">
        <v>77</v>
      </c>
      <c r="DD6" t="s">
        <v>72</v>
      </c>
      <c r="DE6" t="s">
        <v>2698</v>
      </c>
      <c r="DF6" t="s">
        <v>75</v>
      </c>
      <c r="DG6" t="s">
        <v>264</v>
      </c>
      <c r="DH6" t="s">
        <v>77</v>
      </c>
      <c r="DI6" t="s">
        <v>72</v>
      </c>
      <c r="DJ6" t="s">
        <v>2698</v>
      </c>
      <c r="DK6" t="s">
        <v>75</v>
      </c>
      <c r="DL6" t="s">
        <v>264</v>
      </c>
      <c r="DM6" t="s">
        <v>77</v>
      </c>
      <c r="DN6" t="s">
        <v>72</v>
      </c>
      <c r="DO6" t="s">
        <v>2698</v>
      </c>
      <c r="DP6" t="s">
        <v>75</v>
      </c>
      <c r="DQ6" t="s">
        <v>264</v>
      </c>
      <c r="DR6" t="s">
        <v>77</v>
      </c>
      <c r="DS6" t="s">
        <v>72</v>
      </c>
      <c r="DT6" t="s">
        <v>2698</v>
      </c>
      <c r="DU6" t="s">
        <v>75</v>
      </c>
      <c r="DV6" t="s">
        <v>264</v>
      </c>
      <c r="DW6" t="s">
        <v>77</v>
      </c>
      <c r="DX6" t="s">
        <v>72</v>
      </c>
      <c r="DY6" t="s">
        <v>2698</v>
      </c>
      <c r="DZ6" t="s">
        <v>75</v>
      </c>
      <c r="EA6" t="s">
        <v>264</v>
      </c>
      <c r="EB6" t="s">
        <v>77</v>
      </c>
      <c r="EC6" t="s">
        <v>72</v>
      </c>
      <c r="ED6" t="s">
        <v>2698</v>
      </c>
      <c r="EE6" t="s">
        <v>75</v>
      </c>
      <c r="EF6" t="s">
        <v>264</v>
      </c>
      <c r="EG6" t="s">
        <v>77</v>
      </c>
      <c r="EH6" t="s">
        <v>72</v>
      </c>
      <c r="EI6" t="s">
        <v>2698</v>
      </c>
      <c r="EJ6" t="s">
        <v>75</v>
      </c>
      <c r="EK6" t="s">
        <v>264</v>
      </c>
      <c r="EL6" t="s">
        <v>77</v>
      </c>
      <c r="EM6" t="s">
        <v>72</v>
      </c>
      <c r="EN6" t="s">
        <v>2698</v>
      </c>
      <c r="EO6" t="s">
        <v>75</v>
      </c>
      <c r="EP6" t="s">
        <v>264</v>
      </c>
      <c r="EQ6" t="s">
        <v>77</v>
      </c>
      <c r="ER6" t="s">
        <v>72</v>
      </c>
      <c r="ES6" t="s">
        <v>2698</v>
      </c>
      <c r="ET6" t="s">
        <v>75</v>
      </c>
      <c r="EU6" t="s">
        <v>264</v>
      </c>
      <c r="EV6" t="s">
        <v>77</v>
      </c>
      <c r="EW6" t="s">
        <v>72</v>
      </c>
      <c r="EX6" t="s">
        <v>2698</v>
      </c>
      <c r="EY6" t="s">
        <v>75</v>
      </c>
      <c r="EZ6" t="s">
        <v>264</v>
      </c>
      <c r="FA6" t="s">
        <v>77</v>
      </c>
      <c r="FB6" t="s">
        <v>72</v>
      </c>
      <c r="FC6" t="s">
        <v>2698</v>
      </c>
      <c r="FD6" t="s">
        <v>75</v>
      </c>
      <c r="FE6" t="s">
        <v>264</v>
      </c>
      <c r="FF6" t="s">
        <v>77</v>
      </c>
      <c r="FG6" t="s">
        <v>72</v>
      </c>
      <c r="FH6" t="s">
        <v>2698</v>
      </c>
      <c r="FI6" t="s">
        <v>75</v>
      </c>
      <c r="FJ6" t="s">
        <v>264</v>
      </c>
      <c r="FK6" t="s">
        <v>77</v>
      </c>
    </row>
    <row r="7" spans="1:167" x14ac:dyDescent="0.4">
      <c r="A7" s="1"/>
      <c r="B7" s="2" t="s">
        <v>4</v>
      </c>
      <c r="C7" t="s">
        <v>339</v>
      </c>
      <c r="D7" t="s">
        <v>2697</v>
      </c>
      <c r="E7" t="s">
        <v>339</v>
      </c>
      <c r="F7" t="s">
        <v>341</v>
      </c>
      <c r="G7" t="s">
        <v>339</v>
      </c>
      <c r="H7" t="s">
        <v>339</v>
      </c>
      <c r="I7" t="s">
        <v>2697</v>
      </c>
      <c r="J7" t="s">
        <v>339</v>
      </c>
      <c r="K7" t="s">
        <v>341</v>
      </c>
      <c r="L7" t="s">
        <v>339</v>
      </c>
      <c r="M7" t="s">
        <v>339</v>
      </c>
      <c r="N7" t="s">
        <v>2697</v>
      </c>
      <c r="O7" t="s">
        <v>339</v>
      </c>
      <c r="P7" t="s">
        <v>341</v>
      </c>
      <c r="Q7" t="s">
        <v>339</v>
      </c>
      <c r="R7" t="s">
        <v>339</v>
      </c>
      <c r="S7" t="s">
        <v>2697</v>
      </c>
      <c r="T7" t="s">
        <v>339</v>
      </c>
      <c r="U7" t="s">
        <v>341</v>
      </c>
      <c r="V7" t="s">
        <v>339</v>
      </c>
      <c r="W7" t="s">
        <v>339</v>
      </c>
      <c r="X7" t="s">
        <v>2697</v>
      </c>
      <c r="Y7" t="s">
        <v>339</v>
      </c>
      <c r="Z7" t="s">
        <v>341</v>
      </c>
      <c r="AA7" t="s">
        <v>339</v>
      </c>
      <c r="AB7" t="s">
        <v>339</v>
      </c>
      <c r="AC7" t="s">
        <v>2697</v>
      </c>
      <c r="AD7" t="s">
        <v>339</v>
      </c>
      <c r="AE7" t="s">
        <v>341</v>
      </c>
      <c r="AF7" t="s">
        <v>339</v>
      </c>
      <c r="AG7" t="s">
        <v>339</v>
      </c>
      <c r="AH7" t="s">
        <v>2697</v>
      </c>
      <c r="AI7" t="s">
        <v>339</v>
      </c>
      <c r="AJ7" t="s">
        <v>341</v>
      </c>
      <c r="AK7" t="s">
        <v>339</v>
      </c>
      <c r="AL7" t="s">
        <v>339</v>
      </c>
      <c r="AM7" t="s">
        <v>2697</v>
      </c>
      <c r="AN7" t="s">
        <v>339</v>
      </c>
      <c r="AO7" t="s">
        <v>341</v>
      </c>
      <c r="AP7" t="s">
        <v>339</v>
      </c>
      <c r="AQ7" t="s">
        <v>339</v>
      </c>
      <c r="AR7" t="s">
        <v>2697</v>
      </c>
      <c r="AS7" t="s">
        <v>339</v>
      </c>
      <c r="AT7" t="s">
        <v>341</v>
      </c>
      <c r="AU7" t="s">
        <v>339</v>
      </c>
      <c r="AV7" t="s">
        <v>339</v>
      </c>
      <c r="AW7" t="s">
        <v>2697</v>
      </c>
      <c r="AX7" t="s">
        <v>339</v>
      </c>
      <c r="AY7" t="s">
        <v>341</v>
      </c>
      <c r="AZ7" t="s">
        <v>339</v>
      </c>
      <c r="BA7" t="s">
        <v>339</v>
      </c>
      <c r="BB7" t="s">
        <v>2697</v>
      </c>
      <c r="BC7" t="s">
        <v>339</v>
      </c>
      <c r="BD7" t="s">
        <v>341</v>
      </c>
      <c r="BE7" t="s">
        <v>339</v>
      </c>
      <c r="BF7" t="s">
        <v>339</v>
      </c>
      <c r="BG7" t="s">
        <v>2697</v>
      </c>
      <c r="BH7" t="s">
        <v>339</v>
      </c>
      <c r="BI7" t="s">
        <v>341</v>
      </c>
      <c r="BJ7" t="s">
        <v>339</v>
      </c>
      <c r="BK7" t="s">
        <v>339</v>
      </c>
      <c r="BL7" t="s">
        <v>2697</v>
      </c>
      <c r="BM7" t="s">
        <v>339</v>
      </c>
      <c r="BN7" t="s">
        <v>341</v>
      </c>
      <c r="BO7" t="s">
        <v>339</v>
      </c>
      <c r="BP7" t="s">
        <v>339</v>
      </c>
      <c r="BQ7" t="s">
        <v>2697</v>
      </c>
      <c r="BR7" t="s">
        <v>339</v>
      </c>
      <c r="BS7" t="s">
        <v>341</v>
      </c>
      <c r="BT7" t="s">
        <v>339</v>
      </c>
      <c r="BU7" t="s">
        <v>339</v>
      </c>
      <c r="BV7" t="s">
        <v>2697</v>
      </c>
      <c r="BW7" t="s">
        <v>339</v>
      </c>
      <c r="BX7" t="s">
        <v>341</v>
      </c>
      <c r="BY7" t="s">
        <v>339</v>
      </c>
      <c r="BZ7" t="s">
        <v>339</v>
      </c>
      <c r="CA7" t="s">
        <v>2697</v>
      </c>
      <c r="CB7" t="s">
        <v>339</v>
      </c>
      <c r="CC7" t="s">
        <v>341</v>
      </c>
      <c r="CD7" t="s">
        <v>339</v>
      </c>
      <c r="CE7" t="s">
        <v>339</v>
      </c>
      <c r="CF7" t="s">
        <v>2697</v>
      </c>
      <c r="CG7" t="s">
        <v>339</v>
      </c>
      <c r="CH7" t="s">
        <v>341</v>
      </c>
      <c r="CI7" t="s">
        <v>339</v>
      </c>
      <c r="CJ7" t="s">
        <v>339</v>
      </c>
      <c r="CK7" t="s">
        <v>2697</v>
      </c>
      <c r="CL7" t="s">
        <v>339</v>
      </c>
      <c r="CM7" t="s">
        <v>341</v>
      </c>
      <c r="CN7" t="s">
        <v>339</v>
      </c>
      <c r="CO7" t="s">
        <v>339</v>
      </c>
      <c r="CP7" t="s">
        <v>2697</v>
      </c>
      <c r="CQ7" t="s">
        <v>339</v>
      </c>
      <c r="CR7" t="s">
        <v>341</v>
      </c>
      <c r="CS7" t="s">
        <v>339</v>
      </c>
      <c r="CT7" t="s">
        <v>339</v>
      </c>
      <c r="CU7" t="s">
        <v>2697</v>
      </c>
      <c r="CV7" t="s">
        <v>339</v>
      </c>
      <c r="CW7" t="s">
        <v>341</v>
      </c>
      <c r="CX7" t="s">
        <v>339</v>
      </c>
      <c r="CY7" t="s">
        <v>339</v>
      </c>
      <c r="CZ7" t="s">
        <v>2697</v>
      </c>
      <c r="DA7" t="s">
        <v>339</v>
      </c>
      <c r="DB7" t="s">
        <v>341</v>
      </c>
      <c r="DC7" t="s">
        <v>339</v>
      </c>
      <c r="DD7" t="s">
        <v>339</v>
      </c>
      <c r="DE7" t="s">
        <v>2697</v>
      </c>
      <c r="DF7" t="s">
        <v>339</v>
      </c>
      <c r="DG7" t="s">
        <v>341</v>
      </c>
      <c r="DH7" t="s">
        <v>339</v>
      </c>
      <c r="DI7" t="s">
        <v>339</v>
      </c>
      <c r="DJ7" t="s">
        <v>2697</v>
      </c>
      <c r="DK7" t="s">
        <v>339</v>
      </c>
      <c r="DL7" t="s">
        <v>341</v>
      </c>
      <c r="DM7" t="s">
        <v>339</v>
      </c>
      <c r="DN7" t="s">
        <v>339</v>
      </c>
      <c r="DO7" t="s">
        <v>2697</v>
      </c>
      <c r="DP7" t="s">
        <v>339</v>
      </c>
      <c r="DQ7" t="s">
        <v>341</v>
      </c>
      <c r="DR7" t="s">
        <v>339</v>
      </c>
      <c r="DS7" t="s">
        <v>339</v>
      </c>
      <c r="DT7" t="s">
        <v>2697</v>
      </c>
      <c r="DU7" t="s">
        <v>339</v>
      </c>
      <c r="DV7" t="s">
        <v>341</v>
      </c>
      <c r="DW7" t="s">
        <v>339</v>
      </c>
      <c r="DX7" t="s">
        <v>339</v>
      </c>
      <c r="DY7" t="s">
        <v>2697</v>
      </c>
      <c r="DZ7" t="s">
        <v>339</v>
      </c>
      <c r="EA7" t="s">
        <v>341</v>
      </c>
      <c r="EB7" t="s">
        <v>339</v>
      </c>
      <c r="EC7" t="s">
        <v>339</v>
      </c>
      <c r="ED7" t="s">
        <v>2697</v>
      </c>
      <c r="EE7" t="s">
        <v>339</v>
      </c>
      <c r="EF7" t="s">
        <v>341</v>
      </c>
      <c r="EG7" t="s">
        <v>339</v>
      </c>
      <c r="EH7" t="s">
        <v>339</v>
      </c>
      <c r="EI7" t="s">
        <v>2697</v>
      </c>
      <c r="EJ7" t="s">
        <v>339</v>
      </c>
      <c r="EK7" t="s">
        <v>341</v>
      </c>
      <c r="EL7" t="s">
        <v>339</v>
      </c>
      <c r="EM7" t="s">
        <v>339</v>
      </c>
      <c r="EN7" t="s">
        <v>2697</v>
      </c>
      <c r="EO7" t="s">
        <v>339</v>
      </c>
      <c r="EP7" t="s">
        <v>341</v>
      </c>
      <c r="EQ7" t="s">
        <v>339</v>
      </c>
      <c r="ER7" t="s">
        <v>339</v>
      </c>
      <c r="ES7" t="s">
        <v>2697</v>
      </c>
      <c r="ET7" t="s">
        <v>339</v>
      </c>
      <c r="EU7" t="s">
        <v>341</v>
      </c>
      <c r="EV7" t="s">
        <v>339</v>
      </c>
      <c r="EW7" t="s">
        <v>339</v>
      </c>
      <c r="EX7" t="s">
        <v>2697</v>
      </c>
      <c r="EY7" t="s">
        <v>339</v>
      </c>
      <c r="EZ7" t="s">
        <v>341</v>
      </c>
      <c r="FA7" t="s">
        <v>339</v>
      </c>
      <c r="FB7" t="s">
        <v>339</v>
      </c>
      <c r="FC7" t="s">
        <v>2697</v>
      </c>
      <c r="FD7" t="s">
        <v>339</v>
      </c>
      <c r="FE7" t="s">
        <v>341</v>
      </c>
      <c r="FF7" t="s">
        <v>339</v>
      </c>
      <c r="FG7" t="s">
        <v>339</v>
      </c>
      <c r="FH7" t="s">
        <v>2697</v>
      </c>
      <c r="FI7" t="s">
        <v>339</v>
      </c>
      <c r="FJ7" t="s">
        <v>341</v>
      </c>
      <c r="FK7" t="s">
        <v>339</v>
      </c>
    </row>
    <row r="8" spans="1:167" x14ac:dyDescent="0.4">
      <c r="A8" s="1" t="s">
        <v>67</v>
      </c>
      <c r="B8" s="2" t="s">
        <v>5</v>
      </c>
      <c r="C8" t="s">
        <v>339</v>
      </c>
      <c r="D8" t="s">
        <v>2699</v>
      </c>
      <c r="E8" t="s">
        <v>339</v>
      </c>
      <c r="F8" t="s">
        <v>342</v>
      </c>
      <c r="G8" t="s">
        <v>339</v>
      </c>
      <c r="H8" t="s">
        <v>339</v>
      </c>
      <c r="I8" t="s">
        <v>2699</v>
      </c>
      <c r="J8" t="s">
        <v>339</v>
      </c>
      <c r="K8" t="s">
        <v>342</v>
      </c>
      <c r="L8" t="s">
        <v>339</v>
      </c>
      <c r="M8" t="s">
        <v>339</v>
      </c>
      <c r="N8" t="s">
        <v>2699</v>
      </c>
      <c r="O8" t="s">
        <v>339</v>
      </c>
      <c r="P8" t="s">
        <v>342</v>
      </c>
      <c r="Q8" t="s">
        <v>339</v>
      </c>
      <c r="R8" t="s">
        <v>339</v>
      </c>
      <c r="S8" t="s">
        <v>2699</v>
      </c>
      <c r="T8" t="s">
        <v>339</v>
      </c>
      <c r="U8" t="s">
        <v>342</v>
      </c>
      <c r="V8" t="s">
        <v>339</v>
      </c>
      <c r="W8" t="s">
        <v>339</v>
      </c>
      <c r="X8" t="s">
        <v>2699</v>
      </c>
      <c r="Y8" t="s">
        <v>339</v>
      </c>
      <c r="Z8" t="s">
        <v>342</v>
      </c>
      <c r="AA8" t="s">
        <v>339</v>
      </c>
      <c r="AB8" t="s">
        <v>339</v>
      </c>
      <c r="AC8" t="s">
        <v>2699</v>
      </c>
      <c r="AD8" t="s">
        <v>339</v>
      </c>
      <c r="AE8" t="s">
        <v>342</v>
      </c>
      <c r="AF8" t="s">
        <v>339</v>
      </c>
      <c r="AG8" t="s">
        <v>339</v>
      </c>
      <c r="AH8" t="s">
        <v>2699</v>
      </c>
      <c r="AI8" t="s">
        <v>339</v>
      </c>
      <c r="AJ8" t="s">
        <v>342</v>
      </c>
      <c r="AK8" t="s">
        <v>339</v>
      </c>
      <c r="AL8" t="s">
        <v>339</v>
      </c>
      <c r="AM8" t="s">
        <v>2699</v>
      </c>
      <c r="AN8" t="s">
        <v>339</v>
      </c>
      <c r="AO8" t="s">
        <v>342</v>
      </c>
      <c r="AP8" t="s">
        <v>339</v>
      </c>
      <c r="AQ8" t="s">
        <v>339</v>
      </c>
      <c r="AR8" t="s">
        <v>2699</v>
      </c>
      <c r="AS8" t="s">
        <v>339</v>
      </c>
      <c r="AT8" t="s">
        <v>342</v>
      </c>
      <c r="AU8" t="s">
        <v>339</v>
      </c>
      <c r="AV8" t="s">
        <v>339</v>
      </c>
      <c r="AW8" t="s">
        <v>2699</v>
      </c>
      <c r="AX8" t="s">
        <v>339</v>
      </c>
      <c r="AY8" t="s">
        <v>342</v>
      </c>
      <c r="AZ8" t="s">
        <v>339</v>
      </c>
      <c r="BA8" t="s">
        <v>339</v>
      </c>
      <c r="BB8" t="s">
        <v>2699</v>
      </c>
      <c r="BC8" t="s">
        <v>339</v>
      </c>
      <c r="BD8" t="s">
        <v>342</v>
      </c>
      <c r="BE8" t="s">
        <v>339</v>
      </c>
      <c r="BF8" t="s">
        <v>339</v>
      </c>
      <c r="BG8" t="s">
        <v>2699</v>
      </c>
      <c r="BH8" t="s">
        <v>339</v>
      </c>
      <c r="BI8" t="s">
        <v>342</v>
      </c>
      <c r="BJ8" t="s">
        <v>339</v>
      </c>
      <c r="BK8" t="s">
        <v>339</v>
      </c>
      <c r="BL8" t="s">
        <v>2699</v>
      </c>
      <c r="BM8" t="s">
        <v>339</v>
      </c>
      <c r="BN8" t="s">
        <v>342</v>
      </c>
      <c r="BO8" t="s">
        <v>339</v>
      </c>
      <c r="BP8" t="s">
        <v>339</v>
      </c>
      <c r="BQ8" t="s">
        <v>2699</v>
      </c>
      <c r="BR8" t="s">
        <v>339</v>
      </c>
      <c r="BS8" t="s">
        <v>342</v>
      </c>
      <c r="BT8" t="s">
        <v>339</v>
      </c>
      <c r="BU8" t="s">
        <v>339</v>
      </c>
      <c r="BV8" t="s">
        <v>2699</v>
      </c>
      <c r="BW8" t="s">
        <v>339</v>
      </c>
      <c r="BX8" t="s">
        <v>342</v>
      </c>
      <c r="BY8" t="s">
        <v>339</v>
      </c>
      <c r="BZ8" t="s">
        <v>339</v>
      </c>
      <c r="CA8" t="s">
        <v>2699</v>
      </c>
      <c r="CB8" t="s">
        <v>339</v>
      </c>
      <c r="CC8" t="s">
        <v>342</v>
      </c>
      <c r="CD8" t="s">
        <v>339</v>
      </c>
      <c r="CE8" t="s">
        <v>339</v>
      </c>
      <c r="CF8" t="s">
        <v>2699</v>
      </c>
      <c r="CG8" t="s">
        <v>339</v>
      </c>
      <c r="CH8" t="s">
        <v>342</v>
      </c>
      <c r="CI8" t="s">
        <v>339</v>
      </c>
      <c r="CJ8" t="s">
        <v>339</v>
      </c>
      <c r="CK8" t="s">
        <v>2699</v>
      </c>
      <c r="CL8" t="s">
        <v>339</v>
      </c>
      <c r="CM8" t="s">
        <v>342</v>
      </c>
      <c r="CN8" t="s">
        <v>339</v>
      </c>
      <c r="CO8" t="s">
        <v>339</v>
      </c>
      <c r="CP8" t="s">
        <v>2699</v>
      </c>
      <c r="CQ8" t="s">
        <v>339</v>
      </c>
      <c r="CR8" t="s">
        <v>342</v>
      </c>
      <c r="CS8" t="s">
        <v>339</v>
      </c>
      <c r="CT8" t="s">
        <v>339</v>
      </c>
      <c r="CU8" t="s">
        <v>2699</v>
      </c>
      <c r="CV8" t="s">
        <v>339</v>
      </c>
      <c r="CW8" t="s">
        <v>342</v>
      </c>
      <c r="CX8" t="s">
        <v>339</v>
      </c>
      <c r="CY8" t="s">
        <v>339</v>
      </c>
      <c r="CZ8" t="s">
        <v>2699</v>
      </c>
      <c r="DA8" t="s">
        <v>339</v>
      </c>
      <c r="DB8" t="s">
        <v>342</v>
      </c>
      <c r="DC8" t="s">
        <v>339</v>
      </c>
      <c r="DD8" t="s">
        <v>339</v>
      </c>
      <c r="DE8" t="s">
        <v>2699</v>
      </c>
      <c r="DF8" t="s">
        <v>339</v>
      </c>
      <c r="DG8" t="s">
        <v>342</v>
      </c>
      <c r="DH8" t="s">
        <v>339</v>
      </c>
      <c r="DI8" t="s">
        <v>339</v>
      </c>
      <c r="DJ8" t="s">
        <v>2699</v>
      </c>
      <c r="DK8" t="s">
        <v>339</v>
      </c>
      <c r="DL8" t="s">
        <v>342</v>
      </c>
      <c r="DM8" t="s">
        <v>339</v>
      </c>
      <c r="DN8" t="s">
        <v>339</v>
      </c>
      <c r="DO8" t="s">
        <v>2699</v>
      </c>
      <c r="DP8" t="s">
        <v>339</v>
      </c>
      <c r="DQ8" t="s">
        <v>342</v>
      </c>
      <c r="DR8" t="s">
        <v>339</v>
      </c>
      <c r="DS8" t="s">
        <v>339</v>
      </c>
      <c r="DT8" t="s">
        <v>2699</v>
      </c>
      <c r="DU8" t="s">
        <v>339</v>
      </c>
      <c r="DV8" t="s">
        <v>342</v>
      </c>
      <c r="DW8" t="s">
        <v>339</v>
      </c>
      <c r="DX8" t="s">
        <v>339</v>
      </c>
      <c r="DY8" t="s">
        <v>2699</v>
      </c>
      <c r="DZ8" t="s">
        <v>339</v>
      </c>
      <c r="EA8" t="s">
        <v>342</v>
      </c>
      <c r="EB8" t="s">
        <v>339</v>
      </c>
      <c r="EC8" t="s">
        <v>339</v>
      </c>
      <c r="ED8" t="s">
        <v>2699</v>
      </c>
      <c r="EE8" t="s">
        <v>339</v>
      </c>
      <c r="EF8" t="s">
        <v>342</v>
      </c>
      <c r="EG8" t="s">
        <v>339</v>
      </c>
      <c r="EH8" t="s">
        <v>339</v>
      </c>
      <c r="EI8" t="s">
        <v>2699</v>
      </c>
      <c r="EJ8" t="s">
        <v>339</v>
      </c>
      <c r="EK8" t="s">
        <v>342</v>
      </c>
      <c r="EL8" t="s">
        <v>339</v>
      </c>
      <c r="EM8" t="s">
        <v>339</v>
      </c>
      <c r="EN8" t="s">
        <v>2699</v>
      </c>
      <c r="EO8" t="s">
        <v>339</v>
      </c>
      <c r="EP8" t="s">
        <v>342</v>
      </c>
      <c r="EQ8" t="s">
        <v>339</v>
      </c>
      <c r="ER8" t="s">
        <v>339</v>
      </c>
      <c r="ES8" t="s">
        <v>2699</v>
      </c>
      <c r="ET8" t="s">
        <v>339</v>
      </c>
      <c r="EU8" t="s">
        <v>342</v>
      </c>
      <c r="EV8" t="s">
        <v>339</v>
      </c>
      <c r="EW8" t="s">
        <v>339</v>
      </c>
      <c r="EX8" t="s">
        <v>2699</v>
      </c>
      <c r="EY8" t="s">
        <v>339</v>
      </c>
      <c r="EZ8" t="s">
        <v>342</v>
      </c>
      <c r="FA8" t="s">
        <v>339</v>
      </c>
      <c r="FB8" t="s">
        <v>339</v>
      </c>
      <c r="FC8" t="s">
        <v>2699</v>
      </c>
      <c r="FD8" t="s">
        <v>339</v>
      </c>
      <c r="FE8" t="s">
        <v>342</v>
      </c>
      <c r="FF8" t="s">
        <v>339</v>
      </c>
      <c r="FG8" t="s">
        <v>339</v>
      </c>
      <c r="FH8" t="s">
        <v>2699</v>
      </c>
      <c r="FI8" t="s">
        <v>339</v>
      </c>
      <c r="FJ8" t="s">
        <v>342</v>
      </c>
      <c r="FK8" t="s">
        <v>339</v>
      </c>
    </row>
    <row r="9" spans="1:167" x14ac:dyDescent="0.4">
      <c r="A9" s="1" t="s">
        <v>6</v>
      </c>
      <c r="B9" s="3" t="s">
        <v>7</v>
      </c>
      <c r="C9">
        <v>105313</v>
      </c>
      <c r="D9">
        <v>369935</v>
      </c>
      <c r="E9">
        <v>168473</v>
      </c>
      <c r="F9">
        <v>4700434</v>
      </c>
      <c r="G9">
        <v>69381</v>
      </c>
      <c r="H9">
        <v>130127760</v>
      </c>
      <c r="I9">
        <v>29095710</v>
      </c>
      <c r="J9">
        <v>119944481</v>
      </c>
      <c r="K9">
        <v>86419828</v>
      </c>
      <c r="L9">
        <v>15649811</v>
      </c>
      <c r="M9">
        <v>52413660</v>
      </c>
      <c r="N9">
        <v>11285270</v>
      </c>
      <c r="O9">
        <v>46163168</v>
      </c>
      <c r="P9">
        <v>23928904</v>
      </c>
      <c r="Q9">
        <v>6837890</v>
      </c>
      <c r="R9">
        <v>4146405</v>
      </c>
      <c r="S9">
        <v>2381911</v>
      </c>
      <c r="T9">
        <v>4481182</v>
      </c>
      <c r="U9">
        <v>18978275</v>
      </c>
      <c r="V9">
        <v>712090</v>
      </c>
      <c r="W9">
        <v>19765773</v>
      </c>
      <c r="X9">
        <v>18325522</v>
      </c>
      <c r="Y9">
        <v>40819029</v>
      </c>
      <c r="Z9">
        <v>88437981</v>
      </c>
      <c r="AA9">
        <v>5002557</v>
      </c>
      <c r="AB9">
        <v>2552850</v>
      </c>
      <c r="AC9">
        <v>3261282</v>
      </c>
      <c r="AD9">
        <v>2587273</v>
      </c>
      <c r="AE9">
        <v>12038004</v>
      </c>
      <c r="AF9">
        <v>504739</v>
      </c>
      <c r="AG9">
        <v>5204903</v>
      </c>
      <c r="AH9">
        <v>2833284</v>
      </c>
      <c r="AI9">
        <v>5363650</v>
      </c>
      <c r="AJ9">
        <v>8630065</v>
      </c>
      <c r="AK9">
        <v>608856</v>
      </c>
      <c r="AL9">
        <v>4048046</v>
      </c>
      <c r="AM9">
        <v>2374176</v>
      </c>
      <c r="AN9">
        <v>4013902</v>
      </c>
      <c r="AO9">
        <v>15084559</v>
      </c>
      <c r="AP9">
        <v>617025</v>
      </c>
      <c r="AQ9">
        <v>7692834</v>
      </c>
      <c r="AR9">
        <v>4461254</v>
      </c>
      <c r="AS9">
        <v>7632843</v>
      </c>
      <c r="AT9">
        <v>18226954</v>
      </c>
      <c r="AU9">
        <v>1220496</v>
      </c>
      <c r="AV9">
        <v>24729106</v>
      </c>
      <c r="AW9">
        <v>23134726</v>
      </c>
      <c r="AX9">
        <v>24114248</v>
      </c>
      <c r="AY9">
        <v>99918656</v>
      </c>
      <c r="AZ9">
        <v>6608619</v>
      </c>
      <c r="BA9">
        <v>5067311</v>
      </c>
      <c r="BB9">
        <v>2817629</v>
      </c>
      <c r="BC9">
        <v>4854051</v>
      </c>
      <c r="BD9">
        <v>12538978</v>
      </c>
      <c r="BE9">
        <v>1254014</v>
      </c>
      <c r="BF9">
        <v>26298832</v>
      </c>
      <c r="BG9">
        <v>23188483</v>
      </c>
      <c r="BH9">
        <v>27356890</v>
      </c>
      <c r="BI9">
        <v>72891501</v>
      </c>
      <c r="BJ9">
        <v>4187322</v>
      </c>
      <c r="BK9">
        <v>19424661</v>
      </c>
      <c r="BL9">
        <v>12744866</v>
      </c>
      <c r="BM9">
        <v>19741717</v>
      </c>
      <c r="BN9">
        <v>49188958</v>
      </c>
      <c r="BO9">
        <v>2052220</v>
      </c>
      <c r="BP9">
        <v>758314</v>
      </c>
      <c r="BQ9">
        <v>3529664</v>
      </c>
      <c r="BR9">
        <v>770599</v>
      </c>
      <c r="BS9">
        <v>6254783</v>
      </c>
      <c r="BT9">
        <v>83689</v>
      </c>
      <c r="BU9">
        <v>3761614</v>
      </c>
      <c r="BV9">
        <v>8375178</v>
      </c>
      <c r="BW9">
        <v>3621976</v>
      </c>
      <c r="BX9">
        <v>72699810</v>
      </c>
      <c r="BY9">
        <v>525870</v>
      </c>
      <c r="BZ9">
        <v>7135060</v>
      </c>
      <c r="CA9">
        <v>7056723</v>
      </c>
      <c r="CB9">
        <v>7364030</v>
      </c>
      <c r="CC9">
        <v>69320715</v>
      </c>
      <c r="CD9">
        <v>1283652</v>
      </c>
      <c r="CE9">
        <v>24246445</v>
      </c>
      <c r="CF9">
        <v>16420615</v>
      </c>
      <c r="CG9">
        <v>25559800</v>
      </c>
      <c r="CH9">
        <v>184989976</v>
      </c>
      <c r="CI9">
        <v>3438815</v>
      </c>
      <c r="CJ9">
        <v>4125524</v>
      </c>
      <c r="CK9">
        <v>10741636</v>
      </c>
      <c r="CL9">
        <v>4104842</v>
      </c>
      <c r="CM9">
        <v>151417465</v>
      </c>
      <c r="CN9">
        <v>741478</v>
      </c>
      <c r="CO9">
        <v>3208082</v>
      </c>
      <c r="CP9">
        <v>27891131</v>
      </c>
      <c r="CQ9">
        <v>3240658</v>
      </c>
      <c r="CR9">
        <v>23476672</v>
      </c>
      <c r="CS9">
        <v>418755</v>
      </c>
      <c r="CT9">
        <v>7124349</v>
      </c>
      <c r="CU9">
        <v>4912620</v>
      </c>
      <c r="CV9">
        <v>8208520</v>
      </c>
      <c r="CW9">
        <v>14777504</v>
      </c>
      <c r="CX9">
        <v>1696901</v>
      </c>
      <c r="CY9">
        <v>18876125</v>
      </c>
      <c r="CZ9">
        <v>15798133</v>
      </c>
      <c r="DA9">
        <v>19224352</v>
      </c>
      <c r="DB9">
        <v>60195160</v>
      </c>
      <c r="DC9">
        <v>3137664</v>
      </c>
      <c r="DD9">
        <v>1956848</v>
      </c>
      <c r="DE9">
        <v>9178830</v>
      </c>
      <c r="DF9">
        <v>2005329</v>
      </c>
      <c r="DG9">
        <v>75207955</v>
      </c>
      <c r="DH9">
        <v>463544</v>
      </c>
      <c r="DI9">
        <v>414351</v>
      </c>
      <c r="DJ9">
        <v>1975972</v>
      </c>
      <c r="DK9">
        <v>439813</v>
      </c>
      <c r="DL9">
        <v>30163476</v>
      </c>
      <c r="DM9">
        <v>60986</v>
      </c>
      <c r="DN9">
        <v>58125</v>
      </c>
      <c r="DO9">
        <v>1729034</v>
      </c>
      <c r="DP9">
        <v>61703</v>
      </c>
      <c r="DQ9">
        <v>12783724</v>
      </c>
      <c r="DR9">
        <v>68201</v>
      </c>
      <c r="DS9">
        <v>168062</v>
      </c>
      <c r="DT9">
        <v>4469286</v>
      </c>
      <c r="DU9">
        <v>165091</v>
      </c>
      <c r="DV9">
        <v>8891458</v>
      </c>
      <c r="DW9">
        <v>32541</v>
      </c>
      <c r="DX9">
        <v>31493</v>
      </c>
      <c r="DY9">
        <v>620842</v>
      </c>
      <c r="DZ9">
        <v>35509</v>
      </c>
      <c r="EA9">
        <v>4046991</v>
      </c>
      <c r="EB9">
        <v>23891</v>
      </c>
      <c r="EC9">
        <v>205120</v>
      </c>
      <c r="ED9">
        <v>5152051</v>
      </c>
      <c r="EE9">
        <v>207823</v>
      </c>
      <c r="EF9">
        <v>32311670</v>
      </c>
      <c r="EG9">
        <v>65388</v>
      </c>
      <c r="EH9">
        <v>255991</v>
      </c>
      <c r="EI9">
        <v>8293959</v>
      </c>
      <c r="EJ9">
        <v>293888</v>
      </c>
      <c r="EK9">
        <v>44429987</v>
      </c>
      <c r="EL9">
        <v>57131</v>
      </c>
      <c r="EM9">
        <v>445025</v>
      </c>
      <c r="EN9">
        <v>1786786</v>
      </c>
      <c r="EO9">
        <v>438036</v>
      </c>
      <c r="EP9">
        <v>4597466</v>
      </c>
      <c r="EQ9">
        <v>106697</v>
      </c>
      <c r="ER9">
        <v>123471</v>
      </c>
      <c r="ES9">
        <v>947017</v>
      </c>
      <c r="ET9">
        <v>171084</v>
      </c>
      <c r="EU9">
        <v>6626159</v>
      </c>
      <c r="EV9">
        <v>26040</v>
      </c>
      <c r="EW9">
        <v>6095917</v>
      </c>
      <c r="EX9">
        <v>10746324</v>
      </c>
      <c r="EY9">
        <v>6917652</v>
      </c>
      <c r="EZ9">
        <v>50642284</v>
      </c>
      <c r="FA9">
        <v>1613978</v>
      </c>
      <c r="FB9">
        <v>9927810</v>
      </c>
      <c r="FC9">
        <v>3476506</v>
      </c>
      <c r="FD9">
        <v>9621385</v>
      </c>
      <c r="FE9">
        <v>9850498</v>
      </c>
      <c r="FF9">
        <v>1306163</v>
      </c>
      <c r="FG9">
        <v>5871001</v>
      </c>
      <c r="FH9">
        <v>5011828</v>
      </c>
      <c r="FI9">
        <v>5967113</v>
      </c>
      <c r="FJ9">
        <v>17261893</v>
      </c>
      <c r="FK9">
        <v>1365051</v>
      </c>
    </row>
    <row r="10" spans="1:167" x14ac:dyDescent="0.4">
      <c r="A10" s="1" t="s">
        <v>8</v>
      </c>
      <c r="B10" s="3" t="s">
        <v>9</v>
      </c>
      <c r="C10">
        <v>134288</v>
      </c>
      <c r="D10">
        <v>423286</v>
      </c>
      <c r="E10">
        <v>277180</v>
      </c>
      <c r="F10">
        <v>6501986</v>
      </c>
      <c r="G10">
        <v>103776</v>
      </c>
      <c r="H10">
        <v>128947933</v>
      </c>
      <c r="I10">
        <v>30522259</v>
      </c>
      <c r="J10">
        <v>121040224</v>
      </c>
      <c r="K10">
        <v>86628680</v>
      </c>
      <c r="L10">
        <v>14708662</v>
      </c>
      <c r="M10">
        <v>55135763</v>
      </c>
      <c r="N10">
        <v>11746559</v>
      </c>
      <c r="O10">
        <v>48923830</v>
      </c>
      <c r="P10">
        <v>26371410</v>
      </c>
      <c r="Q10">
        <v>7430156</v>
      </c>
      <c r="R10">
        <v>4038889</v>
      </c>
      <c r="S10">
        <v>2332209</v>
      </c>
      <c r="T10">
        <v>4410558</v>
      </c>
      <c r="U10">
        <v>18526641</v>
      </c>
      <c r="V10">
        <v>684570</v>
      </c>
      <c r="W10">
        <v>22206860</v>
      </c>
      <c r="X10">
        <v>14241718</v>
      </c>
      <c r="Y10">
        <v>36016739</v>
      </c>
      <c r="Z10">
        <v>68806740</v>
      </c>
      <c r="AA10">
        <v>4805534</v>
      </c>
      <c r="AB10">
        <v>2690003</v>
      </c>
      <c r="AC10">
        <v>3693199</v>
      </c>
      <c r="AD10">
        <v>2739707</v>
      </c>
      <c r="AE10">
        <v>12746155</v>
      </c>
      <c r="AF10">
        <v>488118</v>
      </c>
      <c r="AG10">
        <v>5385659</v>
      </c>
      <c r="AH10">
        <v>2897185</v>
      </c>
      <c r="AI10">
        <v>5388736</v>
      </c>
      <c r="AJ10">
        <v>8976408</v>
      </c>
      <c r="AK10">
        <v>730177</v>
      </c>
      <c r="AL10">
        <v>4259561</v>
      </c>
      <c r="AM10">
        <v>2361051</v>
      </c>
      <c r="AN10">
        <v>4114716</v>
      </c>
      <c r="AO10">
        <v>15099732</v>
      </c>
      <c r="AP10">
        <v>697276</v>
      </c>
      <c r="AQ10">
        <v>8986892</v>
      </c>
      <c r="AR10">
        <v>4881276</v>
      </c>
      <c r="AS10">
        <v>8393151</v>
      </c>
      <c r="AT10">
        <v>19583833</v>
      </c>
      <c r="AU10">
        <v>1736150</v>
      </c>
      <c r="AV10">
        <v>26024390</v>
      </c>
      <c r="AW10">
        <v>24394688</v>
      </c>
      <c r="AX10">
        <v>25304614</v>
      </c>
      <c r="AY10">
        <v>101924111</v>
      </c>
      <c r="AZ10">
        <v>6546739</v>
      </c>
      <c r="BA10">
        <v>5517454</v>
      </c>
      <c r="BB10">
        <v>3132150</v>
      </c>
      <c r="BC10">
        <v>4785295</v>
      </c>
      <c r="BD10">
        <v>12930770</v>
      </c>
      <c r="BE10">
        <v>1375483</v>
      </c>
      <c r="BF10">
        <v>28003357</v>
      </c>
      <c r="BG10">
        <v>25634023</v>
      </c>
      <c r="BH10">
        <v>29443509</v>
      </c>
      <c r="BI10">
        <v>77286519</v>
      </c>
      <c r="BJ10">
        <v>4356280</v>
      </c>
      <c r="BK10">
        <v>20469710</v>
      </c>
      <c r="BL10">
        <v>13442951</v>
      </c>
      <c r="BM10">
        <v>20444151</v>
      </c>
      <c r="BN10">
        <v>51285610</v>
      </c>
      <c r="BO10">
        <v>2014560</v>
      </c>
      <c r="BP10">
        <v>782180</v>
      </c>
      <c r="BQ10">
        <v>2178383</v>
      </c>
      <c r="BR10">
        <v>817306</v>
      </c>
      <c r="BS10">
        <v>5904238</v>
      </c>
      <c r="BT10">
        <v>69102</v>
      </c>
      <c r="BU10">
        <v>3974229</v>
      </c>
      <c r="BV10">
        <v>8464648</v>
      </c>
      <c r="BW10">
        <v>3975231</v>
      </c>
      <c r="BX10">
        <v>71099462</v>
      </c>
      <c r="BY10">
        <v>553206</v>
      </c>
      <c r="BZ10">
        <v>7413467</v>
      </c>
      <c r="CA10">
        <v>7128207</v>
      </c>
      <c r="CB10">
        <v>6971105</v>
      </c>
      <c r="CC10">
        <v>51770612</v>
      </c>
      <c r="CD10">
        <v>1243008</v>
      </c>
      <c r="CE10">
        <v>23662963</v>
      </c>
      <c r="CF10">
        <v>14913564</v>
      </c>
      <c r="CG10">
        <v>22417600</v>
      </c>
      <c r="CH10">
        <v>117836336</v>
      </c>
      <c r="CI10">
        <v>3868175</v>
      </c>
      <c r="CJ10">
        <v>4183833</v>
      </c>
      <c r="CK10">
        <v>11294875</v>
      </c>
      <c r="CL10">
        <v>4167132</v>
      </c>
      <c r="CM10">
        <v>99485836</v>
      </c>
      <c r="CN10">
        <v>617538</v>
      </c>
      <c r="CO10">
        <v>2485243</v>
      </c>
      <c r="CP10">
        <v>17325995</v>
      </c>
      <c r="CQ10">
        <v>2341420</v>
      </c>
      <c r="CR10">
        <v>18074951</v>
      </c>
      <c r="CS10">
        <v>331647</v>
      </c>
      <c r="CT10">
        <v>9937840</v>
      </c>
      <c r="CU10">
        <v>5189998</v>
      </c>
      <c r="CV10">
        <v>9148315</v>
      </c>
      <c r="CW10">
        <v>16169624</v>
      </c>
      <c r="CX10">
        <v>2399295</v>
      </c>
      <c r="CY10">
        <v>17616917</v>
      </c>
      <c r="CZ10">
        <v>15138850</v>
      </c>
      <c r="DA10">
        <v>16407097</v>
      </c>
      <c r="DB10">
        <v>59580753</v>
      </c>
      <c r="DC10">
        <v>3392527</v>
      </c>
      <c r="DD10">
        <v>1929289</v>
      </c>
      <c r="DE10">
        <v>8733266</v>
      </c>
      <c r="DF10">
        <v>1955772</v>
      </c>
      <c r="DG10">
        <v>75134261</v>
      </c>
      <c r="DH10">
        <v>510669</v>
      </c>
      <c r="DI10">
        <v>487090</v>
      </c>
      <c r="DJ10">
        <v>2278847</v>
      </c>
      <c r="DK10">
        <v>513507</v>
      </c>
      <c r="DL10">
        <v>34828149</v>
      </c>
      <c r="DM10">
        <v>44908</v>
      </c>
      <c r="DN10">
        <v>96342</v>
      </c>
      <c r="DO10">
        <v>2488040</v>
      </c>
      <c r="DP10">
        <v>153853</v>
      </c>
      <c r="DQ10">
        <v>19089104</v>
      </c>
      <c r="DR10">
        <v>75732</v>
      </c>
      <c r="DS10">
        <v>214627</v>
      </c>
      <c r="DT10">
        <v>5389093</v>
      </c>
      <c r="DU10">
        <v>207557</v>
      </c>
      <c r="DV10">
        <v>9997879</v>
      </c>
      <c r="DW10">
        <v>28560</v>
      </c>
      <c r="DX10">
        <v>33398</v>
      </c>
      <c r="DY10">
        <v>629615</v>
      </c>
      <c r="DZ10">
        <v>35004</v>
      </c>
      <c r="EA10">
        <v>3943595</v>
      </c>
      <c r="EB10">
        <v>18799</v>
      </c>
      <c r="EC10">
        <v>279507</v>
      </c>
      <c r="ED10">
        <v>5522848</v>
      </c>
      <c r="EE10">
        <v>299416</v>
      </c>
      <c r="EF10">
        <v>35808853</v>
      </c>
      <c r="EG10">
        <v>69920</v>
      </c>
      <c r="EH10">
        <v>307904</v>
      </c>
      <c r="EI10">
        <v>9218172</v>
      </c>
      <c r="EJ10">
        <v>426599</v>
      </c>
      <c r="EK10">
        <v>51901236</v>
      </c>
      <c r="EL10">
        <v>83912</v>
      </c>
      <c r="EM10">
        <v>378837</v>
      </c>
      <c r="EN10">
        <v>1590519</v>
      </c>
      <c r="EO10">
        <v>389014</v>
      </c>
      <c r="EP10">
        <v>4394242</v>
      </c>
      <c r="EQ10">
        <v>86465</v>
      </c>
      <c r="ER10">
        <v>143881</v>
      </c>
      <c r="ES10">
        <v>1183973</v>
      </c>
      <c r="ET10">
        <v>184015</v>
      </c>
      <c r="EU10">
        <v>7722234</v>
      </c>
      <c r="EV10">
        <v>33538</v>
      </c>
      <c r="EW10">
        <v>7955372</v>
      </c>
      <c r="EX10">
        <v>11895375</v>
      </c>
      <c r="EY10">
        <v>7874533</v>
      </c>
      <c r="EZ10">
        <v>49380024</v>
      </c>
      <c r="FA10">
        <v>1511395</v>
      </c>
      <c r="FB10">
        <v>11907399</v>
      </c>
      <c r="FC10">
        <v>3920667</v>
      </c>
      <c r="FD10">
        <v>11709941</v>
      </c>
      <c r="FE10">
        <v>10658645</v>
      </c>
      <c r="FF10">
        <v>1446925</v>
      </c>
      <c r="FG10">
        <v>5799655</v>
      </c>
      <c r="FH10">
        <v>4559863</v>
      </c>
      <c r="FI10">
        <v>5493731</v>
      </c>
      <c r="FJ10">
        <v>15959646</v>
      </c>
      <c r="FK10">
        <v>1318971</v>
      </c>
    </row>
    <row r="11" spans="1:167" x14ac:dyDescent="0.4">
      <c r="A11" s="1" t="s">
        <v>10</v>
      </c>
      <c r="B11" s="3" t="s">
        <v>11</v>
      </c>
      <c r="C11">
        <v>143434</v>
      </c>
      <c r="D11">
        <v>484776</v>
      </c>
      <c r="E11">
        <v>292613</v>
      </c>
      <c r="F11">
        <v>8997815</v>
      </c>
      <c r="G11">
        <v>124974</v>
      </c>
      <c r="H11">
        <v>112416120</v>
      </c>
      <c r="I11">
        <v>27607491</v>
      </c>
      <c r="J11">
        <v>101991853</v>
      </c>
      <c r="K11">
        <v>80888310</v>
      </c>
      <c r="L11">
        <v>14714694</v>
      </c>
      <c r="M11">
        <v>46038867</v>
      </c>
      <c r="N11">
        <v>9501650</v>
      </c>
      <c r="O11">
        <v>39964850</v>
      </c>
      <c r="P11">
        <v>23674375</v>
      </c>
      <c r="Q11">
        <v>7292228</v>
      </c>
      <c r="R11">
        <v>4120096</v>
      </c>
      <c r="S11">
        <v>2153311</v>
      </c>
      <c r="T11">
        <v>4260121</v>
      </c>
      <c r="U11">
        <v>17832159</v>
      </c>
      <c r="V11">
        <v>753661</v>
      </c>
      <c r="W11">
        <v>18733223</v>
      </c>
      <c r="X11">
        <v>12542530</v>
      </c>
      <c r="Y11">
        <v>33511891</v>
      </c>
      <c r="Z11">
        <v>65872141</v>
      </c>
      <c r="AA11">
        <v>5009301</v>
      </c>
      <c r="AB11">
        <v>2864774</v>
      </c>
      <c r="AC11">
        <v>3769709</v>
      </c>
      <c r="AD11">
        <v>2859823</v>
      </c>
      <c r="AE11">
        <v>14300881</v>
      </c>
      <c r="AF11">
        <v>505667</v>
      </c>
      <c r="AG11">
        <v>5556741</v>
      </c>
      <c r="AH11">
        <v>3227817</v>
      </c>
      <c r="AI11">
        <v>5688997</v>
      </c>
      <c r="AJ11">
        <v>9287904</v>
      </c>
      <c r="AK11">
        <v>710926</v>
      </c>
      <c r="AL11">
        <v>4204990</v>
      </c>
      <c r="AM11">
        <v>2412805</v>
      </c>
      <c r="AN11">
        <v>3985807</v>
      </c>
      <c r="AO11">
        <v>15737908</v>
      </c>
      <c r="AP11">
        <v>808721</v>
      </c>
      <c r="AQ11">
        <v>8976574</v>
      </c>
      <c r="AR11">
        <v>5156812</v>
      </c>
      <c r="AS11">
        <v>8696774</v>
      </c>
      <c r="AT11">
        <v>20418632</v>
      </c>
      <c r="AU11">
        <v>1893619</v>
      </c>
      <c r="AV11">
        <v>26062494</v>
      </c>
      <c r="AW11">
        <v>25507842</v>
      </c>
      <c r="AX11">
        <v>25686301</v>
      </c>
      <c r="AY11">
        <v>102135303</v>
      </c>
      <c r="AZ11">
        <v>6624422</v>
      </c>
      <c r="BA11">
        <v>5491943</v>
      </c>
      <c r="BB11">
        <v>5796368</v>
      </c>
      <c r="BC11">
        <v>5237769</v>
      </c>
      <c r="BD11">
        <v>13941239</v>
      </c>
      <c r="BE11">
        <v>1208268</v>
      </c>
      <c r="BF11">
        <v>27631328</v>
      </c>
      <c r="BG11">
        <v>22846999</v>
      </c>
      <c r="BH11">
        <v>26924159</v>
      </c>
      <c r="BI11">
        <v>75090347</v>
      </c>
      <c r="BJ11">
        <v>3470338</v>
      </c>
      <c r="BK11">
        <v>22433398</v>
      </c>
      <c r="BL11">
        <v>14380918</v>
      </c>
      <c r="BM11">
        <v>21746781</v>
      </c>
      <c r="BN11">
        <v>59563291</v>
      </c>
      <c r="BO11">
        <v>2552725</v>
      </c>
      <c r="BP11">
        <v>861520</v>
      </c>
      <c r="BQ11">
        <v>1843312</v>
      </c>
      <c r="BR11">
        <v>851480</v>
      </c>
      <c r="BS11">
        <v>6420149</v>
      </c>
      <c r="BT11">
        <v>75766</v>
      </c>
      <c r="BU11">
        <v>3448294</v>
      </c>
      <c r="BV11">
        <v>8488529</v>
      </c>
      <c r="BW11">
        <v>3512353</v>
      </c>
      <c r="BX11">
        <v>67760699</v>
      </c>
      <c r="BY11">
        <v>434360</v>
      </c>
      <c r="BZ11">
        <v>6586979</v>
      </c>
      <c r="CA11">
        <v>6862563</v>
      </c>
      <c r="CB11">
        <v>6221715</v>
      </c>
      <c r="CC11">
        <v>53297554</v>
      </c>
      <c r="CD11">
        <v>1327895</v>
      </c>
      <c r="CE11">
        <v>22369460</v>
      </c>
      <c r="CF11">
        <v>15254378</v>
      </c>
      <c r="CG11">
        <v>21102304</v>
      </c>
      <c r="CH11">
        <v>109056619</v>
      </c>
      <c r="CI11">
        <v>3905071</v>
      </c>
      <c r="CJ11">
        <v>4155013</v>
      </c>
      <c r="CK11">
        <v>9983827</v>
      </c>
      <c r="CL11">
        <v>3733049</v>
      </c>
      <c r="CM11">
        <v>105327108</v>
      </c>
      <c r="CN11">
        <v>749197</v>
      </c>
      <c r="CO11">
        <v>2424948</v>
      </c>
      <c r="CP11">
        <v>11023080</v>
      </c>
      <c r="CQ11">
        <v>2245707</v>
      </c>
      <c r="CR11">
        <v>18324519</v>
      </c>
      <c r="CS11">
        <v>338967</v>
      </c>
      <c r="CT11">
        <v>19412789</v>
      </c>
      <c r="CU11">
        <v>5586079</v>
      </c>
      <c r="CV11">
        <v>11610518</v>
      </c>
      <c r="CW11">
        <v>17433740</v>
      </c>
      <c r="CX11">
        <v>2430389</v>
      </c>
      <c r="CY11">
        <v>16364428</v>
      </c>
      <c r="CZ11">
        <v>13877553</v>
      </c>
      <c r="DA11">
        <v>14383893</v>
      </c>
      <c r="DB11">
        <v>55518401</v>
      </c>
      <c r="DC11">
        <v>2527819</v>
      </c>
      <c r="DD11">
        <v>2216599</v>
      </c>
      <c r="DE11">
        <v>9847680</v>
      </c>
      <c r="DF11">
        <v>2327088</v>
      </c>
      <c r="DG11">
        <v>81618243</v>
      </c>
      <c r="DH11">
        <v>638678</v>
      </c>
      <c r="DI11">
        <v>630660</v>
      </c>
      <c r="DJ11">
        <v>2608605</v>
      </c>
      <c r="DK11">
        <v>567637</v>
      </c>
      <c r="DL11">
        <v>40308367</v>
      </c>
      <c r="DM11">
        <v>115483</v>
      </c>
      <c r="DN11">
        <v>199180</v>
      </c>
      <c r="DO11">
        <v>3598299</v>
      </c>
      <c r="DP11">
        <v>214876</v>
      </c>
      <c r="DQ11">
        <v>26964051</v>
      </c>
      <c r="DR11">
        <v>100703</v>
      </c>
      <c r="DS11">
        <v>278981</v>
      </c>
      <c r="DT11">
        <v>7321506</v>
      </c>
      <c r="DU11">
        <v>274516</v>
      </c>
      <c r="DV11">
        <v>15835073</v>
      </c>
      <c r="DW11">
        <v>25789</v>
      </c>
      <c r="DX11">
        <v>59082</v>
      </c>
      <c r="DY11">
        <v>966257</v>
      </c>
      <c r="DZ11">
        <v>56416</v>
      </c>
      <c r="EA11">
        <v>5266302</v>
      </c>
      <c r="EB11">
        <v>20083</v>
      </c>
      <c r="EC11">
        <v>332500</v>
      </c>
      <c r="ED11">
        <v>5422870</v>
      </c>
      <c r="EE11">
        <v>327243</v>
      </c>
      <c r="EF11">
        <v>36927879</v>
      </c>
      <c r="EG11">
        <v>93653</v>
      </c>
      <c r="EH11">
        <v>310008</v>
      </c>
      <c r="EI11">
        <v>8834199</v>
      </c>
      <c r="EJ11">
        <v>440082</v>
      </c>
      <c r="EK11">
        <v>50671848</v>
      </c>
      <c r="EL11">
        <v>124532</v>
      </c>
      <c r="EM11">
        <v>392687</v>
      </c>
      <c r="EN11">
        <v>1564187</v>
      </c>
      <c r="EO11">
        <v>375410</v>
      </c>
      <c r="EP11">
        <v>4284822</v>
      </c>
      <c r="EQ11">
        <v>103936</v>
      </c>
      <c r="ER11">
        <v>166779</v>
      </c>
      <c r="ES11">
        <v>1240997</v>
      </c>
      <c r="ET11">
        <v>219708</v>
      </c>
      <c r="EU11">
        <v>8379612</v>
      </c>
      <c r="EV11">
        <v>26994</v>
      </c>
      <c r="EW11">
        <v>9858714</v>
      </c>
      <c r="EX11">
        <v>13675012</v>
      </c>
      <c r="EY11">
        <v>9073290</v>
      </c>
      <c r="EZ11">
        <v>63247934</v>
      </c>
      <c r="FA11">
        <v>1806736</v>
      </c>
      <c r="FB11">
        <v>13144240</v>
      </c>
      <c r="FC11">
        <v>4098853</v>
      </c>
      <c r="FD11">
        <v>13270493</v>
      </c>
      <c r="FE11">
        <v>11854243</v>
      </c>
      <c r="FF11">
        <v>1345880</v>
      </c>
      <c r="FG11">
        <v>6513767</v>
      </c>
      <c r="FH11">
        <v>4718544</v>
      </c>
      <c r="FI11">
        <v>5727346</v>
      </c>
      <c r="FJ11">
        <v>16244270</v>
      </c>
      <c r="FK11">
        <v>1690350</v>
      </c>
    </row>
    <row r="12" spans="1:167" x14ac:dyDescent="0.4">
      <c r="A12" s="1" t="s">
        <v>12</v>
      </c>
      <c r="B12" s="3" t="s">
        <v>13</v>
      </c>
      <c r="C12">
        <v>130190</v>
      </c>
      <c r="D12">
        <v>482468</v>
      </c>
      <c r="E12">
        <v>268014</v>
      </c>
      <c r="F12">
        <v>9431164</v>
      </c>
      <c r="G12">
        <v>111946</v>
      </c>
      <c r="H12">
        <v>113359021</v>
      </c>
      <c r="I12">
        <v>25281431</v>
      </c>
      <c r="J12">
        <v>103720795</v>
      </c>
      <c r="K12">
        <v>83726548</v>
      </c>
      <c r="L12">
        <v>15311983</v>
      </c>
      <c r="M12">
        <v>45550675</v>
      </c>
      <c r="N12">
        <v>9670348</v>
      </c>
      <c r="O12">
        <v>41545431</v>
      </c>
      <c r="P12">
        <v>25163864</v>
      </c>
      <c r="Q12">
        <v>7118510</v>
      </c>
      <c r="R12">
        <v>4103416</v>
      </c>
      <c r="S12">
        <v>2045960</v>
      </c>
      <c r="T12">
        <v>4018650</v>
      </c>
      <c r="U12">
        <v>17512558</v>
      </c>
      <c r="V12">
        <v>811687</v>
      </c>
      <c r="W12">
        <v>19083158</v>
      </c>
      <c r="X12">
        <v>11921205</v>
      </c>
      <c r="Y12">
        <v>27906140</v>
      </c>
      <c r="Z12">
        <v>62775450</v>
      </c>
      <c r="AA12">
        <v>3897793</v>
      </c>
      <c r="AB12">
        <v>2888928</v>
      </c>
      <c r="AC12">
        <v>3647939</v>
      </c>
      <c r="AD12">
        <v>2833991</v>
      </c>
      <c r="AE12">
        <v>14240601</v>
      </c>
      <c r="AF12">
        <v>542085</v>
      </c>
      <c r="AG12">
        <v>5369655</v>
      </c>
      <c r="AH12">
        <v>2969518</v>
      </c>
      <c r="AI12">
        <v>5343446</v>
      </c>
      <c r="AJ12">
        <v>8996824</v>
      </c>
      <c r="AK12">
        <v>706501</v>
      </c>
      <c r="AL12">
        <v>4642425</v>
      </c>
      <c r="AM12">
        <v>2603274</v>
      </c>
      <c r="AN12">
        <v>4508779</v>
      </c>
      <c r="AO12">
        <v>17535491</v>
      </c>
      <c r="AP12">
        <v>963597</v>
      </c>
      <c r="AQ12">
        <v>9124151</v>
      </c>
      <c r="AR12">
        <v>5354045</v>
      </c>
      <c r="AS12">
        <v>8880022</v>
      </c>
      <c r="AT12">
        <v>21350565</v>
      </c>
      <c r="AU12">
        <v>2090334</v>
      </c>
      <c r="AV12">
        <v>25590307</v>
      </c>
      <c r="AW12">
        <v>25365534</v>
      </c>
      <c r="AX12">
        <v>25627651</v>
      </c>
      <c r="AY12">
        <v>103202287</v>
      </c>
      <c r="AZ12">
        <v>6728697</v>
      </c>
      <c r="BA12">
        <v>5880493</v>
      </c>
      <c r="BB12">
        <v>4394452</v>
      </c>
      <c r="BC12">
        <v>5371206</v>
      </c>
      <c r="BD12">
        <v>14716205</v>
      </c>
      <c r="BE12">
        <v>1435298</v>
      </c>
      <c r="BF12">
        <v>26017865</v>
      </c>
      <c r="BG12">
        <v>22372751</v>
      </c>
      <c r="BH12">
        <v>26392863</v>
      </c>
      <c r="BI12">
        <v>72909931</v>
      </c>
      <c r="BJ12">
        <v>3315068</v>
      </c>
      <c r="BK12">
        <v>23203941</v>
      </c>
      <c r="BL12">
        <v>15607771</v>
      </c>
      <c r="BM12">
        <v>23040736</v>
      </c>
      <c r="BN12">
        <v>69624194</v>
      </c>
      <c r="BO12">
        <v>2683781</v>
      </c>
      <c r="BP12">
        <v>768259</v>
      </c>
      <c r="BQ12">
        <v>1559151</v>
      </c>
      <c r="BR12">
        <v>754480</v>
      </c>
      <c r="BS12">
        <v>5496215</v>
      </c>
      <c r="BT12">
        <v>85278</v>
      </c>
      <c r="BU12">
        <v>3686085</v>
      </c>
      <c r="BV12">
        <v>7983314</v>
      </c>
      <c r="BW12">
        <v>3634781</v>
      </c>
      <c r="BX12">
        <v>66100692</v>
      </c>
      <c r="BY12">
        <v>449262</v>
      </c>
      <c r="BZ12">
        <v>6336247</v>
      </c>
      <c r="CA12">
        <v>6949304</v>
      </c>
      <c r="CB12">
        <v>6055316</v>
      </c>
      <c r="CC12">
        <v>57662906</v>
      </c>
      <c r="CD12">
        <v>1149362</v>
      </c>
      <c r="CE12">
        <v>23081801</v>
      </c>
      <c r="CF12">
        <v>15032665</v>
      </c>
      <c r="CG12">
        <v>22168237</v>
      </c>
      <c r="CH12">
        <v>124321744</v>
      </c>
      <c r="CI12">
        <v>3309829</v>
      </c>
      <c r="CJ12">
        <v>4745149</v>
      </c>
      <c r="CK12">
        <v>9704734</v>
      </c>
      <c r="CL12">
        <v>4402830</v>
      </c>
      <c r="CM12">
        <v>119688712</v>
      </c>
      <c r="CN12">
        <v>778523</v>
      </c>
      <c r="CO12">
        <v>2683198</v>
      </c>
      <c r="CP12">
        <v>16208014</v>
      </c>
      <c r="CQ12">
        <v>2538765</v>
      </c>
      <c r="CR12">
        <v>20715267</v>
      </c>
      <c r="CS12">
        <v>322367</v>
      </c>
      <c r="CT12">
        <v>12280806</v>
      </c>
      <c r="CU12">
        <v>6100240</v>
      </c>
      <c r="CV12">
        <v>11193713</v>
      </c>
      <c r="CW12">
        <v>19637635</v>
      </c>
      <c r="CX12">
        <v>2583919</v>
      </c>
      <c r="CY12">
        <v>13475055</v>
      </c>
      <c r="CZ12">
        <v>13305817</v>
      </c>
      <c r="DA12">
        <v>13466669</v>
      </c>
      <c r="DB12">
        <v>55448522</v>
      </c>
      <c r="DC12">
        <v>2175798</v>
      </c>
      <c r="DD12">
        <v>2282025</v>
      </c>
      <c r="DE12">
        <v>10066484</v>
      </c>
      <c r="DF12">
        <v>2562642</v>
      </c>
      <c r="DG12">
        <v>83648451</v>
      </c>
      <c r="DH12">
        <v>646305</v>
      </c>
      <c r="DI12">
        <v>849711</v>
      </c>
      <c r="DJ12">
        <v>3227622</v>
      </c>
      <c r="DK12">
        <v>770379</v>
      </c>
      <c r="DL12">
        <v>51357020</v>
      </c>
      <c r="DM12">
        <v>213913</v>
      </c>
      <c r="DN12">
        <v>134410</v>
      </c>
      <c r="DO12">
        <v>3560603</v>
      </c>
      <c r="DP12">
        <v>220058</v>
      </c>
      <c r="DQ12">
        <v>29009584</v>
      </c>
      <c r="DR12">
        <v>106288</v>
      </c>
      <c r="DS12">
        <v>335335</v>
      </c>
      <c r="DT12">
        <v>8435544</v>
      </c>
      <c r="DU12">
        <v>309745</v>
      </c>
      <c r="DV12">
        <v>22138031</v>
      </c>
      <c r="DW12">
        <v>51305</v>
      </c>
      <c r="DX12">
        <v>65891</v>
      </c>
      <c r="DY12">
        <v>1086377</v>
      </c>
      <c r="DZ12">
        <v>68471</v>
      </c>
      <c r="EA12">
        <v>5675341</v>
      </c>
      <c r="EB12">
        <v>22611</v>
      </c>
      <c r="EC12">
        <v>282943</v>
      </c>
      <c r="ED12">
        <v>5250506</v>
      </c>
      <c r="EE12">
        <v>306794</v>
      </c>
      <c r="EF12">
        <v>36407194</v>
      </c>
      <c r="EG12">
        <v>86795</v>
      </c>
      <c r="EH12">
        <v>257825</v>
      </c>
      <c r="EI12">
        <v>8184699</v>
      </c>
      <c r="EJ12">
        <v>400605</v>
      </c>
      <c r="EK12">
        <v>47687188</v>
      </c>
      <c r="EL12">
        <v>99717</v>
      </c>
      <c r="EM12">
        <v>323309</v>
      </c>
      <c r="EN12">
        <v>1452252</v>
      </c>
      <c r="EO12">
        <v>339163</v>
      </c>
      <c r="EP12">
        <v>3958042</v>
      </c>
      <c r="EQ12">
        <v>89286</v>
      </c>
      <c r="ER12">
        <v>175730</v>
      </c>
      <c r="ES12">
        <v>1217450</v>
      </c>
      <c r="ET12">
        <v>223456</v>
      </c>
      <c r="EU12">
        <v>7297357</v>
      </c>
      <c r="EV12">
        <v>24619</v>
      </c>
      <c r="EW12">
        <v>10619545</v>
      </c>
      <c r="EX12">
        <v>14182823</v>
      </c>
      <c r="EY12">
        <v>9579602</v>
      </c>
      <c r="EZ12">
        <v>65780835</v>
      </c>
      <c r="FA12">
        <v>1763902</v>
      </c>
      <c r="FB12">
        <v>12948309</v>
      </c>
      <c r="FC12">
        <v>4044208</v>
      </c>
      <c r="FD12">
        <v>12917956</v>
      </c>
      <c r="FE12">
        <v>11899025</v>
      </c>
      <c r="FF12">
        <v>1255351</v>
      </c>
      <c r="FG12">
        <v>7035310</v>
      </c>
      <c r="FH12">
        <v>5412613</v>
      </c>
      <c r="FI12">
        <v>6251627</v>
      </c>
      <c r="FJ12">
        <v>19400992</v>
      </c>
      <c r="FK12">
        <v>1814955</v>
      </c>
    </row>
    <row r="13" spans="1:167" x14ac:dyDescent="0.4">
      <c r="A13" s="1" t="s">
        <v>14</v>
      </c>
      <c r="B13" s="3" t="s">
        <v>15</v>
      </c>
      <c r="C13">
        <v>135555</v>
      </c>
      <c r="D13">
        <v>488766</v>
      </c>
      <c r="E13">
        <v>268048</v>
      </c>
      <c r="F13">
        <v>9904549</v>
      </c>
      <c r="G13">
        <v>114438</v>
      </c>
      <c r="H13">
        <v>112497928</v>
      </c>
      <c r="I13">
        <v>26056839</v>
      </c>
      <c r="J13">
        <v>104015870</v>
      </c>
      <c r="K13">
        <v>90947171</v>
      </c>
      <c r="L13">
        <v>15493150</v>
      </c>
      <c r="M13">
        <v>44781532</v>
      </c>
      <c r="N13">
        <v>9333889</v>
      </c>
      <c r="O13">
        <v>39764778</v>
      </c>
      <c r="P13">
        <v>24333373</v>
      </c>
      <c r="Q13">
        <v>7058992</v>
      </c>
      <c r="R13">
        <v>4038555</v>
      </c>
      <c r="S13">
        <v>1985746</v>
      </c>
      <c r="T13">
        <v>3929799</v>
      </c>
      <c r="U13">
        <v>17268446</v>
      </c>
      <c r="V13">
        <v>867321</v>
      </c>
      <c r="W13">
        <v>22113450</v>
      </c>
      <c r="X13">
        <v>10047670</v>
      </c>
      <c r="Y13">
        <v>21128935</v>
      </c>
      <c r="Z13">
        <v>58178249</v>
      </c>
      <c r="AA13">
        <v>4846752</v>
      </c>
      <c r="AB13">
        <v>2727118</v>
      </c>
      <c r="AC13">
        <v>3463880</v>
      </c>
      <c r="AD13">
        <v>2748963</v>
      </c>
      <c r="AE13">
        <v>13972530</v>
      </c>
      <c r="AF13">
        <v>508603</v>
      </c>
      <c r="AG13">
        <v>5094733</v>
      </c>
      <c r="AH13">
        <v>2729901</v>
      </c>
      <c r="AI13">
        <v>5175165</v>
      </c>
      <c r="AJ13">
        <v>9194990</v>
      </c>
      <c r="AK13">
        <v>582062</v>
      </c>
      <c r="AL13">
        <v>4492520</v>
      </c>
      <c r="AM13">
        <v>2726385</v>
      </c>
      <c r="AN13">
        <v>4580721</v>
      </c>
      <c r="AO13">
        <v>20202672</v>
      </c>
      <c r="AP13">
        <v>893799</v>
      </c>
      <c r="AQ13">
        <v>9281207</v>
      </c>
      <c r="AR13">
        <v>5588340</v>
      </c>
      <c r="AS13">
        <v>9277619</v>
      </c>
      <c r="AT13">
        <v>22783593</v>
      </c>
      <c r="AU13">
        <v>2098882</v>
      </c>
      <c r="AV13">
        <v>24015993</v>
      </c>
      <c r="AW13">
        <v>25304578</v>
      </c>
      <c r="AX13">
        <v>25068580</v>
      </c>
      <c r="AY13">
        <v>101829255</v>
      </c>
      <c r="AZ13">
        <v>6660804</v>
      </c>
      <c r="BA13">
        <v>5718152</v>
      </c>
      <c r="BB13">
        <v>3218956</v>
      </c>
      <c r="BC13">
        <v>5431344</v>
      </c>
      <c r="BD13">
        <v>15021020</v>
      </c>
      <c r="BE13">
        <v>1645782</v>
      </c>
      <c r="BF13">
        <v>25965371</v>
      </c>
      <c r="BG13">
        <v>21571594</v>
      </c>
      <c r="BH13">
        <v>26238310</v>
      </c>
      <c r="BI13">
        <v>79266829</v>
      </c>
      <c r="BJ13">
        <v>3603822</v>
      </c>
      <c r="BK13">
        <v>23628146</v>
      </c>
      <c r="BL13">
        <v>16551184</v>
      </c>
      <c r="BM13">
        <v>23870775</v>
      </c>
      <c r="BN13">
        <v>71898244</v>
      </c>
      <c r="BO13">
        <v>2435223</v>
      </c>
      <c r="BP13">
        <v>738994</v>
      </c>
      <c r="BQ13">
        <v>1359064</v>
      </c>
      <c r="BR13">
        <v>749696</v>
      </c>
      <c r="BS13">
        <v>5391098</v>
      </c>
      <c r="BT13">
        <v>68518</v>
      </c>
      <c r="BU13">
        <v>3864225</v>
      </c>
      <c r="BV13">
        <v>8247934</v>
      </c>
      <c r="BW13">
        <v>3813729</v>
      </c>
      <c r="BX13">
        <v>69176054</v>
      </c>
      <c r="BY13">
        <v>402716</v>
      </c>
      <c r="BZ13">
        <v>7291410</v>
      </c>
      <c r="CA13">
        <v>8334023</v>
      </c>
      <c r="CB13">
        <v>6794651</v>
      </c>
      <c r="CC13">
        <v>61485526</v>
      </c>
      <c r="CD13">
        <v>1045300</v>
      </c>
      <c r="CE13">
        <v>22453285</v>
      </c>
      <c r="CF13">
        <v>15162725</v>
      </c>
      <c r="CG13">
        <v>20179229</v>
      </c>
      <c r="CH13">
        <v>120402682</v>
      </c>
      <c r="CI13">
        <v>3054571</v>
      </c>
      <c r="CJ13">
        <v>4494812</v>
      </c>
      <c r="CK13">
        <v>9986717</v>
      </c>
      <c r="CL13">
        <v>4214128</v>
      </c>
      <c r="CM13">
        <v>121926040</v>
      </c>
      <c r="CN13">
        <v>704759</v>
      </c>
      <c r="CO13">
        <v>2915022</v>
      </c>
      <c r="CP13">
        <v>15099252</v>
      </c>
      <c r="CQ13">
        <v>2637926</v>
      </c>
      <c r="CR13">
        <v>22134514</v>
      </c>
      <c r="CS13">
        <v>347526</v>
      </c>
      <c r="CT13">
        <v>12533666</v>
      </c>
      <c r="CU13">
        <v>6164964</v>
      </c>
      <c r="CV13">
        <v>11423040</v>
      </c>
      <c r="CW13">
        <v>20381828</v>
      </c>
      <c r="CX13">
        <v>3504256</v>
      </c>
      <c r="CY13">
        <v>13830777</v>
      </c>
      <c r="CZ13">
        <v>12450038</v>
      </c>
      <c r="DA13">
        <v>12742180</v>
      </c>
      <c r="DB13">
        <v>57205302</v>
      </c>
      <c r="DC13">
        <v>2746393</v>
      </c>
      <c r="DD13">
        <v>2271767</v>
      </c>
      <c r="DE13">
        <v>10067711</v>
      </c>
      <c r="DF13">
        <v>2654977</v>
      </c>
      <c r="DG13">
        <v>86069276</v>
      </c>
      <c r="DH13">
        <v>600296</v>
      </c>
      <c r="DI13">
        <v>936893</v>
      </c>
      <c r="DJ13">
        <v>3605351</v>
      </c>
      <c r="DK13">
        <v>953922</v>
      </c>
      <c r="DL13">
        <v>50894261</v>
      </c>
      <c r="DM13">
        <v>149755</v>
      </c>
      <c r="DN13">
        <v>119806</v>
      </c>
      <c r="DO13">
        <v>3251340</v>
      </c>
      <c r="DP13">
        <v>201090</v>
      </c>
      <c r="DQ13">
        <v>27748000</v>
      </c>
      <c r="DR13">
        <v>81114</v>
      </c>
      <c r="DS13">
        <v>334659</v>
      </c>
      <c r="DT13">
        <v>9106114</v>
      </c>
      <c r="DU13">
        <v>328779</v>
      </c>
      <c r="DV13">
        <v>21669860</v>
      </c>
      <c r="DW13">
        <v>58599</v>
      </c>
      <c r="DX13">
        <v>45859</v>
      </c>
      <c r="DY13">
        <v>847203</v>
      </c>
      <c r="DZ13">
        <v>62830</v>
      </c>
      <c r="EA13">
        <v>5532063</v>
      </c>
      <c r="EB13">
        <v>20017</v>
      </c>
      <c r="EC13">
        <v>249000</v>
      </c>
      <c r="ED13">
        <v>4960759</v>
      </c>
      <c r="EE13">
        <v>277552</v>
      </c>
      <c r="EF13">
        <v>35392394</v>
      </c>
      <c r="EG13">
        <v>78229</v>
      </c>
      <c r="EH13">
        <v>208994</v>
      </c>
      <c r="EI13">
        <v>7332899</v>
      </c>
      <c r="EJ13">
        <v>331176</v>
      </c>
      <c r="EK13">
        <v>42800951</v>
      </c>
      <c r="EL13">
        <v>77197</v>
      </c>
      <c r="EM13">
        <v>304523</v>
      </c>
      <c r="EN13">
        <v>1400320</v>
      </c>
      <c r="EO13">
        <v>314195</v>
      </c>
      <c r="EP13">
        <v>3779101</v>
      </c>
      <c r="EQ13">
        <v>84342</v>
      </c>
      <c r="ER13">
        <v>166653</v>
      </c>
      <c r="ES13">
        <v>1172616</v>
      </c>
      <c r="ET13">
        <v>224211</v>
      </c>
      <c r="EU13">
        <v>7245516</v>
      </c>
      <c r="EV13">
        <v>37094</v>
      </c>
      <c r="EW13">
        <v>9827618</v>
      </c>
      <c r="EX13">
        <v>13422660</v>
      </c>
      <c r="EY13">
        <v>9072791</v>
      </c>
      <c r="EZ13">
        <v>65193785</v>
      </c>
      <c r="FA13">
        <v>1819827</v>
      </c>
      <c r="FB13">
        <v>13306169</v>
      </c>
      <c r="FC13">
        <v>3928746</v>
      </c>
      <c r="FD13">
        <v>13030315</v>
      </c>
      <c r="FE13">
        <v>12457959</v>
      </c>
      <c r="FF13">
        <v>1388379</v>
      </c>
      <c r="FG13">
        <v>5407785</v>
      </c>
      <c r="FH13">
        <v>5027987</v>
      </c>
      <c r="FI13">
        <v>5615473</v>
      </c>
      <c r="FJ13">
        <v>19009324</v>
      </c>
      <c r="FK13">
        <v>1183594</v>
      </c>
    </row>
    <row r="14" spans="1:167" x14ac:dyDescent="0.4">
      <c r="A14" s="1" t="s">
        <v>16</v>
      </c>
      <c r="B14" s="1" t="s">
        <v>17</v>
      </c>
      <c r="C14">
        <v>9935</v>
      </c>
      <c r="D14">
        <v>39221</v>
      </c>
      <c r="E14">
        <v>21367</v>
      </c>
      <c r="F14">
        <v>720917</v>
      </c>
      <c r="G14">
        <v>122541</v>
      </c>
      <c r="H14">
        <v>9680114</v>
      </c>
      <c r="I14">
        <v>2096751</v>
      </c>
      <c r="J14">
        <v>8227388</v>
      </c>
      <c r="K14">
        <v>6380320</v>
      </c>
      <c r="L14">
        <v>15929877</v>
      </c>
      <c r="M14">
        <v>3873482</v>
      </c>
      <c r="N14">
        <v>820907</v>
      </c>
      <c r="O14">
        <v>3379813</v>
      </c>
      <c r="P14">
        <v>1958065</v>
      </c>
      <c r="Q14">
        <v>7912355</v>
      </c>
      <c r="R14">
        <v>389744</v>
      </c>
      <c r="S14">
        <v>169230</v>
      </c>
      <c r="T14">
        <v>348699</v>
      </c>
      <c r="U14">
        <v>1466557</v>
      </c>
      <c r="V14">
        <v>865348</v>
      </c>
      <c r="W14">
        <v>1501296</v>
      </c>
      <c r="X14">
        <v>1110137</v>
      </c>
      <c r="Y14">
        <v>2646305</v>
      </c>
      <c r="Z14">
        <v>5374607</v>
      </c>
      <c r="AA14">
        <v>5055423</v>
      </c>
      <c r="AB14">
        <v>252715</v>
      </c>
      <c r="AC14">
        <v>316326</v>
      </c>
      <c r="AD14">
        <v>227603</v>
      </c>
      <c r="AE14">
        <v>1283840</v>
      </c>
      <c r="AF14">
        <v>594908</v>
      </c>
      <c r="AG14">
        <v>521684</v>
      </c>
      <c r="AH14">
        <v>247129</v>
      </c>
      <c r="AI14">
        <v>487887</v>
      </c>
      <c r="AJ14">
        <v>786380</v>
      </c>
      <c r="AK14">
        <v>807705</v>
      </c>
      <c r="AL14">
        <v>385175</v>
      </c>
      <c r="AM14">
        <v>224693</v>
      </c>
      <c r="AN14">
        <v>391487</v>
      </c>
      <c r="AO14">
        <v>1576866</v>
      </c>
      <c r="AP14">
        <v>894109</v>
      </c>
      <c r="AQ14">
        <v>663927</v>
      </c>
      <c r="AR14">
        <v>495802</v>
      </c>
      <c r="AS14">
        <v>742672</v>
      </c>
      <c r="AT14">
        <v>1808850</v>
      </c>
      <c r="AU14">
        <v>1950676</v>
      </c>
      <c r="AV14">
        <v>2293452</v>
      </c>
      <c r="AW14">
        <v>2495890</v>
      </c>
      <c r="AX14">
        <v>2510471</v>
      </c>
      <c r="AY14">
        <v>9777133</v>
      </c>
      <c r="AZ14">
        <v>6799273</v>
      </c>
      <c r="BA14">
        <v>436168</v>
      </c>
      <c r="BB14">
        <v>646074</v>
      </c>
      <c r="BC14">
        <v>444358</v>
      </c>
      <c r="BD14">
        <v>1236783</v>
      </c>
      <c r="BE14">
        <v>1260713</v>
      </c>
      <c r="BF14">
        <v>2540206</v>
      </c>
      <c r="BG14">
        <v>2210644</v>
      </c>
      <c r="BH14">
        <v>2609212</v>
      </c>
      <c r="BI14">
        <v>7088199</v>
      </c>
      <c r="BJ14">
        <v>3664099</v>
      </c>
      <c r="BK14">
        <v>1947689</v>
      </c>
      <c r="BL14">
        <v>1418129</v>
      </c>
      <c r="BM14">
        <v>2048537</v>
      </c>
      <c r="BN14">
        <v>5788386</v>
      </c>
      <c r="BO14">
        <v>2544590</v>
      </c>
      <c r="BP14">
        <v>65273</v>
      </c>
      <c r="BQ14">
        <v>159859</v>
      </c>
      <c r="BR14">
        <v>64188</v>
      </c>
      <c r="BS14">
        <v>383883</v>
      </c>
      <c r="BT14">
        <v>71132</v>
      </c>
      <c r="BU14">
        <v>256948</v>
      </c>
      <c r="BV14">
        <v>546134</v>
      </c>
      <c r="BW14">
        <v>247723</v>
      </c>
      <c r="BX14">
        <v>5259932</v>
      </c>
      <c r="BY14">
        <v>411236</v>
      </c>
      <c r="BZ14">
        <v>560097</v>
      </c>
      <c r="CA14">
        <v>620464</v>
      </c>
      <c r="CB14">
        <v>539507</v>
      </c>
      <c r="CC14">
        <v>4904261</v>
      </c>
      <c r="CD14">
        <v>1235015</v>
      </c>
      <c r="CE14">
        <v>1986584</v>
      </c>
      <c r="CF14">
        <v>1495188</v>
      </c>
      <c r="CG14">
        <v>2191151</v>
      </c>
      <c r="CH14">
        <v>15557924</v>
      </c>
      <c r="CI14">
        <v>3589029</v>
      </c>
      <c r="CJ14">
        <v>462578</v>
      </c>
      <c r="CK14">
        <v>851595</v>
      </c>
      <c r="CL14">
        <v>407137</v>
      </c>
      <c r="CM14">
        <v>11293368</v>
      </c>
      <c r="CN14">
        <v>791894</v>
      </c>
      <c r="CO14">
        <v>192746</v>
      </c>
      <c r="CP14">
        <v>1430613</v>
      </c>
      <c r="CQ14">
        <v>159376</v>
      </c>
      <c r="CR14">
        <v>1457151</v>
      </c>
      <c r="CS14">
        <v>329852</v>
      </c>
      <c r="CT14">
        <v>1044996</v>
      </c>
      <c r="CU14">
        <v>610565</v>
      </c>
      <c r="CV14">
        <v>1118920</v>
      </c>
      <c r="CW14">
        <v>1930150</v>
      </c>
      <c r="CX14">
        <v>2524353</v>
      </c>
      <c r="CY14">
        <v>976026</v>
      </c>
      <c r="CZ14">
        <v>954541</v>
      </c>
      <c r="DA14">
        <v>896776</v>
      </c>
      <c r="DB14">
        <v>4055554</v>
      </c>
      <c r="DC14">
        <v>2720276</v>
      </c>
      <c r="DD14">
        <v>211607</v>
      </c>
      <c r="DE14">
        <v>912049</v>
      </c>
      <c r="DF14">
        <v>231296</v>
      </c>
      <c r="DG14">
        <v>7636257</v>
      </c>
      <c r="DH14">
        <v>653236</v>
      </c>
      <c r="DI14">
        <v>58632</v>
      </c>
      <c r="DJ14">
        <v>200394</v>
      </c>
      <c r="DK14">
        <v>35872</v>
      </c>
      <c r="DL14">
        <v>3281242</v>
      </c>
      <c r="DM14">
        <v>169038</v>
      </c>
      <c r="DN14">
        <v>10152</v>
      </c>
      <c r="DO14">
        <v>302116</v>
      </c>
      <c r="DP14">
        <v>23003</v>
      </c>
      <c r="DQ14">
        <v>2442842</v>
      </c>
      <c r="DR14">
        <v>103722</v>
      </c>
      <c r="DS14">
        <v>23727</v>
      </c>
      <c r="DT14">
        <v>595706</v>
      </c>
      <c r="DU14">
        <v>20655</v>
      </c>
      <c r="DV14">
        <v>1530269</v>
      </c>
      <c r="DW14">
        <v>36536</v>
      </c>
      <c r="DX14">
        <v>9342</v>
      </c>
      <c r="DY14">
        <v>164808</v>
      </c>
      <c r="DZ14">
        <v>10113</v>
      </c>
      <c r="EA14">
        <v>716309</v>
      </c>
      <c r="EB14">
        <v>22667</v>
      </c>
      <c r="EC14">
        <v>27640</v>
      </c>
      <c r="ED14">
        <v>431721</v>
      </c>
      <c r="EE14">
        <v>34392</v>
      </c>
      <c r="EF14">
        <v>3052999</v>
      </c>
      <c r="EG14">
        <v>91286</v>
      </c>
      <c r="EH14">
        <v>20282</v>
      </c>
      <c r="EI14">
        <v>704694</v>
      </c>
      <c r="EJ14">
        <v>40792</v>
      </c>
      <c r="EK14">
        <v>4214316</v>
      </c>
      <c r="EL14">
        <v>125416</v>
      </c>
      <c r="EM14">
        <v>14505</v>
      </c>
      <c r="EN14">
        <v>108850</v>
      </c>
      <c r="EO14">
        <v>23577</v>
      </c>
      <c r="EP14">
        <v>339289</v>
      </c>
      <c r="EQ14">
        <v>98772</v>
      </c>
      <c r="ER14">
        <v>10242</v>
      </c>
      <c r="ES14">
        <v>115549</v>
      </c>
      <c r="ET14">
        <v>18994</v>
      </c>
      <c r="EU14">
        <v>626587</v>
      </c>
      <c r="EV14">
        <v>31321</v>
      </c>
      <c r="EW14">
        <v>1452560</v>
      </c>
      <c r="EX14">
        <v>1811768</v>
      </c>
      <c r="EY14">
        <v>1274611</v>
      </c>
      <c r="EZ14">
        <v>8379101</v>
      </c>
      <c r="FA14">
        <v>1940209</v>
      </c>
      <c r="FB14">
        <v>1138024</v>
      </c>
      <c r="FC14">
        <v>294472</v>
      </c>
      <c r="FD14">
        <v>1069165</v>
      </c>
      <c r="FE14">
        <v>930780</v>
      </c>
      <c r="FF14">
        <v>1523993</v>
      </c>
      <c r="FG14">
        <v>610316</v>
      </c>
      <c r="FH14">
        <v>724472</v>
      </c>
      <c r="FI14">
        <v>881011</v>
      </c>
      <c r="FJ14">
        <v>2648871</v>
      </c>
      <c r="FK14">
        <v>1909734</v>
      </c>
    </row>
    <row r="15" spans="1:167" x14ac:dyDescent="0.4">
      <c r="A15" s="1" t="s">
        <v>18</v>
      </c>
      <c r="B15" s="1" t="s">
        <v>19</v>
      </c>
      <c r="C15">
        <v>15075</v>
      </c>
      <c r="D15">
        <v>55849</v>
      </c>
      <c r="E15">
        <v>26971</v>
      </c>
      <c r="F15">
        <v>836724</v>
      </c>
      <c r="G15">
        <v>124817</v>
      </c>
      <c r="H15">
        <v>9678400</v>
      </c>
      <c r="I15">
        <v>2173852</v>
      </c>
      <c r="J15">
        <v>8931170</v>
      </c>
      <c r="K15">
        <v>7347988</v>
      </c>
      <c r="L15">
        <v>16041308</v>
      </c>
      <c r="M15">
        <v>3626383</v>
      </c>
      <c r="N15">
        <v>833429</v>
      </c>
      <c r="O15">
        <v>3516353</v>
      </c>
      <c r="P15">
        <v>2332789</v>
      </c>
      <c r="Q15">
        <v>7611669</v>
      </c>
      <c r="R15">
        <v>336212</v>
      </c>
      <c r="S15">
        <v>175769</v>
      </c>
      <c r="T15">
        <v>347641</v>
      </c>
      <c r="U15">
        <v>1509480</v>
      </c>
      <c r="V15">
        <v>853668</v>
      </c>
      <c r="W15">
        <v>1514033</v>
      </c>
      <c r="X15">
        <v>1180065</v>
      </c>
      <c r="Y15">
        <v>2821173</v>
      </c>
      <c r="Z15">
        <v>6039497</v>
      </c>
      <c r="AA15">
        <v>4953197</v>
      </c>
      <c r="AB15">
        <v>211923</v>
      </c>
      <c r="AC15">
        <v>338024</v>
      </c>
      <c r="AD15">
        <v>258056</v>
      </c>
      <c r="AE15">
        <v>1340747</v>
      </c>
      <c r="AF15">
        <v>542996</v>
      </c>
      <c r="AG15">
        <v>461976</v>
      </c>
      <c r="AH15">
        <v>307850</v>
      </c>
      <c r="AI15">
        <v>515798</v>
      </c>
      <c r="AJ15">
        <v>857221</v>
      </c>
      <c r="AK15">
        <v>752975</v>
      </c>
      <c r="AL15">
        <v>400426</v>
      </c>
      <c r="AM15">
        <v>228804</v>
      </c>
      <c r="AN15">
        <v>416525</v>
      </c>
      <c r="AO15">
        <v>1488853</v>
      </c>
      <c r="AP15">
        <v>885064</v>
      </c>
      <c r="AQ15">
        <v>798140</v>
      </c>
      <c r="AR15">
        <v>464954</v>
      </c>
      <c r="AS15">
        <v>792334</v>
      </c>
      <c r="AT15">
        <v>1925550</v>
      </c>
      <c r="AU15">
        <v>1952299</v>
      </c>
      <c r="AV15">
        <v>2215187</v>
      </c>
      <c r="AW15">
        <v>2318627</v>
      </c>
      <c r="AX15">
        <v>2393121</v>
      </c>
      <c r="AY15">
        <v>9762581</v>
      </c>
      <c r="AZ15">
        <v>6638158</v>
      </c>
      <c r="BA15">
        <v>519575</v>
      </c>
      <c r="BB15">
        <v>327372</v>
      </c>
      <c r="BC15">
        <v>490518</v>
      </c>
      <c r="BD15">
        <v>1382480</v>
      </c>
      <c r="BE15">
        <v>1277645</v>
      </c>
      <c r="BF15">
        <v>2246280</v>
      </c>
      <c r="BG15">
        <v>1862299</v>
      </c>
      <c r="BH15">
        <v>2154591</v>
      </c>
      <c r="BI15">
        <v>5743654</v>
      </c>
      <c r="BJ15">
        <v>3556298</v>
      </c>
      <c r="BK15">
        <v>2161826</v>
      </c>
      <c r="BL15">
        <v>1478547</v>
      </c>
      <c r="BM15">
        <v>2144063</v>
      </c>
      <c r="BN15">
        <v>5944018</v>
      </c>
      <c r="BO15">
        <v>2553886</v>
      </c>
      <c r="BP15">
        <v>56664</v>
      </c>
      <c r="BQ15">
        <v>152065</v>
      </c>
      <c r="BR15">
        <v>55059</v>
      </c>
      <c r="BS15">
        <v>476048</v>
      </c>
      <c r="BT15">
        <v>72448</v>
      </c>
      <c r="BU15">
        <v>259317</v>
      </c>
      <c r="BV15">
        <v>592102</v>
      </c>
      <c r="BW15">
        <v>268494</v>
      </c>
      <c r="BX15">
        <v>4656338</v>
      </c>
      <c r="BY15">
        <v>397918</v>
      </c>
      <c r="BZ15">
        <v>528128</v>
      </c>
      <c r="CA15">
        <v>520862</v>
      </c>
      <c r="CB15">
        <v>442628</v>
      </c>
      <c r="CC15">
        <v>3783025</v>
      </c>
      <c r="CD15">
        <v>1284176</v>
      </c>
      <c r="CE15">
        <v>2126584</v>
      </c>
      <c r="CF15">
        <v>1342421</v>
      </c>
      <c r="CG15">
        <v>1997311</v>
      </c>
      <c r="CH15">
        <v>9430282</v>
      </c>
      <c r="CI15">
        <v>3623720</v>
      </c>
      <c r="CJ15">
        <v>482236</v>
      </c>
      <c r="CK15">
        <v>914031</v>
      </c>
      <c r="CL15">
        <v>456071</v>
      </c>
      <c r="CM15">
        <v>12450082</v>
      </c>
      <c r="CN15">
        <v>742159</v>
      </c>
      <c r="CO15">
        <v>183245</v>
      </c>
      <c r="CP15">
        <v>916541</v>
      </c>
      <c r="CQ15">
        <v>197076</v>
      </c>
      <c r="CR15">
        <v>1640180</v>
      </c>
      <c r="CS15">
        <v>295604</v>
      </c>
      <c r="CT15">
        <v>1091329</v>
      </c>
      <c r="CU15">
        <v>540682</v>
      </c>
      <c r="CV15">
        <v>1036696</v>
      </c>
      <c r="CW15">
        <v>1704137</v>
      </c>
      <c r="CX15">
        <v>2557766</v>
      </c>
      <c r="CY15">
        <v>745900</v>
      </c>
      <c r="CZ15">
        <v>862161</v>
      </c>
      <c r="DA15">
        <v>849402</v>
      </c>
      <c r="DB15">
        <v>3783240</v>
      </c>
      <c r="DC15">
        <v>2267791</v>
      </c>
      <c r="DD15">
        <v>191119</v>
      </c>
      <c r="DE15">
        <v>950428</v>
      </c>
      <c r="DF15">
        <v>237139</v>
      </c>
      <c r="DG15">
        <v>7851129</v>
      </c>
      <c r="DH15">
        <v>627580</v>
      </c>
      <c r="DI15">
        <v>68503</v>
      </c>
      <c r="DJ15">
        <v>261428</v>
      </c>
      <c r="DK15">
        <v>57109</v>
      </c>
      <c r="DL15">
        <v>3732373</v>
      </c>
      <c r="DM15">
        <v>182247</v>
      </c>
      <c r="DN15">
        <v>9635</v>
      </c>
      <c r="DO15">
        <v>326885</v>
      </c>
      <c r="DP15">
        <v>17113</v>
      </c>
      <c r="DQ15">
        <v>2485606</v>
      </c>
      <c r="DR15">
        <v>107066</v>
      </c>
      <c r="DS15">
        <v>27888</v>
      </c>
      <c r="DT15">
        <v>660013</v>
      </c>
      <c r="DU15">
        <v>21659</v>
      </c>
      <c r="DV15">
        <v>1548895</v>
      </c>
      <c r="DW15">
        <v>42617</v>
      </c>
      <c r="DX15">
        <v>6038</v>
      </c>
      <c r="DY15">
        <v>104846</v>
      </c>
      <c r="DZ15">
        <v>6482</v>
      </c>
      <c r="EA15">
        <v>544405</v>
      </c>
      <c r="EB15">
        <v>22459</v>
      </c>
      <c r="EC15">
        <v>19889</v>
      </c>
      <c r="ED15">
        <v>499536</v>
      </c>
      <c r="EE15">
        <v>18326</v>
      </c>
      <c r="EF15">
        <v>3275420</v>
      </c>
      <c r="EG15">
        <v>95342</v>
      </c>
      <c r="EH15">
        <v>21719</v>
      </c>
      <c r="EI15">
        <v>811736</v>
      </c>
      <c r="EJ15">
        <v>46929</v>
      </c>
      <c r="EK15">
        <v>4953819</v>
      </c>
      <c r="EL15">
        <v>114873</v>
      </c>
      <c r="EM15">
        <v>47693</v>
      </c>
      <c r="EN15">
        <v>161122</v>
      </c>
      <c r="EO15">
        <v>36813</v>
      </c>
      <c r="EP15">
        <v>463528</v>
      </c>
      <c r="EQ15">
        <v>109475</v>
      </c>
      <c r="ER15">
        <v>16016</v>
      </c>
      <c r="ES15">
        <v>113640</v>
      </c>
      <c r="ET15">
        <v>20135</v>
      </c>
      <c r="EU15">
        <v>652040</v>
      </c>
      <c r="EV15">
        <v>30740</v>
      </c>
      <c r="EW15">
        <v>985741</v>
      </c>
      <c r="EX15">
        <v>1718294</v>
      </c>
      <c r="EY15">
        <v>1171010</v>
      </c>
      <c r="EZ15">
        <v>8394740</v>
      </c>
      <c r="FA15">
        <v>1617206</v>
      </c>
      <c r="FB15">
        <v>1085863</v>
      </c>
      <c r="FC15">
        <v>292009</v>
      </c>
      <c r="FD15">
        <v>1059081</v>
      </c>
      <c r="FE15">
        <v>661893</v>
      </c>
      <c r="FF15">
        <v>1538692</v>
      </c>
      <c r="FG15">
        <v>572117</v>
      </c>
      <c r="FH15">
        <v>550486</v>
      </c>
      <c r="FI15">
        <v>604690</v>
      </c>
      <c r="FJ15">
        <v>1895556</v>
      </c>
      <c r="FK15">
        <v>1848861</v>
      </c>
    </row>
    <row r="16" spans="1:167" x14ac:dyDescent="0.4">
      <c r="A16" s="1" t="s">
        <v>20</v>
      </c>
      <c r="B16" s="1" t="s">
        <v>21</v>
      </c>
      <c r="C16">
        <v>10540</v>
      </c>
      <c r="D16">
        <v>41719</v>
      </c>
      <c r="E16">
        <v>19707</v>
      </c>
      <c r="F16">
        <v>614199</v>
      </c>
      <c r="G16">
        <v>123065</v>
      </c>
      <c r="H16">
        <v>9834294</v>
      </c>
      <c r="I16">
        <v>2282553</v>
      </c>
      <c r="J16">
        <v>8872088</v>
      </c>
      <c r="K16">
        <v>6981091</v>
      </c>
      <c r="L16">
        <v>16235519</v>
      </c>
      <c r="M16">
        <v>3740924</v>
      </c>
      <c r="N16">
        <v>801954</v>
      </c>
      <c r="O16">
        <v>3590889</v>
      </c>
      <c r="P16">
        <v>2049880</v>
      </c>
      <c r="Q16">
        <v>7391978</v>
      </c>
      <c r="R16">
        <v>322326</v>
      </c>
      <c r="S16">
        <v>168908</v>
      </c>
      <c r="T16">
        <v>320141</v>
      </c>
      <c r="U16">
        <v>1379966</v>
      </c>
      <c r="V16">
        <v>854767</v>
      </c>
      <c r="W16">
        <v>1609660</v>
      </c>
      <c r="X16">
        <v>1077560</v>
      </c>
      <c r="Y16">
        <v>2713968</v>
      </c>
      <c r="Z16">
        <v>5590495</v>
      </c>
      <c r="AA16">
        <v>4853201</v>
      </c>
      <c r="AB16">
        <v>224970</v>
      </c>
      <c r="AC16">
        <v>252255</v>
      </c>
      <c r="AD16">
        <v>193626</v>
      </c>
      <c r="AE16">
        <v>1030204</v>
      </c>
      <c r="AF16">
        <v>566618</v>
      </c>
      <c r="AG16">
        <v>439341</v>
      </c>
      <c r="AH16">
        <v>259806</v>
      </c>
      <c r="AI16">
        <v>469821</v>
      </c>
      <c r="AJ16">
        <v>760544</v>
      </c>
      <c r="AK16">
        <v>720197</v>
      </c>
      <c r="AL16">
        <v>441941</v>
      </c>
      <c r="AM16">
        <v>228600</v>
      </c>
      <c r="AN16">
        <v>394338</v>
      </c>
      <c r="AO16">
        <v>1526310</v>
      </c>
      <c r="AP16">
        <v>927857</v>
      </c>
      <c r="AQ16">
        <v>793576</v>
      </c>
      <c r="AR16">
        <v>459098</v>
      </c>
      <c r="AS16">
        <v>745151</v>
      </c>
      <c r="AT16">
        <v>1787656</v>
      </c>
      <c r="AU16">
        <v>1998430</v>
      </c>
      <c r="AV16">
        <v>2213606</v>
      </c>
      <c r="AW16">
        <v>2016293</v>
      </c>
      <c r="AX16">
        <v>2046009</v>
      </c>
      <c r="AY16">
        <v>8288225</v>
      </c>
      <c r="AZ16">
        <v>6899841</v>
      </c>
      <c r="BA16">
        <v>503757</v>
      </c>
      <c r="BB16">
        <v>264368</v>
      </c>
      <c r="BC16">
        <v>505177</v>
      </c>
      <c r="BD16">
        <v>1336741</v>
      </c>
      <c r="BE16">
        <v>1262753</v>
      </c>
      <c r="BF16">
        <v>1918886</v>
      </c>
      <c r="BG16">
        <v>1787726</v>
      </c>
      <c r="BH16">
        <v>2116143</v>
      </c>
      <c r="BI16">
        <v>5805050</v>
      </c>
      <c r="BJ16">
        <v>3399626</v>
      </c>
      <c r="BK16">
        <v>1997610</v>
      </c>
      <c r="BL16">
        <v>1386896</v>
      </c>
      <c r="BM16">
        <v>2097217</v>
      </c>
      <c r="BN16">
        <v>5952360</v>
      </c>
      <c r="BO16">
        <v>2456098</v>
      </c>
      <c r="BP16">
        <v>73959</v>
      </c>
      <c r="BQ16">
        <v>127371</v>
      </c>
      <c r="BR16">
        <v>67078</v>
      </c>
      <c r="BS16">
        <v>387435</v>
      </c>
      <c r="BT16">
        <v>79387</v>
      </c>
      <c r="BU16">
        <v>273976</v>
      </c>
      <c r="BV16">
        <v>705710</v>
      </c>
      <c r="BW16">
        <v>250767</v>
      </c>
      <c r="BX16">
        <v>4567853</v>
      </c>
      <c r="BY16">
        <v>427110</v>
      </c>
      <c r="BZ16">
        <v>520939</v>
      </c>
      <c r="CA16">
        <v>515676</v>
      </c>
      <c r="CB16">
        <v>483482</v>
      </c>
      <c r="CC16">
        <v>4148992</v>
      </c>
      <c r="CD16">
        <v>1286260</v>
      </c>
      <c r="CE16">
        <v>2128094</v>
      </c>
      <c r="CF16">
        <v>1204646</v>
      </c>
      <c r="CG16">
        <v>1924444</v>
      </c>
      <c r="CH16">
        <v>8774642</v>
      </c>
      <c r="CI16">
        <v>3652094</v>
      </c>
      <c r="CJ16">
        <v>371361</v>
      </c>
      <c r="CK16">
        <v>807549</v>
      </c>
      <c r="CL16">
        <v>332817</v>
      </c>
      <c r="CM16">
        <v>8027787</v>
      </c>
      <c r="CN16">
        <v>831948</v>
      </c>
      <c r="CO16">
        <v>230862</v>
      </c>
      <c r="CP16">
        <v>1054312</v>
      </c>
      <c r="CQ16">
        <v>211519</v>
      </c>
      <c r="CR16">
        <v>1662921</v>
      </c>
      <c r="CS16">
        <v>319620</v>
      </c>
      <c r="CT16">
        <v>1252313</v>
      </c>
      <c r="CU16">
        <v>524071</v>
      </c>
      <c r="CV16">
        <v>1035783</v>
      </c>
      <c r="CW16">
        <v>1650812</v>
      </c>
      <c r="CX16">
        <v>2754778</v>
      </c>
      <c r="CY16">
        <v>852306</v>
      </c>
      <c r="CZ16">
        <v>888023</v>
      </c>
      <c r="DA16">
        <v>883825</v>
      </c>
      <c r="DB16">
        <v>3995677</v>
      </c>
      <c r="DC16">
        <v>2194390</v>
      </c>
      <c r="DD16">
        <v>174274</v>
      </c>
      <c r="DE16">
        <v>815161</v>
      </c>
      <c r="DF16">
        <v>202016</v>
      </c>
      <c r="DG16">
        <v>6951037</v>
      </c>
      <c r="DH16">
        <v>624954</v>
      </c>
      <c r="DI16">
        <v>77837</v>
      </c>
      <c r="DJ16">
        <v>259576</v>
      </c>
      <c r="DK16">
        <v>72576</v>
      </c>
      <c r="DL16">
        <v>4428873</v>
      </c>
      <c r="DM16">
        <v>188044</v>
      </c>
      <c r="DN16">
        <v>10398</v>
      </c>
      <c r="DO16">
        <v>255677</v>
      </c>
      <c r="DP16">
        <v>13010</v>
      </c>
      <c r="DQ16">
        <v>2133300</v>
      </c>
      <c r="DR16">
        <v>113937</v>
      </c>
      <c r="DS16">
        <v>25128</v>
      </c>
      <c r="DT16">
        <v>707568</v>
      </c>
      <c r="DU16">
        <v>23147</v>
      </c>
      <c r="DV16">
        <v>1815320</v>
      </c>
      <c r="DW16">
        <v>44275</v>
      </c>
      <c r="DX16">
        <v>7281</v>
      </c>
      <c r="DY16">
        <v>110150</v>
      </c>
      <c r="DZ16">
        <v>6859</v>
      </c>
      <c r="EA16">
        <v>456463</v>
      </c>
      <c r="EB16">
        <v>23322</v>
      </c>
      <c r="EC16">
        <v>27004</v>
      </c>
      <c r="ED16">
        <v>382573</v>
      </c>
      <c r="EE16">
        <v>30587</v>
      </c>
      <c r="EF16">
        <v>2392094</v>
      </c>
      <c r="EG16">
        <v>93764</v>
      </c>
      <c r="EH16">
        <v>20583</v>
      </c>
      <c r="EI16">
        <v>578438</v>
      </c>
      <c r="EJ16">
        <v>24344</v>
      </c>
      <c r="EK16">
        <v>3086128</v>
      </c>
      <c r="EL16">
        <v>120496</v>
      </c>
      <c r="EM16">
        <v>24938</v>
      </c>
      <c r="EN16">
        <v>112106</v>
      </c>
      <c r="EO16">
        <v>30523</v>
      </c>
      <c r="EP16">
        <v>287400</v>
      </c>
      <c r="EQ16">
        <v>105941</v>
      </c>
      <c r="ER16">
        <v>15428</v>
      </c>
      <c r="ES16">
        <v>108413</v>
      </c>
      <c r="ET16">
        <v>21534</v>
      </c>
      <c r="EU16">
        <v>833986</v>
      </c>
      <c r="EV16">
        <v>27096</v>
      </c>
      <c r="EW16">
        <v>833257</v>
      </c>
      <c r="EX16">
        <v>1444709</v>
      </c>
      <c r="EY16">
        <v>965636</v>
      </c>
      <c r="EZ16">
        <v>6847587</v>
      </c>
      <c r="FA16">
        <v>1452345</v>
      </c>
      <c r="FB16">
        <v>1052824</v>
      </c>
      <c r="FC16">
        <v>287340</v>
      </c>
      <c r="FD16">
        <v>954345</v>
      </c>
      <c r="FE16">
        <v>953260</v>
      </c>
      <c r="FF16">
        <v>1627373</v>
      </c>
      <c r="FG16">
        <v>666208</v>
      </c>
      <c r="FH16">
        <v>539948</v>
      </c>
      <c r="FI16">
        <v>618003</v>
      </c>
      <c r="FJ16">
        <v>1962929</v>
      </c>
      <c r="FK16">
        <v>1864502</v>
      </c>
    </row>
    <row r="17" spans="1:167" x14ac:dyDescent="0.4">
      <c r="A17" s="1" t="s">
        <v>22</v>
      </c>
      <c r="B17" s="1" t="s">
        <v>23</v>
      </c>
      <c r="C17">
        <v>8834</v>
      </c>
      <c r="D17">
        <v>33258</v>
      </c>
      <c r="E17">
        <v>22373</v>
      </c>
      <c r="F17">
        <v>709888</v>
      </c>
      <c r="G17">
        <v>118137</v>
      </c>
      <c r="H17">
        <v>9635384</v>
      </c>
      <c r="I17">
        <v>2246273</v>
      </c>
      <c r="J17">
        <v>9260690</v>
      </c>
      <c r="K17">
        <v>7752645</v>
      </c>
      <c r="L17">
        <v>15816816</v>
      </c>
      <c r="M17">
        <v>3799917</v>
      </c>
      <c r="N17">
        <v>785296</v>
      </c>
      <c r="O17">
        <v>3399410</v>
      </c>
      <c r="P17">
        <v>1971168</v>
      </c>
      <c r="Q17">
        <v>7404436</v>
      </c>
      <c r="R17">
        <v>338033</v>
      </c>
      <c r="S17">
        <v>175201</v>
      </c>
      <c r="T17">
        <v>363206</v>
      </c>
      <c r="U17">
        <v>1514517</v>
      </c>
      <c r="V17">
        <v>829626</v>
      </c>
      <c r="W17">
        <v>1446081</v>
      </c>
      <c r="X17">
        <v>1046635</v>
      </c>
      <c r="Y17">
        <v>2813001</v>
      </c>
      <c r="Z17">
        <v>5986609</v>
      </c>
      <c r="AA17">
        <v>4583433</v>
      </c>
      <c r="AB17">
        <v>198842</v>
      </c>
      <c r="AC17">
        <v>279169</v>
      </c>
      <c r="AD17">
        <v>213461</v>
      </c>
      <c r="AE17">
        <v>1121539</v>
      </c>
      <c r="AF17">
        <v>551976</v>
      </c>
      <c r="AG17">
        <v>370785</v>
      </c>
      <c r="AH17">
        <v>229149</v>
      </c>
      <c r="AI17">
        <v>417522</v>
      </c>
      <c r="AJ17">
        <v>728006</v>
      </c>
      <c r="AK17">
        <v>669279</v>
      </c>
      <c r="AL17">
        <v>391780</v>
      </c>
      <c r="AM17">
        <v>232023</v>
      </c>
      <c r="AN17">
        <v>398034</v>
      </c>
      <c r="AO17">
        <v>1496894</v>
      </c>
      <c r="AP17">
        <v>918474</v>
      </c>
      <c r="AQ17">
        <v>745505</v>
      </c>
      <c r="AR17">
        <v>466894</v>
      </c>
      <c r="AS17">
        <v>764754</v>
      </c>
      <c r="AT17">
        <v>1808186</v>
      </c>
      <c r="AU17">
        <v>1975806</v>
      </c>
      <c r="AV17">
        <v>2191994</v>
      </c>
      <c r="AW17">
        <v>2071800</v>
      </c>
      <c r="AX17">
        <v>2082118</v>
      </c>
      <c r="AY17">
        <v>8303569</v>
      </c>
      <c r="AZ17">
        <v>6992022</v>
      </c>
      <c r="BA17">
        <v>493337</v>
      </c>
      <c r="BB17">
        <v>650788</v>
      </c>
      <c r="BC17">
        <v>485232</v>
      </c>
      <c r="BD17">
        <v>1362183</v>
      </c>
      <c r="BE17">
        <v>1245748</v>
      </c>
      <c r="BF17">
        <v>2239565</v>
      </c>
      <c r="BG17">
        <v>1905665</v>
      </c>
      <c r="BH17">
        <v>2200181</v>
      </c>
      <c r="BI17">
        <v>6371484</v>
      </c>
      <c r="BJ17">
        <v>3528709</v>
      </c>
      <c r="BK17">
        <v>1917646</v>
      </c>
      <c r="BL17">
        <v>1400253</v>
      </c>
      <c r="BM17">
        <v>1971624</v>
      </c>
      <c r="BN17">
        <v>6056551</v>
      </c>
      <c r="BO17">
        <v>2422494</v>
      </c>
      <c r="BP17">
        <v>99684</v>
      </c>
      <c r="BQ17">
        <v>96066</v>
      </c>
      <c r="BR17">
        <v>94438</v>
      </c>
      <c r="BS17">
        <v>494837</v>
      </c>
      <c r="BT17">
        <v>84109</v>
      </c>
      <c r="BU17">
        <v>314125</v>
      </c>
      <c r="BV17">
        <v>615539</v>
      </c>
      <c r="BW17">
        <v>296280</v>
      </c>
      <c r="BX17">
        <v>4575652</v>
      </c>
      <c r="BY17">
        <v>434265</v>
      </c>
      <c r="BZ17">
        <v>529886</v>
      </c>
      <c r="CA17">
        <v>647393</v>
      </c>
      <c r="CB17">
        <v>534360</v>
      </c>
      <c r="CC17">
        <v>4548601</v>
      </c>
      <c r="CD17">
        <v>1245753</v>
      </c>
      <c r="CE17">
        <v>2063462</v>
      </c>
      <c r="CF17">
        <v>1342964</v>
      </c>
      <c r="CG17">
        <v>1915261</v>
      </c>
      <c r="CH17">
        <v>8216943</v>
      </c>
      <c r="CI17">
        <v>3636301</v>
      </c>
      <c r="CJ17">
        <v>368183</v>
      </c>
      <c r="CK17">
        <v>800295</v>
      </c>
      <c r="CL17">
        <v>354487</v>
      </c>
      <c r="CM17">
        <v>8740302</v>
      </c>
      <c r="CN17">
        <v>797163</v>
      </c>
      <c r="CO17">
        <v>207387</v>
      </c>
      <c r="CP17">
        <v>1493752</v>
      </c>
      <c r="CQ17">
        <v>207658</v>
      </c>
      <c r="CR17">
        <v>1793077</v>
      </c>
      <c r="CS17">
        <v>306983</v>
      </c>
      <c r="CT17">
        <v>1072318</v>
      </c>
      <c r="CU17">
        <v>838259</v>
      </c>
      <c r="CV17">
        <v>1740081</v>
      </c>
      <c r="CW17">
        <v>2548591</v>
      </c>
      <c r="CX17">
        <v>2041942</v>
      </c>
      <c r="CY17">
        <v>1063030</v>
      </c>
      <c r="CZ17">
        <v>960620</v>
      </c>
      <c r="DA17">
        <v>841800</v>
      </c>
      <c r="DB17">
        <v>3477577</v>
      </c>
      <c r="DC17">
        <v>2367899</v>
      </c>
      <c r="DD17">
        <v>201456</v>
      </c>
      <c r="DE17">
        <v>840426</v>
      </c>
      <c r="DF17">
        <v>211618</v>
      </c>
      <c r="DG17">
        <v>6563474</v>
      </c>
      <c r="DH17">
        <v>655317</v>
      </c>
      <c r="DI17">
        <v>76276</v>
      </c>
      <c r="DJ17">
        <v>365492</v>
      </c>
      <c r="DK17">
        <v>92936</v>
      </c>
      <c r="DL17">
        <v>5058742</v>
      </c>
      <c r="DM17">
        <v>172622</v>
      </c>
      <c r="DN17">
        <v>11713</v>
      </c>
      <c r="DO17">
        <v>284239</v>
      </c>
      <c r="DP17">
        <v>19009</v>
      </c>
      <c r="DQ17">
        <v>2471114</v>
      </c>
      <c r="DR17">
        <v>115078</v>
      </c>
      <c r="DS17">
        <v>30915</v>
      </c>
      <c r="DT17">
        <v>651587</v>
      </c>
      <c r="DU17">
        <v>24113</v>
      </c>
      <c r="DV17">
        <v>1086324</v>
      </c>
      <c r="DW17">
        <v>48589</v>
      </c>
      <c r="DX17">
        <v>8359</v>
      </c>
      <c r="DY17">
        <v>92242</v>
      </c>
      <c r="DZ17">
        <v>6960</v>
      </c>
      <c r="EA17">
        <v>447363</v>
      </c>
      <c r="EB17">
        <v>24499</v>
      </c>
      <c r="EC17">
        <v>29166</v>
      </c>
      <c r="ED17">
        <v>428047</v>
      </c>
      <c r="EE17">
        <v>33180</v>
      </c>
      <c r="EF17">
        <v>2852309</v>
      </c>
      <c r="EG17">
        <v>90561</v>
      </c>
      <c r="EH17">
        <v>19447</v>
      </c>
      <c r="EI17">
        <v>647174</v>
      </c>
      <c r="EJ17">
        <v>27368</v>
      </c>
      <c r="EK17">
        <v>3520409</v>
      </c>
      <c r="EL17">
        <v>116371</v>
      </c>
      <c r="EM17">
        <v>37918</v>
      </c>
      <c r="EN17">
        <v>110629</v>
      </c>
      <c r="EO17">
        <v>32745</v>
      </c>
      <c r="EP17">
        <v>243040</v>
      </c>
      <c r="EQ17">
        <v>110919</v>
      </c>
      <c r="ER17">
        <v>14435</v>
      </c>
      <c r="ES17">
        <v>114358</v>
      </c>
      <c r="ET17">
        <v>18461</v>
      </c>
      <c r="EU17">
        <v>559915</v>
      </c>
      <c r="EV17">
        <v>26075</v>
      </c>
      <c r="EW17">
        <v>647707</v>
      </c>
      <c r="EX17">
        <v>1191158</v>
      </c>
      <c r="EY17">
        <v>770325</v>
      </c>
      <c r="EZ17">
        <v>6033973</v>
      </c>
      <c r="FA17">
        <v>1278682</v>
      </c>
      <c r="FB17">
        <v>1052666</v>
      </c>
      <c r="FC17">
        <v>265067</v>
      </c>
      <c r="FD17">
        <v>832520</v>
      </c>
      <c r="FE17">
        <v>849822</v>
      </c>
      <c r="FF17">
        <v>1837086</v>
      </c>
      <c r="FG17">
        <v>869012</v>
      </c>
      <c r="FH17">
        <v>587659</v>
      </c>
      <c r="FI17">
        <v>722509</v>
      </c>
      <c r="FJ17">
        <v>2025982</v>
      </c>
      <c r="FK17">
        <v>1961695</v>
      </c>
    </row>
    <row r="18" spans="1:167" x14ac:dyDescent="0.4">
      <c r="A18" s="1" t="s">
        <v>24</v>
      </c>
      <c r="B18" s="1" t="s">
        <v>25</v>
      </c>
      <c r="C18">
        <v>12820</v>
      </c>
      <c r="D18">
        <v>36273</v>
      </c>
      <c r="E18">
        <v>21063</v>
      </c>
      <c r="F18">
        <v>654157</v>
      </c>
      <c r="G18">
        <v>119070</v>
      </c>
      <c r="H18">
        <v>10356327</v>
      </c>
      <c r="I18">
        <v>2228025</v>
      </c>
      <c r="J18">
        <v>9133746</v>
      </c>
      <c r="K18">
        <v>7469199</v>
      </c>
      <c r="L18">
        <v>16315114</v>
      </c>
      <c r="M18">
        <v>4756467</v>
      </c>
      <c r="N18">
        <v>920105</v>
      </c>
      <c r="O18">
        <v>3937525</v>
      </c>
      <c r="P18">
        <v>2439372</v>
      </c>
      <c r="Q18">
        <v>7895538</v>
      </c>
      <c r="R18">
        <v>362728</v>
      </c>
      <c r="S18">
        <v>181920</v>
      </c>
      <c r="T18">
        <v>368326</v>
      </c>
      <c r="U18">
        <v>1526693</v>
      </c>
      <c r="V18">
        <v>822884</v>
      </c>
      <c r="W18">
        <v>2040276</v>
      </c>
      <c r="X18">
        <v>1153161</v>
      </c>
      <c r="Y18">
        <v>3010437</v>
      </c>
      <c r="Z18">
        <v>5936302</v>
      </c>
      <c r="AA18">
        <v>4680151</v>
      </c>
      <c r="AB18">
        <v>303422</v>
      </c>
      <c r="AC18">
        <v>372629</v>
      </c>
      <c r="AD18">
        <v>300569</v>
      </c>
      <c r="AE18">
        <v>1335907</v>
      </c>
      <c r="AF18">
        <v>550970</v>
      </c>
      <c r="AG18">
        <v>573200</v>
      </c>
      <c r="AH18">
        <v>307328</v>
      </c>
      <c r="AI18">
        <v>483866</v>
      </c>
      <c r="AJ18">
        <v>873946</v>
      </c>
      <c r="AK18">
        <v>757841</v>
      </c>
      <c r="AL18">
        <v>388184</v>
      </c>
      <c r="AM18">
        <v>238580</v>
      </c>
      <c r="AN18">
        <v>425496</v>
      </c>
      <c r="AO18">
        <v>1581176</v>
      </c>
      <c r="AP18">
        <v>888772</v>
      </c>
      <c r="AQ18">
        <v>875516</v>
      </c>
      <c r="AR18">
        <v>500468</v>
      </c>
      <c r="AS18">
        <v>831969</v>
      </c>
      <c r="AT18">
        <v>2030169</v>
      </c>
      <c r="AU18">
        <v>2016335</v>
      </c>
      <c r="AV18">
        <v>2189377</v>
      </c>
      <c r="AW18">
        <v>2132225</v>
      </c>
      <c r="AX18">
        <v>2199980</v>
      </c>
      <c r="AY18">
        <v>8686824</v>
      </c>
      <c r="AZ18">
        <v>6973705</v>
      </c>
      <c r="BA18">
        <v>717306</v>
      </c>
      <c r="BB18">
        <v>278791</v>
      </c>
      <c r="BC18">
        <v>475978</v>
      </c>
      <c r="BD18">
        <v>1298925</v>
      </c>
      <c r="BE18">
        <v>1446598</v>
      </c>
      <c r="BF18">
        <v>2353085</v>
      </c>
      <c r="BG18">
        <v>1997800</v>
      </c>
      <c r="BH18">
        <v>2304734</v>
      </c>
      <c r="BI18">
        <v>6584808</v>
      </c>
      <c r="BJ18">
        <v>3621535</v>
      </c>
      <c r="BK18">
        <v>2175919</v>
      </c>
      <c r="BL18">
        <v>1388066</v>
      </c>
      <c r="BM18">
        <v>1959022</v>
      </c>
      <c r="BN18">
        <v>6392009</v>
      </c>
      <c r="BO18">
        <v>2627165</v>
      </c>
      <c r="BP18">
        <v>57232</v>
      </c>
      <c r="BQ18">
        <v>116042</v>
      </c>
      <c r="BR18">
        <v>58876</v>
      </c>
      <c r="BS18">
        <v>474698</v>
      </c>
      <c r="BT18">
        <v>82246</v>
      </c>
      <c r="BU18">
        <v>332357</v>
      </c>
      <c r="BV18">
        <v>715977</v>
      </c>
      <c r="BW18">
        <v>316976</v>
      </c>
      <c r="BX18">
        <v>5428226</v>
      </c>
      <c r="BY18">
        <v>450501</v>
      </c>
      <c r="BZ18">
        <v>530636</v>
      </c>
      <c r="CA18">
        <v>645816</v>
      </c>
      <c r="CB18">
        <v>502492</v>
      </c>
      <c r="CC18">
        <v>5482757</v>
      </c>
      <c r="CD18">
        <v>1242664</v>
      </c>
      <c r="CE18">
        <v>2251232</v>
      </c>
      <c r="CF18">
        <v>1453489</v>
      </c>
      <c r="CG18">
        <v>2155495</v>
      </c>
      <c r="CH18">
        <v>10795304</v>
      </c>
      <c r="CI18">
        <v>3647765</v>
      </c>
      <c r="CJ18">
        <v>508908</v>
      </c>
      <c r="CK18">
        <v>861440</v>
      </c>
      <c r="CL18">
        <v>481807</v>
      </c>
      <c r="CM18">
        <v>10760341</v>
      </c>
      <c r="CN18">
        <v>812753</v>
      </c>
      <c r="CO18">
        <v>249615</v>
      </c>
      <c r="CP18">
        <v>1407820</v>
      </c>
      <c r="CQ18">
        <v>222968</v>
      </c>
      <c r="CR18">
        <v>1869231</v>
      </c>
      <c r="CS18">
        <v>325656</v>
      </c>
      <c r="CT18">
        <v>1436319</v>
      </c>
      <c r="CU18">
        <v>1038529</v>
      </c>
      <c r="CV18">
        <v>2187391</v>
      </c>
      <c r="CW18">
        <v>3022991</v>
      </c>
      <c r="CX18">
        <v>1288314</v>
      </c>
      <c r="CY18">
        <v>1524311</v>
      </c>
      <c r="CZ18">
        <v>1097448</v>
      </c>
      <c r="DA18">
        <v>984302</v>
      </c>
      <c r="DB18">
        <v>3552486</v>
      </c>
      <c r="DC18">
        <v>2861515</v>
      </c>
      <c r="DD18">
        <v>239536</v>
      </c>
      <c r="DE18">
        <v>934385</v>
      </c>
      <c r="DF18">
        <v>240560</v>
      </c>
      <c r="DG18">
        <v>7151447</v>
      </c>
      <c r="DH18">
        <v>680115</v>
      </c>
      <c r="DI18">
        <v>69976</v>
      </c>
      <c r="DJ18">
        <v>264935</v>
      </c>
      <c r="DK18">
        <v>63361</v>
      </c>
      <c r="DL18">
        <v>4432303</v>
      </c>
      <c r="DM18">
        <v>180899</v>
      </c>
      <c r="DN18">
        <v>13796</v>
      </c>
      <c r="DO18">
        <v>316484</v>
      </c>
      <c r="DP18">
        <v>18310</v>
      </c>
      <c r="DQ18">
        <v>2575993</v>
      </c>
      <c r="DR18">
        <v>119239</v>
      </c>
      <c r="DS18">
        <v>29416</v>
      </c>
      <c r="DT18">
        <v>659109</v>
      </c>
      <c r="DU18">
        <v>22182</v>
      </c>
      <c r="DV18">
        <v>1826320</v>
      </c>
      <c r="DW18">
        <v>56392</v>
      </c>
      <c r="DX18">
        <v>4898</v>
      </c>
      <c r="DY18">
        <v>82042</v>
      </c>
      <c r="DZ18">
        <v>4539</v>
      </c>
      <c r="EA18">
        <v>479899</v>
      </c>
      <c r="EB18">
        <v>25459</v>
      </c>
      <c r="EC18">
        <v>13539</v>
      </c>
      <c r="ED18">
        <v>528025</v>
      </c>
      <c r="EE18">
        <v>18189</v>
      </c>
      <c r="EF18">
        <v>3616537</v>
      </c>
      <c r="EG18">
        <v>90222</v>
      </c>
      <c r="EH18">
        <v>24211</v>
      </c>
      <c r="EI18">
        <v>826976</v>
      </c>
      <c r="EJ18">
        <v>39630</v>
      </c>
      <c r="EK18">
        <v>4659849</v>
      </c>
      <c r="EL18">
        <v>106486</v>
      </c>
      <c r="EM18">
        <v>17514</v>
      </c>
      <c r="EN18">
        <v>151020</v>
      </c>
      <c r="EO18">
        <v>26383</v>
      </c>
      <c r="EP18">
        <v>378094</v>
      </c>
      <c r="EQ18">
        <v>101930</v>
      </c>
      <c r="ER18">
        <v>14617</v>
      </c>
      <c r="ES18">
        <v>91929</v>
      </c>
      <c r="ET18">
        <v>18379</v>
      </c>
      <c r="EU18">
        <v>491392</v>
      </c>
      <c r="EV18">
        <v>26612</v>
      </c>
      <c r="EW18">
        <v>776767</v>
      </c>
      <c r="EX18">
        <v>1150889</v>
      </c>
      <c r="EY18">
        <v>770945</v>
      </c>
      <c r="EZ18">
        <v>5923159</v>
      </c>
      <c r="FA18">
        <v>1254407</v>
      </c>
      <c r="FB18">
        <v>1121600</v>
      </c>
      <c r="FC18">
        <v>356516</v>
      </c>
      <c r="FD18">
        <v>1037004</v>
      </c>
      <c r="FE18">
        <v>1031306</v>
      </c>
      <c r="FF18">
        <v>1912447</v>
      </c>
      <c r="FG18">
        <v>642771</v>
      </c>
      <c r="FH18">
        <v>746140</v>
      </c>
      <c r="FI18">
        <v>851289</v>
      </c>
      <c r="FJ18">
        <v>2484492</v>
      </c>
      <c r="FK18">
        <v>1757212</v>
      </c>
    </row>
    <row r="19" spans="1:167" x14ac:dyDescent="0.4">
      <c r="A19" s="1" t="s">
        <v>26</v>
      </c>
      <c r="B19" s="1" t="s">
        <v>27</v>
      </c>
      <c r="C19">
        <v>9776</v>
      </c>
      <c r="D19">
        <v>33858</v>
      </c>
      <c r="E19">
        <v>21449</v>
      </c>
      <c r="F19">
        <v>739866</v>
      </c>
      <c r="G19">
        <v>125885</v>
      </c>
      <c r="H19">
        <v>8721993</v>
      </c>
      <c r="I19">
        <v>2056959</v>
      </c>
      <c r="J19">
        <v>8465182</v>
      </c>
      <c r="K19">
        <v>6864735</v>
      </c>
      <c r="L19">
        <v>15812881</v>
      </c>
      <c r="M19">
        <v>3272361</v>
      </c>
      <c r="N19">
        <v>787070</v>
      </c>
      <c r="O19">
        <v>3402747</v>
      </c>
      <c r="P19">
        <v>2012851</v>
      </c>
      <c r="Q19">
        <v>7414954</v>
      </c>
      <c r="R19">
        <v>375686</v>
      </c>
      <c r="S19">
        <v>154412</v>
      </c>
      <c r="T19">
        <v>296076</v>
      </c>
      <c r="U19">
        <v>1249607</v>
      </c>
      <c r="V19">
        <v>887210</v>
      </c>
      <c r="W19">
        <v>1627329</v>
      </c>
      <c r="X19">
        <v>1060650</v>
      </c>
      <c r="Y19">
        <v>2498028</v>
      </c>
      <c r="Z19">
        <v>5173657</v>
      </c>
      <c r="AA19">
        <v>4991814</v>
      </c>
      <c r="AB19">
        <v>222733</v>
      </c>
      <c r="AC19">
        <v>304177</v>
      </c>
      <c r="AD19">
        <v>237071</v>
      </c>
      <c r="AE19">
        <v>1089033</v>
      </c>
      <c r="AF19">
        <v>537047</v>
      </c>
      <c r="AG19">
        <v>347870</v>
      </c>
      <c r="AH19">
        <v>189703</v>
      </c>
      <c r="AI19">
        <v>354069</v>
      </c>
      <c r="AJ19">
        <v>620491</v>
      </c>
      <c r="AK19">
        <v>750615</v>
      </c>
      <c r="AL19">
        <v>364906</v>
      </c>
      <c r="AM19">
        <v>200580</v>
      </c>
      <c r="AN19">
        <v>368184</v>
      </c>
      <c r="AO19">
        <v>1279858</v>
      </c>
      <c r="AP19">
        <v>882593</v>
      </c>
      <c r="AQ19">
        <v>737855</v>
      </c>
      <c r="AR19">
        <v>404329</v>
      </c>
      <c r="AS19">
        <v>690941</v>
      </c>
      <c r="AT19">
        <v>1642648</v>
      </c>
      <c r="AU19">
        <v>2059405</v>
      </c>
      <c r="AV19">
        <v>1789474</v>
      </c>
      <c r="AW19">
        <v>1835008</v>
      </c>
      <c r="AX19">
        <v>1848062</v>
      </c>
      <c r="AY19">
        <v>7313892</v>
      </c>
      <c r="AZ19">
        <v>6918114</v>
      </c>
      <c r="BA19">
        <v>399387</v>
      </c>
      <c r="BB19">
        <v>258090</v>
      </c>
      <c r="BC19">
        <v>437048</v>
      </c>
      <c r="BD19">
        <v>1099863</v>
      </c>
      <c r="BE19">
        <v>1393392</v>
      </c>
      <c r="BF19">
        <v>1902176</v>
      </c>
      <c r="BG19">
        <v>1593067</v>
      </c>
      <c r="BH19">
        <v>1869900</v>
      </c>
      <c r="BI19">
        <v>5287952</v>
      </c>
      <c r="BJ19">
        <v>3690114</v>
      </c>
      <c r="BK19">
        <v>1865688</v>
      </c>
      <c r="BL19">
        <v>1170065</v>
      </c>
      <c r="BM19">
        <v>1728128</v>
      </c>
      <c r="BN19">
        <v>5721352</v>
      </c>
      <c r="BO19">
        <v>2766434</v>
      </c>
      <c r="BP19">
        <v>68832</v>
      </c>
      <c r="BQ19">
        <v>55814</v>
      </c>
      <c r="BR19">
        <v>59382</v>
      </c>
      <c r="BS19">
        <v>492179</v>
      </c>
      <c r="BT19">
        <v>91331</v>
      </c>
      <c r="BU19">
        <v>362053</v>
      </c>
      <c r="BV19">
        <v>732282</v>
      </c>
      <c r="BW19">
        <v>336811</v>
      </c>
      <c r="BX19">
        <v>5299696</v>
      </c>
      <c r="BY19">
        <v>483809</v>
      </c>
      <c r="BZ19">
        <v>537037</v>
      </c>
      <c r="CA19">
        <v>537298</v>
      </c>
      <c r="CB19">
        <v>499416</v>
      </c>
      <c r="CC19">
        <v>4603400</v>
      </c>
      <c r="CD19">
        <v>1257517</v>
      </c>
      <c r="CE19">
        <v>1850122</v>
      </c>
      <c r="CF19">
        <v>1240659</v>
      </c>
      <c r="CG19">
        <v>1824561</v>
      </c>
      <c r="CH19">
        <v>9913779</v>
      </c>
      <c r="CI19">
        <v>3570415</v>
      </c>
      <c r="CJ19">
        <v>381674</v>
      </c>
      <c r="CK19">
        <v>900699</v>
      </c>
      <c r="CL19">
        <v>387827</v>
      </c>
      <c r="CM19">
        <v>9219679</v>
      </c>
      <c r="CN19">
        <v>810810</v>
      </c>
      <c r="CO19">
        <v>238243</v>
      </c>
      <c r="CP19">
        <v>1254550</v>
      </c>
      <c r="CQ19">
        <v>202387</v>
      </c>
      <c r="CR19">
        <v>1667181</v>
      </c>
      <c r="CS19">
        <v>345238</v>
      </c>
      <c r="CT19">
        <v>908820</v>
      </c>
      <c r="CU19">
        <v>549581</v>
      </c>
      <c r="CV19">
        <v>1017576</v>
      </c>
      <c r="CW19">
        <v>1743321</v>
      </c>
      <c r="CX19">
        <v>1155635</v>
      </c>
      <c r="CY19">
        <v>1542458</v>
      </c>
      <c r="CZ19">
        <v>1129393</v>
      </c>
      <c r="DA19">
        <v>1159328</v>
      </c>
      <c r="DB19">
        <v>4474727</v>
      </c>
      <c r="DC19">
        <v>3170871</v>
      </c>
      <c r="DD19">
        <v>161104</v>
      </c>
      <c r="DE19">
        <v>826553</v>
      </c>
      <c r="DF19">
        <v>208570</v>
      </c>
      <c r="DG19">
        <v>6198097</v>
      </c>
      <c r="DH19">
        <v>670856</v>
      </c>
      <c r="DI19">
        <v>75192</v>
      </c>
      <c r="DJ19">
        <v>258777</v>
      </c>
      <c r="DK19">
        <v>58469</v>
      </c>
      <c r="DL19">
        <v>4223470</v>
      </c>
      <c r="DM19">
        <v>200212</v>
      </c>
      <c r="DN19">
        <v>10819</v>
      </c>
      <c r="DO19">
        <v>297529</v>
      </c>
      <c r="DP19">
        <v>24097</v>
      </c>
      <c r="DQ19">
        <v>2337290</v>
      </c>
      <c r="DR19">
        <v>115874</v>
      </c>
      <c r="DS19">
        <v>38458</v>
      </c>
      <c r="DT19">
        <v>832878</v>
      </c>
      <c r="DU19">
        <v>29644</v>
      </c>
      <c r="DV19">
        <v>2364530</v>
      </c>
      <c r="DW19">
        <v>66105</v>
      </c>
      <c r="DX19">
        <v>4712</v>
      </c>
      <c r="DY19">
        <v>51738</v>
      </c>
      <c r="DZ19">
        <v>3631</v>
      </c>
      <c r="EA19">
        <v>313388</v>
      </c>
      <c r="EB19">
        <v>26757</v>
      </c>
      <c r="EC19">
        <v>26411</v>
      </c>
      <c r="ED19">
        <v>413957</v>
      </c>
      <c r="EE19">
        <v>32127</v>
      </c>
      <c r="EF19">
        <v>3039586</v>
      </c>
      <c r="EG19">
        <v>90109</v>
      </c>
      <c r="EH19">
        <v>24030</v>
      </c>
      <c r="EI19">
        <v>645502</v>
      </c>
      <c r="EJ19">
        <v>26029</v>
      </c>
      <c r="EK19">
        <v>3667124</v>
      </c>
      <c r="EL19">
        <v>113309</v>
      </c>
      <c r="EM19">
        <v>37475</v>
      </c>
      <c r="EN19">
        <v>190557</v>
      </c>
      <c r="EO19">
        <v>47913</v>
      </c>
      <c r="EP19">
        <v>443046</v>
      </c>
      <c r="EQ19">
        <v>92211</v>
      </c>
      <c r="ER19">
        <v>12565</v>
      </c>
      <c r="ES19">
        <v>72160</v>
      </c>
      <c r="ET19">
        <v>15304</v>
      </c>
      <c r="EU19">
        <v>405579</v>
      </c>
      <c r="EV19">
        <v>30718</v>
      </c>
      <c r="EW19">
        <v>502161</v>
      </c>
      <c r="EX19">
        <v>837317</v>
      </c>
      <c r="EY19">
        <v>549154</v>
      </c>
      <c r="EZ19">
        <v>4427292</v>
      </c>
      <c r="FA19">
        <v>1175176</v>
      </c>
      <c r="FB19">
        <v>1090786</v>
      </c>
      <c r="FC19">
        <v>329392</v>
      </c>
      <c r="FD19">
        <v>1002397</v>
      </c>
      <c r="FE19">
        <v>951169</v>
      </c>
      <c r="FF19">
        <v>1987569</v>
      </c>
      <c r="FG19">
        <v>260459</v>
      </c>
      <c r="FH19">
        <v>410986</v>
      </c>
      <c r="FI19">
        <v>463128</v>
      </c>
      <c r="FJ19">
        <v>1452179</v>
      </c>
      <c r="FK19">
        <v>1538073</v>
      </c>
    </row>
    <row r="20" spans="1:167" x14ac:dyDescent="0.4">
      <c r="A20" s="1" t="s">
        <v>28</v>
      </c>
      <c r="B20" s="1" t="s">
        <v>29</v>
      </c>
      <c r="C20">
        <v>11432</v>
      </c>
      <c r="D20">
        <v>40379</v>
      </c>
      <c r="E20">
        <v>23359</v>
      </c>
      <c r="F20">
        <v>857798</v>
      </c>
      <c r="G20">
        <v>127245</v>
      </c>
      <c r="H20">
        <v>9739861</v>
      </c>
      <c r="I20">
        <v>2269157</v>
      </c>
      <c r="J20">
        <v>8993569</v>
      </c>
      <c r="K20">
        <v>6948951</v>
      </c>
      <c r="L20">
        <v>15758535</v>
      </c>
      <c r="M20">
        <v>3992641</v>
      </c>
      <c r="N20">
        <v>825350</v>
      </c>
      <c r="O20">
        <v>3528564</v>
      </c>
      <c r="P20">
        <v>2190705</v>
      </c>
      <c r="Q20">
        <v>7532179</v>
      </c>
      <c r="R20">
        <v>389694</v>
      </c>
      <c r="S20">
        <v>174938</v>
      </c>
      <c r="T20">
        <v>354618</v>
      </c>
      <c r="U20">
        <v>1535477</v>
      </c>
      <c r="V20">
        <v>922129</v>
      </c>
      <c r="W20">
        <v>1730787</v>
      </c>
      <c r="X20">
        <v>867519</v>
      </c>
      <c r="Y20">
        <v>1615365</v>
      </c>
      <c r="Z20">
        <v>4441369</v>
      </c>
      <c r="AA20">
        <v>4138910</v>
      </c>
      <c r="AB20">
        <v>239815</v>
      </c>
      <c r="AC20">
        <v>301035</v>
      </c>
      <c r="AD20">
        <v>237721</v>
      </c>
      <c r="AE20">
        <v>1206651</v>
      </c>
      <c r="AF20">
        <v>539173</v>
      </c>
      <c r="AG20">
        <v>515433</v>
      </c>
      <c r="AH20">
        <v>229948</v>
      </c>
      <c r="AI20">
        <v>388287</v>
      </c>
      <c r="AJ20">
        <v>709427</v>
      </c>
      <c r="AK20">
        <v>875557</v>
      </c>
      <c r="AL20">
        <v>396749</v>
      </c>
      <c r="AM20">
        <v>196756</v>
      </c>
      <c r="AN20">
        <v>332850</v>
      </c>
      <c r="AO20">
        <v>1343830</v>
      </c>
      <c r="AP20">
        <v>948444</v>
      </c>
      <c r="AQ20">
        <v>829895</v>
      </c>
      <c r="AR20">
        <v>416497</v>
      </c>
      <c r="AS20">
        <v>694534</v>
      </c>
      <c r="AT20">
        <v>1678592</v>
      </c>
      <c r="AU20">
        <v>2192274</v>
      </c>
      <c r="AV20">
        <v>1971313</v>
      </c>
      <c r="AW20">
        <v>2116365</v>
      </c>
      <c r="AX20">
        <v>2155094</v>
      </c>
      <c r="AY20">
        <v>8405354</v>
      </c>
      <c r="AZ20">
        <v>6751399</v>
      </c>
      <c r="BA20">
        <v>561280</v>
      </c>
      <c r="BB20">
        <v>433078</v>
      </c>
      <c r="BC20">
        <v>473705</v>
      </c>
      <c r="BD20">
        <v>1310299</v>
      </c>
      <c r="BE20">
        <v>1451709</v>
      </c>
      <c r="BF20">
        <v>2031621</v>
      </c>
      <c r="BG20">
        <v>1777381</v>
      </c>
      <c r="BH20">
        <v>2216955</v>
      </c>
      <c r="BI20">
        <v>6177771</v>
      </c>
      <c r="BJ20">
        <v>3528450</v>
      </c>
      <c r="BK20">
        <v>1912565</v>
      </c>
      <c r="BL20">
        <v>1199728</v>
      </c>
      <c r="BM20">
        <v>1904415</v>
      </c>
      <c r="BN20">
        <v>5667599</v>
      </c>
      <c r="BO20">
        <v>2781956</v>
      </c>
      <c r="BP20">
        <v>74807</v>
      </c>
      <c r="BQ20">
        <v>115579</v>
      </c>
      <c r="BR20">
        <v>70218</v>
      </c>
      <c r="BS20">
        <v>475307</v>
      </c>
      <c r="BT20">
        <v>95827</v>
      </c>
      <c r="BU20">
        <v>458086</v>
      </c>
      <c r="BV20">
        <v>793865</v>
      </c>
      <c r="BW20">
        <v>429328</v>
      </c>
      <c r="BX20">
        <v>6112505</v>
      </c>
      <c r="BY20">
        <v>508812</v>
      </c>
      <c r="BZ20">
        <v>557833</v>
      </c>
      <c r="CA20">
        <v>536534</v>
      </c>
      <c r="CB20">
        <v>510760</v>
      </c>
      <c r="CC20">
        <v>4495884</v>
      </c>
      <c r="CD20">
        <v>1257570</v>
      </c>
      <c r="CE20">
        <v>1746778</v>
      </c>
      <c r="CF20">
        <v>1049233</v>
      </c>
      <c r="CG20">
        <v>1553939</v>
      </c>
      <c r="CH20">
        <v>8487356</v>
      </c>
      <c r="CI20">
        <v>3641294</v>
      </c>
      <c r="CJ20">
        <v>395639</v>
      </c>
      <c r="CK20">
        <v>689336</v>
      </c>
      <c r="CL20">
        <v>311042</v>
      </c>
      <c r="CM20">
        <v>10106368</v>
      </c>
      <c r="CN20">
        <v>866337</v>
      </c>
      <c r="CO20">
        <v>227500</v>
      </c>
      <c r="CP20">
        <v>1798295</v>
      </c>
      <c r="CQ20">
        <v>228275</v>
      </c>
      <c r="CR20">
        <v>1353360</v>
      </c>
      <c r="CS20">
        <v>325618</v>
      </c>
      <c r="CT20">
        <v>809784</v>
      </c>
      <c r="CU20">
        <v>383800</v>
      </c>
      <c r="CV20">
        <v>626292</v>
      </c>
      <c r="CW20">
        <v>1221194</v>
      </c>
      <c r="CX20">
        <v>1302198</v>
      </c>
      <c r="CY20">
        <v>1440945</v>
      </c>
      <c r="CZ20">
        <v>1425259</v>
      </c>
      <c r="DA20">
        <v>1634790</v>
      </c>
      <c r="DB20">
        <v>6342509</v>
      </c>
      <c r="DC20">
        <v>2928858</v>
      </c>
      <c r="DD20">
        <v>186138</v>
      </c>
      <c r="DE20">
        <v>747017</v>
      </c>
      <c r="DF20">
        <v>193841</v>
      </c>
      <c r="DG20">
        <v>7205278</v>
      </c>
      <c r="DH20">
        <v>680047</v>
      </c>
      <c r="DI20">
        <v>68046</v>
      </c>
      <c r="DJ20">
        <v>309010</v>
      </c>
      <c r="DK20">
        <v>82029</v>
      </c>
      <c r="DL20">
        <v>4622840</v>
      </c>
      <c r="DM20">
        <v>187710</v>
      </c>
      <c r="DN20">
        <v>13446</v>
      </c>
      <c r="DO20">
        <v>261289</v>
      </c>
      <c r="DP20">
        <v>20511</v>
      </c>
      <c r="DQ20">
        <v>2064288</v>
      </c>
      <c r="DR20">
        <v>113146</v>
      </c>
      <c r="DS20">
        <v>31288</v>
      </c>
      <c r="DT20">
        <v>876186</v>
      </c>
      <c r="DU20">
        <v>43294</v>
      </c>
      <c r="DV20">
        <v>2773370</v>
      </c>
      <c r="DW20">
        <v>53312</v>
      </c>
      <c r="DX20">
        <v>2760</v>
      </c>
      <c r="DY20">
        <v>88427</v>
      </c>
      <c r="DZ20">
        <v>4754</v>
      </c>
      <c r="EA20">
        <v>435761</v>
      </c>
      <c r="EB20">
        <v>25844</v>
      </c>
      <c r="EC20">
        <v>15644</v>
      </c>
      <c r="ED20">
        <v>398321</v>
      </c>
      <c r="EE20">
        <v>16261</v>
      </c>
      <c r="EF20">
        <v>2619212</v>
      </c>
      <c r="EG20">
        <v>86621</v>
      </c>
      <c r="EH20">
        <v>23479</v>
      </c>
      <c r="EI20">
        <v>714398</v>
      </c>
      <c r="EJ20">
        <v>31655</v>
      </c>
      <c r="EK20">
        <v>4633930</v>
      </c>
      <c r="EL20">
        <v>110879</v>
      </c>
      <c r="EM20">
        <v>28678</v>
      </c>
      <c r="EN20">
        <v>129968</v>
      </c>
      <c r="EO20">
        <v>21372</v>
      </c>
      <c r="EP20">
        <v>371559</v>
      </c>
      <c r="EQ20">
        <v>99195</v>
      </c>
      <c r="ER20">
        <v>12717</v>
      </c>
      <c r="ES20">
        <v>89390</v>
      </c>
      <c r="ET20">
        <v>15391</v>
      </c>
      <c r="EU20">
        <v>567173</v>
      </c>
      <c r="EV20">
        <v>29740</v>
      </c>
      <c r="EW20">
        <v>525071</v>
      </c>
      <c r="EX20">
        <v>569737</v>
      </c>
      <c r="EY20">
        <v>367849</v>
      </c>
      <c r="EZ20">
        <v>2930610</v>
      </c>
      <c r="FA20">
        <v>1316639</v>
      </c>
      <c r="FB20">
        <v>1259404</v>
      </c>
      <c r="FC20">
        <v>396033</v>
      </c>
      <c r="FD20">
        <v>1354566</v>
      </c>
      <c r="FE20">
        <v>1248126</v>
      </c>
      <c r="FF20">
        <v>1869772</v>
      </c>
      <c r="FG20">
        <v>280070</v>
      </c>
      <c r="FH20">
        <v>270528</v>
      </c>
      <c r="FI20">
        <v>313715</v>
      </c>
      <c r="FJ20">
        <v>993435</v>
      </c>
      <c r="FK20">
        <v>1465292</v>
      </c>
    </row>
    <row r="21" spans="1:167" x14ac:dyDescent="0.4">
      <c r="A21" s="1" t="s">
        <v>30</v>
      </c>
      <c r="B21" s="1" t="s">
        <v>31</v>
      </c>
      <c r="C21">
        <v>12182</v>
      </c>
      <c r="D21">
        <v>50922</v>
      </c>
      <c r="E21">
        <v>22017</v>
      </c>
      <c r="F21">
        <v>754680</v>
      </c>
      <c r="G21">
        <v>123221</v>
      </c>
      <c r="H21">
        <v>10240871</v>
      </c>
      <c r="I21">
        <v>2264168</v>
      </c>
      <c r="J21">
        <v>9538681</v>
      </c>
      <c r="K21">
        <v>7891777</v>
      </c>
      <c r="L21">
        <v>15753385</v>
      </c>
      <c r="M21">
        <v>4061985</v>
      </c>
      <c r="N21">
        <v>883305</v>
      </c>
      <c r="O21">
        <v>3877944</v>
      </c>
      <c r="P21">
        <v>2528342</v>
      </c>
      <c r="Q21">
        <v>7398679</v>
      </c>
      <c r="R21">
        <v>405282</v>
      </c>
      <c r="S21">
        <v>192182</v>
      </c>
      <c r="T21">
        <v>383416</v>
      </c>
      <c r="U21">
        <v>1657782</v>
      </c>
      <c r="V21">
        <v>942113</v>
      </c>
      <c r="W21">
        <v>1909457</v>
      </c>
      <c r="X21">
        <v>895247</v>
      </c>
      <c r="Y21">
        <v>1804214</v>
      </c>
      <c r="Z21">
        <v>4806233</v>
      </c>
      <c r="AA21">
        <v>4284618</v>
      </c>
      <c r="AB21">
        <v>307066</v>
      </c>
      <c r="AC21">
        <v>334466</v>
      </c>
      <c r="AD21">
        <v>264222</v>
      </c>
      <c r="AE21">
        <v>1353842</v>
      </c>
      <c r="AF21">
        <v>581590</v>
      </c>
      <c r="AG21">
        <v>521455</v>
      </c>
      <c r="AH21">
        <v>292517</v>
      </c>
      <c r="AI21">
        <v>515008</v>
      </c>
      <c r="AJ21">
        <v>834766</v>
      </c>
      <c r="AK21">
        <v>880185</v>
      </c>
      <c r="AL21">
        <v>381557</v>
      </c>
      <c r="AM21">
        <v>219349</v>
      </c>
      <c r="AN21">
        <v>401711</v>
      </c>
      <c r="AO21">
        <v>1434705</v>
      </c>
      <c r="AP21">
        <v>935326</v>
      </c>
      <c r="AQ21">
        <v>845633</v>
      </c>
      <c r="AR21">
        <v>465856</v>
      </c>
      <c r="AS21">
        <v>809183</v>
      </c>
      <c r="AT21">
        <v>1911947</v>
      </c>
      <c r="AU21">
        <v>2219348</v>
      </c>
      <c r="AV21">
        <v>2657703</v>
      </c>
      <c r="AW21">
        <v>2288668</v>
      </c>
      <c r="AX21">
        <v>2391105</v>
      </c>
      <c r="AY21">
        <v>10165709</v>
      </c>
      <c r="AZ21">
        <v>7044862</v>
      </c>
      <c r="BA21">
        <v>561570</v>
      </c>
      <c r="BB21">
        <v>537045</v>
      </c>
      <c r="BC21">
        <v>486886</v>
      </c>
      <c r="BD21">
        <v>1338294</v>
      </c>
      <c r="BE21">
        <v>1502798</v>
      </c>
      <c r="BF21">
        <v>2079685</v>
      </c>
      <c r="BG21">
        <v>2028233</v>
      </c>
      <c r="BH21">
        <v>2290460</v>
      </c>
      <c r="BI21">
        <v>6337963</v>
      </c>
      <c r="BJ21">
        <v>3370427</v>
      </c>
      <c r="BK21">
        <v>2206909</v>
      </c>
      <c r="BL21">
        <v>1395790</v>
      </c>
      <c r="BM21">
        <v>2136394</v>
      </c>
      <c r="BN21">
        <v>6337931</v>
      </c>
      <c r="BO21">
        <v>2822354</v>
      </c>
      <c r="BP21">
        <v>54274</v>
      </c>
      <c r="BQ21">
        <v>98434</v>
      </c>
      <c r="BR21">
        <v>62191</v>
      </c>
      <c r="BS21">
        <v>478619</v>
      </c>
      <c r="BT21">
        <v>87659</v>
      </c>
      <c r="BU21">
        <v>410983</v>
      </c>
      <c r="BV21">
        <v>839723</v>
      </c>
      <c r="BW21">
        <v>421171</v>
      </c>
      <c r="BX21">
        <v>6754168</v>
      </c>
      <c r="BY21">
        <v>500155</v>
      </c>
      <c r="BZ21">
        <v>594753</v>
      </c>
      <c r="CA21">
        <v>605890</v>
      </c>
      <c r="CB21">
        <v>541981</v>
      </c>
      <c r="CC21">
        <v>6526809</v>
      </c>
      <c r="CD21">
        <v>1282508</v>
      </c>
      <c r="CE21">
        <v>1742756</v>
      </c>
      <c r="CF21">
        <v>1202085</v>
      </c>
      <c r="CG21">
        <v>1641142</v>
      </c>
      <c r="CH21">
        <v>9090414</v>
      </c>
      <c r="CI21">
        <v>3643993</v>
      </c>
      <c r="CJ21">
        <v>429179</v>
      </c>
      <c r="CK21">
        <v>805818</v>
      </c>
      <c r="CL21">
        <v>409922</v>
      </c>
      <c r="CM21">
        <v>10417318</v>
      </c>
      <c r="CN21">
        <v>824589</v>
      </c>
      <c r="CO21">
        <v>313764</v>
      </c>
      <c r="CP21">
        <v>535021</v>
      </c>
      <c r="CQ21">
        <v>251994</v>
      </c>
      <c r="CR21">
        <v>2043487</v>
      </c>
      <c r="CS21">
        <v>368793</v>
      </c>
      <c r="CT21">
        <v>650738</v>
      </c>
      <c r="CU21">
        <v>316337</v>
      </c>
      <c r="CV21">
        <v>442432</v>
      </c>
      <c r="CW21">
        <v>1129132</v>
      </c>
      <c r="CX21">
        <v>1497903</v>
      </c>
      <c r="CY21">
        <v>1445343</v>
      </c>
      <c r="CZ21">
        <v>1265607</v>
      </c>
      <c r="DA21">
        <v>1421424</v>
      </c>
      <c r="DB21">
        <v>5279116</v>
      </c>
      <c r="DC21">
        <v>2925588</v>
      </c>
      <c r="DD21">
        <v>187200</v>
      </c>
      <c r="DE21">
        <v>900267</v>
      </c>
      <c r="DF21">
        <v>214705</v>
      </c>
      <c r="DG21">
        <v>6855166</v>
      </c>
      <c r="DH21">
        <v>674000</v>
      </c>
      <c r="DI21">
        <v>63041</v>
      </c>
      <c r="DJ21">
        <v>269787</v>
      </c>
      <c r="DK21">
        <v>54904</v>
      </c>
      <c r="DL21">
        <v>4099642</v>
      </c>
      <c r="DM21">
        <v>197683</v>
      </c>
      <c r="DN21">
        <v>11584</v>
      </c>
      <c r="DO21">
        <v>420858</v>
      </c>
      <c r="DP21">
        <v>24611</v>
      </c>
      <c r="DQ21">
        <v>3450627</v>
      </c>
      <c r="DR21">
        <v>106452</v>
      </c>
      <c r="DS21">
        <v>35516</v>
      </c>
      <c r="DT21">
        <v>884960</v>
      </c>
      <c r="DU21">
        <v>32337</v>
      </c>
      <c r="DV21">
        <v>2781865</v>
      </c>
      <c r="DW21">
        <v>57078</v>
      </c>
      <c r="DX21">
        <v>4356</v>
      </c>
      <c r="DY21">
        <v>69626</v>
      </c>
      <c r="DZ21">
        <v>4743</v>
      </c>
      <c r="EA21">
        <v>426308</v>
      </c>
      <c r="EB21">
        <v>25612</v>
      </c>
      <c r="EC21">
        <v>47018</v>
      </c>
      <c r="ED21">
        <v>439355</v>
      </c>
      <c r="EE21">
        <v>35885</v>
      </c>
      <c r="EF21">
        <v>3093196</v>
      </c>
      <c r="EG21">
        <v>97054</v>
      </c>
      <c r="EH21">
        <v>18554</v>
      </c>
      <c r="EI21">
        <v>651484</v>
      </c>
      <c r="EJ21">
        <v>30125</v>
      </c>
      <c r="EK21">
        <v>3803084</v>
      </c>
      <c r="EL21">
        <v>105319</v>
      </c>
      <c r="EM21">
        <v>21001</v>
      </c>
      <c r="EN21">
        <v>100847</v>
      </c>
      <c r="EO21">
        <v>21110</v>
      </c>
      <c r="EP21">
        <v>282524</v>
      </c>
      <c r="EQ21">
        <v>98925</v>
      </c>
      <c r="ER21">
        <v>11908</v>
      </c>
      <c r="ES21">
        <v>129149</v>
      </c>
      <c r="ET21">
        <v>18908</v>
      </c>
      <c r="EU21">
        <v>1044600</v>
      </c>
      <c r="EV21">
        <v>25954</v>
      </c>
      <c r="EW21">
        <v>617468</v>
      </c>
      <c r="EX21">
        <v>667364</v>
      </c>
      <c r="EY21">
        <v>461703</v>
      </c>
      <c r="EZ21">
        <v>2777716</v>
      </c>
      <c r="FA21">
        <v>1428202</v>
      </c>
      <c r="FB21">
        <v>1348418</v>
      </c>
      <c r="FC21">
        <v>370535</v>
      </c>
      <c r="FD21">
        <v>1300145</v>
      </c>
      <c r="FE21">
        <v>1218500</v>
      </c>
      <c r="FF21">
        <v>1909583</v>
      </c>
      <c r="FG21">
        <v>422494</v>
      </c>
      <c r="FH21">
        <v>233303</v>
      </c>
      <c r="FI21">
        <v>238713</v>
      </c>
      <c r="FJ21">
        <v>883656</v>
      </c>
      <c r="FK21">
        <v>1618444</v>
      </c>
    </row>
    <row r="22" spans="1:167" x14ac:dyDescent="0.4">
      <c r="A22" s="1" t="s">
        <v>32</v>
      </c>
      <c r="B22" s="1" t="s">
        <v>33</v>
      </c>
      <c r="C22">
        <v>10599</v>
      </c>
      <c r="D22">
        <v>45483</v>
      </c>
      <c r="E22">
        <v>26287</v>
      </c>
      <c r="F22">
        <v>1075872</v>
      </c>
      <c r="G22">
        <v>126748</v>
      </c>
      <c r="H22">
        <v>9727516</v>
      </c>
      <c r="I22">
        <v>2127382</v>
      </c>
      <c r="J22">
        <v>8916953</v>
      </c>
      <c r="K22">
        <v>7473590</v>
      </c>
      <c r="L22">
        <v>15841690</v>
      </c>
      <c r="M22">
        <v>3806709</v>
      </c>
      <c r="N22">
        <v>838227</v>
      </c>
      <c r="O22">
        <v>3581867</v>
      </c>
      <c r="P22">
        <v>2192807</v>
      </c>
      <c r="Q22">
        <v>7315267</v>
      </c>
      <c r="R22">
        <v>333950</v>
      </c>
      <c r="S22">
        <v>181673</v>
      </c>
      <c r="T22">
        <v>352042</v>
      </c>
      <c r="U22">
        <v>1572961</v>
      </c>
      <c r="V22">
        <v>922700</v>
      </c>
      <c r="W22">
        <v>1677829</v>
      </c>
      <c r="X22">
        <v>830654</v>
      </c>
      <c r="Y22">
        <v>1704296</v>
      </c>
      <c r="Z22">
        <v>5035761</v>
      </c>
      <c r="AA22">
        <v>4252593</v>
      </c>
      <c r="AB22">
        <v>246777</v>
      </c>
      <c r="AC22">
        <v>309140</v>
      </c>
      <c r="AD22">
        <v>242973</v>
      </c>
      <c r="AE22">
        <v>1223110</v>
      </c>
      <c r="AF22">
        <v>586079</v>
      </c>
      <c r="AG22">
        <v>463196</v>
      </c>
      <c r="AH22">
        <v>253419</v>
      </c>
      <c r="AI22">
        <v>442539</v>
      </c>
      <c r="AJ22">
        <v>720445</v>
      </c>
      <c r="AK22">
        <v>898478</v>
      </c>
      <c r="AL22">
        <v>446924</v>
      </c>
      <c r="AM22">
        <v>234906</v>
      </c>
      <c r="AN22">
        <v>406865</v>
      </c>
      <c r="AO22">
        <v>1626168</v>
      </c>
      <c r="AP22">
        <v>972893</v>
      </c>
      <c r="AQ22">
        <v>934883</v>
      </c>
      <c r="AR22">
        <v>506771</v>
      </c>
      <c r="AS22">
        <v>861992</v>
      </c>
      <c r="AT22">
        <v>2049339</v>
      </c>
      <c r="AU22">
        <v>2287859</v>
      </c>
      <c r="AV22">
        <v>2124149</v>
      </c>
      <c r="AW22">
        <v>2059978</v>
      </c>
      <c r="AX22">
        <v>2048677</v>
      </c>
      <c r="AY22">
        <v>8498641</v>
      </c>
      <c r="AZ22">
        <v>7094983</v>
      </c>
      <c r="BA22">
        <v>452427</v>
      </c>
      <c r="BB22">
        <v>268452</v>
      </c>
      <c r="BC22">
        <v>435584</v>
      </c>
      <c r="BD22">
        <v>1237889</v>
      </c>
      <c r="BE22">
        <v>1493186</v>
      </c>
      <c r="BF22">
        <v>2004546</v>
      </c>
      <c r="BG22">
        <v>1650984</v>
      </c>
      <c r="BH22">
        <v>2089675</v>
      </c>
      <c r="BI22">
        <v>5619850</v>
      </c>
      <c r="BJ22">
        <v>3402947</v>
      </c>
      <c r="BK22">
        <v>1775403</v>
      </c>
      <c r="BL22">
        <v>1194848</v>
      </c>
      <c r="BM22">
        <v>1730754</v>
      </c>
      <c r="BN22">
        <v>5362088</v>
      </c>
      <c r="BO22">
        <v>2863430</v>
      </c>
      <c r="BP22">
        <v>63374</v>
      </c>
      <c r="BQ22">
        <v>112535</v>
      </c>
      <c r="BR22">
        <v>60091</v>
      </c>
      <c r="BS22">
        <v>420412</v>
      </c>
      <c r="BT22">
        <v>90748</v>
      </c>
      <c r="BU22">
        <v>276065</v>
      </c>
      <c r="BV22">
        <v>655811</v>
      </c>
      <c r="BW22">
        <v>296634</v>
      </c>
      <c r="BX22">
        <v>6412674</v>
      </c>
      <c r="BY22">
        <v>475234</v>
      </c>
      <c r="BZ22">
        <v>635956</v>
      </c>
      <c r="CA22">
        <v>591728</v>
      </c>
      <c r="CB22">
        <v>570470</v>
      </c>
      <c r="CC22">
        <v>4607084</v>
      </c>
      <c r="CD22">
        <v>1320516</v>
      </c>
      <c r="CE22">
        <v>1754927</v>
      </c>
      <c r="CF22">
        <v>1143415</v>
      </c>
      <c r="CG22">
        <v>1700157</v>
      </c>
      <c r="CH22">
        <v>11222356</v>
      </c>
      <c r="CI22">
        <v>3598335</v>
      </c>
      <c r="CJ22">
        <v>327398</v>
      </c>
      <c r="CK22">
        <v>786766</v>
      </c>
      <c r="CL22">
        <v>330102</v>
      </c>
      <c r="CM22">
        <v>10071705</v>
      </c>
      <c r="CN22">
        <v>817120</v>
      </c>
      <c r="CO22">
        <v>234677</v>
      </c>
      <c r="CP22">
        <v>1980426</v>
      </c>
      <c r="CQ22">
        <v>249782</v>
      </c>
      <c r="CR22">
        <v>2047074</v>
      </c>
      <c r="CS22">
        <v>332782</v>
      </c>
      <c r="CT22">
        <v>697814</v>
      </c>
      <c r="CU22">
        <v>268665</v>
      </c>
      <c r="CV22">
        <v>365194</v>
      </c>
      <c r="CW22">
        <v>1052586</v>
      </c>
      <c r="CX22">
        <v>1808664</v>
      </c>
      <c r="CY22">
        <v>1226879</v>
      </c>
      <c r="CZ22">
        <v>1352302</v>
      </c>
      <c r="DA22">
        <v>1398240</v>
      </c>
      <c r="DB22">
        <v>5735892</v>
      </c>
      <c r="DC22">
        <v>2764609</v>
      </c>
      <c r="DD22">
        <v>159533</v>
      </c>
      <c r="DE22">
        <v>701587</v>
      </c>
      <c r="DF22">
        <v>179765</v>
      </c>
      <c r="DG22">
        <v>6578508</v>
      </c>
      <c r="DH22">
        <v>677826</v>
      </c>
      <c r="DI22">
        <v>87268</v>
      </c>
      <c r="DJ22">
        <v>308612</v>
      </c>
      <c r="DK22">
        <v>89463</v>
      </c>
      <c r="DL22">
        <v>7044606</v>
      </c>
      <c r="DM22">
        <v>199355</v>
      </c>
      <c r="DN22">
        <v>10641</v>
      </c>
      <c r="DO22">
        <v>338939</v>
      </c>
      <c r="DP22">
        <v>16819</v>
      </c>
      <c r="DQ22">
        <v>2701548</v>
      </c>
      <c r="DR22">
        <v>106185</v>
      </c>
      <c r="DS22">
        <v>27674</v>
      </c>
      <c r="DT22">
        <v>785513</v>
      </c>
      <c r="DU22">
        <v>28381</v>
      </c>
      <c r="DV22">
        <v>1987893</v>
      </c>
      <c r="DW22">
        <v>58464</v>
      </c>
      <c r="DX22">
        <v>2342</v>
      </c>
      <c r="DY22">
        <v>63441</v>
      </c>
      <c r="DZ22">
        <v>4765</v>
      </c>
      <c r="EA22">
        <v>386958</v>
      </c>
      <c r="EB22">
        <v>24819</v>
      </c>
      <c r="EC22">
        <v>13662</v>
      </c>
      <c r="ED22">
        <v>433424</v>
      </c>
      <c r="EE22">
        <v>17741</v>
      </c>
      <c r="EF22">
        <v>3045551</v>
      </c>
      <c r="EG22">
        <v>93081</v>
      </c>
      <c r="EH22">
        <v>17875</v>
      </c>
      <c r="EI22">
        <v>613061</v>
      </c>
      <c r="EJ22">
        <v>27728</v>
      </c>
      <c r="EK22">
        <v>3569249</v>
      </c>
      <c r="EL22">
        <v>107955</v>
      </c>
      <c r="EM22">
        <v>14890</v>
      </c>
      <c r="EN22">
        <v>99795</v>
      </c>
      <c r="EO22">
        <v>25139</v>
      </c>
      <c r="EP22">
        <v>278688</v>
      </c>
      <c r="EQ22">
        <v>88586</v>
      </c>
      <c r="ER22">
        <v>14036</v>
      </c>
      <c r="ES22">
        <v>88559</v>
      </c>
      <c r="ET22">
        <v>16580</v>
      </c>
      <c r="EU22">
        <v>541642</v>
      </c>
      <c r="EV22">
        <v>25236</v>
      </c>
      <c r="EW22">
        <v>748347</v>
      </c>
      <c r="EX22">
        <v>794325</v>
      </c>
      <c r="EY22">
        <v>535452</v>
      </c>
      <c r="EZ22">
        <v>2840754</v>
      </c>
      <c r="FA22">
        <v>1593060</v>
      </c>
      <c r="FB22">
        <v>989709</v>
      </c>
      <c r="FC22">
        <v>451379</v>
      </c>
      <c r="FD22">
        <v>1187356</v>
      </c>
      <c r="FE22">
        <v>1203404</v>
      </c>
      <c r="FF22">
        <v>1698666</v>
      </c>
      <c r="FG22">
        <v>507896</v>
      </c>
      <c r="FH22">
        <v>223689</v>
      </c>
      <c r="FI22">
        <v>243072</v>
      </c>
      <c r="FJ22">
        <v>829420</v>
      </c>
      <c r="FK22">
        <v>1774363</v>
      </c>
    </row>
    <row r="23" spans="1:167" x14ac:dyDescent="0.4">
      <c r="A23" s="1" t="s">
        <v>34</v>
      </c>
      <c r="B23" s="1" t="s">
        <v>35</v>
      </c>
      <c r="C23">
        <v>7012</v>
      </c>
      <c r="D23">
        <v>38097</v>
      </c>
      <c r="E23">
        <v>26868</v>
      </c>
      <c r="F23">
        <v>1156631</v>
      </c>
      <c r="G23">
        <v>111946</v>
      </c>
      <c r="H23">
        <v>9450842</v>
      </c>
      <c r="I23">
        <v>2131041</v>
      </c>
      <c r="J23">
        <v>9159303</v>
      </c>
      <c r="K23">
        <v>7946422</v>
      </c>
      <c r="L23">
        <v>15311983</v>
      </c>
      <c r="M23">
        <v>3739415</v>
      </c>
      <c r="N23">
        <v>853908</v>
      </c>
      <c r="O23">
        <v>3562337</v>
      </c>
      <c r="P23">
        <v>2331696</v>
      </c>
      <c r="Q23">
        <v>7118510</v>
      </c>
      <c r="R23">
        <v>245214</v>
      </c>
      <c r="S23">
        <v>179977</v>
      </c>
      <c r="T23">
        <v>352154</v>
      </c>
      <c r="U23">
        <v>1645723</v>
      </c>
      <c r="V23">
        <v>811687</v>
      </c>
      <c r="W23">
        <v>1412642</v>
      </c>
      <c r="X23">
        <v>908926</v>
      </c>
      <c r="Y23">
        <v>1760971</v>
      </c>
      <c r="Z23">
        <v>5292111</v>
      </c>
      <c r="AA23">
        <v>3897793</v>
      </c>
      <c r="AB23">
        <v>227473</v>
      </c>
      <c r="AC23">
        <v>332449</v>
      </c>
      <c r="AD23">
        <v>269723</v>
      </c>
      <c r="AE23">
        <v>1367510</v>
      </c>
      <c r="AF23">
        <v>542085</v>
      </c>
      <c r="AG23">
        <v>345655</v>
      </c>
      <c r="AH23">
        <v>268634</v>
      </c>
      <c r="AI23">
        <v>526592</v>
      </c>
      <c r="AJ23">
        <v>892504</v>
      </c>
      <c r="AK23">
        <v>706501</v>
      </c>
      <c r="AL23">
        <v>383276</v>
      </c>
      <c r="AM23">
        <v>247017</v>
      </c>
      <c r="AN23">
        <v>400966</v>
      </c>
      <c r="AO23">
        <v>1725398</v>
      </c>
      <c r="AP23">
        <v>963597</v>
      </c>
      <c r="AQ23">
        <v>623553</v>
      </c>
      <c r="AR23">
        <v>486026</v>
      </c>
      <c r="AS23">
        <v>814043</v>
      </c>
      <c r="AT23">
        <v>1977005</v>
      </c>
      <c r="AU23">
        <v>2090334</v>
      </c>
      <c r="AV23">
        <v>2120978</v>
      </c>
      <c r="AW23">
        <v>2400870</v>
      </c>
      <c r="AX23">
        <v>2447241</v>
      </c>
      <c r="AY23">
        <v>10028804</v>
      </c>
      <c r="AZ23">
        <v>6728697</v>
      </c>
      <c r="BA23">
        <v>456897</v>
      </c>
      <c r="BB23">
        <v>304024</v>
      </c>
      <c r="BC23">
        <v>488907</v>
      </c>
      <c r="BD23">
        <v>1320994</v>
      </c>
      <c r="BE23">
        <v>1435298</v>
      </c>
      <c r="BF23">
        <v>1970962</v>
      </c>
      <c r="BG23">
        <v>1784605</v>
      </c>
      <c r="BH23">
        <v>2086341</v>
      </c>
      <c r="BI23">
        <v>5986340</v>
      </c>
      <c r="BJ23">
        <v>3315068</v>
      </c>
      <c r="BK23">
        <v>1405639</v>
      </c>
      <c r="BL23">
        <v>1126724</v>
      </c>
      <c r="BM23">
        <v>1565762</v>
      </c>
      <c r="BN23">
        <v>5697375</v>
      </c>
      <c r="BO23">
        <v>2683781</v>
      </c>
      <c r="BP23">
        <v>45001</v>
      </c>
      <c r="BQ23">
        <v>179424</v>
      </c>
      <c r="BR23">
        <v>50362</v>
      </c>
      <c r="BS23">
        <v>396506</v>
      </c>
      <c r="BT23">
        <v>85278</v>
      </c>
      <c r="BU23">
        <v>249456</v>
      </c>
      <c r="BV23">
        <v>542091</v>
      </c>
      <c r="BW23">
        <v>269464</v>
      </c>
      <c r="BX23">
        <v>6894126</v>
      </c>
      <c r="BY23">
        <v>449262</v>
      </c>
      <c r="BZ23">
        <v>415003</v>
      </c>
      <c r="CA23">
        <v>599379</v>
      </c>
      <c r="CB23">
        <v>504395</v>
      </c>
      <c r="CC23">
        <v>5982721</v>
      </c>
      <c r="CD23">
        <v>1149362</v>
      </c>
      <c r="CE23">
        <v>1587837</v>
      </c>
      <c r="CF23">
        <v>1183271</v>
      </c>
      <c r="CG23">
        <v>1749877</v>
      </c>
      <c r="CH23">
        <v>12223476</v>
      </c>
      <c r="CI23">
        <v>3309829</v>
      </c>
      <c r="CJ23">
        <v>327276</v>
      </c>
      <c r="CK23">
        <v>718680</v>
      </c>
      <c r="CL23">
        <v>315510</v>
      </c>
      <c r="CM23">
        <v>11704776</v>
      </c>
      <c r="CN23">
        <v>778523</v>
      </c>
      <c r="CO23">
        <v>276553</v>
      </c>
      <c r="CP23">
        <v>1549714</v>
      </c>
      <c r="CQ23">
        <v>274556</v>
      </c>
      <c r="CR23">
        <v>1861273</v>
      </c>
      <c r="CS23">
        <v>322367</v>
      </c>
      <c r="CT23">
        <v>1200583</v>
      </c>
      <c r="CU23">
        <v>298179</v>
      </c>
      <c r="CV23">
        <v>403656</v>
      </c>
      <c r="CW23">
        <v>1238092</v>
      </c>
      <c r="CX23">
        <v>2583919</v>
      </c>
      <c r="CY23">
        <v>902604</v>
      </c>
      <c r="CZ23">
        <v>1383502</v>
      </c>
      <c r="DA23">
        <v>1450976</v>
      </c>
      <c r="DB23">
        <v>5761255</v>
      </c>
      <c r="DC23">
        <v>2175798</v>
      </c>
      <c r="DD23">
        <v>165460</v>
      </c>
      <c r="DE23">
        <v>834974</v>
      </c>
      <c r="DF23">
        <v>227322</v>
      </c>
      <c r="DG23">
        <v>7175357</v>
      </c>
      <c r="DH23">
        <v>646305</v>
      </c>
      <c r="DI23">
        <v>69005</v>
      </c>
      <c r="DJ23">
        <v>253569</v>
      </c>
      <c r="DK23">
        <v>53956</v>
      </c>
      <c r="DL23">
        <v>4290100</v>
      </c>
      <c r="DM23">
        <v>213913</v>
      </c>
      <c r="DN23">
        <v>7892</v>
      </c>
      <c r="DO23">
        <v>286852</v>
      </c>
      <c r="DP23">
        <v>16039</v>
      </c>
      <c r="DQ23">
        <v>2393245</v>
      </c>
      <c r="DR23">
        <v>106288</v>
      </c>
      <c r="DS23">
        <v>22189</v>
      </c>
      <c r="DT23">
        <v>803350</v>
      </c>
      <c r="DU23">
        <v>29232</v>
      </c>
      <c r="DV23">
        <v>2229633</v>
      </c>
      <c r="DW23">
        <v>51305</v>
      </c>
      <c r="DX23">
        <v>3383</v>
      </c>
      <c r="DY23">
        <v>83139</v>
      </c>
      <c r="DZ23">
        <v>5775</v>
      </c>
      <c r="EA23">
        <v>530688</v>
      </c>
      <c r="EB23">
        <v>22611</v>
      </c>
      <c r="EC23">
        <v>12952</v>
      </c>
      <c r="ED23">
        <v>441297</v>
      </c>
      <c r="EE23">
        <v>19166</v>
      </c>
      <c r="EF23">
        <v>3157678</v>
      </c>
      <c r="EG23">
        <v>86795</v>
      </c>
      <c r="EH23">
        <v>17474</v>
      </c>
      <c r="EI23">
        <v>640937</v>
      </c>
      <c r="EJ23">
        <v>31279</v>
      </c>
      <c r="EK23">
        <v>3880738</v>
      </c>
      <c r="EL23">
        <v>99717</v>
      </c>
      <c r="EM23">
        <v>20947</v>
      </c>
      <c r="EN23">
        <v>78784</v>
      </c>
      <c r="EO23">
        <v>19537</v>
      </c>
      <c r="EP23">
        <v>225307</v>
      </c>
      <c r="EQ23">
        <v>89286</v>
      </c>
      <c r="ER23">
        <v>12385</v>
      </c>
      <c r="ES23">
        <v>79630</v>
      </c>
      <c r="ET23">
        <v>15625</v>
      </c>
      <c r="EU23">
        <v>472491</v>
      </c>
      <c r="EV23">
        <v>24619</v>
      </c>
      <c r="EW23">
        <v>925081</v>
      </c>
      <c r="EX23">
        <v>905664</v>
      </c>
      <c r="EY23">
        <v>598707</v>
      </c>
      <c r="EZ23">
        <v>3338161</v>
      </c>
      <c r="FA23">
        <v>1763902</v>
      </c>
      <c r="FB23">
        <v>612600</v>
      </c>
      <c r="FC23">
        <v>427875</v>
      </c>
      <c r="FD23">
        <v>1054426</v>
      </c>
      <c r="FE23">
        <v>1162657</v>
      </c>
      <c r="FF23">
        <v>1255351</v>
      </c>
      <c r="FG23">
        <v>414965</v>
      </c>
      <c r="FH23">
        <v>217350</v>
      </c>
      <c r="FI23">
        <v>245964</v>
      </c>
      <c r="FJ23">
        <v>855228</v>
      </c>
      <c r="FK23">
        <v>1814955</v>
      </c>
    </row>
    <row r="24" spans="1:167" x14ac:dyDescent="0.4">
      <c r="A24" s="1" t="s">
        <v>36</v>
      </c>
      <c r="B24" s="1" t="s">
        <v>37</v>
      </c>
      <c r="C24">
        <v>7668</v>
      </c>
      <c r="D24">
        <v>29286</v>
      </c>
      <c r="E24">
        <v>18491</v>
      </c>
      <c r="F24">
        <v>698613</v>
      </c>
      <c r="G24">
        <v>110055</v>
      </c>
      <c r="H24">
        <v>9646647</v>
      </c>
      <c r="I24">
        <v>1768298</v>
      </c>
      <c r="J24">
        <v>7260574</v>
      </c>
      <c r="K24">
        <v>5712216</v>
      </c>
      <c r="L24">
        <v>16752820</v>
      </c>
      <c r="M24">
        <v>3754047</v>
      </c>
      <c r="N24">
        <v>690235</v>
      </c>
      <c r="O24">
        <v>2795275</v>
      </c>
      <c r="P24">
        <v>1578152</v>
      </c>
      <c r="Q24">
        <v>7683761</v>
      </c>
      <c r="R24">
        <v>282837</v>
      </c>
      <c r="S24">
        <v>120923</v>
      </c>
      <c r="T24">
        <v>224468</v>
      </c>
      <c r="U24">
        <v>1145876</v>
      </c>
      <c r="V24">
        <v>853311</v>
      </c>
      <c r="W24">
        <v>1625933</v>
      </c>
      <c r="X24">
        <v>701943</v>
      </c>
      <c r="Y24">
        <v>1399652</v>
      </c>
      <c r="Z24">
        <v>3989612</v>
      </c>
      <c r="AA24">
        <v>4112687</v>
      </c>
      <c r="AB24">
        <v>182407</v>
      </c>
      <c r="AC24">
        <v>230090</v>
      </c>
      <c r="AD24">
        <v>202244</v>
      </c>
      <c r="AE24">
        <v>936484</v>
      </c>
      <c r="AF24">
        <v>523017</v>
      </c>
      <c r="AG24">
        <v>376346</v>
      </c>
      <c r="AH24">
        <v>150375</v>
      </c>
      <c r="AI24">
        <v>317298</v>
      </c>
      <c r="AJ24">
        <v>512741</v>
      </c>
      <c r="AK24">
        <v>763899</v>
      </c>
      <c r="AL24">
        <v>386225</v>
      </c>
      <c r="AM24">
        <v>180281</v>
      </c>
      <c r="AN24">
        <v>308040</v>
      </c>
      <c r="AO24">
        <v>1318226</v>
      </c>
      <c r="AP24">
        <v>1046970</v>
      </c>
      <c r="AQ24">
        <v>530045</v>
      </c>
      <c r="AR24">
        <v>319231</v>
      </c>
      <c r="AS24">
        <v>556866</v>
      </c>
      <c r="AT24">
        <v>1400186</v>
      </c>
      <c r="AU24">
        <v>2067192</v>
      </c>
      <c r="AV24">
        <v>1895914</v>
      </c>
      <c r="AW24">
        <v>1733590</v>
      </c>
      <c r="AX24">
        <v>1725778</v>
      </c>
      <c r="AY24">
        <v>7018420</v>
      </c>
      <c r="AZ24">
        <v>6923362</v>
      </c>
      <c r="BA24">
        <v>412008</v>
      </c>
      <c r="BB24">
        <v>200272</v>
      </c>
      <c r="BC24">
        <v>326345</v>
      </c>
      <c r="BD24">
        <v>848615</v>
      </c>
      <c r="BE24">
        <v>1495510</v>
      </c>
      <c r="BF24">
        <v>1828496</v>
      </c>
      <c r="BG24">
        <v>1386120</v>
      </c>
      <c r="BH24">
        <v>1704734</v>
      </c>
      <c r="BI24">
        <v>5061370</v>
      </c>
      <c r="BJ24">
        <v>3468965</v>
      </c>
      <c r="BK24">
        <v>1700665</v>
      </c>
      <c r="BL24">
        <v>1138065</v>
      </c>
      <c r="BM24">
        <v>1569469</v>
      </c>
      <c r="BN24">
        <v>4974479</v>
      </c>
      <c r="BO24">
        <v>2831135</v>
      </c>
      <c r="BP24">
        <v>55910</v>
      </c>
      <c r="BQ24">
        <v>77055</v>
      </c>
      <c r="BR24">
        <v>50798</v>
      </c>
      <c r="BS24">
        <v>478063</v>
      </c>
      <c r="BT24">
        <v>90282</v>
      </c>
      <c r="BU24">
        <v>334221</v>
      </c>
      <c r="BV24">
        <v>621007</v>
      </c>
      <c r="BW24">
        <v>315196</v>
      </c>
      <c r="BX24">
        <v>5166585</v>
      </c>
      <c r="BY24">
        <v>471043</v>
      </c>
      <c r="BZ24">
        <v>423706</v>
      </c>
      <c r="CA24">
        <v>564131</v>
      </c>
      <c r="CB24">
        <v>434979</v>
      </c>
      <c r="CC24">
        <v>4118478</v>
      </c>
      <c r="CD24">
        <v>1134995</v>
      </c>
      <c r="CE24">
        <v>1540064</v>
      </c>
      <c r="CF24">
        <v>1132403</v>
      </c>
      <c r="CG24">
        <v>1468085</v>
      </c>
      <c r="CH24">
        <v>9841033</v>
      </c>
      <c r="CI24">
        <v>3265620</v>
      </c>
      <c r="CJ24">
        <v>342752</v>
      </c>
      <c r="CK24">
        <v>868704</v>
      </c>
      <c r="CL24">
        <v>357455</v>
      </c>
      <c r="CM24">
        <v>9366990</v>
      </c>
      <c r="CN24">
        <v>755790</v>
      </c>
      <c r="CO24">
        <v>201340</v>
      </c>
      <c r="CP24">
        <v>525286</v>
      </c>
      <c r="CQ24">
        <v>198764</v>
      </c>
      <c r="CR24">
        <v>1811259</v>
      </c>
      <c r="CS24">
        <v>319172</v>
      </c>
      <c r="CT24">
        <v>1100831</v>
      </c>
      <c r="CU24">
        <v>225064</v>
      </c>
      <c r="CV24">
        <v>296087</v>
      </c>
      <c r="CW24">
        <v>908787</v>
      </c>
      <c r="CX24">
        <v>3375938</v>
      </c>
      <c r="CY24">
        <v>857774</v>
      </c>
      <c r="CZ24">
        <v>930587</v>
      </c>
      <c r="DA24">
        <v>900108</v>
      </c>
      <c r="DB24">
        <v>3848034</v>
      </c>
      <c r="DC24">
        <v>2102901</v>
      </c>
      <c r="DD24">
        <v>175773</v>
      </c>
      <c r="DE24">
        <v>683728</v>
      </c>
      <c r="DF24">
        <v>181241</v>
      </c>
      <c r="DG24">
        <v>5854359</v>
      </c>
      <c r="DH24">
        <v>692512</v>
      </c>
      <c r="DI24">
        <v>73917</v>
      </c>
      <c r="DJ24">
        <v>283139</v>
      </c>
      <c r="DK24">
        <v>75860</v>
      </c>
      <c r="DL24">
        <v>3741390</v>
      </c>
      <c r="DM24">
        <v>215814</v>
      </c>
      <c r="DN24">
        <v>8174</v>
      </c>
      <c r="DO24">
        <v>236352</v>
      </c>
      <c r="DP24">
        <v>12179</v>
      </c>
      <c r="DQ24">
        <v>2080439</v>
      </c>
      <c r="DR24">
        <v>93563</v>
      </c>
      <c r="DS24">
        <v>21948</v>
      </c>
      <c r="DT24">
        <v>576745</v>
      </c>
      <c r="DU24">
        <v>21173</v>
      </c>
      <c r="DV24">
        <v>1355144</v>
      </c>
      <c r="DW24">
        <v>53161</v>
      </c>
      <c r="DX24">
        <v>3713</v>
      </c>
      <c r="DY24">
        <v>87221</v>
      </c>
      <c r="DZ24">
        <v>5356</v>
      </c>
      <c r="EA24">
        <v>471856</v>
      </c>
      <c r="EB24">
        <v>25689</v>
      </c>
      <c r="EC24">
        <v>27990</v>
      </c>
      <c r="ED24">
        <v>470542</v>
      </c>
      <c r="EE24">
        <v>32278</v>
      </c>
      <c r="EF24">
        <v>3387108</v>
      </c>
      <c r="EG24">
        <v>84825</v>
      </c>
      <c r="EH24">
        <v>15901</v>
      </c>
      <c r="EI24">
        <v>573259</v>
      </c>
      <c r="EJ24">
        <v>26704</v>
      </c>
      <c r="EK24">
        <v>3223166</v>
      </c>
      <c r="EL24">
        <v>98220</v>
      </c>
      <c r="EM24">
        <v>24310</v>
      </c>
      <c r="EN24">
        <v>76717</v>
      </c>
      <c r="EO24">
        <v>20816</v>
      </c>
      <c r="EP24">
        <v>202079</v>
      </c>
      <c r="EQ24">
        <v>93227</v>
      </c>
      <c r="ER24">
        <v>17803</v>
      </c>
      <c r="ES24">
        <v>132999</v>
      </c>
      <c r="ET24">
        <v>21422</v>
      </c>
      <c r="EU24">
        <v>579043</v>
      </c>
      <c r="EV24">
        <v>27058</v>
      </c>
      <c r="EW24">
        <v>1097880</v>
      </c>
      <c r="EX24">
        <v>1228037</v>
      </c>
      <c r="EY24">
        <v>756736</v>
      </c>
      <c r="EZ24">
        <v>4125377</v>
      </c>
      <c r="FA24">
        <v>2041051</v>
      </c>
      <c r="FB24">
        <v>986858</v>
      </c>
      <c r="FC24">
        <v>280303</v>
      </c>
      <c r="FD24">
        <v>912621</v>
      </c>
      <c r="FE24">
        <v>861610</v>
      </c>
      <c r="FF24">
        <v>1328939</v>
      </c>
      <c r="FG24">
        <v>442562</v>
      </c>
      <c r="FH24">
        <v>202848</v>
      </c>
      <c r="FI24">
        <v>214256</v>
      </c>
      <c r="FJ24">
        <v>716893</v>
      </c>
      <c r="FK24">
        <v>1974160</v>
      </c>
    </row>
    <row r="25" spans="1:167" x14ac:dyDescent="0.4">
      <c r="A25" s="1" t="s">
        <v>38</v>
      </c>
      <c r="B25" s="1" t="s">
        <v>39</v>
      </c>
      <c r="C25">
        <v>14862</v>
      </c>
      <c r="D25">
        <v>30582</v>
      </c>
      <c r="E25">
        <v>20888</v>
      </c>
      <c r="F25">
        <v>614890</v>
      </c>
      <c r="G25">
        <v>115969</v>
      </c>
      <c r="H25">
        <v>9543457</v>
      </c>
      <c r="I25">
        <v>1925015</v>
      </c>
      <c r="J25">
        <v>8202262</v>
      </c>
      <c r="K25">
        <v>6188226</v>
      </c>
      <c r="L25">
        <v>17337997</v>
      </c>
      <c r="M25">
        <v>3676142</v>
      </c>
      <c r="N25">
        <v>775937</v>
      </c>
      <c r="O25">
        <v>3277816</v>
      </c>
      <c r="P25">
        <v>1894102</v>
      </c>
      <c r="Q25">
        <v>7748580</v>
      </c>
      <c r="R25">
        <v>302526</v>
      </c>
      <c r="S25">
        <v>146193</v>
      </c>
      <c r="T25">
        <v>282894</v>
      </c>
      <c r="U25">
        <v>1235179</v>
      </c>
      <c r="V25">
        <v>874161</v>
      </c>
      <c r="W25">
        <v>2096248</v>
      </c>
      <c r="X25">
        <v>774719</v>
      </c>
      <c r="Y25">
        <v>1832864</v>
      </c>
      <c r="Z25">
        <v>4040380</v>
      </c>
      <c r="AA25">
        <v>4369394</v>
      </c>
      <c r="AB25">
        <v>245703</v>
      </c>
      <c r="AC25">
        <v>273610</v>
      </c>
      <c r="AD25">
        <v>231646</v>
      </c>
      <c r="AE25">
        <v>1053292</v>
      </c>
      <c r="AF25">
        <v>537640</v>
      </c>
      <c r="AG25">
        <v>404729</v>
      </c>
      <c r="AH25">
        <v>202141</v>
      </c>
      <c r="AI25">
        <v>415323</v>
      </c>
      <c r="AJ25">
        <v>673222</v>
      </c>
      <c r="AK25">
        <v>752202</v>
      </c>
      <c r="AL25">
        <v>398722</v>
      </c>
      <c r="AM25">
        <v>196966</v>
      </c>
      <c r="AN25">
        <v>334314</v>
      </c>
      <c r="AO25">
        <v>1387845</v>
      </c>
      <c r="AP25">
        <v>1105679</v>
      </c>
      <c r="AQ25">
        <v>700016</v>
      </c>
      <c r="AR25">
        <v>399727</v>
      </c>
      <c r="AS25">
        <v>653014</v>
      </c>
      <c r="AT25">
        <v>1552979</v>
      </c>
      <c r="AU25">
        <v>2117183</v>
      </c>
      <c r="AV25">
        <v>1998023</v>
      </c>
      <c r="AW25">
        <v>1895455</v>
      </c>
      <c r="AX25">
        <v>1847826</v>
      </c>
      <c r="AY25">
        <v>7335845</v>
      </c>
      <c r="AZ25">
        <v>7096138</v>
      </c>
      <c r="BA25">
        <v>414289</v>
      </c>
      <c r="BB25">
        <v>242985</v>
      </c>
      <c r="BC25">
        <v>355433</v>
      </c>
      <c r="BD25">
        <v>1063763</v>
      </c>
      <c r="BE25">
        <v>1523214</v>
      </c>
      <c r="BF25">
        <v>2025553</v>
      </c>
      <c r="BG25">
        <v>1451803</v>
      </c>
      <c r="BH25">
        <v>1752938</v>
      </c>
      <c r="BI25">
        <v>5088360</v>
      </c>
      <c r="BJ25">
        <v>3804097</v>
      </c>
      <c r="BK25">
        <v>1893059</v>
      </c>
      <c r="BL25">
        <v>1165552</v>
      </c>
      <c r="BM25">
        <v>1729861</v>
      </c>
      <c r="BN25">
        <v>5101358</v>
      </c>
      <c r="BO25">
        <v>2983095</v>
      </c>
      <c r="BP25">
        <v>57063</v>
      </c>
      <c r="BQ25">
        <v>116659</v>
      </c>
      <c r="BR25">
        <v>60338</v>
      </c>
      <c r="BS25">
        <v>643595</v>
      </c>
      <c r="BT25">
        <v>86746</v>
      </c>
      <c r="BU25">
        <v>260464</v>
      </c>
      <c r="BV25">
        <v>532303</v>
      </c>
      <c r="BW25">
        <v>253546</v>
      </c>
      <c r="BX25">
        <v>4838773</v>
      </c>
      <c r="BY25">
        <v>462747</v>
      </c>
      <c r="BZ25">
        <v>517503</v>
      </c>
      <c r="CA25">
        <v>619980</v>
      </c>
      <c r="CB25">
        <v>528417</v>
      </c>
      <c r="CC25">
        <v>4373435</v>
      </c>
      <c r="CD25">
        <v>1081616</v>
      </c>
      <c r="CE25">
        <v>1805992</v>
      </c>
      <c r="CF25">
        <v>1058534</v>
      </c>
      <c r="CG25">
        <v>1542239</v>
      </c>
      <c r="CH25">
        <v>7860137</v>
      </c>
      <c r="CI25">
        <v>3410625</v>
      </c>
      <c r="CJ25">
        <v>322069</v>
      </c>
      <c r="CK25">
        <v>764113</v>
      </c>
      <c r="CL25">
        <v>304698</v>
      </c>
      <c r="CM25">
        <v>8701708</v>
      </c>
      <c r="CN25">
        <v>745227</v>
      </c>
      <c r="CO25">
        <v>216517</v>
      </c>
      <c r="CP25">
        <v>1841873</v>
      </c>
      <c r="CQ25">
        <v>197990</v>
      </c>
      <c r="CR25">
        <v>1652006</v>
      </c>
      <c r="CS25">
        <v>327418</v>
      </c>
      <c r="CT25">
        <v>1104257</v>
      </c>
      <c r="CU25">
        <v>485261</v>
      </c>
      <c r="CV25">
        <v>876172</v>
      </c>
      <c r="CW25">
        <v>1504758</v>
      </c>
      <c r="CX25">
        <v>3597714</v>
      </c>
      <c r="CY25">
        <v>727640</v>
      </c>
      <c r="CZ25">
        <v>857525</v>
      </c>
      <c r="DA25">
        <v>914756</v>
      </c>
      <c r="DB25">
        <v>3975191</v>
      </c>
      <c r="DC25">
        <v>1922005</v>
      </c>
      <c r="DD25">
        <v>177555</v>
      </c>
      <c r="DE25">
        <v>832373</v>
      </c>
      <c r="DF25">
        <v>220878</v>
      </c>
      <c r="DG25">
        <v>6794187</v>
      </c>
      <c r="DH25">
        <v>662013</v>
      </c>
      <c r="DI25">
        <v>105697</v>
      </c>
      <c r="DJ25">
        <v>258038</v>
      </c>
      <c r="DK25">
        <v>52572</v>
      </c>
      <c r="DL25">
        <v>4262630</v>
      </c>
      <c r="DM25">
        <v>213529</v>
      </c>
      <c r="DN25">
        <v>8142</v>
      </c>
      <c r="DO25">
        <v>273154</v>
      </c>
      <c r="DP25">
        <v>19790</v>
      </c>
      <c r="DQ25">
        <v>2078544</v>
      </c>
      <c r="DR25">
        <v>87366</v>
      </c>
      <c r="DS25">
        <v>20382</v>
      </c>
      <c r="DT25">
        <v>381321</v>
      </c>
      <c r="DU25">
        <v>14529</v>
      </c>
      <c r="DV25">
        <v>1008433</v>
      </c>
      <c r="DW25">
        <v>59629</v>
      </c>
      <c r="DX25">
        <v>2750</v>
      </c>
      <c r="DY25">
        <v>72906</v>
      </c>
      <c r="DZ25">
        <v>4761</v>
      </c>
      <c r="EA25">
        <v>411869</v>
      </c>
      <c r="EB25">
        <v>25068</v>
      </c>
      <c r="EC25">
        <v>15486</v>
      </c>
      <c r="ED25">
        <v>453511</v>
      </c>
      <c r="EE25">
        <v>17981</v>
      </c>
      <c r="EF25">
        <v>2877477</v>
      </c>
      <c r="EG25">
        <v>82725</v>
      </c>
      <c r="EH25">
        <v>15503</v>
      </c>
      <c r="EI25">
        <v>482526</v>
      </c>
      <c r="EJ25">
        <v>21636</v>
      </c>
      <c r="EK25">
        <v>2766213</v>
      </c>
      <c r="EL25">
        <v>97444</v>
      </c>
      <c r="EM25">
        <v>16187</v>
      </c>
      <c r="EN25">
        <v>76065</v>
      </c>
      <c r="EO25">
        <v>15323</v>
      </c>
      <c r="EP25">
        <v>246004</v>
      </c>
      <c r="EQ25">
        <v>94329</v>
      </c>
      <c r="ER25">
        <v>15016</v>
      </c>
      <c r="ES25">
        <v>90327</v>
      </c>
      <c r="ET25">
        <v>18557</v>
      </c>
      <c r="EU25">
        <v>413641</v>
      </c>
      <c r="EV25">
        <v>27304</v>
      </c>
      <c r="EW25">
        <v>1098143</v>
      </c>
      <c r="EX25">
        <v>1809345</v>
      </c>
      <c r="EY25">
        <v>1260197</v>
      </c>
      <c r="EZ25">
        <v>9051658</v>
      </c>
      <c r="FA25">
        <v>1829094</v>
      </c>
      <c r="FB25">
        <v>889002</v>
      </c>
      <c r="FC25">
        <v>308119</v>
      </c>
      <c r="FD25">
        <v>914399</v>
      </c>
      <c r="FE25">
        <v>814890</v>
      </c>
      <c r="FF25">
        <v>1241127</v>
      </c>
      <c r="FG25">
        <v>455666</v>
      </c>
      <c r="FH25">
        <v>566944</v>
      </c>
      <c r="FI25">
        <v>620967</v>
      </c>
      <c r="FJ25">
        <v>2388203</v>
      </c>
      <c r="FK25">
        <v>1785505</v>
      </c>
    </row>
    <row r="26" spans="1:167" x14ac:dyDescent="0.4">
      <c r="A26" s="1" t="s">
        <v>40</v>
      </c>
      <c r="B26" s="1" t="s">
        <v>41</v>
      </c>
      <c r="C26">
        <v>14644</v>
      </c>
      <c r="D26">
        <v>35058</v>
      </c>
      <c r="E26">
        <v>22007</v>
      </c>
      <c r="F26">
        <v>767536</v>
      </c>
      <c r="G26">
        <v>121281</v>
      </c>
      <c r="H26">
        <v>10037005</v>
      </c>
      <c r="I26">
        <v>2249857</v>
      </c>
      <c r="J26">
        <v>8812195</v>
      </c>
      <c r="K26">
        <v>7796622</v>
      </c>
      <c r="L26">
        <v>17815924</v>
      </c>
      <c r="M26">
        <v>4196233</v>
      </c>
      <c r="N26">
        <v>824172</v>
      </c>
      <c r="O26">
        <v>3386574</v>
      </c>
      <c r="P26">
        <v>2096612</v>
      </c>
      <c r="Q26">
        <v>8223311</v>
      </c>
      <c r="R26">
        <v>343625</v>
      </c>
      <c r="S26">
        <v>164827</v>
      </c>
      <c r="T26">
        <v>308634</v>
      </c>
      <c r="U26">
        <v>1370860</v>
      </c>
      <c r="V26">
        <v>906401</v>
      </c>
      <c r="W26">
        <v>1683146</v>
      </c>
      <c r="X26">
        <v>836633</v>
      </c>
      <c r="Y26">
        <v>1765667</v>
      </c>
      <c r="Z26">
        <v>4939437</v>
      </c>
      <c r="AA26">
        <v>4273087</v>
      </c>
      <c r="AB26">
        <v>254141</v>
      </c>
      <c r="AC26">
        <v>346248</v>
      </c>
      <c r="AD26">
        <v>269282</v>
      </c>
      <c r="AE26">
        <v>1306488</v>
      </c>
      <c r="AF26">
        <v>519585</v>
      </c>
      <c r="AG26">
        <v>420630</v>
      </c>
      <c r="AH26">
        <v>249219</v>
      </c>
      <c r="AI26">
        <v>483547</v>
      </c>
      <c r="AJ26">
        <v>839757</v>
      </c>
      <c r="AK26">
        <v>687876</v>
      </c>
      <c r="AL26">
        <v>396103</v>
      </c>
      <c r="AM26">
        <v>255496</v>
      </c>
      <c r="AN26">
        <v>430607</v>
      </c>
      <c r="AO26">
        <v>1812763</v>
      </c>
      <c r="AP26">
        <v>1076843</v>
      </c>
      <c r="AQ26">
        <v>611552</v>
      </c>
      <c r="AR26">
        <v>481420</v>
      </c>
      <c r="AS26">
        <v>707745</v>
      </c>
      <c r="AT26">
        <v>1762072</v>
      </c>
      <c r="AU26">
        <v>2014327</v>
      </c>
      <c r="AV26">
        <v>1926327</v>
      </c>
      <c r="AW26">
        <v>2365839</v>
      </c>
      <c r="AX26">
        <v>2233595</v>
      </c>
      <c r="AY26">
        <v>8875056</v>
      </c>
      <c r="AZ26">
        <v>6788669</v>
      </c>
      <c r="BA26">
        <v>493383</v>
      </c>
      <c r="BB26">
        <v>364933</v>
      </c>
      <c r="BC26">
        <v>485698</v>
      </c>
      <c r="BD26">
        <v>1337300</v>
      </c>
      <c r="BE26">
        <v>1506987</v>
      </c>
      <c r="BF26">
        <v>2269013</v>
      </c>
      <c r="BG26">
        <v>1842948</v>
      </c>
      <c r="BH26">
        <v>2165642</v>
      </c>
      <c r="BI26">
        <v>6509989</v>
      </c>
      <c r="BJ26">
        <v>4007461</v>
      </c>
      <c r="BK26">
        <v>1788700</v>
      </c>
      <c r="BL26">
        <v>1251225</v>
      </c>
      <c r="BM26">
        <v>1892147</v>
      </c>
      <c r="BN26">
        <v>5417736</v>
      </c>
      <c r="BO26">
        <v>2889649</v>
      </c>
      <c r="BP26">
        <v>51470</v>
      </c>
      <c r="BQ26">
        <v>144725</v>
      </c>
      <c r="BR26">
        <v>58756</v>
      </c>
      <c r="BS26">
        <v>379109</v>
      </c>
      <c r="BT26">
        <v>78290</v>
      </c>
      <c r="BU26">
        <v>283680</v>
      </c>
      <c r="BV26">
        <v>589427</v>
      </c>
      <c r="BW26">
        <v>265180</v>
      </c>
      <c r="BX26">
        <v>5375096</v>
      </c>
      <c r="BY26">
        <v>483984</v>
      </c>
      <c r="BZ26">
        <v>558671</v>
      </c>
      <c r="CA26">
        <v>670376</v>
      </c>
      <c r="CB26">
        <v>551440</v>
      </c>
      <c r="CC26">
        <v>5385459</v>
      </c>
      <c r="CD26">
        <v>1028390</v>
      </c>
      <c r="CE26">
        <v>1552413</v>
      </c>
      <c r="CF26">
        <v>1160125</v>
      </c>
      <c r="CG26">
        <v>1549601</v>
      </c>
      <c r="CH26">
        <v>9534082</v>
      </c>
      <c r="CI26">
        <v>3173076</v>
      </c>
      <c r="CJ26">
        <v>413852</v>
      </c>
      <c r="CK26">
        <v>963414</v>
      </c>
      <c r="CL26">
        <v>419591</v>
      </c>
      <c r="CM26">
        <v>12246054</v>
      </c>
      <c r="CN26">
        <v>706239</v>
      </c>
      <c r="CO26">
        <v>238261</v>
      </c>
      <c r="CP26">
        <v>603184</v>
      </c>
      <c r="CQ26">
        <v>227578</v>
      </c>
      <c r="CR26">
        <v>2098120</v>
      </c>
      <c r="CS26">
        <v>325569</v>
      </c>
      <c r="CT26">
        <v>1081429</v>
      </c>
      <c r="CU26">
        <v>668966</v>
      </c>
      <c r="CV26">
        <v>1302088</v>
      </c>
      <c r="CW26">
        <v>2107693</v>
      </c>
      <c r="CX26">
        <v>3299438</v>
      </c>
      <c r="CY26">
        <v>824595</v>
      </c>
      <c r="CZ26">
        <v>809219</v>
      </c>
      <c r="DA26">
        <v>796941</v>
      </c>
      <c r="DB26">
        <v>3794988</v>
      </c>
      <c r="DC26">
        <v>1953518</v>
      </c>
      <c r="DD26">
        <v>200432</v>
      </c>
      <c r="DE26">
        <v>970573</v>
      </c>
      <c r="DF26">
        <v>278061</v>
      </c>
      <c r="DG26">
        <v>8760582</v>
      </c>
      <c r="DH26">
        <v>640180</v>
      </c>
      <c r="DI26">
        <v>103105</v>
      </c>
      <c r="DJ26">
        <v>267191</v>
      </c>
      <c r="DK26">
        <v>61917</v>
      </c>
      <c r="DL26">
        <v>5362028</v>
      </c>
      <c r="DM26">
        <v>253318</v>
      </c>
      <c r="DN26">
        <v>7123</v>
      </c>
      <c r="DO26">
        <v>212594</v>
      </c>
      <c r="DP26">
        <v>16637</v>
      </c>
      <c r="DQ26">
        <v>1983100</v>
      </c>
      <c r="DR26">
        <v>88547</v>
      </c>
      <c r="DS26">
        <v>26284</v>
      </c>
      <c r="DT26">
        <v>718196</v>
      </c>
      <c r="DU26">
        <v>27395</v>
      </c>
      <c r="DV26">
        <v>1343355</v>
      </c>
      <c r="DW26">
        <v>60289</v>
      </c>
      <c r="DX26">
        <v>4321</v>
      </c>
      <c r="DY26">
        <v>59392</v>
      </c>
      <c r="DZ26">
        <v>7699</v>
      </c>
      <c r="EA26">
        <v>498630</v>
      </c>
      <c r="EB26">
        <v>23433</v>
      </c>
      <c r="EC26">
        <v>16063</v>
      </c>
      <c r="ED26">
        <v>473269</v>
      </c>
      <c r="EE26">
        <v>19280</v>
      </c>
      <c r="EF26">
        <v>3194684</v>
      </c>
      <c r="EG26">
        <v>80716</v>
      </c>
      <c r="EH26">
        <v>17099</v>
      </c>
      <c r="EI26">
        <v>582316</v>
      </c>
      <c r="EJ26">
        <v>30030</v>
      </c>
      <c r="EK26">
        <v>3643332</v>
      </c>
      <c r="EL26">
        <v>101897</v>
      </c>
      <c r="EM26">
        <v>28019</v>
      </c>
      <c r="EN26">
        <v>106935</v>
      </c>
      <c r="EO26">
        <v>26828</v>
      </c>
      <c r="EP26">
        <v>311558</v>
      </c>
      <c r="EQ26">
        <v>95208</v>
      </c>
      <c r="ER26">
        <v>12036</v>
      </c>
      <c r="ES26">
        <v>85125</v>
      </c>
      <c r="ET26">
        <v>16640</v>
      </c>
      <c r="EU26">
        <v>454626</v>
      </c>
      <c r="EV26">
        <v>28574</v>
      </c>
      <c r="EW26">
        <v>1060680</v>
      </c>
      <c r="EX26">
        <v>1468505</v>
      </c>
      <c r="EY26">
        <v>1010014</v>
      </c>
      <c r="EZ26">
        <v>7743470</v>
      </c>
      <c r="FA26">
        <v>1869643</v>
      </c>
      <c r="FB26">
        <v>1290210</v>
      </c>
      <c r="FC26">
        <v>351189</v>
      </c>
      <c r="FD26">
        <v>1240256</v>
      </c>
      <c r="FE26">
        <v>1116470</v>
      </c>
      <c r="FF26">
        <v>1289993</v>
      </c>
      <c r="FG26">
        <v>735269</v>
      </c>
      <c r="FH26">
        <v>628646</v>
      </c>
      <c r="FI26">
        <v>679805</v>
      </c>
      <c r="FJ26">
        <v>2301637</v>
      </c>
      <c r="FK26">
        <v>1826222</v>
      </c>
    </row>
    <row r="27" spans="1:167" x14ac:dyDescent="0.4">
      <c r="A27" s="1" t="s">
        <v>42</v>
      </c>
      <c r="B27" s="1" t="s">
        <v>43</v>
      </c>
      <c r="C27">
        <v>10567</v>
      </c>
      <c r="D27">
        <v>37418</v>
      </c>
      <c r="E27">
        <v>23203</v>
      </c>
      <c r="F27">
        <v>681344</v>
      </c>
      <c r="G27">
        <v>123568</v>
      </c>
      <c r="H27">
        <v>10142187</v>
      </c>
      <c r="I27">
        <v>2282908</v>
      </c>
      <c r="J27">
        <v>8769366</v>
      </c>
      <c r="K27">
        <v>7765946</v>
      </c>
      <c r="L27">
        <v>17783955</v>
      </c>
      <c r="M27">
        <v>3759504</v>
      </c>
      <c r="N27">
        <v>791155</v>
      </c>
      <c r="O27">
        <v>3240567</v>
      </c>
      <c r="P27">
        <v>2090927</v>
      </c>
      <c r="Q27">
        <v>7871114</v>
      </c>
      <c r="R27">
        <v>341338</v>
      </c>
      <c r="S27">
        <v>190288</v>
      </c>
      <c r="T27">
        <v>385689</v>
      </c>
      <c r="U27">
        <v>1495104</v>
      </c>
      <c r="V27">
        <v>862933</v>
      </c>
      <c r="W27">
        <v>1655522</v>
      </c>
      <c r="X27">
        <v>780948</v>
      </c>
      <c r="Y27">
        <v>1687923</v>
      </c>
      <c r="Z27">
        <v>4687987</v>
      </c>
      <c r="AA27">
        <v>4293529</v>
      </c>
      <c r="AB27">
        <v>223654</v>
      </c>
      <c r="AC27">
        <v>317561</v>
      </c>
      <c r="AD27">
        <v>233166</v>
      </c>
      <c r="AE27">
        <v>1236303</v>
      </c>
      <c r="AF27">
        <v>508912</v>
      </c>
      <c r="AG27">
        <v>474314</v>
      </c>
      <c r="AH27">
        <v>264603</v>
      </c>
      <c r="AI27">
        <v>486880</v>
      </c>
      <c r="AJ27">
        <v>878091</v>
      </c>
      <c r="AK27">
        <v>675704</v>
      </c>
      <c r="AL27">
        <v>382945</v>
      </c>
      <c r="AM27">
        <v>284249</v>
      </c>
      <c r="AN27">
        <v>469049</v>
      </c>
      <c r="AO27">
        <v>2399561</v>
      </c>
      <c r="AP27">
        <v>991508</v>
      </c>
      <c r="AQ27">
        <v>778171</v>
      </c>
      <c r="AR27">
        <v>497008</v>
      </c>
      <c r="AS27">
        <v>800461</v>
      </c>
      <c r="AT27">
        <v>1952595</v>
      </c>
      <c r="AU27">
        <v>1985986</v>
      </c>
      <c r="AV27">
        <v>2224727</v>
      </c>
      <c r="AW27">
        <v>2381250</v>
      </c>
      <c r="AX27">
        <v>2308116</v>
      </c>
      <c r="AY27">
        <v>9525810</v>
      </c>
      <c r="AZ27">
        <v>6794130</v>
      </c>
      <c r="BA27">
        <v>570155</v>
      </c>
      <c r="BB27">
        <v>340053</v>
      </c>
      <c r="BC27">
        <v>481814</v>
      </c>
      <c r="BD27">
        <v>1361577</v>
      </c>
      <c r="BE27">
        <v>1567716</v>
      </c>
      <c r="BF27">
        <v>2300588</v>
      </c>
      <c r="BG27">
        <v>1796730</v>
      </c>
      <c r="BH27">
        <v>2241675</v>
      </c>
      <c r="BI27">
        <v>6096984</v>
      </c>
      <c r="BJ27">
        <v>4132373</v>
      </c>
      <c r="BK27">
        <v>2114659</v>
      </c>
      <c r="BL27">
        <v>1523162</v>
      </c>
      <c r="BM27">
        <v>2137702</v>
      </c>
      <c r="BN27">
        <v>6018852</v>
      </c>
      <c r="BO27">
        <v>2857030</v>
      </c>
      <c r="BP27">
        <v>75656</v>
      </c>
      <c r="BQ27">
        <v>123324</v>
      </c>
      <c r="BR27">
        <v>77491</v>
      </c>
      <c r="BS27">
        <v>453890</v>
      </c>
      <c r="BT27">
        <v>76647</v>
      </c>
      <c r="BU27">
        <v>275706</v>
      </c>
      <c r="BV27">
        <v>671639</v>
      </c>
      <c r="BW27">
        <v>277483</v>
      </c>
      <c r="BX27">
        <v>5059226</v>
      </c>
      <c r="BY27">
        <v>487550</v>
      </c>
      <c r="BZ27">
        <v>550812</v>
      </c>
      <c r="CA27">
        <v>681465</v>
      </c>
      <c r="CB27">
        <v>480634</v>
      </c>
      <c r="CC27">
        <v>4514431</v>
      </c>
      <c r="CD27">
        <v>1072985</v>
      </c>
      <c r="CE27">
        <v>1899218</v>
      </c>
      <c r="CF27">
        <v>1355558</v>
      </c>
      <c r="CG27">
        <v>1672559</v>
      </c>
      <c r="CH27">
        <v>8974914</v>
      </c>
      <c r="CI27">
        <v>3260807</v>
      </c>
      <c r="CJ27">
        <v>382410</v>
      </c>
      <c r="CK27">
        <v>778901</v>
      </c>
      <c r="CL27">
        <v>360875</v>
      </c>
      <c r="CM27">
        <v>8851075</v>
      </c>
      <c r="CN27">
        <v>705538</v>
      </c>
      <c r="CO27">
        <v>229550</v>
      </c>
      <c r="CP27">
        <v>2200075</v>
      </c>
      <c r="CQ27">
        <v>237372</v>
      </c>
      <c r="CR27">
        <v>1789827</v>
      </c>
      <c r="CS27">
        <v>295288</v>
      </c>
      <c r="CT27">
        <v>1329840</v>
      </c>
      <c r="CU27">
        <v>588022</v>
      </c>
      <c r="CV27">
        <v>1132698</v>
      </c>
      <c r="CW27">
        <v>1885378</v>
      </c>
      <c r="CX27">
        <v>3465727</v>
      </c>
      <c r="CY27">
        <v>884851</v>
      </c>
      <c r="CZ27">
        <v>861201</v>
      </c>
      <c r="DA27">
        <v>797889</v>
      </c>
      <c r="DB27">
        <v>4468016</v>
      </c>
      <c r="DC27">
        <v>2028711</v>
      </c>
      <c r="DD27">
        <v>187588</v>
      </c>
      <c r="DE27">
        <v>957405</v>
      </c>
      <c r="DF27">
        <v>229866</v>
      </c>
      <c r="DG27">
        <v>7581918</v>
      </c>
      <c r="DH27">
        <v>612123</v>
      </c>
      <c r="DI27">
        <v>83314</v>
      </c>
      <c r="DJ27">
        <v>336300</v>
      </c>
      <c r="DK27">
        <v>110291</v>
      </c>
      <c r="DL27">
        <v>4166203</v>
      </c>
      <c r="DM27">
        <v>228211</v>
      </c>
      <c r="DN27">
        <v>8250</v>
      </c>
      <c r="DO27">
        <v>233677</v>
      </c>
      <c r="DP27">
        <v>12049</v>
      </c>
      <c r="DQ27">
        <v>2124268</v>
      </c>
      <c r="DR27">
        <v>96570</v>
      </c>
      <c r="DS27">
        <v>31028</v>
      </c>
      <c r="DT27">
        <v>673926</v>
      </c>
      <c r="DU27">
        <v>24895</v>
      </c>
      <c r="DV27">
        <v>1200787</v>
      </c>
      <c r="DW27">
        <v>67176</v>
      </c>
      <c r="DX27">
        <v>3937</v>
      </c>
      <c r="DY27">
        <v>84736</v>
      </c>
      <c r="DZ27">
        <v>5453</v>
      </c>
      <c r="EA27">
        <v>480887</v>
      </c>
      <c r="EB27">
        <v>23724</v>
      </c>
      <c r="EC27">
        <v>34954</v>
      </c>
      <c r="ED27">
        <v>459467</v>
      </c>
      <c r="EE27">
        <v>32975</v>
      </c>
      <c r="EF27">
        <v>3027221</v>
      </c>
      <c r="EG27">
        <v>83740</v>
      </c>
      <c r="EH27">
        <v>21568</v>
      </c>
      <c r="EI27">
        <v>659639</v>
      </c>
      <c r="EJ27">
        <v>30656</v>
      </c>
      <c r="EK27">
        <v>3901568</v>
      </c>
      <c r="EL27">
        <v>100609</v>
      </c>
      <c r="EM27">
        <v>35497</v>
      </c>
      <c r="EN27">
        <v>89725</v>
      </c>
      <c r="EO27">
        <v>29881</v>
      </c>
      <c r="EP27">
        <v>328572</v>
      </c>
      <c r="EQ27">
        <v>101125</v>
      </c>
      <c r="ER27">
        <v>15282</v>
      </c>
      <c r="ES27">
        <v>83178</v>
      </c>
      <c r="ET27">
        <v>16077</v>
      </c>
      <c r="EU27">
        <v>369611</v>
      </c>
      <c r="EV27">
        <v>37940</v>
      </c>
      <c r="EW27">
        <v>1021079</v>
      </c>
      <c r="EX27">
        <v>1516550</v>
      </c>
      <c r="EY27">
        <v>997283</v>
      </c>
      <c r="EZ27">
        <v>7599389</v>
      </c>
      <c r="FA27">
        <v>1865689</v>
      </c>
      <c r="FB27">
        <v>1285157</v>
      </c>
      <c r="FC27">
        <v>337976</v>
      </c>
      <c r="FD27">
        <v>1187060</v>
      </c>
      <c r="FE27">
        <v>1073223</v>
      </c>
      <c r="FF27">
        <v>1387691</v>
      </c>
      <c r="FG27">
        <v>601084</v>
      </c>
      <c r="FH27">
        <v>549165</v>
      </c>
      <c r="FI27">
        <v>646852</v>
      </c>
      <c r="FJ27">
        <v>1992222</v>
      </c>
      <c r="FK27">
        <v>1731017</v>
      </c>
    </row>
    <row r="28" spans="1:167" x14ac:dyDescent="0.4">
      <c r="A28" s="1" t="s">
        <v>44</v>
      </c>
      <c r="B28" s="1" t="s">
        <v>45</v>
      </c>
      <c r="C28">
        <v>12185</v>
      </c>
      <c r="D28">
        <v>34494</v>
      </c>
      <c r="E28">
        <v>23067</v>
      </c>
      <c r="F28">
        <v>831569</v>
      </c>
      <c r="G28">
        <v>124176</v>
      </c>
      <c r="H28">
        <v>8578328</v>
      </c>
      <c r="I28">
        <v>2043526</v>
      </c>
      <c r="J28">
        <v>8100189</v>
      </c>
      <c r="K28">
        <v>7349924</v>
      </c>
      <c r="L28">
        <v>17935051</v>
      </c>
      <c r="M28">
        <v>3285339</v>
      </c>
      <c r="N28">
        <v>720018</v>
      </c>
      <c r="O28">
        <v>2998740</v>
      </c>
      <c r="P28">
        <v>1844763</v>
      </c>
      <c r="Q28">
        <v>7885566</v>
      </c>
      <c r="R28">
        <v>351651</v>
      </c>
      <c r="S28">
        <v>172766</v>
      </c>
      <c r="T28">
        <v>353449</v>
      </c>
      <c r="U28">
        <v>1433372</v>
      </c>
      <c r="V28">
        <v>859396</v>
      </c>
      <c r="W28">
        <v>1635209</v>
      </c>
      <c r="X28">
        <v>664295</v>
      </c>
      <c r="Y28">
        <v>1483485</v>
      </c>
      <c r="Z28">
        <v>4187755</v>
      </c>
      <c r="AA28">
        <v>4436478</v>
      </c>
      <c r="AB28">
        <v>198459</v>
      </c>
      <c r="AC28">
        <v>262362</v>
      </c>
      <c r="AD28">
        <v>209800</v>
      </c>
      <c r="AE28">
        <v>1074958</v>
      </c>
      <c r="AF28">
        <v>495237</v>
      </c>
      <c r="AG28">
        <v>433292</v>
      </c>
      <c r="AH28">
        <v>237259</v>
      </c>
      <c r="AI28">
        <v>447217</v>
      </c>
      <c r="AJ28">
        <v>793607</v>
      </c>
      <c r="AK28">
        <v>652997</v>
      </c>
      <c r="AL28">
        <v>428701</v>
      </c>
      <c r="AM28">
        <v>201477</v>
      </c>
      <c r="AN28">
        <v>354608</v>
      </c>
      <c r="AO28">
        <v>1332379</v>
      </c>
      <c r="AP28">
        <v>1070927</v>
      </c>
      <c r="AQ28">
        <v>833357</v>
      </c>
      <c r="AR28">
        <v>487984</v>
      </c>
      <c r="AS28">
        <v>830601</v>
      </c>
      <c r="AT28">
        <v>1966085</v>
      </c>
      <c r="AU28">
        <v>1987745</v>
      </c>
      <c r="AV28">
        <v>1829147</v>
      </c>
      <c r="AW28">
        <v>1920573</v>
      </c>
      <c r="AX28">
        <v>1881094</v>
      </c>
      <c r="AY28">
        <v>7588273</v>
      </c>
      <c r="AZ28">
        <v>6816704</v>
      </c>
      <c r="BA28">
        <v>492933</v>
      </c>
      <c r="BB28">
        <v>232064</v>
      </c>
      <c r="BC28">
        <v>484525</v>
      </c>
      <c r="BD28">
        <v>1312157</v>
      </c>
      <c r="BE28">
        <v>1561717</v>
      </c>
      <c r="BF28">
        <v>2223376</v>
      </c>
      <c r="BG28">
        <v>1654807</v>
      </c>
      <c r="BH28">
        <v>2109308</v>
      </c>
      <c r="BI28">
        <v>6212292</v>
      </c>
      <c r="BJ28">
        <v>4296765</v>
      </c>
      <c r="BK28">
        <v>1939441</v>
      </c>
      <c r="BL28">
        <v>1364962</v>
      </c>
      <c r="BM28">
        <v>2062740</v>
      </c>
      <c r="BN28">
        <v>5938984</v>
      </c>
      <c r="BO28">
        <v>2726926</v>
      </c>
      <c r="BP28">
        <v>67131</v>
      </c>
      <c r="BQ28">
        <v>180537</v>
      </c>
      <c r="BR28">
        <v>68888</v>
      </c>
      <c r="BS28">
        <v>415579</v>
      </c>
      <c r="BT28">
        <v>74936</v>
      </c>
      <c r="BU28">
        <v>244376</v>
      </c>
      <c r="BV28">
        <v>618861</v>
      </c>
      <c r="BW28">
        <v>259345</v>
      </c>
      <c r="BX28">
        <v>4356739</v>
      </c>
      <c r="BY28">
        <v>477055</v>
      </c>
      <c r="BZ28">
        <v>583636</v>
      </c>
      <c r="CA28">
        <v>737685</v>
      </c>
      <c r="CB28">
        <v>556132</v>
      </c>
      <c r="CC28">
        <v>4914111</v>
      </c>
      <c r="CD28">
        <v>1050537</v>
      </c>
      <c r="CE28">
        <v>1954623</v>
      </c>
      <c r="CF28">
        <v>1282237</v>
      </c>
      <c r="CG28">
        <v>1709048</v>
      </c>
      <c r="CH28">
        <v>10050170</v>
      </c>
      <c r="CI28">
        <v>3245750</v>
      </c>
      <c r="CJ28">
        <v>382570</v>
      </c>
      <c r="CK28">
        <v>891513</v>
      </c>
      <c r="CL28">
        <v>391485</v>
      </c>
      <c r="CM28">
        <v>10510195</v>
      </c>
      <c r="CN28">
        <v>672475</v>
      </c>
      <c r="CO28">
        <v>225876</v>
      </c>
      <c r="CP28">
        <v>605217</v>
      </c>
      <c r="CQ28">
        <v>178796</v>
      </c>
      <c r="CR28">
        <v>1750229</v>
      </c>
      <c r="CS28">
        <v>317348</v>
      </c>
      <c r="CT28">
        <v>1122161</v>
      </c>
      <c r="CU28">
        <v>577495</v>
      </c>
      <c r="CV28">
        <v>1109208</v>
      </c>
      <c r="CW28">
        <v>1808552</v>
      </c>
      <c r="CX28">
        <v>3470683</v>
      </c>
      <c r="CY28">
        <v>897934</v>
      </c>
      <c r="CZ28">
        <v>819146</v>
      </c>
      <c r="DA28">
        <v>776560</v>
      </c>
      <c r="DB28">
        <v>4469274</v>
      </c>
      <c r="DC28">
        <v>2110181</v>
      </c>
      <c r="DD28">
        <v>181570</v>
      </c>
      <c r="DE28">
        <v>730732</v>
      </c>
      <c r="DF28">
        <v>201925</v>
      </c>
      <c r="DG28">
        <v>6305430</v>
      </c>
      <c r="DH28">
        <v>623097</v>
      </c>
      <c r="DI28">
        <v>111796</v>
      </c>
      <c r="DJ28">
        <v>300091</v>
      </c>
      <c r="DK28">
        <v>74221</v>
      </c>
      <c r="DL28">
        <v>3932417</v>
      </c>
      <c r="DM28">
        <v>267589</v>
      </c>
      <c r="DN28">
        <v>8471</v>
      </c>
      <c r="DO28">
        <v>240029</v>
      </c>
      <c r="DP28">
        <v>11751</v>
      </c>
      <c r="DQ28">
        <v>1825367</v>
      </c>
      <c r="DR28">
        <v>100285</v>
      </c>
      <c r="DS28">
        <v>29038</v>
      </c>
      <c r="DT28">
        <v>653179</v>
      </c>
      <c r="DU28">
        <v>25369</v>
      </c>
      <c r="DV28">
        <v>1507701</v>
      </c>
      <c r="DW28">
        <v>71795</v>
      </c>
      <c r="DX28">
        <v>3792</v>
      </c>
      <c r="DY28">
        <v>66171</v>
      </c>
      <c r="DZ28">
        <v>5753</v>
      </c>
      <c r="EA28">
        <v>470691</v>
      </c>
      <c r="EB28">
        <v>22817</v>
      </c>
      <c r="EC28">
        <v>13855</v>
      </c>
      <c r="ED28">
        <v>382810</v>
      </c>
      <c r="EE28">
        <v>16183</v>
      </c>
      <c r="EF28">
        <v>2500361</v>
      </c>
      <c r="EG28">
        <v>83882</v>
      </c>
      <c r="EH28">
        <v>15532</v>
      </c>
      <c r="EI28">
        <v>610137</v>
      </c>
      <c r="EJ28">
        <v>22772</v>
      </c>
      <c r="EK28">
        <v>3428383</v>
      </c>
      <c r="EL28">
        <v>101524</v>
      </c>
      <c r="EM28">
        <v>20965</v>
      </c>
      <c r="EN28">
        <v>73681</v>
      </c>
      <c r="EO28">
        <v>21041</v>
      </c>
      <c r="EP28">
        <v>230465</v>
      </c>
      <c r="EQ28">
        <v>101841</v>
      </c>
      <c r="ER28">
        <v>11556</v>
      </c>
      <c r="ES28">
        <v>81349</v>
      </c>
      <c r="ET28">
        <v>16880</v>
      </c>
      <c r="EU28">
        <v>375714</v>
      </c>
      <c r="EV28">
        <v>36752</v>
      </c>
      <c r="EW28">
        <v>782004</v>
      </c>
      <c r="EX28">
        <v>1226094</v>
      </c>
      <c r="EY28">
        <v>809955</v>
      </c>
      <c r="EZ28">
        <v>6281727</v>
      </c>
      <c r="FA28">
        <v>1784242</v>
      </c>
      <c r="FB28">
        <v>1023704</v>
      </c>
      <c r="FC28">
        <v>281925</v>
      </c>
      <c r="FD28">
        <v>1053038</v>
      </c>
      <c r="FE28">
        <v>856283</v>
      </c>
      <c r="FF28">
        <v>1309309</v>
      </c>
      <c r="FG28">
        <v>583733</v>
      </c>
      <c r="FH28">
        <v>564166</v>
      </c>
      <c r="FI28">
        <v>635693</v>
      </c>
      <c r="FJ28">
        <v>2074213</v>
      </c>
      <c r="FK28">
        <v>1627135</v>
      </c>
    </row>
    <row r="29" spans="1:167" x14ac:dyDescent="0.4">
      <c r="A29" s="1" t="s">
        <v>46</v>
      </c>
      <c r="B29" s="1" t="s">
        <v>47</v>
      </c>
      <c r="C29">
        <v>12493</v>
      </c>
      <c r="D29">
        <v>53902</v>
      </c>
      <c r="E29">
        <v>25952</v>
      </c>
      <c r="F29">
        <v>1062841</v>
      </c>
      <c r="G29">
        <v>118500</v>
      </c>
      <c r="H29">
        <v>9951811</v>
      </c>
      <c r="I29">
        <v>2254313</v>
      </c>
      <c r="J29">
        <v>9452293</v>
      </c>
      <c r="K29">
        <v>8066437</v>
      </c>
      <c r="L29">
        <v>17937436</v>
      </c>
      <c r="M29">
        <v>3984001</v>
      </c>
      <c r="N29">
        <v>761784</v>
      </c>
      <c r="O29">
        <v>3396805</v>
      </c>
      <c r="P29">
        <v>2043419</v>
      </c>
      <c r="Q29">
        <v>8085934</v>
      </c>
      <c r="R29">
        <v>358421</v>
      </c>
      <c r="S29">
        <v>157637</v>
      </c>
      <c r="T29">
        <v>320308</v>
      </c>
      <c r="U29">
        <v>1387398</v>
      </c>
      <c r="V29">
        <v>897532</v>
      </c>
      <c r="W29">
        <v>1957946</v>
      </c>
      <c r="X29">
        <v>846552</v>
      </c>
      <c r="Y29">
        <v>1678511</v>
      </c>
      <c r="Z29">
        <v>4734103</v>
      </c>
      <c r="AA29">
        <v>4727949</v>
      </c>
      <c r="AB29">
        <v>253756</v>
      </c>
      <c r="AC29">
        <v>281466</v>
      </c>
      <c r="AD29">
        <v>214181</v>
      </c>
      <c r="AE29">
        <v>1157213</v>
      </c>
      <c r="AF29">
        <v>534005</v>
      </c>
      <c r="AG29">
        <v>417135</v>
      </c>
      <c r="AH29">
        <v>228722</v>
      </c>
      <c r="AI29">
        <v>436461</v>
      </c>
      <c r="AJ29">
        <v>763209</v>
      </c>
      <c r="AK29">
        <v>629091</v>
      </c>
      <c r="AL29">
        <v>384939</v>
      </c>
      <c r="AM29">
        <v>221041</v>
      </c>
      <c r="AN29">
        <v>380290</v>
      </c>
      <c r="AO29">
        <v>1596746</v>
      </c>
      <c r="AP29">
        <v>1072876</v>
      </c>
      <c r="AQ29">
        <v>646252</v>
      </c>
      <c r="AR29">
        <v>443864</v>
      </c>
      <c r="AS29">
        <v>769804</v>
      </c>
      <c r="AT29">
        <v>1886032</v>
      </c>
      <c r="AU29">
        <v>1858832</v>
      </c>
      <c r="AV29">
        <v>2104149</v>
      </c>
      <c r="AW29">
        <v>2128683</v>
      </c>
      <c r="AX29">
        <v>2136798</v>
      </c>
      <c r="AY29">
        <v>8550813</v>
      </c>
      <c r="AZ29">
        <v>6853210</v>
      </c>
      <c r="BA29">
        <v>596403</v>
      </c>
      <c r="BB29">
        <v>290314</v>
      </c>
      <c r="BC29">
        <v>557994</v>
      </c>
      <c r="BD29">
        <v>1448249</v>
      </c>
      <c r="BE29">
        <v>1600210</v>
      </c>
      <c r="BF29">
        <v>2115603</v>
      </c>
      <c r="BG29">
        <v>1705755</v>
      </c>
      <c r="BH29">
        <v>2171849</v>
      </c>
      <c r="BI29">
        <v>6763677</v>
      </c>
      <c r="BJ29">
        <v>4256978</v>
      </c>
      <c r="BK29">
        <v>2135053</v>
      </c>
      <c r="BL29">
        <v>1333875</v>
      </c>
      <c r="BM29">
        <v>2082763</v>
      </c>
      <c r="BN29">
        <v>6276243</v>
      </c>
      <c r="BO29">
        <v>2788690</v>
      </c>
      <c r="BP29">
        <v>66889</v>
      </c>
      <c r="BQ29">
        <v>109415</v>
      </c>
      <c r="BR29">
        <v>65427</v>
      </c>
      <c r="BS29">
        <v>411130</v>
      </c>
      <c r="BT29">
        <v>75881</v>
      </c>
      <c r="BU29">
        <v>341913</v>
      </c>
      <c r="BV29">
        <v>689491</v>
      </c>
      <c r="BW29">
        <v>340279</v>
      </c>
      <c r="BX29">
        <v>4940596</v>
      </c>
      <c r="BY29">
        <v>437159</v>
      </c>
      <c r="BZ29">
        <v>685986</v>
      </c>
      <c r="CA29">
        <v>645725</v>
      </c>
      <c r="CB29">
        <v>573168</v>
      </c>
      <c r="CC29">
        <v>4610367</v>
      </c>
      <c r="CD29">
        <v>1115672</v>
      </c>
      <c r="CE29">
        <v>1876780</v>
      </c>
      <c r="CF29">
        <v>1300345</v>
      </c>
      <c r="CG29">
        <v>1828672</v>
      </c>
      <c r="CH29">
        <v>9308331</v>
      </c>
      <c r="CI29">
        <v>3111526</v>
      </c>
      <c r="CJ29">
        <v>345398</v>
      </c>
      <c r="CK29">
        <v>749247</v>
      </c>
      <c r="CL29">
        <v>306808</v>
      </c>
      <c r="CM29">
        <v>9006913</v>
      </c>
      <c r="CN29">
        <v>678491</v>
      </c>
      <c r="CO29">
        <v>268149</v>
      </c>
      <c r="CP29">
        <v>1953062</v>
      </c>
      <c r="CQ29">
        <v>264958</v>
      </c>
      <c r="CR29">
        <v>1986206</v>
      </c>
      <c r="CS29">
        <v>300806</v>
      </c>
      <c r="CT29">
        <v>1385780</v>
      </c>
      <c r="CU29">
        <v>945863</v>
      </c>
      <c r="CV29">
        <v>2077707</v>
      </c>
      <c r="CW29">
        <v>2957015</v>
      </c>
      <c r="CX29">
        <v>2746126</v>
      </c>
      <c r="CY29">
        <v>1170062</v>
      </c>
      <c r="CZ29">
        <v>1047639</v>
      </c>
      <c r="DA29">
        <v>907252</v>
      </c>
      <c r="DB29">
        <v>3786071</v>
      </c>
      <c r="DC29">
        <v>2325264</v>
      </c>
      <c r="DD29">
        <v>176219</v>
      </c>
      <c r="DE29">
        <v>791501</v>
      </c>
      <c r="DF29">
        <v>201371</v>
      </c>
      <c r="DG29">
        <v>6413999</v>
      </c>
      <c r="DH29">
        <v>617778</v>
      </c>
      <c r="DI29">
        <v>89225</v>
      </c>
      <c r="DJ29">
        <v>341127</v>
      </c>
      <c r="DK29">
        <v>92315</v>
      </c>
      <c r="DL29">
        <v>3555044</v>
      </c>
      <c r="DM29">
        <v>264997</v>
      </c>
      <c r="DN29">
        <v>7849</v>
      </c>
      <c r="DO29">
        <v>226414</v>
      </c>
      <c r="DP29">
        <v>18700</v>
      </c>
      <c r="DQ29">
        <v>1945248</v>
      </c>
      <c r="DR29">
        <v>92330</v>
      </c>
      <c r="DS29">
        <v>30288</v>
      </c>
      <c r="DT29">
        <v>735786</v>
      </c>
      <c r="DU29">
        <v>26112</v>
      </c>
      <c r="DV29">
        <v>1493033</v>
      </c>
      <c r="DW29">
        <v>73281</v>
      </c>
      <c r="DX29">
        <v>3435</v>
      </c>
      <c r="DY29">
        <v>59582</v>
      </c>
      <c r="DZ29">
        <v>4409</v>
      </c>
      <c r="EA29">
        <v>380299</v>
      </c>
      <c r="EB29">
        <v>20569</v>
      </c>
      <c r="EC29">
        <v>10732</v>
      </c>
      <c r="ED29">
        <v>354897</v>
      </c>
      <c r="EE29">
        <v>14584</v>
      </c>
      <c r="EF29">
        <v>2617192</v>
      </c>
      <c r="EG29">
        <v>81160</v>
      </c>
      <c r="EH29">
        <v>18041</v>
      </c>
      <c r="EI29">
        <v>619957</v>
      </c>
      <c r="EJ29">
        <v>32393</v>
      </c>
      <c r="EK29">
        <v>3608466</v>
      </c>
      <c r="EL29">
        <v>93802</v>
      </c>
      <c r="EM29">
        <v>32515</v>
      </c>
      <c r="EN29">
        <v>308522</v>
      </c>
      <c r="EO29">
        <v>38420</v>
      </c>
      <c r="EP29">
        <v>604483</v>
      </c>
      <c r="EQ29">
        <v>96224</v>
      </c>
      <c r="ER29">
        <v>13152</v>
      </c>
      <c r="ES29">
        <v>90795</v>
      </c>
      <c r="ET29">
        <v>18143</v>
      </c>
      <c r="EU29">
        <v>691530</v>
      </c>
      <c r="EV29">
        <v>35896</v>
      </c>
      <c r="EW29">
        <v>822781</v>
      </c>
      <c r="EX29">
        <v>1281394</v>
      </c>
      <c r="EY29">
        <v>903386</v>
      </c>
      <c r="EZ29">
        <v>6501409</v>
      </c>
      <c r="FA29">
        <v>1646954</v>
      </c>
      <c r="FB29">
        <v>1052006</v>
      </c>
      <c r="FC29">
        <v>302870</v>
      </c>
      <c r="FD29">
        <v>1104794</v>
      </c>
      <c r="FE29">
        <v>985624</v>
      </c>
      <c r="FF29">
        <v>1255848</v>
      </c>
      <c r="FG29">
        <v>606411</v>
      </c>
      <c r="FH29">
        <v>637652</v>
      </c>
      <c r="FI29">
        <v>760136</v>
      </c>
      <c r="FJ29">
        <v>2319089</v>
      </c>
      <c r="FK29">
        <v>1449566</v>
      </c>
    </row>
    <row r="30" spans="1:167" x14ac:dyDescent="0.4">
      <c r="A30" s="1" t="s">
        <v>48</v>
      </c>
      <c r="B30" s="1" t="s">
        <v>49</v>
      </c>
      <c r="C30">
        <v>11664</v>
      </c>
      <c r="D30">
        <v>33397</v>
      </c>
      <c r="E30">
        <v>22108</v>
      </c>
      <c r="F30">
        <v>734407</v>
      </c>
      <c r="G30">
        <v>122080</v>
      </c>
      <c r="H30">
        <v>11034246</v>
      </c>
      <c r="I30">
        <v>2210873</v>
      </c>
      <c r="J30">
        <v>8650005</v>
      </c>
      <c r="K30">
        <v>7979699</v>
      </c>
      <c r="L30">
        <v>19455514</v>
      </c>
      <c r="M30">
        <v>5173420</v>
      </c>
      <c r="N30">
        <v>789090</v>
      </c>
      <c r="O30">
        <v>3346109</v>
      </c>
      <c r="P30">
        <v>2176900</v>
      </c>
      <c r="Q30">
        <v>9470015</v>
      </c>
      <c r="R30">
        <v>305187</v>
      </c>
      <c r="S30">
        <v>170632</v>
      </c>
      <c r="T30">
        <v>341035</v>
      </c>
      <c r="U30">
        <v>1529680</v>
      </c>
      <c r="V30">
        <v>861037</v>
      </c>
      <c r="W30">
        <v>2623605</v>
      </c>
      <c r="X30">
        <v>941325</v>
      </c>
      <c r="Y30">
        <v>2086689</v>
      </c>
      <c r="Z30">
        <v>5409776</v>
      </c>
      <c r="AA30">
        <v>5118735</v>
      </c>
      <c r="AB30">
        <v>235955</v>
      </c>
      <c r="AC30">
        <v>306528</v>
      </c>
      <c r="AD30">
        <v>257210</v>
      </c>
      <c r="AE30">
        <v>1286222</v>
      </c>
      <c r="AF30">
        <v>512456</v>
      </c>
      <c r="AG30">
        <v>479176</v>
      </c>
      <c r="AH30">
        <v>266826</v>
      </c>
      <c r="AI30">
        <v>458692</v>
      </c>
      <c r="AJ30">
        <v>904218</v>
      </c>
      <c r="AK30">
        <v>647783</v>
      </c>
      <c r="AL30">
        <v>345212</v>
      </c>
      <c r="AM30">
        <v>232171</v>
      </c>
      <c r="AN30">
        <v>404781</v>
      </c>
      <c r="AO30">
        <v>1612654</v>
      </c>
      <c r="AP30">
        <v>1021103</v>
      </c>
      <c r="AQ30">
        <v>1114393</v>
      </c>
      <c r="AR30">
        <v>497145</v>
      </c>
      <c r="AS30">
        <v>868589</v>
      </c>
      <c r="AT30">
        <v>2163062</v>
      </c>
      <c r="AU30">
        <v>2097952</v>
      </c>
      <c r="AV30">
        <v>2129777</v>
      </c>
      <c r="AW30">
        <v>2363217</v>
      </c>
      <c r="AX30">
        <v>2393443</v>
      </c>
      <c r="AY30">
        <v>9388138</v>
      </c>
      <c r="AZ30">
        <v>6744678</v>
      </c>
      <c r="BA30">
        <v>459735</v>
      </c>
      <c r="BB30">
        <v>288645</v>
      </c>
      <c r="BC30">
        <v>529879</v>
      </c>
      <c r="BD30">
        <v>1439917</v>
      </c>
      <c r="BE30">
        <v>1523749</v>
      </c>
      <c r="BF30">
        <v>2314944</v>
      </c>
      <c r="BG30">
        <v>1969070</v>
      </c>
      <c r="BH30">
        <v>2349939</v>
      </c>
      <c r="BI30">
        <v>7036754</v>
      </c>
      <c r="BJ30">
        <v>4172122</v>
      </c>
      <c r="BK30">
        <v>2221238</v>
      </c>
      <c r="BL30">
        <v>1474405</v>
      </c>
      <c r="BM30">
        <v>2109943</v>
      </c>
      <c r="BN30">
        <v>6669171</v>
      </c>
      <c r="BO30">
        <v>2901998</v>
      </c>
      <c r="BP30">
        <v>85246</v>
      </c>
      <c r="BQ30">
        <v>100233</v>
      </c>
      <c r="BR30">
        <v>72457</v>
      </c>
      <c r="BS30">
        <v>460669</v>
      </c>
      <c r="BT30">
        <v>85766</v>
      </c>
      <c r="BU30">
        <v>379611</v>
      </c>
      <c r="BV30">
        <v>753941</v>
      </c>
      <c r="BW30">
        <v>319683</v>
      </c>
      <c r="BX30">
        <v>5982854</v>
      </c>
      <c r="BY30">
        <v>489113</v>
      </c>
      <c r="BZ30">
        <v>868217</v>
      </c>
      <c r="CA30">
        <v>857735</v>
      </c>
      <c r="CB30">
        <v>718547</v>
      </c>
      <c r="CC30">
        <v>6117681</v>
      </c>
      <c r="CD30">
        <v>1180114</v>
      </c>
      <c r="CE30">
        <v>2254012</v>
      </c>
      <c r="CF30">
        <v>1431209</v>
      </c>
      <c r="CG30">
        <v>1861807</v>
      </c>
      <c r="CH30">
        <v>10448332</v>
      </c>
      <c r="CI30">
        <v>3231628</v>
      </c>
      <c r="CJ30">
        <v>404585</v>
      </c>
      <c r="CK30">
        <v>957660</v>
      </c>
      <c r="CL30">
        <v>338523</v>
      </c>
      <c r="CM30">
        <v>10001211</v>
      </c>
      <c r="CN30">
        <v>714009</v>
      </c>
      <c r="CO30">
        <v>350459</v>
      </c>
      <c r="CP30">
        <v>1396169</v>
      </c>
      <c r="CQ30">
        <v>296166</v>
      </c>
      <c r="CR30">
        <v>2152766</v>
      </c>
      <c r="CS30">
        <v>329753</v>
      </c>
      <c r="CT30">
        <v>1260821</v>
      </c>
      <c r="CU30">
        <v>951939</v>
      </c>
      <c r="CV30">
        <v>2032888</v>
      </c>
      <c r="CW30">
        <v>2918324</v>
      </c>
      <c r="CX30">
        <v>1973618</v>
      </c>
      <c r="CY30">
        <v>1755137</v>
      </c>
      <c r="CZ30">
        <v>920797</v>
      </c>
      <c r="DA30">
        <v>945143</v>
      </c>
      <c r="DB30">
        <v>3797848</v>
      </c>
      <c r="DC30">
        <v>2930435</v>
      </c>
      <c r="DD30">
        <v>223938</v>
      </c>
      <c r="DE30">
        <v>985462</v>
      </c>
      <c r="DF30">
        <v>255559</v>
      </c>
      <c r="DG30">
        <v>7606467</v>
      </c>
      <c r="DH30">
        <v>608407</v>
      </c>
      <c r="DI30">
        <v>88713</v>
      </c>
      <c r="DJ30">
        <v>319598</v>
      </c>
      <c r="DK30">
        <v>84173</v>
      </c>
      <c r="DL30">
        <v>3680405</v>
      </c>
      <c r="DM30">
        <v>270086</v>
      </c>
      <c r="DN30">
        <v>13709</v>
      </c>
      <c r="DO30">
        <v>281835</v>
      </c>
      <c r="DP30">
        <v>14077</v>
      </c>
      <c r="DQ30">
        <v>2546117</v>
      </c>
      <c r="DR30">
        <v>93403</v>
      </c>
      <c r="DS30">
        <v>30583</v>
      </c>
      <c r="DT30">
        <v>774998</v>
      </c>
      <c r="DU30">
        <v>25912</v>
      </c>
      <c r="DV30">
        <v>1829790</v>
      </c>
      <c r="DW30">
        <v>77450</v>
      </c>
      <c r="DX30">
        <v>4706</v>
      </c>
      <c r="DY30">
        <v>68227</v>
      </c>
      <c r="DZ30">
        <v>5490</v>
      </c>
      <c r="EA30">
        <v>427350</v>
      </c>
      <c r="EB30">
        <v>20501</v>
      </c>
      <c r="EC30">
        <v>39091</v>
      </c>
      <c r="ED30">
        <v>485684</v>
      </c>
      <c r="EE30">
        <v>31486</v>
      </c>
      <c r="EF30">
        <v>3449003</v>
      </c>
      <c r="EG30">
        <v>92407</v>
      </c>
      <c r="EH30">
        <v>18940</v>
      </c>
      <c r="EI30">
        <v>658292</v>
      </c>
      <c r="EJ30">
        <v>27912</v>
      </c>
      <c r="EK30">
        <v>3864674</v>
      </c>
      <c r="EL30">
        <v>93084</v>
      </c>
      <c r="EM30">
        <v>25746</v>
      </c>
      <c r="EN30">
        <v>153575</v>
      </c>
      <c r="EO30">
        <v>31731</v>
      </c>
      <c r="EP30">
        <v>359306</v>
      </c>
      <c r="EQ30">
        <v>90485</v>
      </c>
      <c r="ER30">
        <v>11643</v>
      </c>
      <c r="ES30">
        <v>82423</v>
      </c>
      <c r="ET30">
        <v>17689</v>
      </c>
      <c r="EU30">
        <v>423199</v>
      </c>
      <c r="EV30">
        <v>36226</v>
      </c>
      <c r="EW30">
        <v>801253</v>
      </c>
      <c r="EX30">
        <v>1363163</v>
      </c>
      <c r="EY30">
        <v>947659</v>
      </c>
      <c r="EZ30">
        <v>7254084</v>
      </c>
      <c r="FA30">
        <v>1332861</v>
      </c>
      <c r="FB30">
        <v>1325697</v>
      </c>
      <c r="FC30">
        <v>346202</v>
      </c>
      <c r="FD30">
        <v>1185839</v>
      </c>
      <c r="FE30">
        <v>1087631</v>
      </c>
      <c r="FF30">
        <v>1394961</v>
      </c>
      <c r="FG30">
        <v>387200</v>
      </c>
      <c r="FH30">
        <v>655151</v>
      </c>
      <c r="FI30">
        <v>800039</v>
      </c>
      <c r="FJ30">
        <v>2380690</v>
      </c>
      <c r="FK30">
        <v>1022723</v>
      </c>
    </row>
    <row r="31" spans="1:167" x14ac:dyDescent="0.4">
      <c r="A31" s="1" t="s">
        <v>50</v>
      </c>
      <c r="B31" s="1" t="s">
        <v>51</v>
      </c>
      <c r="C31">
        <v>8320</v>
      </c>
      <c r="D31">
        <v>33483</v>
      </c>
      <c r="E31">
        <v>18963</v>
      </c>
      <c r="F31">
        <v>771357</v>
      </c>
      <c r="G31">
        <v>130150</v>
      </c>
      <c r="H31">
        <v>8505364</v>
      </c>
      <c r="I31">
        <v>1938538</v>
      </c>
      <c r="J31">
        <v>7118320</v>
      </c>
      <c r="K31">
        <v>6739786</v>
      </c>
      <c r="L31">
        <v>20179486</v>
      </c>
      <c r="M31">
        <v>2485533</v>
      </c>
      <c r="N31">
        <v>633412</v>
      </c>
      <c r="O31">
        <v>2729274</v>
      </c>
      <c r="P31">
        <v>1751232</v>
      </c>
      <c r="Q31">
        <v>8922320</v>
      </c>
      <c r="R31">
        <v>277766</v>
      </c>
      <c r="S31">
        <v>138881</v>
      </c>
      <c r="T31">
        <v>281148</v>
      </c>
      <c r="U31">
        <v>1229621</v>
      </c>
      <c r="V31">
        <v>846756</v>
      </c>
      <c r="W31">
        <v>1839163</v>
      </c>
      <c r="X31">
        <v>781878</v>
      </c>
      <c r="Y31">
        <v>1530185</v>
      </c>
      <c r="Z31">
        <v>4395877</v>
      </c>
      <c r="AA31">
        <v>5411608</v>
      </c>
      <c r="AB31">
        <v>195725</v>
      </c>
      <c r="AC31">
        <v>263860</v>
      </c>
      <c r="AD31">
        <v>197055</v>
      </c>
      <c r="AE31">
        <v>1066810</v>
      </c>
      <c r="AF31">
        <v>510619</v>
      </c>
      <c r="AG31">
        <v>362831</v>
      </c>
      <c r="AH31">
        <v>176122</v>
      </c>
      <c r="AI31">
        <v>329417</v>
      </c>
      <c r="AJ31">
        <v>594521</v>
      </c>
      <c r="AK31">
        <v>679523</v>
      </c>
      <c r="AL31">
        <v>267665</v>
      </c>
      <c r="AM31">
        <v>193591</v>
      </c>
      <c r="AN31">
        <v>340503</v>
      </c>
      <c r="AO31">
        <v>1364167</v>
      </c>
      <c r="AP31">
        <v>949068</v>
      </c>
      <c r="AQ31">
        <v>647488</v>
      </c>
      <c r="AR31">
        <v>449097</v>
      </c>
      <c r="AS31">
        <v>742850</v>
      </c>
      <c r="AT31">
        <v>1823117</v>
      </c>
      <c r="AU31">
        <v>1996623</v>
      </c>
      <c r="AV31">
        <v>1774397</v>
      </c>
      <c r="AW31">
        <v>1890686</v>
      </c>
      <c r="AX31">
        <v>1894996</v>
      </c>
      <c r="AY31">
        <v>7567584</v>
      </c>
      <c r="AZ31">
        <v>6734805</v>
      </c>
      <c r="BA31">
        <v>463190</v>
      </c>
      <c r="BB31">
        <v>287807</v>
      </c>
      <c r="BC31">
        <v>407315</v>
      </c>
      <c r="BD31">
        <v>1134793</v>
      </c>
      <c r="BE31">
        <v>1580693</v>
      </c>
      <c r="BF31">
        <v>1834867</v>
      </c>
      <c r="BG31">
        <v>1678181</v>
      </c>
      <c r="BH31">
        <v>2108615</v>
      </c>
      <c r="BI31">
        <v>6501088</v>
      </c>
      <c r="BJ31">
        <v>3933601</v>
      </c>
      <c r="BK31">
        <v>1858744</v>
      </c>
      <c r="BL31">
        <v>1373454</v>
      </c>
      <c r="BM31">
        <v>2014529</v>
      </c>
      <c r="BN31">
        <v>6297994</v>
      </c>
      <c r="BO31">
        <v>2752119</v>
      </c>
      <c r="BP31">
        <v>42491</v>
      </c>
      <c r="BQ31">
        <v>126041</v>
      </c>
      <c r="BR31">
        <v>55701</v>
      </c>
      <c r="BS31">
        <v>570806</v>
      </c>
      <c r="BT31">
        <v>72786</v>
      </c>
      <c r="BU31">
        <v>353744</v>
      </c>
      <c r="BV31">
        <v>758454</v>
      </c>
      <c r="BW31">
        <v>348444</v>
      </c>
      <c r="BX31">
        <v>5723360</v>
      </c>
      <c r="BY31">
        <v>482468</v>
      </c>
      <c r="BZ31">
        <v>661682</v>
      </c>
      <c r="CA31">
        <v>674589</v>
      </c>
      <c r="CB31">
        <v>615935</v>
      </c>
      <c r="CC31">
        <v>4757471</v>
      </c>
      <c r="CD31">
        <v>1167294</v>
      </c>
      <c r="CE31">
        <v>1712614</v>
      </c>
      <c r="CF31">
        <v>1208979</v>
      </c>
      <c r="CG31">
        <v>1608050</v>
      </c>
      <c r="CH31">
        <v>9505023</v>
      </c>
      <c r="CI31">
        <v>3082773</v>
      </c>
      <c r="CJ31">
        <v>316039</v>
      </c>
      <c r="CK31">
        <v>721146</v>
      </c>
      <c r="CL31">
        <v>282634</v>
      </c>
      <c r="CM31">
        <v>8697264</v>
      </c>
      <c r="CN31">
        <v>711410</v>
      </c>
      <c r="CO31">
        <v>177175</v>
      </c>
      <c r="CP31">
        <v>1370274</v>
      </c>
      <c r="CQ31">
        <v>183132</v>
      </c>
      <c r="CR31">
        <v>1663687</v>
      </c>
      <c r="CS31">
        <v>293736</v>
      </c>
      <c r="CT31">
        <v>986326</v>
      </c>
      <c r="CU31">
        <v>472086</v>
      </c>
      <c r="CV31">
        <v>833677</v>
      </c>
      <c r="CW31">
        <v>1503124</v>
      </c>
      <c r="CX31">
        <v>2118053</v>
      </c>
      <c r="CY31">
        <v>1341482</v>
      </c>
      <c r="CZ31">
        <v>926438</v>
      </c>
      <c r="DA31">
        <v>1049709</v>
      </c>
      <c r="DB31">
        <v>4594336</v>
      </c>
      <c r="DC31">
        <v>3201577</v>
      </c>
      <c r="DD31">
        <v>170631</v>
      </c>
      <c r="DE31">
        <v>833147</v>
      </c>
      <c r="DF31">
        <v>222787</v>
      </c>
      <c r="DG31">
        <v>7294345</v>
      </c>
      <c r="DH31">
        <v>586450</v>
      </c>
      <c r="DI31">
        <v>57431</v>
      </c>
      <c r="DJ31">
        <v>290826</v>
      </c>
      <c r="DK31">
        <v>78856</v>
      </c>
      <c r="DL31">
        <v>3509048</v>
      </c>
      <c r="DM31">
        <v>248713</v>
      </c>
      <c r="DN31">
        <v>11094</v>
      </c>
      <c r="DO31">
        <v>317308</v>
      </c>
      <c r="DP31">
        <v>14846</v>
      </c>
      <c r="DQ31">
        <v>2556839</v>
      </c>
      <c r="DR31">
        <v>94677</v>
      </c>
      <c r="DS31">
        <v>24679</v>
      </c>
      <c r="DT31">
        <v>746400</v>
      </c>
      <c r="DU31">
        <v>26905</v>
      </c>
      <c r="DV31">
        <v>2460128</v>
      </c>
      <c r="DW31">
        <v>75796</v>
      </c>
      <c r="DX31">
        <v>3029</v>
      </c>
      <c r="DY31">
        <v>65298</v>
      </c>
      <c r="DZ31">
        <v>4842</v>
      </c>
      <c r="EA31">
        <v>437367</v>
      </c>
      <c r="EB31">
        <v>19649</v>
      </c>
      <c r="EC31">
        <v>28689</v>
      </c>
      <c r="ED31">
        <v>350858</v>
      </c>
      <c r="EE31">
        <v>29658</v>
      </c>
      <c r="EF31">
        <v>2898186</v>
      </c>
      <c r="EG31">
        <v>95264</v>
      </c>
      <c r="EH31">
        <v>15492</v>
      </c>
      <c r="EI31">
        <v>567932</v>
      </c>
      <c r="EJ31">
        <v>24808</v>
      </c>
      <c r="EK31">
        <v>3398022</v>
      </c>
      <c r="EL31">
        <v>89357</v>
      </c>
      <c r="EM31">
        <v>31381</v>
      </c>
      <c r="EN31">
        <v>116352</v>
      </c>
      <c r="EO31">
        <v>35826</v>
      </c>
      <c r="EP31">
        <v>302017</v>
      </c>
      <c r="EQ31">
        <v>87109</v>
      </c>
      <c r="ER31">
        <v>11461</v>
      </c>
      <c r="ES31">
        <v>82033</v>
      </c>
      <c r="ET31">
        <v>19559</v>
      </c>
      <c r="EU31">
        <v>943583</v>
      </c>
      <c r="EV31">
        <v>35815</v>
      </c>
      <c r="EW31">
        <v>530802</v>
      </c>
      <c r="EX31">
        <v>789507</v>
      </c>
      <c r="EY31">
        <v>558568</v>
      </c>
      <c r="EZ31">
        <v>4487582</v>
      </c>
      <c r="FA31">
        <v>1273958</v>
      </c>
      <c r="FB31">
        <v>1059852</v>
      </c>
      <c r="FC31">
        <v>253216</v>
      </c>
      <c r="FD31">
        <v>957117</v>
      </c>
      <c r="FE31">
        <v>927480</v>
      </c>
      <c r="FF31">
        <v>1495266</v>
      </c>
      <c r="FG31">
        <v>316941</v>
      </c>
      <c r="FH31">
        <v>339682</v>
      </c>
      <c r="FI31">
        <v>359646</v>
      </c>
      <c r="FJ31">
        <v>1284765</v>
      </c>
      <c r="FK31">
        <v>957477</v>
      </c>
    </row>
    <row r="32" spans="1:167" x14ac:dyDescent="0.4">
      <c r="A32" s="1" t="s">
        <v>52</v>
      </c>
      <c r="B32" s="1" t="s">
        <v>53</v>
      </c>
      <c r="C32">
        <v>6463</v>
      </c>
      <c r="D32">
        <v>94096</v>
      </c>
      <c r="E32">
        <v>18496</v>
      </c>
      <c r="F32">
        <v>761705</v>
      </c>
      <c r="G32">
        <v>121436</v>
      </c>
      <c r="H32">
        <v>8916381</v>
      </c>
      <c r="I32">
        <v>2719105</v>
      </c>
      <c r="J32">
        <v>10713570</v>
      </c>
      <c r="K32">
        <v>8869501</v>
      </c>
      <c r="L32">
        <v>18057237</v>
      </c>
      <c r="M32">
        <v>3332437</v>
      </c>
      <c r="N32">
        <v>973971</v>
      </c>
      <c r="O32">
        <v>4408530</v>
      </c>
      <c r="P32">
        <v>2568913</v>
      </c>
      <c r="Q32">
        <v>7586206</v>
      </c>
      <c r="R32">
        <v>395544</v>
      </c>
      <c r="S32">
        <v>177474</v>
      </c>
      <c r="T32">
        <v>365975</v>
      </c>
      <c r="U32">
        <v>1536352</v>
      </c>
      <c r="V32">
        <v>874005</v>
      </c>
      <c r="W32">
        <v>2028496</v>
      </c>
      <c r="X32">
        <v>1222821</v>
      </c>
      <c r="Y32">
        <v>2314880</v>
      </c>
      <c r="Z32">
        <v>5837602</v>
      </c>
      <c r="AA32">
        <v>5155831</v>
      </c>
      <c r="AB32">
        <v>220011</v>
      </c>
      <c r="AC32">
        <v>311459</v>
      </c>
      <c r="AD32">
        <v>245617</v>
      </c>
      <c r="AE32">
        <v>1253228</v>
      </c>
      <c r="AF32">
        <v>486988</v>
      </c>
      <c r="AG32">
        <v>416143</v>
      </c>
      <c r="AH32">
        <v>220445</v>
      </c>
      <c r="AI32">
        <v>405676</v>
      </c>
      <c r="AJ32">
        <v>742738</v>
      </c>
      <c r="AK32">
        <v>688169</v>
      </c>
      <c r="AL32">
        <v>391687</v>
      </c>
      <c r="AM32">
        <v>219361</v>
      </c>
      <c r="AN32">
        <v>367837</v>
      </c>
      <c r="AO32">
        <v>1628204</v>
      </c>
      <c r="AP32">
        <v>976349</v>
      </c>
      <c r="AQ32">
        <v>821389</v>
      </c>
      <c r="AR32">
        <v>446701</v>
      </c>
      <c r="AS32">
        <v>743243</v>
      </c>
      <c r="AT32">
        <v>1862738</v>
      </c>
      <c r="AU32">
        <v>2075284</v>
      </c>
      <c r="AV32">
        <v>1909820</v>
      </c>
      <c r="AW32">
        <v>2056856</v>
      </c>
      <c r="AX32">
        <v>2053634</v>
      </c>
      <c r="AY32">
        <v>8381330</v>
      </c>
      <c r="AZ32">
        <v>6740234</v>
      </c>
      <c r="BA32">
        <v>519183</v>
      </c>
      <c r="BB32">
        <v>254260</v>
      </c>
      <c r="BC32">
        <v>447431</v>
      </c>
      <c r="BD32">
        <v>1275339</v>
      </c>
      <c r="BE32">
        <v>1678118</v>
      </c>
      <c r="BF32">
        <v>2318485</v>
      </c>
      <c r="BG32">
        <v>1807174</v>
      </c>
      <c r="BH32">
        <v>2285460</v>
      </c>
      <c r="BI32">
        <v>7121895</v>
      </c>
      <c r="BJ32">
        <v>4016199</v>
      </c>
      <c r="BK32">
        <v>2099919</v>
      </c>
      <c r="BL32">
        <v>1465621</v>
      </c>
      <c r="BM32">
        <v>2164403</v>
      </c>
      <c r="BN32">
        <v>6613572</v>
      </c>
      <c r="BO32">
        <v>2693528</v>
      </c>
      <c r="BP32">
        <v>76517</v>
      </c>
      <c r="BQ32">
        <v>81110</v>
      </c>
      <c r="BR32">
        <v>72668</v>
      </c>
      <c r="BS32">
        <v>402264</v>
      </c>
      <c r="BT32">
        <v>76623</v>
      </c>
      <c r="BU32">
        <v>323549</v>
      </c>
      <c r="BV32">
        <v>757727</v>
      </c>
      <c r="BW32">
        <v>347953</v>
      </c>
      <c r="BX32">
        <v>6716950</v>
      </c>
      <c r="BY32">
        <v>457462</v>
      </c>
      <c r="BZ32">
        <v>618510</v>
      </c>
      <c r="CA32">
        <v>658107</v>
      </c>
      <c r="CB32">
        <v>573293</v>
      </c>
      <c r="CC32">
        <v>5790631</v>
      </c>
      <c r="CD32">
        <v>1179787</v>
      </c>
      <c r="CE32">
        <v>2021369</v>
      </c>
      <c r="CF32">
        <v>1286704</v>
      </c>
      <c r="CG32">
        <v>1788706</v>
      </c>
      <c r="CH32">
        <v>10607507</v>
      </c>
      <c r="CI32">
        <v>3122060</v>
      </c>
      <c r="CJ32">
        <v>462013</v>
      </c>
      <c r="CK32">
        <v>886740</v>
      </c>
      <c r="CL32">
        <v>414147</v>
      </c>
      <c r="CM32">
        <v>11332761</v>
      </c>
      <c r="CN32">
        <v>725530</v>
      </c>
      <c r="CO32">
        <v>242588</v>
      </c>
      <c r="CP32">
        <v>1485774</v>
      </c>
      <c r="CQ32">
        <v>211073</v>
      </c>
      <c r="CR32">
        <v>2022787</v>
      </c>
      <c r="CS32">
        <v>304652</v>
      </c>
      <c r="CT32">
        <v>698735</v>
      </c>
      <c r="CU32">
        <v>371396</v>
      </c>
      <c r="CV32">
        <v>594593</v>
      </c>
      <c r="CW32">
        <v>1319859</v>
      </c>
      <c r="CX32">
        <v>2235070</v>
      </c>
      <c r="CY32">
        <v>1500705</v>
      </c>
      <c r="CZ32">
        <v>1413007</v>
      </c>
      <c r="DA32">
        <v>1685571</v>
      </c>
      <c r="DB32">
        <v>7243863</v>
      </c>
      <c r="DC32">
        <v>2891737</v>
      </c>
      <c r="DD32">
        <v>209334</v>
      </c>
      <c r="DE32">
        <v>775977</v>
      </c>
      <c r="DF32">
        <v>207340</v>
      </c>
      <c r="DG32">
        <v>7376164</v>
      </c>
      <c r="DH32">
        <v>629848</v>
      </c>
      <c r="DI32">
        <v>60304</v>
      </c>
      <c r="DJ32">
        <v>353294</v>
      </c>
      <c r="DK32">
        <v>119804</v>
      </c>
      <c r="DL32">
        <v>4269989</v>
      </c>
      <c r="DM32">
        <v>191280</v>
      </c>
      <c r="DN32">
        <v>10842</v>
      </c>
      <c r="DO32">
        <v>282796</v>
      </c>
      <c r="DP32">
        <v>21334</v>
      </c>
      <c r="DQ32">
        <v>2597561</v>
      </c>
      <c r="DR32">
        <v>90996</v>
      </c>
      <c r="DS32">
        <v>28518</v>
      </c>
      <c r="DT32">
        <v>898021</v>
      </c>
      <c r="DU32">
        <v>30776</v>
      </c>
      <c r="DV32">
        <v>2628031</v>
      </c>
      <c r="DW32">
        <v>73140</v>
      </c>
      <c r="DX32">
        <v>3196</v>
      </c>
      <c r="DY32">
        <v>53404</v>
      </c>
      <c r="DZ32">
        <v>3652</v>
      </c>
      <c r="EA32">
        <v>406177</v>
      </c>
      <c r="EB32">
        <v>19988</v>
      </c>
      <c r="EC32">
        <v>8716</v>
      </c>
      <c r="ED32">
        <v>356777</v>
      </c>
      <c r="EE32">
        <v>17497</v>
      </c>
      <c r="EF32">
        <v>2766346</v>
      </c>
      <c r="EG32">
        <v>89575</v>
      </c>
      <c r="EH32">
        <v>18404</v>
      </c>
      <c r="EI32">
        <v>584657</v>
      </c>
      <c r="EJ32">
        <v>26181</v>
      </c>
      <c r="EK32">
        <v>3376394</v>
      </c>
      <c r="EL32">
        <v>93404</v>
      </c>
      <c r="EM32">
        <v>27504</v>
      </c>
      <c r="EN32">
        <v>101532</v>
      </c>
      <c r="EO32">
        <v>30199</v>
      </c>
      <c r="EP32">
        <v>267682</v>
      </c>
      <c r="EQ32">
        <v>84327</v>
      </c>
      <c r="ER32">
        <v>13047</v>
      </c>
      <c r="ES32">
        <v>107554</v>
      </c>
      <c r="ET32">
        <v>21397</v>
      </c>
      <c r="EU32">
        <v>835751</v>
      </c>
      <c r="EV32">
        <v>33514</v>
      </c>
      <c r="EW32">
        <v>495247</v>
      </c>
      <c r="EX32">
        <v>609688</v>
      </c>
      <c r="EY32">
        <v>414043</v>
      </c>
      <c r="EZ32">
        <v>3087276</v>
      </c>
      <c r="FA32">
        <v>1324929</v>
      </c>
      <c r="FB32">
        <v>1080299</v>
      </c>
      <c r="FC32">
        <v>351953</v>
      </c>
      <c r="FD32">
        <v>1094085</v>
      </c>
      <c r="FE32">
        <v>1173042</v>
      </c>
      <c r="FF32">
        <v>1479085</v>
      </c>
      <c r="FG32">
        <v>242828</v>
      </c>
      <c r="FH32">
        <v>266185</v>
      </c>
      <c r="FI32">
        <v>290781</v>
      </c>
      <c r="FJ32">
        <v>1067812</v>
      </c>
      <c r="FK32">
        <v>900613</v>
      </c>
    </row>
    <row r="33" spans="1:167" x14ac:dyDescent="0.4">
      <c r="A33" s="1" t="s">
        <v>54</v>
      </c>
      <c r="B33" s="1" t="s">
        <v>55</v>
      </c>
      <c r="C33">
        <v>12989</v>
      </c>
      <c r="D33">
        <v>28353</v>
      </c>
      <c r="E33">
        <v>21487</v>
      </c>
      <c r="F33">
        <v>714678</v>
      </c>
      <c r="G33">
        <v>126516</v>
      </c>
      <c r="H33">
        <v>9364723</v>
      </c>
      <c r="I33">
        <v>2221975</v>
      </c>
      <c r="J33">
        <v>8529711</v>
      </c>
      <c r="K33">
        <v>7885876</v>
      </c>
      <c r="L33">
        <v>18155461</v>
      </c>
      <c r="M33">
        <v>4222123</v>
      </c>
      <c r="N33">
        <v>811185</v>
      </c>
      <c r="O33">
        <v>3336240</v>
      </c>
      <c r="P33">
        <v>2105955</v>
      </c>
      <c r="Q33">
        <v>7760060</v>
      </c>
      <c r="R33">
        <v>414532</v>
      </c>
      <c r="S33">
        <v>187620</v>
      </c>
      <c r="T33">
        <v>366403</v>
      </c>
      <c r="U33">
        <v>1797565</v>
      </c>
      <c r="V33">
        <v>922392</v>
      </c>
      <c r="W33">
        <v>1995435</v>
      </c>
      <c r="X33">
        <v>940200</v>
      </c>
      <c r="Y33">
        <v>1806617</v>
      </c>
      <c r="Z33">
        <v>5242391</v>
      </c>
      <c r="AA33">
        <v>5290037</v>
      </c>
      <c r="AB33">
        <v>277544</v>
      </c>
      <c r="AC33">
        <v>307286</v>
      </c>
      <c r="AD33">
        <v>233117</v>
      </c>
      <c r="AE33">
        <v>1214248</v>
      </c>
      <c r="AF33">
        <v>529131</v>
      </c>
      <c r="AG33">
        <v>445738</v>
      </c>
      <c r="AH33">
        <v>245370</v>
      </c>
      <c r="AI33">
        <v>442317</v>
      </c>
      <c r="AJ33">
        <v>819760</v>
      </c>
      <c r="AK33">
        <v>677706</v>
      </c>
      <c r="AL33">
        <v>389121</v>
      </c>
      <c r="AM33">
        <v>253579</v>
      </c>
      <c r="AN33">
        <v>396097</v>
      </c>
      <c r="AO33">
        <v>1918415</v>
      </c>
      <c r="AP33">
        <v>968060</v>
      </c>
      <c r="AQ33">
        <v>1073206</v>
      </c>
      <c r="AR33">
        <v>547128</v>
      </c>
      <c r="AS33">
        <v>910918</v>
      </c>
      <c r="AT33">
        <v>2250564</v>
      </c>
      <c r="AU33">
        <v>2234992</v>
      </c>
      <c r="AV33">
        <v>2134934</v>
      </c>
      <c r="AW33">
        <v>2175960</v>
      </c>
      <c r="AX33">
        <v>2164794</v>
      </c>
      <c r="AY33">
        <v>8971048</v>
      </c>
      <c r="AZ33">
        <v>6830104</v>
      </c>
      <c r="BA33">
        <v>519600</v>
      </c>
      <c r="BB33">
        <v>260095</v>
      </c>
      <c r="BC33">
        <v>432464</v>
      </c>
      <c r="BD33">
        <v>1228119</v>
      </c>
      <c r="BE33">
        <v>1776655</v>
      </c>
      <c r="BF33">
        <v>2455045</v>
      </c>
      <c r="BG33">
        <v>2180322</v>
      </c>
      <c r="BH33">
        <v>2599910</v>
      </c>
      <c r="BI33">
        <v>8000141</v>
      </c>
      <c r="BJ33">
        <v>3893562</v>
      </c>
      <c r="BK33">
        <v>2234195</v>
      </c>
      <c r="BL33">
        <v>1564243</v>
      </c>
      <c r="BM33">
        <v>2269761</v>
      </c>
      <c r="BN33">
        <v>6534533</v>
      </c>
      <c r="BO33">
        <v>2643751</v>
      </c>
      <c r="BP33">
        <v>63511</v>
      </c>
      <c r="BQ33">
        <v>102137</v>
      </c>
      <c r="BR33">
        <v>62720</v>
      </c>
      <c r="BS33">
        <v>408952</v>
      </c>
      <c r="BT33">
        <v>76872</v>
      </c>
      <c r="BU33">
        <v>372563</v>
      </c>
      <c r="BV33">
        <v>779552</v>
      </c>
      <c r="BW33">
        <v>356521</v>
      </c>
      <c r="BX33">
        <v>6474173</v>
      </c>
      <c r="BY33">
        <v>454738</v>
      </c>
      <c r="BZ33">
        <v>694241</v>
      </c>
      <c r="CA33">
        <v>679387</v>
      </c>
      <c r="CB33">
        <v>618880</v>
      </c>
      <c r="CC33">
        <v>6856610</v>
      </c>
      <c r="CD33">
        <v>1193860</v>
      </c>
      <c r="CE33">
        <v>2089623</v>
      </c>
      <c r="CF33">
        <v>1307432</v>
      </c>
      <c r="CG33">
        <v>1790984</v>
      </c>
      <c r="CH33">
        <v>11076611</v>
      </c>
      <c r="CI33">
        <v>3155242</v>
      </c>
      <c r="CJ33">
        <v>423295</v>
      </c>
      <c r="CK33">
        <v>842197</v>
      </c>
      <c r="CL33">
        <v>354990</v>
      </c>
      <c r="CM33">
        <v>12847257</v>
      </c>
      <c r="CN33">
        <v>748611</v>
      </c>
      <c r="CO33">
        <v>284932</v>
      </c>
      <c r="CP33">
        <v>733547</v>
      </c>
      <c r="CQ33">
        <v>252372</v>
      </c>
      <c r="CR33">
        <v>2162171</v>
      </c>
      <c r="CS33">
        <v>304370</v>
      </c>
      <c r="CT33">
        <v>718161</v>
      </c>
      <c r="CU33">
        <v>287170</v>
      </c>
      <c r="CV33">
        <v>395606</v>
      </c>
      <c r="CW33">
        <v>1089680</v>
      </c>
      <c r="CX33">
        <v>2535250</v>
      </c>
      <c r="CY33">
        <v>1410729</v>
      </c>
      <c r="CZ33">
        <v>1142269</v>
      </c>
      <c r="DA33">
        <v>1218942</v>
      </c>
      <c r="DB33">
        <v>5357922</v>
      </c>
      <c r="DC33">
        <v>3074945</v>
      </c>
      <c r="DD33">
        <v>205786</v>
      </c>
      <c r="DE33">
        <v>857018</v>
      </c>
      <c r="DF33">
        <v>212103</v>
      </c>
      <c r="DG33">
        <v>7366787</v>
      </c>
      <c r="DH33">
        <v>642346</v>
      </c>
      <c r="DI33">
        <v>48882</v>
      </c>
      <c r="DJ33">
        <v>268673</v>
      </c>
      <c r="DK33">
        <v>52788</v>
      </c>
      <c r="DL33">
        <v>3893268</v>
      </c>
      <c r="DM33">
        <v>186655</v>
      </c>
      <c r="DN33">
        <v>12580</v>
      </c>
      <c r="DO33">
        <v>354270</v>
      </c>
      <c r="DP33">
        <v>20956</v>
      </c>
      <c r="DQ33">
        <v>2950436</v>
      </c>
      <c r="DR33">
        <v>89798</v>
      </c>
      <c r="DS33">
        <v>36580</v>
      </c>
      <c r="DT33">
        <v>1039855</v>
      </c>
      <c r="DU33">
        <v>36955</v>
      </c>
      <c r="DV33">
        <v>2307461</v>
      </c>
      <c r="DW33">
        <v>72735</v>
      </c>
      <c r="DX33">
        <v>6371</v>
      </c>
      <c r="DY33">
        <v>68270</v>
      </c>
      <c r="DZ33">
        <v>4463</v>
      </c>
      <c r="EA33">
        <v>391961</v>
      </c>
      <c r="EB33">
        <v>23237</v>
      </c>
      <c r="EC33">
        <v>14207</v>
      </c>
      <c r="ED33">
        <v>408272</v>
      </c>
      <c r="EE33">
        <v>19422</v>
      </c>
      <c r="EF33">
        <v>2897896</v>
      </c>
      <c r="EG33">
        <v>84572</v>
      </c>
      <c r="EH33">
        <v>16159</v>
      </c>
      <c r="EI33">
        <v>688184</v>
      </c>
      <c r="EJ33">
        <v>27954</v>
      </c>
      <c r="EK33">
        <v>3951567</v>
      </c>
      <c r="EL33">
        <v>95142</v>
      </c>
      <c r="EM33">
        <v>17733</v>
      </c>
      <c r="EN33">
        <v>110178</v>
      </c>
      <c r="EO33">
        <v>22930</v>
      </c>
      <c r="EP33">
        <v>326529</v>
      </c>
      <c r="EQ33">
        <v>80059</v>
      </c>
      <c r="ER33">
        <v>12468</v>
      </c>
      <c r="ES33">
        <v>132470</v>
      </c>
      <c r="ET33">
        <v>18903</v>
      </c>
      <c r="EU33">
        <v>1037324</v>
      </c>
      <c r="EV33">
        <v>35329</v>
      </c>
      <c r="EW33">
        <v>633363</v>
      </c>
      <c r="EX33">
        <v>466148</v>
      </c>
      <c r="EY33">
        <v>303076</v>
      </c>
      <c r="EZ33">
        <v>2656729</v>
      </c>
      <c r="FA33">
        <v>1610878</v>
      </c>
      <c r="FB33">
        <v>1332087</v>
      </c>
      <c r="FC33">
        <v>371190</v>
      </c>
      <c r="FD33">
        <v>1143875</v>
      </c>
      <c r="FE33">
        <v>1203706</v>
      </c>
      <c r="FF33">
        <v>1652501</v>
      </c>
      <c r="FG33">
        <v>251785</v>
      </c>
      <c r="FH33">
        <v>234754</v>
      </c>
      <c r="FI33">
        <v>241293</v>
      </c>
      <c r="FJ33">
        <v>934997</v>
      </c>
      <c r="FK33">
        <v>886329</v>
      </c>
    </row>
    <row r="34" spans="1:167" x14ac:dyDescent="0.4">
      <c r="A34" s="1" t="s">
        <v>56</v>
      </c>
      <c r="B34" s="1" t="s">
        <v>57</v>
      </c>
      <c r="C34">
        <v>9429</v>
      </c>
      <c r="D34">
        <v>36896</v>
      </c>
      <c r="E34">
        <v>23308</v>
      </c>
      <c r="F34">
        <v>1028982</v>
      </c>
      <c r="G34">
        <v>122546</v>
      </c>
      <c r="H34">
        <v>8565535</v>
      </c>
      <c r="I34">
        <v>2033682</v>
      </c>
      <c r="J34">
        <v>8299513</v>
      </c>
      <c r="K34">
        <v>7679769</v>
      </c>
      <c r="L34">
        <v>17845222</v>
      </c>
      <c r="M34">
        <v>4016196</v>
      </c>
      <c r="N34">
        <v>699412</v>
      </c>
      <c r="O34">
        <v>2966267</v>
      </c>
      <c r="P34">
        <v>1885992</v>
      </c>
      <c r="Q34">
        <v>8188030</v>
      </c>
      <c r="R34">
        <v>318945</v>
      </c>
      <c r="S34">
        <v>175698</v>
      </c>
      <c r="T34">
        <v>349352</v>
      </c>
      <c r="U34">
        <v>1527088</v>
      </c>
      <c r="V34">
        <v>881808</v>
      </c>
      <c r="W34">
        <v>1498555</v>
      </c>
      <c r="X34">
        <v>756693</v>
      </c>
      <c r="Y34">
        <v>1648760</v>
      </c>
      <c r="Z34">
        <v>4981102</v>
      </c>
      <c r="AA34">
        <v>5172038</v>
      </c>
      <c r="AB34">
        <v>215280</v>
      </c>
      <c r="AC34">
        <v>269574</v>
      </c>
      <c r="AD34">
        <v>215373</v>
      </c>
      <c r="AE34">
        <v>1106679</v>
      </c>
      <c r="AF34">
        <v>525760</v>
      </c>
      <c r="AG34">
        <v>497300</v>
      </c>
      <c r="AH34">
        <v>226839</v>
      </c>
      <c r="AI34">
        <v>433858</v>
      </c>
      <c r="AJ34">
        <v>759891</v>
      </c>
      <c r="AK34">
        <v>739102</v>
      </c>
      <c r="AL34">
        <v>372018</v>
      </c>
      <c r="AM34">
        <v>230636</v>
      </c>
      <c r="AN34">
        <v>385193</v>
      </c>
      <c r="AO34">
        <v>1767222</v>
      </c>
      <c r="AP34">
        <v>954714</v>
      </c>
      <c r="AQ34">
        <v>830265</v>
      </c>
      <c r="AR34">
        <v>515985</v>
      </c>
      <c r="AS34">
        <v>841137</v>
      </c>
      <c r="AT34">
        <v>2013816</v>
      </c>
      <c r="AU34">
        <v>2216279</v>
      </c>
      <c r="AV34">
        <v>1996252</v>
      </c>
      <c r="AW34">
        <v>1920506</v>
      </c>
      <c r="AX34">
        <v>1924514</v>
      </c>
      <c r="AY34">
        <v>8019253</v>
      </c>
      <c r="AZ34">
        <v>7000577</v>
      </c>
      <c r="BA34">
        <v>388962</v>
      </c>
      <c r="BB34">
        <v>211992</v>
      </c>
      <c r="BC34">
        <v>407887</v>
      </c>
      <c r="BD34">
        <v>1180515</v>
      </c>
      <c r="BE34">
        <v>1764754</v>
      </c>
      <c r="BF34">
        <v>2249317</v>
      </c>
      <c r="BG34">
        <v>1805672</v>
      </c>
      <c r="BH34">
        <v>2243943</v>
      </c>
      <c r="BI34">
        <v>7048740</v>
      </c>
      <c r="BJ34">
        <v>4060820</v>
      </c>
      <c r="BK34">
        <v>1837832</v>
      </c>
      <c r="BL34">
        <v>1315485</v>
      </c>
      <c r="BM34">
        <v>1876766</v>
      </c>
      <c r="BN34">
        <v>5739505</v>
      </c>
      <c r="BO34">
        <v>2593804</v>
      </c>
      <c r="BP34">
        <v>56107</v>
      </c>
      <c r="BQ34">
        <v>59930</v>
      </c>
      <c r="BR34">
        <v>53064</v>
      </c>
      <c r="BS34">
        <v>360036</v>
      </c>
      <c r="BT34">
        <v>79542</v>
      </c>
      <c r="BU34">
        <v>345158</v>
      </c>
      <c r="BV34">
        <v>723338</v>
      </c>
      <c r="BW34">
        <v>346901</v>
      </c>
      <c r="BX34">
        <v>6968990</v>
      </c>
      <c r="BY34">
        <v>442184</v>
      </c>
      <c r="BZ34">
        <v>566573</v>
      </c>
      <c r="CA34">
        <v>577414</v>
      </c>
      <c r="CB34">
        <v>525079</v>
      </c>
      <c r="CC34">
        <v>4520035</v>
      </c>
      <c r="CD34">
        <v>1169580</v>
      </c>
      <c r="CE34">
        <v>1852889</v>
      </c>
      <c r="CF34">
        <v>1101384</v>
      </c>
      <c r="CG34">
        <v>1573259</v>
      </c>
      <c r="CH34">
        <v>11039185</v>
      </c>
      <c r="CI34">
        <v>3163082</v>
      </c>
      <c r="CJ34">
        <v>354781</v>
      </c>
      <c r="CK34">
        <v>790903</v>
      </c>
      <c r="CL34">
        <v>365018</v>
      </c>
      <c r="CM34">
        <v>9815611</v>
      </c>
      <c r="CN34">
        <v>706827</v>
      </c>
      <c r="CO34">
        <v>258352</v>
      </c>
      <c r="CP34">
        <v>1562169</v>
      </c>
      <c r="CQ34">
        <v>214460</v>
      </c>
      <c r="CR34">
        <v>1574534</v>
      </c>
      <c r="CS34">
        <v>319641</v>
      </c>
      <c r="CT34">
        <v>714813</v>
      </c>
      <c r="CU34">
        <v>256152</v>
      </c>
      <c r="CV34">
        <v>330335</v>
      </c>
      <c r="CW34">
        <v>1073970</v>
      </c>
      <c r="CX34">
        <v>2921305</v>
      </c>
      <c r="CY34">
        <v>1324638</v>
      </c>
      <c r="CZ34">
        <v>1336614</v>
      </c>
      <c r="DA34">
        <v>1467467</v>
      </c>
      <c r="DB34">
        <v>6361828</v>
      </c>
      <c r="DC34">
        <v>2917081</v>
      </c>
      <c r="DD34">
        <v>177213</v>
      </c>
      <c r="DE34">
        <v>775965</v>
      </c>
      <c r="DF34">
        <v>214190</v>
      </c>
      <c r="DG34">
        <v>6935316</v>
      </c>
      <c r="DH34">
        <v>639860</v>
      </c>
      <c r="DI34">
        <v>70962</v>
      </c>
      <c r="DJ34">
        <v>287773</v>
      </c>
      <c r="DK34">
        <v>67287</v>
      </c>
      <c r="DL34">
        <v>6531091</v>
      </c>
      <c r="DM34">
        <v>189695</v>
      </c>
      <c r="DN34">
        <v>11226</v>
      </c>
      <c r="DO34">
        <v>301224</v>
      </c>
      <c r="DP34">
        <v>16675</v>
      </c>
      <c r="DQ34">
        <v>2533216</v>
      </c>
      <c r="DR34">
        <v>89197</v>
      </c>
      <c r="DS34">
        <v>29409</v>
      </c>
      <c r="DT34">
        <v>1069847</v>
      </c>
      <c r="DU34">
        <v>38692</v>
      </c>
      <c r="DV34">
        <v>2465927</v>
      </c>
      <c r="DW34">
        <v>62686</v>
      </c>
      <c r="DX34">
        <v>2826</v>
      </c>
      <c r="DY34">
        <v>87911</v>
      </c>
      <c r="DZ34">
        <v>5424</v>
      </c>
      <c r="EA34">
        <v>565039</v>
      </c>
      <c r="EB34">
        <v>21689</v>
      </c>
      <c r="EC34">
        <v>25424</v>
      </c>
      <c r="ED34">
        <v>395694</v>
      </c>
      <c r="EE34">
        <v>29525</v>
      </c>
      <c r="EF34">
        <v>2896214</v>
      </c>
      <c r="EG34">
        <v>81894</v>
      </c>
      <c r="EH34">
        <v>15927</v>
      </c>
      <c r="EI34">
        <v>597413</v>
      </c>
      <c r="EJ34">
        <v>27817</v>
      </c>
      <c r="EK34">
        <v>3426717</v>
      </c>
      <c r="EL34">
        <v>86402</v>
      </c>
      <c r="EM34">
        <v>24632</v>
      </c>
      <c r="EN34">
        <v>105832</v>
      </c>
      <c r="EO34">
        <v>23977</v>
      </c>
      <c r="EP34">
        <v>340749</v>
      </c>
      <c r="EQ34">
        <v>80750</v>
      </c>
      <c r="ER34">
        <v>9698</v>
      </c>
      <c r="ES34">
        <v>100567</v>
      </c>
      <c r="ET34">
        <v>19834</v>
      </c>
      <c r="EU34">
        <v>608743</v>
      </c>
      <c r="EV34">
        <v>29312</v>
      </c>
      <c r="EW34">
        <v>713468</v>
      </c>
      <c r="EX34">
        <v>736435</v>
      </c>
      <c r="EY34">
        <v>533064</v>
      </c>
      <c r="EZ34">
        <v>3017021</v>
      </c>
      <c r="FA34">
        <v>1761012</v>
      </c>
      <c r="FB34">
        <v>1113597</v>
      </c>
      <c r="FC34">
        <v>387099</v>
      </c>
      <c r="FD34">
        <v>1168914</v>
      </c>
      <c r="FE34">
        <v>1163408</v>
      </c>
      <c r="FF34">
        <v>1590819</v>
      </c>
      <c r="FG34">
        <v>288450</v>
      </c>
      <c r="FH34">
        <v>194520</v>
      </c>
      <c r="FI34">
        <v>186315</v>
      </c>
      <c r="FJ34">
        <v>772042</v>
      </c>
      <c r="FK34">
        <v>953557</v>
      </c>
    </row>
    <row r="35" spans="1:167" x14ac:dyDescent="0.4">
      <c r="A35" s="1" t="s">
        <v>58</v>
      </c>
      <c r="B35" s="1" t="s">
        <v>59</v>
      </c>
      <c r="C35">
        <v>14271</v>
      </c>
      <c r="D35">
        <v>41801</v>
      </c>
      <c r="E35">
        <v>30078</v>
      </c>
      <c r="F35">
        <v>1236627</v>
      </c>
      <c r="G35">
        <v>114438</v>
      </c>
      <c r="H35">
        <v>8212244</v>
      </c>
      <c r="I35">
        <v>2408749</v>
      </c>
      <c r="J35">
        <v>10107872</v>
      </c>
      <c r="K35">
        <v>8913169</v>
      </c>
      <c r="L35">
        <v>15493150</v>
      </c>
      <c r="M35">
        <v>2896557</v>
      </c>
      <c r="N35">
        <v>863518</v>
      </c>
      <c r="O35">
        <v>3882581</v>
      </c>
      <c r="P35">
        <v>2296406</v>
      </c>
      <c r="Q35">
        <v>7058992</v>
      </c>
      <c r="R35">
        <v>346183</v>
      </c>
      <c r="S35">
        <v>182807</v>
      </c>
      <c r="T35">
        <v>350444</v>
      </c>
      <c r="U35">
        <v>1580351</v>
      </c>
      <c r="V35">
        <v>867321</v>
      </c>
      <c r="W35">
        <v>1474192</v>
      </c>
      <c r="X35">
        <v>799663</v>
      </c>
      <c r="Y35">
        <v>1893702</v>
      </c>
      <c r="Z35">
        <v>5732227</v>
      </c>
      <c r="AA35">
        <v>4846752</v>
      </c>
      <c r="AB35">
        <v>224483</v>
      </c>
      <c r="AC35">
        <v>293836</v>
      </c>
      <c r="AD35">
        <v>240272</v>
      </c>
      <c r="AE35">
        <v>1280605</v>
      </c>
      <c r="AF35">
        <v>508603</v>
      </c>
      <c r="AG35">
        <v>367099</v>
      </c>
      <c r="AH35">
        <v>261980</v>
      </c>
      <c r="AI35">
        <v>518479</v>
      </c>
      <c r="AJ35">
        <v>913235</v>
      </c>
      <c r="AK35">
        <v>582062</v>
      </c>
      <c r="AL35">
        <v>349182</v>
      </c>
      <c r="AM35">
        <v>257537</v>
      </c>
      <c r="AN35">
        <v>409402</v>
      </c>
      <c r="AO35">
        <v>2064490</v>
      </c>
      <c r="AP35">
        <v>893799</v>
      </c>
      <c r="AQ35">
        <v>695073</v>
      </c>
      <c r="AR35">
        <v>503050</v>
      </c>
      <c r="AS35">
        <v>852391</v>
      </c>
      <c r="AT35">
        <v>2150347</v>
      </c>
      <c r="AU35">
        <v>2098882</v>
      </c>
      <c r="AV35">
        <v>2092526</v>
      </c>
      <c r="AW35">
        <v>2471963</v>
      </c>
      <c r="AX35">
        <v>2503992</v>
      </c>
      <c r="AY35">
        <v>10607685</v>
      </c>
      <c r="AZ35">
        <v>6660804</v>
      </c>
      <c r="BA35">
        <v>388311</v>
      </c>
      <c r="BB35">
        <v>245536</v>
      </c>
      <c r="BC35">
        <v>514559</v>
      </c>
      <c r="BD35">
        <v>1390676</v>
      </c>
      <c r="BE35">
        <v>1645782</v>
      </c>
      <c r="BF35">
        <v>2030084</v>
      </c>
      <c r="BG35">
        <v>2293012</v>
      </c>
      <c r="BH35">
        <v>2504297</v>
      </c>
      <c r="BI35">
        <v>7825539</v>
      </c>
      <c r="BJ35">
        <v>3603822</v>
      </c>
      <c r="BK35">
        <v>1804641</v>
      </c>
      <c r="BL35">
        <v>1581135</v>
      </c>
      <c r="BM35">
        <v>1960691</v>
      </c>
      <c r="BN35">
        <v>6315817</v>
      </c>
      <c r="BO35">
        <v>2435223</v>
      </c>
      <c r="BP35">
        <v>41003</v>
      </c>
      <c r="BQ35">
        <v>137898</v>
      </c>
      <c r="BR35">
        <v>51388</v>
      </c>
      <c r="BS35">
        <v>407005</v>
      </c>
      <c r="BT35">
        <v>68518</v>
      </c>
      <c r="BU35">
        <v>349240</v>
      </c>
      <c r="BV35">
        <v>752194</v>
      </c>
      <c r="BW35">
        <v>383198</v>
      </c>
      <c r="BX35">
        <v>7572712</v>
      </c>
      <c r="BY35">
        <v>402716</v>
      </c>
      <c r="BZ35">
        <v>561873</v>
      </c>
      <c r="CA35">
        <v>967429</v>
      </c>
      <c r="CB35">
        <v>618147</v>
      </c>
      <c r="CC35">
        <v>5526817</v>
      </c>
      <c r="CD35">
        <v>1045300</v>
      </c>
      <c r="CE35">
        <v>1893688</v>
      </c>
      <c r="CF35">
        <v>1537815</v>
      </c>
      <c r="CG35">
        <v>1786219</v>
      </c>
      <c r="CH35">
        <v>12157357</v>
      </c>
      <c r="CI35">
        <v>3054571</v>
      </c>
      <c r="CJ35">
        <v>345048</v>
      </c>
      <c r="CK35">
        <v>772179</v>
      </c>
      <c r="CL35">
        <v>317904</v>
      </c>
      <c r="CM35">
        <v>10549001</v>
      </c>
      <c r="CN35">
        <v>704759</v>
      </c>
      <c r="CO35">
        <v>221823</v>
      </c>
      <c r="CP35">
        <v>822622</v>
      </c>
      <c r="CQ35">
        <v>175265</v>
      </c>
      <c r="CR35">
        <v>1470922</v>
      </c>
      <c r="CS35">
        <v>347526</v>
      </c>
      <c r="CT35">
        <v>1030512</v>
      </c>
      <c r="CU35">
        <v>335550</v>
      </c>
      <c r="CV35">
        <v>441981</v>
      </c>
      <c r="CW35">
        <v>1304688</v>
      </c>
      <c r="CX35">
        <v>3504256</v>
      </c>
      <c r="CY35">
        <v>1135230</v>
      </c>
      <c r="CZ35">
        <v>1385596</v>
      </c>
      <c r="DA35">
        <v>1281842</v>
      </c>
      <c r="DB35">
        <v>5507931</v>
      </c>
      <c r="DC35">
        <v>2746393</v>
      </c>
      <c r="DD35">
        <v>185728</v>
      </c>
      <c r="DE35">
        <v>873830</v>
      </c>
      <c r="DF35">
        <v>229656</v>
      </c>
      <c r="DG35">
        <v>7779722</v>
      </c>
      <c r="DH35">
        <v>600296</v>
      </c>
      <c r="DI35">
        <v>43547</v>
      </c>
      <c r="DJ35">
        <v>299301</v>
      </c>
      <c r="DK35">
        <v>83838</v>
      </c>
      <c r="DL35">
        <v>3990748</v>
      </c>
      <c r="DM35">
        <v>149755</v>
      </c>
      <c r="DN35">
        <v>12346</v>
      </c>
      <c r="DO35">
        <v>291687</v>
      </c>
      <c r="DP35">
        <v>22096</v>
      </c>
      <c r="DQ35">
        <v>2526865</v>
      </c>
      <c r="DR35">
        <v>81114</v>
      </c>
      <c r="DS35">
        <v>25922</v>
      </c>
      <c r="DT35">
        <v>837840</v>
      </c>
      <c r="DU35">
        <v>30066</v>
      </c>
      <c r="DV35">
        <v>2070070</v>
      </c>
      <c r="DW35">
        <v>58599</v>
      </c>
      <c r="DX35">
        <v>3783</v>
      </c>
      <c r="DY35">
        <v>74085</v>
      </c>
      <c r="DZ35">
        <v>5528</v>
      </c>
      <c r="EA35">
        <v>589937</v>
      </c>
      <c r="EB35">
        <v>20017</v>
      </c>
      <c r="EC35">
        <v>13793</v>
      </c>
      <c r="ED35">
        <v>368978</v>
      </c>
      <c r="EE35">
        <v>16683</v>
      </c>
      <c r="EF35">
        <v>2880706</v>
      </c>
      <c r="EG35">
        <v>78229</v>
      </c>
      <c r="EH35">
        <v>20428</v>
      </c>
      <c r="EI35">
        <v>708587</v>
      </c>
      <c r="EJ35">
        <v>32313</v>
      </c>
      <c r="EK35">
        <v>4212449</v>
      </c>
      <c r="EL35">
        <v>77197</v>
      </c>
      <c r="EM35">
        <v>20034</v>
      </c>
      <c r="EN35">
        <v>81206</v>
      </c>
      <c r="EO35">
        <v>17223</v>
      </c>
      <c r="EP35">
        <v>259657</v>
      </c>
      <c r="EQ35">
        <v>84342</v>
      </c>
      <c r="ER35">
        <v>23491</v>
      </c>
      <c r="ES35">
        <v>103796</v>
      </c>
      <c r="ET35">
        <v>19110</v>
      </c>
      <c r="EU35">
        <v>512751</v>
      </c>
      <c r="EV35">
        <v>37094</v>
      </c>
      <c r="EW35">
        <v>770918</v>
      </c>
      <c r="EX35">
        <v>927794</v>
      </c>
      <c r="EY35">
        <v>578810</v>
      </c>
      <c r="EZ35">
        <v>3388063</v>
      </c>
      <c r="FA35">
        <v>1819827</v>
      </c>
      <c r="FB35">
        <v>867700</v>
      </c>
      <c r="FC35">
        <v>356704</v>
      </c>
      <c r="FD35">
        <v>1068317</v>
      </c>
      <c r="FE35">
        <v>1194592</v>
      </c>
      <c r="FF35">
        <v>1388379</v>
      </c>
      <c r="FG35">
        <v>495856</v>
      </c>
      <c r="FH35">
        <v>188274</v>
      </c>
      <c r="FI35">
        <v>179690</v>
      </c>
      <c r="FJ35">
        <v>776761</v>
      </c>
      <c r="FK35">
        <v>1183594</v>
      </c>
    </row>
    <row r="36" spans="1:167" x14ac:dyDescent="0.4">
      <c r="A36" s="1" t="s">
        <v>60</v>
      </c>
      <c r="B36" s="1" t="s">
        <v>61</v>
      </c>
      <c r="C36">
        <v>8529</v>
      </c>
      <c r="D36">
        <v>29789</v>
      </c>
      <c r="E36">
        <v>19834</v>
      </c>
      <c r="F36">
        <v>696119</v>
      </c>
      <c r="G36">
        <v>113500</v>
      </c>
      <c r="H36">
        <v>8611285</v>
      </c>
      <c r="I36">
        <v>1725440</v>
      </c>
      <c r="J36">
        <v>6233154</v>
      </c>
      <c r="K36">
        <v>5780929</v>
      </c>
      <c r="L36">
        <v>16937441</v>
      </c>
      <c r="M36">
        <v>3622365</v>
      </c>
      <c r="N36">
        <v>489364</v>
      </c>
      <c r="O36">
        <v>1907400</v>
      </c>
      <c r="P36">
        <v>1582948</v>
      </c>
      <c r="Q36">
        <v>8304325</v>
      </c>
      <c r="R36">
        <v>263327</v>
      </c>
      <c r="S36">
        <v>130422</v>
      </c>
      <c r="T36">
        <v>263214</v>
      </c>
      <c r="U36">
        <v>1221127</v>
      </c>
      <c r="V36">
        <v>851987</v>
      </c>
      <c r="W36">
        <v>1788529</v>
      </c>
      <c r="X36">
        <v>690542</v>
      </c>
      <c r="Y36">
        <v>1560630</v>
      </c>
      <c r="Z36">
        <v>3959825</v>
      </c>
      <c r="AA36">
        <v>5063133</v>
      </c>
      <c r="AB36">
        <v>212526</v>
      </c>
      <c r="AC36">
        <v>238709</v>
      </c>
      <c r="AD36">
        <v>193475</v>
      </c>
      <c r="AE36">
        <v>970890</v>
      </c>
      <c r="AF36">
        <v>525957</v>
      </c>
      <c r="AG36">
        <v>462107</v>
      </c>
      <c r="AH36">
        <v>165366</v>
      </c>
      <c r="AI36">
        <v>315999</v>
      </c>
      <c r="AJ36">
        <v>586605</v>
      </c>
      <c r="AK36">
        <v>724931</v>
      </c>
      <c r="AL36">
        <v>346695</v>
      </c>
      <c r="AM36">
        <v>189519</v>
      </c>
      <c r="AN36">
        <v>315352</v>
      </c>
      <c r="AO36">
        <v>1390496</v>
      </c>
      <c r="AP36">
        <v>932487</v>
      </c>
      <c r="AQ36">
        <v>733823</v>
      </c>
      <c r="AR36">
        <v>353004</v>
      </c>
      <c r="AS36">
        <v>593287</v>
      </c>
      <c r="AT36">
        <v>1385193</v>
      </c>
      <c r="AU36">
        <v>2193433</v>
      </c>
      <c r="AV36">
        <v>1772622</v>
      </c>
      <c r="AW36">
        <v>1714521</v>
      </c>
      <c r="AX36">
        <v>1762557</v>
      </c>
      <c r="AY36">
        <v>7178806</v>
      </c>
      <c r="AZ36">
        <v>6814994</v>
      </c>
      <c r="BA36">
        <v>326480</v>
      </c>
      <c r="BB36">
        <v>186914</v>
      </c>
      <c r="BC36">
        <v>321913</v>
      </c>
      <c r="BD36">
        <v>904477</v>
      </c>
      <c r="BE36">
        <v>1639760</v>
      </c>
      <c r="BF36">
        <v>1984421</v>
      </c>
      <c r="BG36">
        <v>1495246</v>
      </c>
      <c r="BH36">
        <v>1877940</v>
      </c>
      <c r="BI36">
        <v>5902694</v>
      </c>
      <c r="BJ36">
        <v>3700701</v>
      </c>
      <c r="BK36">
        <v>1961880</v>
      </c>
      <c r="BL36">
        <v>1167700</v>
      </c>
      <c r="BM36">
        <v>1902489</v>
      </c>
      <c r="BN36">
        <v>5228917</v>
      </c>
      <c r="BO36">
        <v>2496562</v>
      </c>
      <c r="BP36">
        <v>73715</v>
      </c>
      <c r="BQ36">
        <v>84322</v>
      </c>
      <c r="BR36">
        <v>59193</v>
      </c>
      <c r="BS36">
        <v>397946</v>
      </c>
      <c r="BT36">
        <v>83062</v>
      </c>
      <c r="BU36">
        <v>320425</v>
      </c>
      <c r="BV36">
        <v>688249</v>
      </c>
      <c r="BW36">
        <v>329196</v>
      </c>
      <c r="BX36">
        <v>5352670</v>
      </c>
      <c r="BY36">
        <v>390891</v>
      </c>
      <c r="BZ36">
        <v>513435</v>
      </c>
      <c r="CA36">
        <v>635292</v>
      </c>
      <c r="CB36">
        <v>490342</v>
      </c>
      <c r="CC36">
        <v>4141735</v>
      </c>
      <c r="CD36">
        <v>1027151</v>
      </c>
      <c r="CE36">
        <v>1603713</v>
      </c>
      <c r="CF36">
        <v>1035587</v>
      </c>
      <c r="CG36">
        <v>1392540</v>
      </c>
      <c r="CH36">
        <v>10527953</v>
      </c>
      <c r="CI36">
        <v>3016557</v>
      </c>
      <c r="CJ36">
        <v>390672</v>
      </c>
      <c r="CK36">
        <v>648333</v>
      </c>
      <c r="CL36">
        <v>333325</v>
      </c>
      <c r="CM36">
        <v>8433918</v>
      </c>
      <c r="CN36">
        <v>738428</v>
      </c>
      <c r="CO36">
        <v>247523</v>
      </c>
      <c r="CP36">
        <v>1543889</v>
      </c>
      <c r="CQ36">
        <v>252360</v>
      </c>
      <c r="CR36">
        <v>2093656</v>
      </c>
      <c r="CS36">
        <v>334850</v>
      </c>
      <c r="CT36">
        <v>1096806</v>
      </c>
      <c r="CU36">
        <v>299796</v>
      </c>
      <c r="CV36">
        <v>454769</v>
      </c>
      <c r="CW36">
        <v>1060837</v>
      </c>
      <c r="CX36">
        <v>4144379</v>
      </c>
      <c r="CY36">
        <v>686536</v>
      </c>
      <c r="CZ36">
        <v>908229</v>
      </c>
      <c r="DA36">
        <v>896054</v>
      </c>
      <c r="DB36">
        <v>4364828</v>
      </c>
      <c r="DC36">
        <v>2510783</v>
      </c>
      <c r="DD36">
        <v>186650</v>
      </c>
      <c r="DE36">
        <v>710976</v>
      </c>
      <c r="DF36">
        <v>183206</v>
      </c>
      <c r="DG36">
        <v>5555535</v>
      </c>
      <c r="DH36">
        <v>583289</v>
      </c>
      <c r="DI36">
        <v>49408</v>
      </c>
      <c r="DJ36">
        <v>293652</v>
      </c>
      <c r="DK36">
        <v>69840</v>
      </c>
      <c r="DL36">
        <v>3403588</v>
      </c>
      <c r="DM36">
        <v>128664</v>
      </c>
      <c r="DN36">
        <v>11137</v>
      </c>
      <c r="DO36">
        <v>331118</v>
      </c>
      <c r="DP36">
        <v>16737</v>
      </c>
      <c r="DQ36">
        <v>2767703</v>
      </c>
      <c r="DR36">
        <v>82155</v>
      </c>
      <c r="DS36">
        <v>26046</v>
      </c>
      <c r="DT36">
        <v>755331</v>
      </c>
      <c r="DU36">
        <v>27554</v>
      </c>
      <c r="DV36">
        <v>1646229</v>
      </c>
      <c r="DW36">
        <v>57127</v>
      </c>
      <c r="DX36">
        <v>6025</v>
      </c>
      <c r="DY36">
        <v>81936</v>
      </c>
      <c r="DZ36">
        <v>5066</v>
      </c>
      <c r="EA36">
        <v>509645</v>
      </c>
      <c r="EB36">
        <v>21054</v>
      </c>
      <c r="EC36">
        <v>12469</v>
      </c>
      <c r="ED36">
        <v>449501</v>
      </c>
      <c r="EE36">
        <v>17742</v>
      </c>
      <c r="EF36">
        <v>3353341</v>
      </c>
      <c r="EG36">
        <v>74762</v>
      </c>
      <c r="EH36">
        <v>18728</v>
      </c>
      <c r="EI36">
        <v>588006</v>
      </c>
      <c r="EJ36">
        <v>31923</v>
      </c>
      <c r="EK36">
        <v>3312904</v>
      </c>
      <c r="EL36">
        <v>73833</v>
      </c>
      <c r="EM36">
        <v>18630</v>
      </c>
      <c r="EN36">
        <v>70087</v>
      </c>
      <c r="EO36">
        <v>17842</v>
      </c>
      <c r="EP36">
        <v>199044</v>
      </c>
      <c r="EQ36">
        <v>85187</v>
      </c>
      <c r="ER36">
        <v>19797</v>
      </c>
      <c r="ES36">
        <v>90873</v>
      </c>
      <c r="ET36">
        <v>16321</v>
      </c>
      <c r="EU36">
        <v>409261</v>
      </c>
      <c r="EV36">
        <v>46661</v>
      </c>
      <c r="EW36">
        <v>1084409</v>
      </c>
      <c r="EX36">
        <v>1289751</v>
      </c>
      <c r="EY36">
        <v>766154</v>
      </c>
      <c r="EZ36">
        <v>4458301</v>
      </c>
      <c r="FA36">
        <v>2068723</v>
      </c>
      <c r="FB36">
        <v>1026543</v>
      </c>
      <c r="FC36">
        <v>371634</v>
      </c>
      <c r="FD36">
        <v>1280880</v>
      </c>
      <c r="FE36">
        <v>1040377</v>
      </c>
      <c r="FF36">
        <v>1367830</v>
      </c>
      <c r="FG36">
        <v>604128</v>
      </c>
      <c r="FH36">
        <v>265684</v>
      </c>
      <c r="FI36">
        <v>363930</v>
      </c>
      <c r="FJ36">
        <v>875444</v>
      </c>
      <c r="FK36">
        <v>1396694</v>
      </c>
    </row>
    <row r="37" spans="1:167" x14ac:dyDescent="0.4">
      <c r="A37" s="1" t="s">
        <v>62</v>
      </c>
      <c r="B37" s="1" t="s">
        <v>63</v>
      </c>
      <c r="C37">
        <v>6532</v>
      </c>
      <c r="D37">
        <v>27400</v>
      </c>
      <c r="E37">
        <v>16428</v>
      </c>
      <c r="F37">
        <v>719900</v>
      </c>
      <c r="G37">
        <v>110868</v>
      </c>
      <c r="H37">
        <v>9819330</v>
      </c>
      <c r="I37">
        <v>2079299</v>
      </c>
      <c r="J37">
        <v>8343087</v>
      </c>
      <c r="K37">
        <v>6847219</v>
      </c>
      <c r="L37">
        <v>17788844</v>
      </c>
      <c r="M37">
        <v>3472566</v>
      </c>
      <c r="N37">
        <v>656002</v>
      </c>
      <c r="O37">
        <v>2836706</v>
      </c>
      <c r="P37">
        <v>1809383</v>
      </c>
      <c r="Q37">
        <v>8404918</v>
      </c>
      <c r="R37">
        <v>309220</v>
      </c>
      <c r="S37">
        <v>141590</v>
      </c>
      <c r="T37">
        <v>286564</v>
      </c>
      <c r="U37">
        <v>1192129</v>
      </c>
      <c r="V37">
        <v>891310</v>
      </c>
      <c r="W37">
        <v>1678744</v>
      </c>
      <c r="X37">
        <v>676217</v>
      </c>
      <c r="Y37">
        <v>1508050</v>
      </c>
      <c r="Z37">
        <v>3888553</v>
      </c>
      <c r="AA37">
        <v>5191273</v>
      </c>
      <c r="AB37">
        <v>244455</v>
      </c>
      <c r="AC37">
        <v>255506</v>
      </c>
      <c r="AD37">
        <v>192976</v>
      </c>
      <c r="AE37">
        <v>976046</v>
      </c>
      <c r="AF37">
        <v>576761</v>
      </c>
      <c r="AG37">
        <v>438122</v>
      </c>
      <c r="AH37">
        <v>185844</v>
      </c>
      <c r="AI37">
        <v>385520</v>
      </c>
      <c r="AJ37">
        <v>638728</v>
      </c>
      <c r="AK37">
        <v>776408</v>
      </c>
      <c r="AL37">
        <v>385028</v>
      </c>
      <c r="AM37">
        <v>191433</v>
      </c>
      <c r="AN37">
        <v>339864</v>
      </c>
      <c r="AO37">
        <v>1448672</v>
      </c>
      <c r="AP37">
        <v>973910</v>
      </c>
      <c r="AQ37">
        <v>837143</v>
      </c>
      <c r="AR37">
        <v>406089</v>
      </c>
      <c r="AS37">
        <v>708500</v>
      </c>
      <c r="AT37">
        <v>1757343</v>
      </c>
      <c r="AU37">
        <v>2333890</v>
      </c>
      <c r="AV37">
        <v>1941429</v>
      </c>
      <c r="AW37">
        <v>1652691</v>
      </c>
      <c r="AX37">
        <v>1644224</v>
      </c>
      <c r="AY37">
        <v>6734082</v>
      </c>
      <c r="AZ37">
        <v>7217009</v>
      </c>
      <c r="BA37">
        <v>405642</v>
      </c>
      <c r="BB37">
        <v>201440</v>
      </c>
      <c r="BC37">
        <v>377101</v>
      </c>
      <c r="BD37">
        <v>996974</v>
      </c>
      <c r="BE37">
        <v>1669426</v>
      </c>
      <c r="BF37">
        <v>2296322</v>
      </c>
      <c r="BG37">
        <v>1543982</v>
      </c>
      <c r="BH37">
        <v>1937937</v>
      </c>
      <c r="BI37">
        <v>5892784</v>
      </c>
      <c r="BJ37">
        <v>4190280</v>
      </c>
      <c r="BK37">
        <v>2151507</v>
      </c>
      <c r="BL37">
        <v>1175176</v>
      </c>
      <c r="BM37">
        <v>1843516</v>
      </c>
      <c r="BN37">
        <v>5448316</v>
      </c>
      <c r="BO37">
        <v>2687158</v>
      </c>
      <c r="BP37">
        <v>80836</v>
      </c>
      <c r="BQ37">
        <v>139272</v>
      </c>
      <c r="BR37">
        <v>84342</v>
      </c>
      <c r="BS37">
        <v>572977</v>
      </c>
      <c r="BT37">
        <v>76125</v>
      </c>
      <c r="BU37">
        <v>307289</v>
      </c>
      <c r="BV37">
        <v>557594</v>
      </c>
      <c r="BW37">
        <v>293708</v>
      </c>
      <c r="BX37">
        <v>4823138</v>
      </c>
      <c r="BY37">
        <v>408174</v>
      </c>
      <c r="BZ37">
        <v>661926</v>
      </c>
      <c r="CA37">
        <v>603358</v>
      </c>
      <c r="CB37">
        <v>598356</v>
      </c>
      <c r="CC37">
        <v>5503799</v>
      </c>
      <c r="CD37">
        <v>1040644</v>
      </c>
      <c r="CE37">
        <v>1946143</v>
      </c>
      <c r="CF37">
        <v>1133628</v>
      </c>
      <c r="CG37">
        <v>1645859</v>
      </c>
      <c r="CH37">
        <v>9514889</v>
      </c>
      <c r="CI37">
        <v>3079404</v>
      </c>
      <c r="CJ37">
        <v>312434</v>
      </c>
      <c r="CK37">
        <v>741417</v>
      </c>
      <c r="CL37">
        <v>303491</v>
      </c>
      <c r="CM37">
        <v>10131079</v>
      </c>
      <c r="CN37">
        <v>723596</v>
      </c>
      <c r="CO37">
        <v>264486</v>
      </c>
      <c r="CP37">
        <v>462923</v>
      </c>
      <c r="CQ37">
        <v>198651</v>
      </c>
      <c r="CR37">
        <v>1900167</v>
      </c>
      <c r="CS37">
        <v>380728</v>
      </c>
      <c r="CT37">
        <v>1041008</v>
      </c>
      <c r="CU37">
        <v>408032</v>
      </c>
      <c r="CV37">
        <v>794257</v>
      </c>
      <c r="CW37">
        <v>1484903</v>
      </c>
      <c r="CX37">
        <v>4380476</v>
      </c>
      <c r="CY37">
        <v>719543</v>
      </c>
      <c r="CZ37">
        <v>728797</v>
      </c>
      <c r="DA37">
        <v>743436</v>
      </c>
      <c r="DB37">
        <v>3807150</v>
      </c>
      <c r="DC37">
        <v>2469829</v>
      </c>
      <c r="DD37">
        <v>190496</v>
      </c>
      <c r="DE37">
        <v>761957</v>
      </c>
      <c r="DF37">
        <v>204390</v>
      </c>
      <c r="DG37">
        <v>6780255</v>
      </c>
      <c r="DH37">
        <v>596731</v>
      </c>
      <c r="DI37">
        <v>83032</v>
      </c>
      <c r="DJ37">
        <v>262625</v>
      </c>
      <c r="DK37">
        <v>51818</v>
      </c>
      <c r="DL37">
        <v>3396338</v>
      </c>
      <c r="DM37">
        <v>160434</v>
      </c>
      <c r="DN37">
        <v>9602</v>
      </c>
      <c r="DO37">
        <v>260048</v>
      </c>
      <c r="DP37">
        <v>18263</v>
      </c>
      <c r="DQ37">
        <v>2082829</v>
      </c>
      <c r="DR37">
        <v>78659</v>
      </c>
      <c r="DS37">
        <v>28777</v>
      </c>
      <c r="DT37">
        <v>520841</v>
      </c>
      <c r="DU37">
        <v>18819</v>
      </c>
      <c r="DV37">
        <v>1363184</v>
      </c>
      <c r="DW37">
        <v>68666</v>
      </c>
      <c r="DX37">
        <v>2709</v>
      </c>
      <c r="DY37">
        <v>77009</v>
      </c>
      <c r="DZ37">
        <v>4749</v>
      </c>
      <c r="EA37">
        <v>453560</v>
      </c>
      <c r="EB37">
        <v>18841</v>
      </c>
      <c r="EC37">
        <v>24179</v>
      </c>
      <c r="ED37">
        <v>310392</v>
      </c>
      <c r="EE37">
        <v>26980</v>
      </c>
      <c r="EF37">
        <v>2308792</v>
      </c>
      <c r="EG37">
        <v>74903</v>
      </c>
      <c r="EH37">
        <v>14982</v>
      </c>
      <c r="EI37">
        <v>512583</v>
      </c>
      <c r="EJ37">
        <v>23758</v>
      </c>
      <c r="EK37">
        <v>2980350</v>
      </c>
      <c r="EL37">
        <v>88786</v>
      </c>
      <c r="EM37">
        <v>22612</v>
      </c>
      <c r="EN37">
        <v>190185</v>
      </c>
      <c r="EO37">
        <v>24887</v>
      </c>
      <c r="EP37">
        <v>434494</v>
      </c>
      <c r="EQ37">
        <v>82823</v>
      </c>
      <c r="ER37">
        <v>38900</v>
      </c>
      <c r="ES37">
        <v>143724</v>
      </c>
      <c r="ET37">
        <v>42613</v>
      </c>
      <c r="EU37">
        <v>1447704</v>
      </c>
      <c r="EV37">
        <v>49050</v>
      </c>
      <c r="EW37">
        <v>987603</v>
      </c>
      <c r="EX37">
        <v>1500369</v>
      </c>
      <c r="EY37">
        <v>1054488</v>
      </c>
      <c r="EZ37">
        <v>8156497</v>
      </c>
      <c r="FA37">
        <v>1937222</v>
      </c>
      <c r="FB37">
        <v>1078628</v>
      </c>
      <c r="FC37">
        <v>307742</v>
      </c>
      <c r="FD37">
        <v>1096835</v>
      </c>
      <c r="FE37">
        <v>991193</v>
      </c>
      <c r="FF37">
        <v>1473853</v>
      </c>
      <c r="FG37">
        <v>368760</v>
      </c>
      <c r="FH37">
        <v>455531</v>
      </c>
      <c r="FI37">
        <v>424010</v>
      </c>
      <c r="FJ37">
        <v>1818963</v>
      </c>
      <c r="FK37">
        <v>1330738</v>
      </c>
    </row>
    <row r="38" spans="1:167" x14ac:dyDescent="0.4">
      <c r="A38" s="1" t="s">
        <v>64</v>
      </c>
      <c r="B38" s="1" t="s">
        <v>65</v>
      </c>
      <c r="C38">
        <v>13710</v>
      </c>
      <c r="D38">
        <v>39315</v>
      </c>
      <c r="E38">
        <v>21471</v>
      </c>
      <c r="F38">
        <v>862738</v>
      </c>
      <c r="G38">
        <v>111500</v>
      </c>
      <c r="H38">
        <v>10443031</v>
      </c>
      <c r="I38">
        <v>2598663</v>
      </c>
      <c r="J38">
        <v>9638478</v>
      </c>
      <c r="K38">
        <v>8847778</v>
      </c>
      <c r="L38">
        <v>17612367</v>
      </c>
      <c r="M38">
        <v>4263556</v>
      </c>
      <c r="N38">
        <v>781382</v>
      </c>
      <c r="O38">
        <v>3354046</v>
      </c>
      <c r="P38">
        <v>2193425</v>
      </c>
      <c r="Q38">
        <v>8570650</v>
      </c>
      <c r="R38">
        <v>304845</v>
      </c>
      <c r="S38">
        <v>158071</v>
      </c>
      <c r="T38">
        <v>300575</v>
      </c>
      <c r="U38">
        <v>1276651</v>
      </c>
      <c r="V38">
        <v>893492</v>
      </c>
      <c r="W38">
        <v>1755770</v>
      </c>
      <c r="X38">
        <v>1056709</v>
      </c>
      <c r="Y38">
        <v>2017232</v>
      </c>
      <c r="Z38">
        <v>5649904</v>
      </c>
      <c r="AA38">
        <v>4962074</v>
      </c>
      <c r="AB38">
        <v>258656</v>
      </c>
      <c r="AC38">
        <v>324489</v>
      </c>
      <c r="AD38">
        <v>257270</v>
      </c>
      <c r="AE38">
        <v>1263314</v>
      </c>
      <c r="AF38">
        <v>575380</v>
      </c>
      <c r="AG38">
        <v>413303</v>
      </c>
      <c r="AH38">
        <v>239268</v>
      </c>
      <c r="AI38">
        <v>473788</v>
      </c>
      <c r="AJ38">
        <v>826219</v>
      </c>
      <c r="AK38">
        <v>714513</v>
      </c>
      <c r="AL38">
        <v>384085</v>
      </c>
      <c r="AM38">
        <v>243904</v>
      </c>
      <c r="AN38">
        <v>404183</v>
      </c>
      <c r="AO38">
        <v>1791345</v>
      </c>
      <c r="AP38">
        <v>961606</v>
      </c>
      <c r="AQ38">
        <v>712588</v>
      </c>
      <c r="AR38">
        <v>537010</v>
      </c>
      <c r="AS38">
        <v>859168</v>
      </c>
      <c r="AT38">
        <v>2237588</v>
      </c>
      <c r="AU38">
        <v>2190485</v>
      </c>
      <c r="AV38">
        <v>1856216</v>
      </c>
      <c r="AW38">
        <v>2294713</v>
      </c>
      <c r="AX38">
        <v>2278966</v>
      </c>
      <c r="AY38">
        <v>9212789</v>
      </c>
      <c r="AZ38">
        <v>6851566</v>
      </c>
      <c r="BA38">
        <v>420401</v>
      </c>
      <c r="BB38">
        <v>383259</v>
      </c>
      <c r="BC38">
        <v>489663</v>
      </c>
      <c r="BD38">
        <v>1401228</v>
      </c>
      <c r="BE38">
        <v>1594246</v>
      </c>
      <c r="BF38">
        <v>2293590</v>
      </c>
      <c r="BG38">
        <v>2034664</v>
      </c>
      <c r="BH38">
        <v>2535470</v>
      </c>
      <c r="BI38">
        <v>7931155</v>
      </c>
      <c r="BJ38">
        <v>4046921</v>
      </c>
      <c r="BK38">
        <v>2352970</v>
      </c>
      <c r="BL38">
        <v>1514676</v>
      </c>
      <c r="BM38">
        <v>2358571</v>
      </c>
      <c r="BN38">
        <v>6406673</v>
      </c>
      <c r="BO38">
        <v>2656791</v>
      </c>
      <c r="BP38">
        <v>104601</v>
      </c>
      <c r="BQ38">
        <v>240503</v>
      </c>
      <c r="BR38">
        <v>99116</v>
      </c>
      <c r="BS38">
        <v>434466</v>
      </c>
      <c r="BT38">
        <v>81088</v>
      </c>
      <c r="BU38">
        <v>314763</v>
      </c>
      <c r="BV38">
        <v>667380</v>
      </c>
      <c r="BW38">
        <v>302634</v>
      </c>
      <c r="BX38">
        <v>5585883</v>
      </c>
      <c r="BY38">
        <v>426998</v>
      </c>
      <c r="BZ38">
        <v>670955</v>
      </c>
      <c r="CA38">
        <v>651681</v>
      </c>
      <c r="CB38">
        <v>611187</v>
      </c>
      <c r="CC38">
        <v>6437437</v>
      </c>
      <c r="CD38">
        <v>1046267</v>
      </c>
      <c r="CE38">
        <v>1935866</v>
      </c>
      <c r="CF38">
        <v>1290719</v>
      </c>
      <c r="CG38">
        <v>1785857</v>
      </c>
      <c r="CH38">
        <v>10812926</v>
      </c>
      <c r="CI38">
        <v>2958657</v>
      </c>
      <c r="CJ38">
        <v>446308</v>
      </c>
      <c r="CK38">
        <v>806305</v>
      </c>
      <c r="CL38">
        <v>384928</v>
      </c>
      <c r="CM38">
        <v>11197118</v>
      </c>
      <c r="CN38">
        <v>749135</v>
      </c>
      <c r="CO38">
        <v>316253</v>
      </c>
      <c r="CP38">
        <v>1244730</v>
      </c>
      <c r="CQ38">
        <v>251434</v>
      </c>
      <c r="CR38">
        <v>1981337</v>
      </c>
      <c r="CS38">
        <v>435753</v>
      </c>
      <c r="CT38">
        <v>1115058</v>
      </c>
      <c r="CU38">
        <v>657275</v>
      </c>
      <c r="CV38">
        <v>1264663</v>
      </c>
      <c r="CW38">
        <v>2101031</v>
      </c>
      <c r="CX38">
        <v>4161673</v>
      </c>
      <c r="CY38">
        <v>674537</v>
      </c>
      <c r="CZ38">
        <v>746627</v>
      </c>
      <c r="DA38">
        <v>697448</v>
      </c>
      <c r="DB38">
        <v>4103570</v>
      </c>
      <c r="DC38">
        <v>2450306</v>
      </c>
      <c r="DD38">
        <v>184360</v>
      </c>
      <c r="DE38">
        <v>749733</v>
      </c>
      <c r="DF38">
        <v>184264</v>
      </c>
      <c r="DG38">
        <v>7554115</v>
      </c>
      <c r="DH38">
        <v>602584</v>
      </c>
      <c r="DI38">
        <v>123652</v>
      </c>
      <c r="DJ38">
        <v>328999</v>
      </c>
      <c r="DK38">
        <v>76584</v>
      </c>
      <c r="DL38">
        <v>3870749</v>
      </c>
      <c r="DM38">
        <v>207978</v>
      </c>
      <c r="DN38">
        <v>11920</v>
      </c>
      <c r="DO38">
        <v>252094</v>
      </c>
      <c r="DP38">
        <v>15528</v>
      </c>
      <c r="DQ38">
        <v>2174416</v>
      </c>
      <c r="DR38">
        <v>83788</v>
      </c>
      <c r="DS38">
        <v>22672</v>
      </c>
      <c r="DT38">
        <v>618263</v>
      </c>
      <c r="DU38">
        <v>23748</v>
      </c>
      <c r="DV38">
        <v>1325713</v>
      </c>
      <c r="DW38">
        <v>68871</v>
      </c>
      <c r="DX38">
        <v>3464</v>
      </c>
      <c r="DY38">
        <v>59423</v>
      </c>
      <c r="DZ38">
        <v>4726</v>
      </c>
      <c r="EA38">
        <v>489488</v>
      </c>
      <c r="EB38">
        <v>18196</v>
      </c>
      <c r="EC38">
        <v>20624</v>
      </c>
      <c r="ED38">
        <v>450041</v>
      </c>
      <c r="EE38">
        <v>26142</v>
      </c>
      <c r="EF38">
        <v>3067448</v>
      </c>
      <c r="EG38">
        <v>71796</v>
      </c>
      <c r="EH38">
        <v>17794</v>
      </c>
      <c r="EI38">
        <v>687127</v>
      </c>
      <c r="EJ38">
        <v>33055</v>
      </c>
      <c r="EK38">
        <v>4224248</v>
      </c>
      <c r="EL38">
        <v>85837</v>
      </c>
      <c r="EM38">
        <v>23202</v>
      </c>
      <c r="EN38">
        <v>98699</v>
      </c>
      <c r="EO38">
        <v>22685</v>
      </c>
      <c r="EP38">
        <v>282016</v>
      </c>
      <c r="EQ38">
        <v>84007</v>
      </c>
      <c r="ER38">
        <v>12623</v>
      </c>
      <c r="ES38">
        <v>111800</v>
      </c>
      <c r="ET38">
        <v>29795</v>
      </c>
      <c r="EU38">
        <v>1030611</v>
      </c>
      <c r="EV38">
        <v>36879</v>
      </c>
      <c r="EW38">
        <v>1093177</v>
      </c>
      <c r="EX38">
        <v>1567695</v>
      </c>
      <c r="EY38">
        <v>1087435</v>
      </c>
      <c r="EZ38">
        <v>8353965</v>
      </c>
      <c r="FA38">
        <v>1911318</v>
      </c>
      <c r="FB38">
        <v>944403</v>
      </c>
      <c r="FC38">
        <v>304977</v>
      </c>
      <c r="FD38">
        <v>958004</v>
      </c>
      <c r="FE38">
        <v>983179</v>
      </c>
      <c r="FF38">
        <v>1458629</v>
      </c>
      <c r="FG38">
        <v>518954</v>
      </c>
      <c r="FH38">
        <v>550106</v>
      </c>
      <c r="FI38">
        <v>534825</v>
      </c>
      <c r="FJ38">
        <v>2184154</v>
      </c>
      <c r="FK38">
        <v>1303250</v>
      </c>
    </row>
    <row r="39" spans="1:167" x14ac:dyDescent="0.4">
      <c r="A39" s="1"/>
      <c r="B39" s="1"/>
    </row>
    <row r="40" spans="1:167" x14ac:dyDescent="0.4">
      <c r="A40" s="1"/>
      <c r="B40" s="1"/>
    </row>
  </sheetData>
  <phoneticPr fontId="2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5E70F-DB41-42EB-A7DA-8D0B5F627562}">
  <dimension ref="A1:DF40"/>
  <sheetViews>
    <sheetView workbookViewId="0">
      <selection activeCell="C9" sqref="C9"/>
    </sheetView>
  </sheetViews>
  <sheetFormatPr defaultColWidth="15.625" defaultRowHeight="18.75" x14ac:dyDescent="0.4"/>
  <sheetData>
    <row r="1" spans="1:110" x14ac:dyDescent="0.4">
      <c r="A1" s="1" t="s">
        <v>66</v>
      </c>
      <c r="B1" s="1"/>
    </row>
    <row r="2" spans="1:110" x14ac:dyDescent="0.4">
      <c r="A2" s="4" t="str">
        <f>HYPERLINK("#'目次(Contents)'!A3","目次に戻る(Return to Contents)")</f>
        <v>目次に戻る(Return to Contents)</v>
      </c>
      <c r="B2" s="1"/>
    </row>
    <row r="3" spans="1:110" x14ac:dyDescent="0.4">
      <c r="A3" s="1"/>
      <c r="B3" s="2" t="s">
        <v>0</v>
      </c>
      <c r="C3" t="s">
        <v>2764</v>
      </c>
      <c r="D3" t="s">
        <v>2764</v>
      </c>
      <c r="E3" t="s">
        <v>2764</v>
      </c>
      <c r="F3" t="s">
        <v>2764</v>
      </c>
      <c r="G3" t="s">
        <v>2766</v>
      </c>
      <c r="H3" t="s">
        <v>2766</v>
      </c>
      <c r="I3" t="s">
        <v>2766</v>
      </c>
      <c r="J3" t="s">
        <v>2766</v>
      </c>
      <c r="K3" t="s">
        <v>2768</v>
      </c>
      <c r="L3" t="s">
        <v>2768</v>
      </c>
      <c r="M3" t="s">
        <v>2768</v>
      </c>
      <c r="N3" t="s">
        <v>2768</v>
      </c>
      <c r="O3" t="s">
        <v>2770</v>
      </c>
      <c r="P3" t="s">
        <v>2770</v>
      </c>
      <c r="Q3" t="s">
        <v>2770</v>
      </c>
      <c r="R3" t="s">
        <v>2770</v>
      </c>
      <c r="S3" t="s">
        <v>2772</v>
      </c>
      <c r="T3" t="s">
        <v>2772</v>
      </c>
      <c r="U3" t="s">
        <v>2772</v>
      </c>
      <c r="V3" t="s">
        <v>2772</v>
      </c>
      <c r="W3" t="s">
        <v>2774</v>
      </c>
      <c r="X3" t="s">
        <v>2774</v>
      </c>
      <c r="Y3" t="s">
        <v>2774</v>
      </c>
      <c r="Z3" t="s">
        <v>2774</v>
      </c>
      <c r="AA3" t="s">
        <v>2776</v>
      </c>
      <c r="AB3" t="s">
        <v>2776</v>
      </c>
      <c r="AC3" t="s">
        <v>2776</v>
      </c>
      <c r="AD3" t="s">
        <v>2776</v>
      </c>
      <c r="AE3" t="s">
        <v>2778</v>
      </c>
      <c r="AF3" t="s">
        <v>2778</v>
      </c>
      <c r="AG3" t="s">
        <v>2778</v>
      </c>
      <c r="AH3" t="s">
        <v>2778</v>
      </c>
      <c r="AI3" t="s">
        <v>2780</v>
      </c>
      <c r="AJ3" t="s">
        <v>2780</v>
      </c>
      <c r="AK3" t="s">
        <v>2780</v>
      </c>
      <c r="AL3" t="s">
        <v>2780</v>
      </c>
      <c r="AM3" t="s">
        <v>2782</v>
      </c>
      <c r="AN3" t="s">
        <v>2782</v>
      </c>
      <c r="AO3" t="s">
        <v>2782</v>
      </c>
      <c r="AP3" t="s">
        <v>2782</v>
      </c>
      <c r="AQ3" t="s">
        <v>2784</v>
      </c>
      <c r="AR3" t="s">
        <v>2784</v>
      </c>
      <c r="AS3" t="s">
        <v>2784</v>
      </c>
      <c r="AT3" t="s">
        <v>2784</v>
      </c>
      <c r="AU3" t="s">
        <v>2786</v>
      </c>
      <c r="AV3" t="s">
        <v>2786</v>
      </c>
      <c r="AW3" t="s">
        <v>2786</v>
      </c>
      <c r="AX3" t="s">
        <v>2786</v>
      </c>
      <c r="AY3" t="s">
        <v>2788</v>
      </c>
      <c r="AZ3" t="s">
        <v>2788</v>
      </c>
      <c r="BA3" t="s">
        <v>2788</v>
      </c>
      <c r="BB3" t="s">
        <v>2788</v>
      </c>
      <c r="BC3" t="s">
        <v>2790</v>
      </c>
      <c r="BD3" t="s">
        <v>2790</v>
      </c>
      <c r="BE3" t="s">
        <v>2790</v>
      </c>
      <c r="BF3" t="s">
        <v>2790</v>
      </c>
      <c r="BG3" t="s">
        <v>2792</v>
      </c>
      <c r="BH3" t="s">
        <v>2792</v>
      </c>
      <c r="BI3" t="s">
        <v>2792</v>
      </c>
      <c r="BJ3" t="s">
        <v>2792</v>
      </c>
      <c r="BK3" t="s">
        <v>2794</v>
      </c>
      <c r="BL3" t="s">
        <v>2794</v>
      </c>
      <c r="BM3" t="s">
        <v>2794</v>
      </c>
      <c r="BN3" t="s">
        <v>2794</v>
      </c>
      <c r="BO3" t="s">
        <v>2796</v>
      </c>
      <c r="BP3" t="s">
        <v>2796</v>
      </c>
      <c r="BQ3" t="s">
        <v>2796</v>
      </c>
      <c r="BR3" t="s">
        <v>2796</v>
      </c>
      <c r="BS3" t="s">
        <v>2798</v>
      </c>
      <c r="BT3" t="s">
        <v>2798</v>
      </c>
      <c r="BU3" t="s">
        <v>2798</v>
      </c>
      <c r="BV3" t="s">
        <v>2798</v>
      </c>
      <c r="BW3" t="s">
        <v>2800</v>
      </c>
      <c r="BX3" t="s">
        <v>2800</v>
      </c>
      <c r="BY3" t="s">
        <v>2800</v>
      </c>
      <c r="BZ3" t="s">
        <v>2800</v>
      </c>
      <c r="CA3" t="s">
        <v>2802</v>
      </c>
      <c r="CB3" t="s">
        <v>2802</v>
      </c>
      <c r="CC3" t="s">
        <v>2802</v>
      </c>
      <c r="CD3" t="s">
        <v>2802</v>
      </c>
      <c r="CE3" t="s">
        <v>2804</v>
      </c>
      <c r="CF3" t="s">
        <v>2804</v>
      </c>
      <c r="CG3" t="s">
        <v>2804</v>
      </c>
      <c r="CH3" t="s">
        <v>2804</v>
      </c>
      <c r="CI3" t="s">
        <v>2806</v>
      </c>
      <c r="CJ3" t="s">
        <v>2806</v>
      </c>
      <c r="CK3" t="s">
        <v>2806</v>
      </c>
      <c r="CL3" t="s">
        <v>2806</v>
      </c>
      <c r="CM3" t="s">
        <v>2808</v>
      </c>
      <c r="CN3" t="s">
        <v>2808</v>
      </c>
      <c r="CO3" t="s">
        <v>2808</v>
      </c>
      <c r="CP3" t="s">
        <v>2808</v>
      </c>
      <c r="CQ3" t="s">
        <v>2810</v>
      </c>
      <c r="CR3" t="s">
        <v>2810</v>
      </c>
      <c r="CS3" t="s">
        <v>2810</v>
      </c>
      <c r="CT3" t="s">
        <v>2810</v>
      </c>
      <c r="CU3" t="s">
        <v>2812</v>
      </c>
      <c r="CV3" t="s">
        <v>2812</v>
      </c>
      <c r="CW3" t="s">
        <v>2812</v>
      </c>
      <c r="CX3" t="s">
        <v>2812</v>
      </c>
      <c r="CY3" t="s">
        <v>2814</v>
      </c>
      <c r="CZ3" t="s">
        <v>2814</v>
      </c>
      <c r="DA3" t="s">
        <v>2814</v>
      </c>
      <c r="DB3" t="s">
        <v>2814</v>
      </c>
      <c r="DC3" t="s">
        <v>2816</v>
      </c>
      <c r="DD3" t="s">
        <v>2816</v>
      </c>
      <c r="DE3" t="s">
        <v>2816</v>
      </c>
      <c r="DF3" t="s">
        <v>2816</v>
      </c>
    </row>
    <row r="4" spans="1:110" x14ac:dyDescent="0.4">
      <c r="A4" s="1"/>
      <c r="B4" s="2" t="s">
        <v>1</v>
      </c>
      <c r="C4" t="s">
        <v>2765</v>
      </c>
      <c r="D4" t="s">
        <v>2765</v>
      </c>
      <c r="E4" t="s">
        <v>2765</v>
      </c>
      <c r="F4" t="s">
        <v>2765</v>
      </c>
      <c r="G4" t="s">
        <v>2767</v>
      </c>
      <c r="H4" t="s">
        <v>2767</v>
      </c>
      <c r="I4" t="s">
        <v>2767</v>
      </c>
      <c r="J4" t="s">
        <v>2767</v>
      </c>
      <c r="K4" t="s">
        <v>2769</v>
      </c>
      <c r="L4" t="s">
        <v>2769</v>
      </c>
      <c r="M4" t="s">
        <v>2769</v>
      </c>
      <c r="N4" t="s">
        <v>2769</v>
      </c>
      <c r="O4" t="s">
        <v>2771</v>
      </c>
      <c r="P4" t="s">
        <v>2771</v>
      </c>
      <c r="Q4" t="s">
        <v>2771</v>
      </c>
      <c r="R4" t="s">
        <v>2771</v>
      </c>
      <c r="S4" t="s">
        <v>2773</v>
      </c>
      <c r="T4" t="s">
        <v>2773</v>
      </c>
      <c r="U4" t="s">
        <v>2773</v>
      </c>
      <c r="V4" t="s">
        <v>2773</v>
      </c>
      <c r="W4" t="s">
        <v>2775</v>
      </c>
      <c r="X4" t="s">
        <v>2775</v>
      </c>
      <c r="Y4" t="s">
        <v>2775</v>
      </c>
      <c r="Z4" t="s">
        <v>2775</v>
      </c>
      <c r="AA4" t="s">
        <v>2777</v>
      </c>
      <c r="AB4" t="s">
        <v>2777</v>
      </c>
      <c r="AC4" t="s">
        <v>2777</v>
      </c>
      <c r="AD4" t="s">
        <v>2777</v>
      </c>
      <c r="AE4" t="s">
        <v>2779</v>
      </c>
      <c r="AF4" t="s">
        <v>2779</v>
      </c>
      <c r="AG4" t="s">
        <v>2779</v>
      </c>
      <c r="AH4" t="s">
        <v>2779</v>
      </c>
      <c r="AI4" t="s">
        <v>2781</v>
      </c>
      <c r="AJ4" t="s">
        <v>2781</v>
      </c>
      <c r="AK4" t="s">
        <v>2781</v>
      </c>
      <c r="AL4" t="s">
        <v>2781</v>
      </c>
      <c r="AM4" t="s">
        <v>2783</v>
      </c>
      <c r="AN4" t="s">
        <v>2783</v>
      </c>
      <c r="AO4" t="s">
        <v>2783</v>
      </c>
      <c r="AP4" t="s">
        <v>2783</v>
      </c>
      <c r="AQ4" t="s">
        <v>2785</v>
      </c>
      <c r="AR4" t="s">
        <v>2785</v>
      </c>
      <c r="AS4" t="s">
        <v>2785</v>
      </c>
      <c r="AT4" t="s">
        <v>2785</v>
      </c>
      <c r="AU4" t="s">
        <v>2787</v>
      </c>
      <c r="AV4" t="s">
        <v>2787</v>
      </c>
      <c r="AW4" t="s">
        <v>2787</v>
      </c>
      <c r="AX4" t="s">
        <v>2787</v>
      </c>
      <c r="AY4" t="s">
        <v>2789</v>
      </c>
      <c r="AZ4" t="s">
        <v>2789</v>
      </c>
      <c r="BA4" t="s">
        <v>2789</v>
      </c>
      <c r="BB4" t="s">
        <v>2789</v>
      </c>
      <c r="BC4" t="s">
        <v>2791</v>
      </c>
      <c r="BD4" t="s">
        <v>2791</v>
      </c>
      <c r="BE4" t="s">
        <v>2791</v>
      </c>
      <c r="BF4" t="s">
        <v>2791</v>
      </c>
      <c r="BG4" t="s">
        <v>2793</v>
      </c>
      <c r="BH4" t="s">
        <v>2793</v>
      </c>
      <c r="BI4" t="s">
        <v>2793</v>
      </c>
      <c r="BJ4" t="s">
        <v>2793</v>
      </c>
      <c r="BK4" t="s">
        <v>2795</v>
      </c>
      <c r="BL4" t="s">
        <v>2795</v>
      </c>
      <c r="BM4" t="s">
        <v>2795</v>
      </c>
      <c r="BN4" t="s">
        <v>2795</v>
      </c>
      <c r="BO4" t="s">
        <v>2797</v>
      </c>
      <c r="BP4" t="s">
        <v>2797</v>
      </c>
      <c r="BQ4" t="s">
        <v>2797</v>
      </c>
      <c r="BR4" t="s">
        <v>2797</v>
      </c>
      <c r="BS4" t="s">
        <v>2799</v>
      </c>
      <c r="BT4" t="s">
        <v>2799</v>
      </c>
      <c r="BU4" t="s">
        <v>2799</v>
      </c>
      <c r="BV4" t="s">
        <v>2799</v>
      </c>
      <c r="BW4" t="s">
        <v>2801</v>
      </c>
      <c r="BX4" t="s">
        <v>2801</v>
      </c>
      <c r="BY4" t="s">
        <v>2801</v>
      </c>
      <c r="BZ4" t="s">
        <v>2801</v>
      </c>
      <c r="CA4" t="s">
        <v>2803</v>
      </c>
      <c r="CB4" t="s">
        <v>2803</v>
      </c>
      <c r="CC4" t="s">
        <v>2803</v>
      </c>
      <c r="CD4" t="s">
        <v>2803</v>
      </c>
      <c r="CE4" t="s">
        <v>2805</v>
      </c>
      <c r="CF4" t="s">
        <v>2805</v>
      </c>
      <c r="CG4" t="s">
        <v>2805</v>
      </c>
      <c r="CH4" t="s">
        <v>2805</v>
      </c>
      <c r="CI4" t="s">
        <v>2807</v>
      </c>
      <c r="CJ4" t="s">
        <v>2807</v>
      </c>
      <c r="CK4" t="s">
        <v>2807</v>
      </c>
      <c r="CL4" t="s">
        <v>2807</v>
      </c>
      <c r="CM4" t="s">
        <v>2809</v>
      </c>
      <c r="CN4" t="s">
        <v>2809</v>
      </c>
      <c r="CO4" t="s">
        <v>2809</v>
      </c>
      <c r="CP4" t="s">
        <v>2809</v>
      </c>
      <c r="CQ4" t="s">
        <v>2811</v>
      </c>
      <c r="CR4" t="s">
        <v>2811</v>
      </c>
      <c r="CS4" t="s">
        <v>2811</v>
      </c>
      <c r="CT4" t="s">
        <v>2811</v>
      </c>
      <c r="CU4" t="s">
        <v>2813</v>
      </c>
      <c r="CV4" t="s">
        <v>2813</v>
      </c>
      <c r="CW4" t="s">
        <v>2813</v>
      </c>
      <c r="CX4" t="s">
        <v>2813</v>
      </c>
      <c r="CY4" t="s">
        <v>2815</v>
      </c>
      <c r="CZ4" t="s">
        <v>2815</v>
      </c>
      <c r="DA4" t="s">
        <v>2815</v>
      </c>
      <c r="DB4" t="s">
        <v>2815</v>
      </c>
      <c r="DC4" t="s">
        <v>2817</v>
      </c>
      <c r="DD4" t="s">
        <v>2817</v>
      </c>
      <c r="DE4" t="s">
        <v>2817</v>
      </c>
      <c r="DF4" t="s">
        <v>2817</v>
      </c>
    </row>
    <row r="5" spans="1:1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</row>
    <row r="6" spans="1:1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</row>
    <row r="7" spans="1:11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</row>
    <row r="8" spans="1:11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</row>
    <row r="9" spans="1:110" x14ac:dyDescent="0.4">
      <c r="A9" s="1" t="s">
        <v>6</v>
      </c>
      <c r="B9" s="3" t="s">
        <v>7</v>
      </c>
      <c r="C9">
        <v>16396</v>
      </c>
      <c r="D9">
        <v>8532</v>
      </c>
      <c r="E9">
        <v>5024780</v>
      </c>
      <c r="F9">
        <v>1425</v>
      </c>
      <c r="G9">
        <v>25108</v>
      </c>
      <c r="H9">
        <v>25002</v>
      </c>
      <c r="I9">
        <v>20499486</v>
      </c>
      <c r="J9">
        <v>1759</v>
      </c>
      <c r="K9">
        <v>17093</v>
      </c>
      <c r="L9">
        <v>17426</v>
      </c>
      <c r="M9">
        <v>8844519</v>
      </c>
      <c r="N9">
        <v>1849</v>
      </c>
      <c r="O9">
        <v>13145</v>
      </c>
      <c r="P9">
        <v>12773</v>
      </c>
      <c r="Q9">
        <v>5619900</v>
      </c>
      <c r="R9">
        <v>1777</v>
      </c>
      <c r="S9">
        <v>36604</v>
      </c>
      <c r="T9">
        <v>34983</v>
      </c>
      <c r="U9">
        <v>8752034</v>
      </c>
      <c r="V9">
        <v>3935</v>
      </c>
      <c r="W9">
        <v>54612</v>
      </c>
      <c r="X9">
        <v>51097</v>
      </c>
      <c r="Y9">
        <v>30393430</v>
      </c>
      <c r="Z9">
        <v>5650</v>
      </c>
      <c r="AA9">
        <v>47930</v>
      </c>
      <c r="AB9">
        <v>45243</v>
      </c>
      <c r="AC9">
        <v>27346834</v>
      </c>
      <c r="AD9">
        <v>5355</v>
      </c>
      <c r="AE9">
        <v>31155</v>
      </c>
      <c r="AF9">
        <v>29603</v>
      </c>
      <c r="AG9">
        <v>25466144</v>
      </c>
      <c r="AH9">
        <v>2753</v>
      </c>
      <c r="AI9">
        <v>103137</v>
      </c>
      <c r="AJ9">
        <v>110830</v>
      </c>
      <c r="AK9">
        <v>45856213</v>
      </c>
      <c r="AL9">
        <v>8607</v>
      </c>
      <c r="AM9">
        <v>116585</v>
      </c>
      <c r="AN9">
        <v>127079</v>
      </c>
      <c r="AO9">
        <v>96062926</v>
      </c>
      <c r="AP9">
        <v>12533</v>
      </c>
      <c r="AQ9">
        <v>7087</v>
      </c>
      <c r="AR9">
        <v>5676</v>
      </c>
      <c r="AS9">
        <v>4632574</v>
      </c>
      <c r="AT9">
        <v>477</v>
      </c>
      <c r="AU9">
        <v>12304</v>
      </c>
      <c r="AV9">
        <v>14591</v>
      </c>
      <c r="AW9">
        <v>9485631</v>
      </c>
      <c r="AX9">
        <v>976</v>
      </c>
      <c r="AY9">
        <v>71881</v>
      </c>
      <c r="AZ9">
        <v>72706</v>
      </c>
      <c r="BA9">
        <v>53054475</v>
      </c>
      <c r="BB9">
        <v>5636</v>
      </c>
      <c r="BC9">
        <v>233055</v>
      </c>
      <c r="BD9">
        <v>229702</v>
      </c>
      <c r="BE9">
        <v>69945773</v>
      </c>
      <c r="BF9">
        <v>16174</v>
      </c>
      <c r="BG9">
        <v>22526</v>
      </c>
      <c r="BH9">
        <v>30350</v>
      </c>
      <c r="BI9">
        <v>4879901</v>
      </c>
      <c r="BJ9">
        <v>2530</v>
      </c>
      <c r="BK9">
        <v>147275</v>
      </c>
      <c r="BL9">
        <v>145220</v>
      </c>
      <c r="BM9">
        <v>61650555</v>
      </c>
      <c r="BN9">
        <v>8414</v>
      </c>
      <c r="BO9">
        <v>39844</v>
      </c>
      <c r="BP9">
        <v>48394</v>
      </c>
      <c r="BQ9">
        <v>34467644</v>
      </c>
      <c r="BR9">
        <v>5398</v>
      </c>
      <c r="BS9">
        <v>55148</v>
      </c>
      <c r="BT9">
        <v>58865</v>
      </c>
      <c r="BU9">
        <v>6496255</v>
      </c>
      <c r="BV9">
        <v>2545</v>
      </c>
      <c r="BW9">
        <v>65968</v>
      </c>
      <c r="BX9">
        <v>99642</v>
      </c>
      <c r="BY9">
        <v>55135822</v>
      </c>
      <c r="BZ9">
        <v>6546</v>
      </c>
      <c r="CA9">
        <v>411390</v>
      </c>
      <c r="CB9">
        <v>439903</v>
      </c>
      <c r="CC9">
        <v>79840450</v>
      </c>
      <c r="CD9">
        <v>6585</v>
      </c>
      <c r="CE9">
        <v>67290</v>
      </c>
      <c r="CF9">
        <v>76258</v>
      </c>
      <c r="CG9">
        <v>50485756</v>
      </c>
      <c r="CH9">
        <v>3975</v>
      </c>
      <c r="CI9">
        <v>20033</v>
      </c>
      <c r="CJ9">
        <v>21157</v>
      </c>
      <c r="CK9">
        <v>15953744</v>
      </c>
      <c r="CL9">
        <v>1239</v>
      </c>
      <c r="CM9">
        <v>9747</v>
      </c>
      <c r="CN9">
        <v>11674</v>
      </c>
      <c r="CO9">
        <v>10581749</v>
      </c>
      <c r="CP9">
        <v>562</v>
      </c>
      <c r="CQ9">
        <v>121860</v>
      </c>
      <c r="CR9">
        <v>150758</v>
      </c>
      <c r="CS9">
        <v>82016301</v>
      </c>
      <c r="CT9">
        <v>4103</v>
      </c>
      <c r="CU9">
        <v>36651</v>
      </c>
      <c r="CV9">
        <v>39389</v>
      </c>
      <c r="CW9">
        <v>90557719</v>
      </c>
      <c r="CX9">
        <v>2797</v>
      </c>
      <c r="CY9">
        <v>24963</v>
      </c>
      <c r="CZ9">
        <v>22958</v>
      </c>
      <c r="DA9">
        <v>11745546</v>
      </c>
      <c r="DB9">
        <v>1053</v>
      </c>
      <c r="DC9">
        <v>72698</v>
      </c>
      <c r="DD9">
        <v>24324</v>
      </c>
      <c r="DE9">
        <v>8269561</v>
      </c>
      <c r="DF9">
        <v>1839</v>
      </c>
    </row>
    <row r="10" spans="1:110" x14ac:dyDescent="0.4">
      <c r="A10" s="1" t="s">
        <v>8</v>
      </c>
      <c r="B10" s="3" t="s">
        <v>9</v>
      </c>
      <c r="C10">
        <v>15373</v>
      </c>
      <c r="D10">
        <v>8059</v>
      </c>
      <c r="E10">
        <v>5027254</v>
      </c>
      <c r="F10">
        <v>1113</v>
      </c>
      <c r="G10">
        <v>24483</v>
      </c>
      <c r="H10">
        <v>24393</v>
      </c>
      <c r="I10">
        <v>22614733</v>
      </c>
      <c r="J10">
        <v>1810</v>
      </c>
      <c r="K10">
        <v>15713</v>
      </c>
      <c r="L10">
        <v>16276</v>
      </c>
      <c r="M10">
        <v>8903631</v>
      </c>
      <c r="N10">
        <v>1796</v>
      </c>
      <c r="O10">
        <v>11618</v>
      </c>
      <c r="P10">
        <v>11353</v>
      </c>
      <c r="Q10">
        <v>5624956</v>
      </c>
      <c r="R10">
        <v>1425</v>
      </c>
      <c r="S10">
        <v>36652</v>
      </c>
      <c r="T10">
        <v>34810</v>
      </c>
      <c r="U10">
        <v>9728998</v>
      </c>
      <c r="V10">
        <v>3883</v>
      </c>
      <c r="W10">
        <v>51400</v>
      </c>
      <c r="X10">
        <v>48426</v>
      </c>
      <c r="Y10">
        <v>31533772</v>
      </c>
      <c r="Z10">
        <v>5458</v>
      </c>
      <c r="AA10">
        <v>45043</v>
      </c>
      <c r="AB10">
        <v>42201</v>
      </c>
      <c r="AC10">
        <v>27514347</v>
      </c>
      <c r="AD10">
        <v>5205</v>
      </c>
      <c r="AE10">
        <v>28978</v>
      </c>
      <c r="AF10">
        <v>27868</v>
      </c>
      <c r="AG10">
        <v>24256755</v>
      </c>
      <c r="AH10">
        <v>2465</v>
      </c>
      <c r="AI10">
        <v>104418</v>
      </c>
      <c r="AJ10">
        <v>110318</v>
      </c>
      <c r="AK10">
        <v>51043551</v>
      </c>
      <c r="AL10">
        <v>8905</v>
      </c>
      <c r="AM10">
        <v>112979</v>
      </c>
      <c r="AN10">
        <v>122074</v>
      </c>
      <c r="AO10">
        <v>98415564</v>
      </c>
      <c r="AP10">
        <v>11806</v>
      </c>
      <c r="AQ10">
        <v>6816</v>
      </c>
      <c r="AR10">
        <v>5491</v>
      </c>
      <c r="AS10">
        <v>4748032</v>
      </c>
      <c r="AT10">
        <v>466</v>
      </c>
      <c r="AU10">
        <v>14574</v>
      </c>
      <c r="AV10">
        <v>16727</v>
      </c>
      <c r="AW10">
        <v>13336073</v>
      </c>
      <c r="AX10">
        <v>1032</v>
      </c>
      <c r="AY10">
        <v>68559</v>
      </c>
      <c r="AZ10">
        <v>68575</v>
      </c>
      <c r="BA10">
        <v>54276937</v>
      </c>
      <c r="BB10">
        <v>5911</v>
      </c>
      <c r="BC10">
        <v>231931</v>
      </c>
      <c r="BD10">
        <v>227173</v>
      </c>
      <c r="BE10">
        <v>74780912</v>
      </c>
      <c r="BF10">
        <v>16337</v>
      </c>
      <c r="BG10">
        <v>20187</v>
      </c>
      <c r="BH10">
        <v>27920</v>
      </c>
      <c r="BI10">
        <v>4888740</v>
      </c>
      <c r="BJ10">
        <v>2381</v>
      </c>
      <c r="BK10">
        <v>147448</v>
      </c>
      <c r="BL10">
        <v>144530</v>
      </c>
      <c r="BM10">
        <v>66447586</v>
      </c>
      <c r="BN10">
        <v>7956</v>
      </c>
      <c r="BO10">
        <v>40405</v>
      </c>
      <c r="BP10">
        <v>47644</v>
      </c>
      <c r="BQ10">
        <v>36430009</v>
      </c>
      <c r="BR10">
        <v>6261</v>
      </c>
      <c r="BS10">
        <v>52424</v>
      </c>
      <c r="BT10">
        <v>56693</v>
      </c>
      <c r="BU10">
        <v>6618083</v>
      </c>
      <c r="BV10">
        <v>2336</v>
      </c>
      <c r="BW10">
        <v>63039</v>
      </c>
      <c r="BX10">
        <v>99453</v>
      </c>
      <c r="BY10">
        <v>58868114</v>
      </c>
      <c r="BZ10">
        <v>5869</v>
      </c>
      <c r="CA10">
        <v>386968</v>
      </c>
      <c r="CB10">
        <v>412714</v>
      </c>
      <c r="CC10">
        <v>92307196</v>
      </c>
      <c r="CD10">
        <v>6755</v>
      </c>
      <c r="CE10">
        <v>65169</v>
      </c>
      <c r="CF10">
        <v>73157</v>
      </c>
      <c r="CG10">
        <v>49849091</v>
      </c>
      <c r="CH10">
        <v>4298</v>
      </c>
      <c r="CI10">
        <v>20276</v>
      </c>
      <c r="CJ10">
        <v>21341</v>
      </c>
      <c r="CK10">
        <v>16491746</v>
      </c>
      <c r="CL10">
        <v>1251</v>
      </c>
      <c r="CM10">
        <v>8942</v>
      </c>
      <c r="CN10">
        <v>11103</v>
      </c>
      <c r="CO10">
        <v>10332653</v>
      </c>
      <c r="CP10">
        <v>494</v>
      </c>
      <c r="CQ10">
        <v>123627</v>
      </c>
      <c r="CR10">
        <v>152981</v>
      </c>
      <c r="CS10">
        <v>85844246</v>
      </c>
      <c r="CT10">
        <v>4463</v>
      </c>
      <c r="CU10">
        <v>34890</v>
      </c>
      <c r="CV10">
        <v>37860</v>
      </c>
      <c r="CW10">
        <v>92495800</v>
      </c>
      <c r="CX10">
        <v>2872</v>
      </c>
      <c r="CY10">
        <v>22873</v>
      </c>
      <c r="CZ10">
        <v>21657</v>
      </c>
      <c r="DA10">
        <v>11406297</v>
      </c>
      <c r="DB10">
        <v>1102</v>
      </c>
      <c r="DC10">
        <v>70504</v>
      </c>
      <c r="DD10">
        <v>23412</v>
      </c>
      <c r="DE10">
        <v>8837942</v>
      </c>
      <c r="DF10">
        <v>1724</v>
      </c>
    </row>
    <row r="11" spans="1:110" x14ac:dyDescent="0.4">
      <c r="A11" s="1" t="s">
        <v>10</v>
      </c>
      <c r="B11" s="3" t="s">
        <v>11</v>
      </c>
      <c r="C11">
        <v>15040</v>
      </c>
      <c r="D11">
        <v>7770</v>
      </c>
      <c r="E11">
        <v>5226897</v>
      </c>
      <c r="F11">
        <v>1138</v>
      </c>
      <c r="G11">
        <v>23025</v>
      </c>
      <c r="H11">
        <v>23087</v>
      </c>
      <c r="I11">
        <v>22335173</v>
      </c>
      <c r="J11">
        <v>1759</v>
      </c>
      <c r="K11">
        <v>14703</v>
      </c>
      <c r="L11">
        <v>15583</v>
      </c>
      <c r="M11">
        <v>9268332</v>
      </c>
      <c r="N11">
        <v>1793</v>
      </c>
      <c r="O11">
        <v>11568</v>
      </c>
      <c r="P11">
        <v>10944</v>
      </c>
      <c r="Q11">
        <v>5895749</v>
      </c>
      <c r="R11">
        <v>1573</v>
      </c>
      <c r="S11">
        <v>36168</v>
      </c>
      <c r="T11">
        <v>34316</v>
      </c>
      <c r="U11">
        <v>10898921</v>
      </c>
      <c r="V11">
        <v>4015</v>
      </c>
      <c r="W11">
        <v>49637</v>
      </c>
      <c r="X11">
        <v>46623</v>
      </c>
      <c r="Y11">
        <v>33454308</v>
      </c>
      <c r="Z11">
        <v>5272</v>
      </c>
      <c r="AA11">
        <v>43757</v>
      </c>
      <c r="AB11">
        <v>39556</v>
      </c>
      <c r="AC11">
        <v>27779045</v>
      </c>
      <c r="AD11">
        <v>5494</v>
      </c>
      <c r="AE11">
        <v>30394</v>
      </c>
      <c r="AF11">
        <v>29399</v>
      </c>
      <c r="AG11">
        <v>27089479</v>
      </c>
      <c r="AH11">
        <v>2538</v>
      </c>
      <c r="AI11">
        <v>105953</v>
      </c>
      <c r="AJ11">
        <v>114194</v>
      </c>
      <c r="AK11">
        <v>56535887</v>
      </c>
      <c r="AL11">
        <v>9000</v>
      </c>
      <c r="AM11">
        <v>113215</v>
      </c>
      <c r="AN11">
        <v>119762</v>
      </c>
      <c r="AO11">
        <v>103693311</v>
      </c>
      <c r="AP11">
        <v>12191</v>
      </c>
      <c r="AQ11">
        <v>4637</v>
      </c>
      <c r="AR11">
        <v>4945</v>
      </c>
      <c r="AS11">
        <v>4664592</v>
      </c>
      <c r="AT11">
        <v>383</v>
      </c>
      <c r="AU11">
        <v>14191</v>
      </c>
      <c r="AV11">
        <v>16303</v>
      </c>
      <c r="AW11">
        <v>14567038</v>
      </c>
      <c r="AX11">
        <v>1125</v>
      </c>
      <c r="AY11">
        <v>65781</v>
      </c>
      <c r="AZ11">
        <v>64966</v>
      </c>
      <c r="BA11">
        <v>55634728</v>
      </c>
      <c r="BB11">
        <v>5359</v>
      </c>
      <c r="BC11">
        <v>225822</v>
      </c>
      <c r="BD11">
        <v>220985</v>
      </c>
      <c r="BE11">
        <v>77124261</v>
      </c>
      <c r="BF11">
        <v>15901</v>
      </c>
      <c r="BG11">
        <v>18449</v>
      </c>
      <c r="BH11">
        <v>24738</v>
      </c>
      <c r="BI11">
        <v>4713936</v>
      </c>
      <c r="BJ11">
        <v>2528</v>
      </c>
      <c r="BK11">
        <v>172696</v>
      </c>
      <c r="BL11">
        <v>158525</v>
      </c>
      <c r="BM11">
        <v>78865255</v>
      </c>
      <c r="BN11">
        <v>9074</v>
      </c>
      <c r="BO11">
        <v>38989</v>
      </c>
      <c r="BP11">
        <v>45464</v>
      </c>
      <c r="BQ11">
        <v>37523320</v>
      </c>
      <c r="BR11">
        <v>6422</v>
      </c>
      <c r="BS11">
        <v>50550</v>
      </c>
      <c r="BT11">
        <v>54593</v>
      </c>
      <c r="BU11">
        <v>6597467</v>
      </c>
      <c r="BV11">
        <v>2601</v>
      </c>
      <c r="BW11">
        <v>63458</v>
      </c>
      <c r="BX11">
        <v>96735</v>
      </c>
      <c r="BY11">
        <v>61973905</v>
      </c>
      <c r="BZ11">
        <v>5976</v>
      </c>
      <c r="CA11">
        <v>372182</v>
      </c>
      <c r="CB11">
        <v>397930</v>
      </c>
      <c r="CC11">
        <v>94269718</v>
      </c>
      <c r="CD11">
        <v>6585</v>
      </c>
      <c r="CE11">
        <v>60023</v>
      </c>
      <c r="CF11">
        <v>68577</v>
      </c>
      <c r="CG11">
        <v>48980267</v>
      </c>
      <c r="CH11">
        <v>5573</v>
      </c>
      <c r="CI11">
        <v>19248</v>
      </c>
      <c r="CJ11">
        <v>19395</v>
      </c>
      <c r="CK11">
        <v>15396587</v>
      </c>
      <c r="CL11">
        <v>1280</v>
      </c>
      <c r="CM11">
        <v>8422</v>
      </c>
      <c r="CN11">
        <v>10261</v>
      </c>
      <c r="CO11">
        <v>10010388</v>
      </c>
      <c r="CP11">
        <v>742</v>
      </c>
      <c r="CQ11">
        <v>117044</v>
      </c>
      <c r="CR11">
        <v>145285</v>
      </c>
      <c r="CS11">
        <v>84472297</v>
      </c>
      <c r="CT11">
        <v>6631</v>
      </c>
      <c r="CU11">
        <v>32129</v>
      </c>
      <c r="CV11">
        <v>35481</v>
      </c>
      <c r="CW11">
        <v>90019737</v>
      </c>
      <c r="CX11">
        <v>3343</v>
      </c>
      <c r="CY11">
        <v>23364</v>
      </c>
      <c r="CZ11">
        <v>20553</v>
      </c>
      <c r="DA11">
        <v>11337405</v>
      </c>
      <c r="DB11">
        <v>1895</v>
      </c>
      <c r="DC11">
        <v>64881</v>
      </c>
      <c r="DD11">
        <v>21199</v>
      </c>
      <c r="DE11">
        <v>8584630</v>
      </c>
      <c r="DF11">
        <v>1781</v>
      </c>
    </row>
    <row r="12" spans="1:110" x14ac:dyDescent="0.4">
      <c r="A12" s="1" t="s">
        <v>12</v>
      </c>
      <c r="B12" s="3" t="s">
        <v>13</v>
      </c>
      <c r="C12">
        <v>14187</v>
      </c>
      <c r="D12">
        <v>7396</v>
      </c>
      <c r="E12">
        <v>5158490</v>
      </c>
      <c r="F12">
        <v>1173</v>
      </c>
      <c r="G12">
        <v>22121</v>
      </c>
      <c r="H12">
        <v>22175</v>
      </c>
      <c r="I12">
        <v>22270119</v>
      </c>
      <c r="J12">
        <v>1718</v>
      </c>
      <c r="K12">
        <v>14025</v>
      </c>
      <c r="L12">
        <v>15049</v>
      </c>
      <c r="M12">
        <v>9374224</v>
      </c>
      <c r="N12">
        <v>1912</v>
      </c>
      <c r="O12">
        <v>10993</v>
      </c>
      <c r="P12">
        <v>10592</v>
      </c>
      <c r="Q12">
        <v>5796875</v>
      </c>
      <c r="R12">
        <v>1360</v>
      </c>
      <c r="S12">
        <v>34003</v>
      </c>
      <c r="T12">
        <v>32110</v>
      </c>
      <c r="U12">
        <v>10243669</v>
      </c>
      <c r="V12">
        <v>4216</v>
      </c>
      <c r="W12">
        <v>48764</v>
      </c>
      <c r="X12">
        <v>45410</v>
      </c>
      <c r="Y12">
        <v>33890881</v>
      </c>
      <c r="Z12">
        <v>5282</v>
      </c>
      <c r="AA12">
        <v>41420</v>
      </c>
      <c r="AB12">
        <v>37788</v>
      </c>
      <c r="AC12">
        <v>27839387</v>
      </c>
      <c r="AD12">
        <v>5257</v>
      </c>
      <c r="AE12">
        <v>29158</v>
      </c>
      <c r="AF12">
        <v>27929</v>
      </c>
      <c r="AG12">
        <v>25725531</v>
      </c>
      <c r="AH12">
        <v>2668</v>
      </c>
      <c r="AI12">
        <v>107180</v>
      </c>
      <c r="AJ12">
        <v>114235</v>
      </c>
      <c r="AK12">
        <v>57939353</v>
      </c>
      <c r="AL12">
        <v>8854</v>
      </c>
      <c r="AM12">
        <v>102818</v>
      </c>
      <c r="AN12">
        <v>109153</v>
      </c>
      <c r="AO12">
        <v>96992192</v>
      </c>
      <c r="AP12">
        <v>11367</v>
      </c>
      <c r="AQ12">
        <v>4398</v>
      </c>
      <c r="AR12">
        <v>5023</v>
      </c>
      <c r="AS12">
        <v>5012601</v>
      </c>
      <c r="AT12">
        <v>376</v>
      </c>
      <c r="AU12">
        <v>14153</v>
      </c>
      <c r="AV12">
        <v>16567</v>
      </c>
      <c r="AW12">
        <v>16270023</v>
      </c>
      <c r="AX12">
        <v>1056</v>
      </c>
      <c r="AY12">
        <v>63562</v>
      </c>
      <c r="AZ12">
        <v>63081</v>
      </c>
      <c r="BA12">
        <v>55161950</v>
      </c>
      <c r="BB12">
        <v>5528</v>
      </c>
      <c r="BC12">
        <v>217686</v>
      </c>
      <c r="BD12">
        <v>211876</v>
      </c>
      <c r="BE12">
        <v>76744732</v>
      </c>
      <c r="BF12">
        <v>16256</v>
      </c>
      <c r="BG12">
        <v>16908</v>
      </c>
      <c r="BH12">
        <v>22960</v>
      </c>
      <c r="BI12">
        <v>4494883</v>
      </c>
      <c r="BJ12">
        <v>2152</v>
      </c>
      <c r="BK12">
        <v>168695</v>
      </c>
      <c r="BL12">
        <v>150487</v>
      </c>
      <c r="BM12">
        <v>73285800</v>
      </c>
      <c r="BN12">
        <v>8795</v>
      </c>
      <c r="BO12">
        <v>37015</v>
      </c>
      <c r="BP12">
        <v>43386</v>
      </c>
      <c r="BQ12">
        <v>36970326</v>
      </c>
      <c r="BR12">
        <v>5912</v>
      </c>
      <c r="BS12">
        <v>50173</v>
      </c>
      <c r="BT12">
        <v>54340</v>
      </c>
      <c r="BU12">
        <v>6624046</v>
      </c>
      <c r="BV12">
        <v>2042</v>
      </c>
      <c r="BW12">
        <v>60426</v>
      </c>
      <c r="BX12">
        <v>90299</v>
      </c>
      <c r="BY12">
        <v>60791216</v>
      </c>
      <c r="BZ12">
        <v>6171</v>
      </c>
      <c r="CA12">
        <v>368694</v>
      </c>
      <c r="CB12">
        <v>392639</v>
      </c>
      <c r="CC12">
        <v>99825093</v>
      </c>
      <c r="CD12">
        <v>6514</v>
      </c>
      <c r="CE12">
        <v>60326</v>
      </c>
      <c r="CF12">
        <v>67198</v>
      </c>
      <c r="CG12">
        <v>49294781</v>
      </c>
      <c r="CH12">
        <v>5488</v>
      </c>
      <c r="CI12">
        <v>18901</v>
      </c>
      <c r="CJ12">
        <v>19203</v>
      </c>
      <c r="CK12">
        <v>15520431</v>
      </c>
      <c r="CL12">
        <v>1141</v>
      </c>
      <c r="CM12">
        <v>8514</v>
      </c>
      <c r="CN12">
        <v>10357</v>
      </c>
      <c r="CO12">
        <v>9808605</v>
      </c>
      <c r="CP12">
        <v>857</v>
      </c>
      <c r="CQ12">
        <v>119176</v>
      </c>
      <c r="CR12">
        <v>147215</v>
      </c>
      <c r="CS12">
        <v>86719994</v>
      </c>
      <c r="CT12">
        <v>6991</v>
      </c>
      <c r="CU12">
        <v>32408</v>
      </c>
      <c r="CV12">
        <v>36610</v>
      </c>
      <c r="CW12">
        <v>97544036</v>
      </c>
      <c r="CX12">
        <v>3299</v>
      </c>
      <c r="CY12">
        <v>20668</v>
      </c>
      <c r="CZ12">
        <v>18834</v>
      </c>
      <c r="DA12">
        <v>10932097</v>
      </c>
      <c r="DB12">
        <v>1573</v>
      </c>
      <c r="DC12">
        <v>63841</v>
      </c>
      <c r="DD12">
        <v>20348</v>
      </c>
      <c r="DE12">
        <v>8295060</v>
      </c>
      <c r="DF12">
        <v>1633</v>
      </c>
    </row>
    <row r="13" spans="1:110" x14ac:dyDescent="0.4">
      <c r="A13" s="1" t="s">
        <v>14</v>
      </c>
      <c r="B13" s="3" t="s">
        <v>15</v>
      </c>
      <c r="C13">
        <v>13569</v>
      </c>
      <c r="D13">
        <v>7151</v>
      </c>
      <c r="E13">
        <v>5318400</v>
      </c>
      <c r="F13">
        <v>1193</v>
      </c>
      <c r="G13">
        <v>22919</v>
      </c>
      <c r="H13">
        <v>23038</v>
      </c>
      <c r="I13">
        <v>23938309</v>
      </c>
      <c r="J13">
        <v>1635</v>
      </c>
      <c r="K13">
        <v>13456</v>
      </c>
      <c r="L13">
        <v>14641</v>
      </c>
      <c r="M13">
        <v>9436573</v>
      </c>
      <c r="N13">
        <v>1773</v>
      </c>
      <c r="O13">
        <v>10741</v>
      </c>
      <c r="P13">
        <v>10345</v>
      </c>
      <c r="Q13">
        <v>5679244</v>
      </c>
      <c r="R13">
        <v>1356</v>
      </c>
      <c r="S13">
        <v>32093</v>
      </c>
      <c r="T13">
        <v>31122</v>
      </c>
      <c r="U13">
        <v>10171285</v>
      </c>
      <c r="V13">
        <v>4489</v>
      </c>
      <c r="W13">
        <v>48436</v>
      </c>
      <c r="X13">
        <v>44583</v>
      </c>
      <c r="Y13">
        <v>34763864</v>
      </c>
      <c r="Z13">
        <v>5249</v>
      </c>
      <c r="AA13">
        <v>41731</v>
      </c>
      <c r="AB13">
        <v>37745</v>
      </c>
      <c r="AC13">
        <v>28498049</v>
      </c>
      <c r="AD13">
        <v>5160</v>
      </c>
      <c r="AE13">
        <v>28895</v>
      </c>
      <c r="AF13">
        <v>27640</v>
      </c>
      <c r="AG13">
        <v>26020342</v>
      </c>
      <c r="AH13">
        <v>2416</v>
      </c>
      <c r="AI13">
        <v>106253</v>
      </c>
      <c r="AJ13">
        <v>112169</v>
      </c>
      <c r="AK13">
        <v>57993903</v>
      </c>
      <c r="AL13">
        <v>9248</v>
      </c>
      <c r="AM13">
        <v>100675</v>
      </c>
      <c r="AN13">
        <v>106341</v>
      </c>
      <c r="AO13">
        <v>97140504</v>
      </c>
      <c r="AP13">
        <v>11067</v>
      </c>
      <c r="AQ13">
        <v>4162</v>
      </c>
      <c r="AR13">
        <v>5052</v>
      </c>
      <c r="AS13">
        <v>5317563</v>
      </c>
      <c r="AT13">
        <v>350</v>
      </c>
      <c r="AU13">
        <v>15174</v>
      </c>
      <c r="AV13">
        <v>16657</v>
      </c>
      <c r="AW13">
        <v>16924466</v>
      </c>
      <c r="AX13">
        <v>1098</v>
      </c>
      <c r="AY13">
        <v>61679</v>
      </c>
      <c r="AZ13">
        <v>61141</v>
      </c>
      <c r="BA13">
        <v>54076010</v>
      </c>
      <c r="BB13">
        <v>5790</v>
      </c>
      <c r="BC13">
        <v>206377</v>
      </c>
      <c r="BD13">
        <v>199057</v>
      </c>
      <c r="BE13">
        <v>74517082</v>
      </c>
      <c r="BF13">
        <v>15539</v>
      </c>
      <c r="BG13">
        <v>15648</v>
      </c>
      <c r="BH13">
        <v>20864</v>
      </c>
      <c r="BI13">
        <v>4433276</v>
      </c>
      <c r="BJ13">
        <v>2067</v>
      </c>
      <c r="BK13">
        <v>175499</v>
      </c>
      <c r="BL13">
        <v>151832</v>
      </c>
      <c r="BM13">
        <v>78376916</v>
      </c>
      <c r="BN13">
        <v>9090</v>
      </c>
      <c r="BO13">
        <v>36652</v>
      </c>
      <c r="BP13">
        <v>43284</v>
      </c>
      <c r="BQ13">
        <v>37351264</v>
      </c>
      <c r="BR13">
        <v>5371</v>
      </c>
      <c r="BS13">
        <v>50697</v>
      </c>
      <c r="BT13">
        <v>52906</v>
      </c>
      <c r="BU13">
        <v>6707698</v>
      </c>
      <c r="BV13">
        <v>2314</v>
      </c>
      <c r="BW13">
        <v>58293</v>
      </c>
      <c r="BX13">
        <v>87485</v>
      </c>
      <c r="BY13">
        <v>60813794</v>
      </c>
      <c r="BZ13">
        <v>6029</v>
      </c>
      <c r="CA13">
        <v>362895</v>
      </c>
      <c r="CB13">
        <v>386487</v>
      </c>
      <c r="CC13">
        <v>103945341</v>
      </c>
      <c r="CD13">
        <v>6804</v>
      </c>
      <c r="CE13">
        <v>55719</v>
      </c>
      <c r="CF13">
        <v>62828</v>
      </c>
      <c r="CG13">
        <v>47244805</v>
      </c>
      <c r="CH13">
        <v>5045</v>
      </c>
      <c r="CI13">
        <v>18708</v>
      </c>
      <c r="CJ13">
        <v>18755</v>
      </c>
      <c r="CK13">
        <v>15414756</v>
      </c>
      <c r="CL13">
        <v>1315</v>
      </c>
      <c r="CM13">
        <v>8346</v>
      </c>
      <c r="CN13">
        <v>9818</v>
      </c>
      <c r="CO13">
        <v>9319037</v>
      </c>
      <c r="CP13">
        <v>977</v>
      </c>
      <c r="CQ13">
        <v>115713</v>
      </c>
      <c r="CR13">
        <v>143300</v>
      </c>
      <c r="CS13">
        <v>88578051</v>
      </c>
      <c r="CT13">
        <v>7407</v>
      </c>
      <c r="CU13">
        <v>32110</v>
      </c>
      <c r="CV13">
        <v>36360</v>
      </c>
      <c r="CW13">
        <v>100400166</v>
      </c>
      <c r="CX13">
        <v>3212</v>
      </c>
      <c r="CY13">
        <v>18937</v>
      </c>
      <c r="CZ13">
        <v>16145</v>
      </c>
      <c r="DA13">
        <v>9722168</v>
      </c>
      <c r="DB13">
        <v>1812</v>
      </c>
      <c r="DC13">
        <v>60089</v>
      </c>
      <c r="DD13">
        <v>20437</v>
      </c>
      <c r="DE13">
        <v>8610001</v>
      </c>
      <c r="DF13">
        <v>1877</v>
      </c>
    </row>
    <row r="14" spans="1:110" x14ac:dyDescent="0.4">
      <c r="A14" s="1" t="s">
        <v>16</v>
      </c>
      <c r="B14" s="1" t="s">
        <v>17</v>
      </c>
      <c r="C14">
        <v>1131</v>
      </c>
      <c r="D14">
        <v>600</v>
      </c>
      <c r="E14">
        <v>410131</v>
      </c>
      <c r="F14">
        <v>1050</v>
      </c>
      <c r="G14">
        <v>2014</v>
      </c>
      <c r="H14">
        <v>1916</v>
      </c>
      <c r="I14">
        <v>1828434</v>
      </c>
      <c r="J14">
        <v>1698</v>
      </c>
      <c r="K14">
        <v>1106</v>
      </c>
      <c r="L14">
        <v>1276</v>
      </c>
      <c r="M14">
        <v>756320</v>
      </c>
      <c r="N14">
        <v>1722</v>
      </c>
      <c r="O14">
        <v>972</v>
      </c>
      <c r="P14">
        <v>1228</v>
      </c>
      <c r="Q14">
        <v>680914</v>
      </c>
      <c r="R14">
        <v>1596</v>
      </c>
      <c r="S14">
        <v>2622</v>
      </c>
      <c r="T14">
        <v>2575</v>
      </c>
      <c r="U14">
        <v>823249</v>
      </c>
      <c r="V14">
        <v>4200</v>
      </c>
      <c r="W14">
        <v>3871</v>
      </c>
      <c r="X14">
        <v>3844</v>
      </c>
      <c r="Y14">
        <v>2862743</v>
      </c>
      <c r="Z14">
        <v>5232</v>
      </c>
      <c r="AA14">
        <v>3299</v>
      </c>
      <c r="AB14">
        <v>3256</v>
      </c>
      <c r="AC14">
        <v>2400399</v>
      </c>
      <c r="AD14">
        <v>5459</v>
      </c>
      <c r="AE14">
        <v>2368</v>
      </c>
      <c r="AF14">
        <v>2298</v>
      </c>
      <c r="AG14">
        <v>2101154</v>
      </c>
      <c r="AH14">
        <v>2507</v>
      </c>
      <c r="AI14">
        <v>8584</v>
      </c>
      <c r="AJ14">
        <v>9223</v>
      </c>
      <c r="AK14">
        <v>4790443</v>
      </c>
      <c r="AL14">
        <v>9206</v>
      </c>
      <c r="AM14">
        <v>8099</v>
      </c>
      <c r="AN14">
        <v>8653</v>
      </c>
      <c r="AO14">
        <v>7666781</v>
      </c>
      <c r="AP14">
        <v>11756</v>
      </c>
      <c r="AQ14">
        <v>337</v>
      </c>
      <c r="AR14">
        <v>365</v>
      </c>
      <c r="AS14">
        <v>351992</v>
      </c>
      <c r="AT14">
        <v>363</v>
      </c>
      <c r="AU14">
        <v>1241</v>
      </c>
      <c r="AV14">
        <v>1470</v>
      </c>
      <c r="AW14">
        <v>1312533</v>
      </c>
      <c r="AX14">
        <v>1056</v>
      </c>
      <c r="AY14">
        <v>5527</v>
      </c>
      <c r="AZ14">
        <v>5619</v>
      </c>
      <c r="BA14">
        <v>4765168</v>
      </c>
      <c r="BB14">
        <v>5225</v>
      </c>
      <c r="BC14">
        <v>18121</v>
      </c>
      <c r="BD14">
        <v>18011</v>
      </c>
      <c r="BE14">
        <v>6503346</v>
      </c>
      <c r="BF14">
        <v>15937</v>
      </c>
      <c r="BG14">
        <v>1408</v>
      </c>
      <c r="BH14">
        <v>1980</v>
      </c>
      <c r="BI14">
        <v>391161</v>
      </c>
      <c r="BJ14">
        <v>2260</v>
      </c>
      <c r="BK14">
        <v>13805</v>
      </c>
      <c r="BL14">
        <v>12752</v>
      </c>
      <c r="BM14">
        <v>6020313</v>
      </c>
      <c r="BN14">
        <v>8514</v>
      </c>
      <c r="BO14">
        <v>3200</v>
      </c>
      <c r="BP14">
        <v>3596</v>
      </c>
      <c r="BQ14">
        <v>3000498</v>
      </c>
      <c r="BR14">
        <v>6544</v>
      </c>
      <c r="BS14">
        <v>5011</v>
      </c>
      <c r="BT14">
        <v>6333</v>
      </c>
      <c r="BU14">
        <v>776453</v>
      </c>
      <c r="BV14">
        <v>1457</v>
      </c>
      <c r="BW14">
        <v>5168</v>
      </c>
      <c r="BX14">
        <v>7418</v>
      </c>
      <c r="BY14">
        <v>4939258</v>
      </c>
      <c r="BZ14">
        <v>5866</v>
      </c>
      <c r="CA14">
        <v>30154</v>
      </c>
      <c r="CB14">
        <v>32446</v>
      </c>
      <c r="CC14">
        <v>7915560</v>
      </c>
      <c r="CD14">
        <v>6309</v>
      </c>
      <c r="CE14">
        <v>5439</v>
      </c>
      <c r="CF14">
        <v>5847</v>
      </c>
      <c r="CG14">
        <v>4334070</v>
      </c>
      <c r="CH14">
        <v>5887</v>
      </c>
      <c r="CI14">
        <v>1587</v>
      </c>
      <c r="CJ14">
        <v>1663</v>
      </c>
      <c r="CK14">
        <v>1339726</v>
      </c>
      <c r="CL14">
        <v>1143</v>
      </c>
      <c r="CM14">
        <v>743</v>
      </c>
      <c r="CN14">
        <v>903</v>
      </c>
      <c r="CO14">
        <v>903043</v>
      </c>
      <c r="CP14">
        <v>679</v>
      </c>
      <c r="CQ14">
        <v>10373</v>
      </c>
      <c r="CR14">
        <v>12803</v>
      </c>
      <c r="CS14">
        <v>7472809</v>
      </c>
      <c r="CT14">
        <v>6545</v>
      </c>
      <c r="CU14">
        <v>2694</v>
      </c>
      <c r="CV14">
        <v>3026</v>
      </c>
      <c r="CW14">
        <v>7984193</v>
      </c>
      <c r="CX14">
        <v>3404</v>
      </c>
      <c r="CY14">
        <v>1928</v>
      </c>
      <c r="CZ14">
        <v>1749</v>
      </c>
      <c r="DA14">
        <v>1002063</v>
      </c>
      <c r="DB14">
        <v>1838</v>
      </c>
      <c r="DC14">
        <v>5830</v>
      </c>
      <c r="DD14">
        <v>1831</v>
      </c>
      <c r="DE14">
        <v>739561</v>
      </c>
      <c r="DF14">
        <v>1830</v>
      </c>
    </row>
    <row r="15" spans="1:110" x14ac:dyDescent="0.4">
      <c r="A15" s="1" t="s">
        <v>18</v>
      </c>
      <c r="B15" s="1" t="s">
        <v>19</v>
      </c>
      <c r="C15">
        <v>1196</v>
      </c>
      <c r="D15">
        <v>621</v>
      </c>
      <c r="E15">
        <v>423599</v>
      </c>
      <c r="F15">
        <v>1059</v>
      </c>
      <c r="G15">
        <v>1908</v>
      </c>
      <c r="H15">
        <v>2043</v>
      </c>
      <c r="I15">
        <v>2103064</v>
      </c>
      <c r="J15">
        <v>1562</v>
      </c>
      <c r="K15">
        <v>1161</v>
      </c>
      <c r="L15">
        <v>1275</v>
      </c>
      <c r="M15">
        <v>775706</v>
      </c>
      <c r="N15">
        <v>1667</v>
      </c>
      <c r="O15">
        <v>1018</v>
      </c>
      <c r="P15">
        <v>1013</v>
      </c>
      <c r="Q15">
        <v>553189</v>
      </c>
      <c r="R15">
        <v>1541</v>
      </c>
      <c r="S15">
        <v>2776</v>
      </c>
      <c r="T15">
        <v>3046</v>
      </c>
      <c r="U15">
        <v>958589</v>
      </c>
      <c r="V15">
        <v>3866</v>
      </c>
      <c r="W15">
        <v>4045</v>
      </c>
      <c r="X15">
        <v>3895</v>
      </c>
      <c r="Y15">
        <v>2939711</v>
      </c>
      <c r="Z15">
        <v>5134</v>
      </c>
      <c r="AA15">
        <v>3675</v>
      </c>
      <c r="AB15">
        <v>3557</v>
      </c>
      <c r="AC15">
        <v>2550162</v>
      </c>
      <c r="AD15">
        <v>5244</v>
      </c>
      <c r="AE15">
        <v>2303</v>
      </c>
      <c r="AF15">
        <v>2266</v>
      </c>
      <c r="AG15">
        <v>2113601</v>
      </c>
      <c r="AH15">
        <v>2482</v>
      </c>
      <c r="AI15">
        <v>9426</v>
      </c>
      <c r="AJ15">
        <v>9979</v>
      </c>
      <c r="AK15">
        <v>5000453</v>
      </c>
      <c r="AL15">
        <v>9303</v>
      </c>
      <c r="AM15">
        <v>9083</v>
      </c>
      <c r="AN15">
        <v>9352</v>
      </c>
      <c r="AO15">
        <v>8511021</v>
      </c>
      <c r="AP15">
        <v>11821</v>
      </c>
      <c r="AQ15">
        <v>354</v>
      </c>
      <c r="AR15">
        <v>380</v>
      </c>
      <c r="AS15">
        <v>374436</v>
      </c>
      <c r="AT15">
        <v>370</v>
      </c>
      <c r="AU15">
        <v>1402</v>
      </c>
      <c r="AV15">
        <v>1487</v>
      </c>
      <c r="AW15">
        <v>1318452</v>
      </c>
      <c r="AX15">
        <v>1151</v>
      </c>
      <c r="AY15">
        <v>5575</v>
      </c>
      <c r="AZ15">
        <v>5712</v>
      </c>
      <c r="BA15">
        <v>4940731</v>
      </c>
      <c r="BB15">
        <v>5113</v>
      </c>
      <c r="BC15">
        <v>18095</v>
      </c>
      <c r="BD15">
        <v>17776</v>
      </c>
      <c r="BE15">
        <v>6523977</v>
      </c>
      <c r="BF15">
        <v>15946</v>
      </c>
      <c r="BG15">
        <v>1717</v>
      </c>
      <c r="BH15">
        <v>2201</v>
      </c>
      <c r="BI15">
        <v>430230</v>
      </c>
      <c r="BJ15">
        <v>2216</v>
      </c>
      <c r="BK15">
        <v>14096</v>
      </c>
      <c r="BL15">
        <v>12546</v>
      </c>
      <c r="BM15">
        <v>6102479</v>
      </c>
      <c r="BN15">
        <v>8664</v>
      </c>
      <c r="BO15">
        <v>3016</v>
      </c>
      <c r="BP15">
        <v>3735</v>
      </c>
      <c r="BQ15">
        <v>3139246</v>
      </c>
      <c r="BR15">
        <v>6553</v>
      </c>
      <c r="BS15">
        <v>3777</v>
      </c>
      <c r="BT15">
        <v>3520</v>
      </c>
      <c r="BU15">
        <v>435169</v>
      </c>
      <c r="BV15">
        <v>2126</v>
      </c>
      <c r="BW15">
        <v>4887</v>
      </c>
      <c r="BX15">
        <v>7318</v>
      </c>
      <c r="BY15">
        <v>5009476</v>
      </c>
      <c r="BZ15">
        <v>5648</v>
      </c>
      <c r="CA15">
        <v>31683</v>
      </c>
      <c r="CB15">
        <v>33890</v>
      </c>
      <c r="CC15">
        <v>8533283</v>
      </c>
      <c r="CD15">
        <v>6144</v>
      </c>
      <c r="CE15">
        <v>5389</v>
      </c>
      <c r="CF15">
        <v>6292</v>
      </c>
      <c r="CG15">
        <v>4567998</v>
      </c>
      <c r="CH15">
        <v>5627</v>
      </c>
      <c r="CI15">
        <v>1648</v>
      </c>
      <c r="CJ15">
        <v>1777</v>
      </c>
      <c r="CK15">
        <v>1428899</v>
      </c>
      <c r="CL15">
        <v>1027</v>
      </c>
      <c r="CM15">
        <v>816</v>
      </c>
      <c r="CN15">
        <v>1022</v>
      </c>
      <c r="CO15">
        <v>1059621</v>
      </c>
      <c r="CP15">
        <v>639</v>
      </c>
      <c r="CQ15">
        <v>10646</v>
      </c>
      <c r="CR15">
        <v>13191</v>
      </c>
      <c r="CS15">
        <v>7809527</v>
      </c>
      <c r="CT15">
        <v>6534</v>
      </c>
      <c r="CU15">
        <v>2852</v>
      </c>
      <c r="CV15">
        <v>3411</v>
      </c>
      <c r="CW15">
        <v>9440667</v>
      </c>
      <c r="CX15">
        <v>3402</v>
      </c>
      <c r="CY15">
        <v>1973</v>
      </c>
      <c r="CZ15">
        <v>1610</v>
      </c>
      <c r="DA15">
        <v>936729</v>
      </c>
      <c r="DB15">
        <v>1983</v>
      </c>
      <c r="DC15">
        <v>5660</v>
      </c>
      <c r="DD15">
        <v>1753</v>
      </c>
      <c r="DE15">
        <v>704100</v>
      </c>
      <c r="DF15">
        <v>1911</v>
      </c>
    </row>
    <row r="16" spans="1:110" x14ac:dyDescent="0.4">
      <c r="A16" s="1" t="s">
        <v>20</v>
      </c>
      <c r="B16" s="1" t="s">
        <v>21</v>
      </c>
      <c r="C16">
        <v>1232</v>
      </c>
      <c r="D16">
        <v>589</v>
      </c>
      <c r="E16">
        <v>415524</v>
      </c>
      <c r="F16">
        <v>1082</v>
      </c>
      <c r="G16">
        <v>1897</v>
      </c>
      <c r="H16">
        <v>1632</v>
      </c>
      <c r="I16">
        <v>1657357</v>
      </c>
      <c r="J16">
        <v>1830</v>
      </c>
      <c r="K16">
        <v>1072</v>
      </c>
      <c r="L16">
        <v>1212</v>
      </c>
      <c r="M16">
        <v>734852</v>
      </c>
      <c r="N16">
        <v>1633</v>
      </c>
      <c r="O16">
        <v>1006</v>
      </c>
      <c r="P16">
        <v>935</v>
      </c>
      <c r="Q16">
        <v>511174</v>
      </c>
      <c r="R16">
        <v>1573</v>
      </c>
      <c r="S16">
        <v>3043</v>
      </c>
      <c r="T16">
        <v>2767</v>
      </c>
      <c r="U16">
        <v>875125</v>
      </c>
      <c r="V16">
        <v>3937</v>
      </c>
      <c r="W16">
        <v>3781</v>
      </c>
      <c r="X16">
        <v>3558</v>
      </c>
      <c r="Y16">
        <v>2596932</v>
      </c>
      <c r="Z16">
        <v>5091</v>
      </c>
      <c r="AA16">
        <v>3316</v>
      </c>
      <c r="AB16">
        <v>3317</v>
      </c>
      <c r="AC16">
        <v>2416486</v>
      </c>
      <c r="AD16">
        <v>4950</v>
      </c>
      <c r="AE16">
        <v>2324</v>
      </c>
      <c r="AF16">
        <v>2189</v>
      </c>
      <c r="AG16">
        <v>2018068</v>
      </c>
      <c r="AH16">
        <v>2550</v>
      </c>
      <c r="AI16">
        <v>8577</v>
      </c>
      <c r="AJ16">
        <v>9417</v>
      </c>
      <c r="AK16">
        <v>4701337</v>
      </c>
      <c r="AL16">
        <v>8943</v>
      </c>
      <c r="AM16">
        <v>8378</v>
      </c>
      <c r="AN16">
        <v>8972</v>
      </c>
      <c r="AO16">
        <v>7991222</v>
      </c>
      <c r="AP16">
        <v>11783</v>
      </c>
      <c r="AQ16">
        <v>361</v>
      </c>
      <c r="AR16">
        <v>388</v>
      </c>
      <c r="AS16">
        <v>379781</v>
      </c>
      <c r="AT16">
        <v>371</v>
      </c>
      <c r="AU16">
        <v>1112</v>
      </c>
      <c r="AV16">
        <v>1474</v>
      </c>
      <c r="AW16">
        <v>1490060</v>
      </c>
      <c r="AX16">
        <v>1006</v>
      </c>
      <c r="AY16">
        <v>5495</v>
      </c>
      <c r="AZ16">
        <v>5370</v>
      </c>
      <c r="BA16">
        <v>4614568</v>
      </c>
      <c r="BB16">
        <v>5168</v>
      </c>
      <c r="BC16">
        <v>17611</v>
      </c>
      <c r="BD16">
        <v>17143</v>
      </c>
      <c r="BE16">
        <v>6390601</v>
      </c>
      <c r="BF16">
        <v>15786</v>
      </c>
      <c r="BG16">
        <v>1433</v>
      </c>
      <c r="BH16">
        <v>2125</v>
      </c>
      <c r="BI16">
        <v>421257</v>
      </c>
      <c r="BJ16">
        <v>2024</v>
      </c>
      <c r="BK16">
        <v>13630</v>
      </c>
      <c r="BL16">
        <v>12377</v>
      </c>
      <c r="BM16">
        <v>5925713</v>
      </c>
      <c r="BN16">
        <v>8511</v>
      </c>
      <c r="BO16">
        <v>2810</v>
      </c>
      <c r="BP16">
        <v>3322</v>
      </c>
      <c r="BQ16">
        <v>2876167</v>
      </c>
      <c r="BR16">
        <v>6389</v>
      </c>
      <c r="BS16">
        <v>3179</v>
      </c>
      <c r="BT16">
        <v>3519</v>
      </c>
      <c r="BU16">
        <v>435733</v>
      </c>
      <c r="BV16">
        <v>2047</v>
      </c>
      <c r="BW16">
        <v>4814</v>
      </c>
      <c r="BX16">
        <v>7057</v>
      </c>
      <c r="BY16">
        <v>4797096</v>
      </c>
      <c r="BZ16">
        <v>5695</v>
      </c>
      <c r="CA16">
        <v>30447</v>
      </c>
      <c r="CB16">
        <v>32274</v>
      </c>
      <c r="CC16">
        <v>8185053</v>
      </c>
      <c r="CD16">
        <v>6323</v>
      </c>
      <c r="CE16">
        <v>4737</v>
      </c>
      <c r="CF16">
        <v>5018</v>
      </c>
      <c r="CG16">
        <v>3707949</v>
      </c>
      <c r="CH16">
        <v>5678</v>
      </c>
      <c r="CI16">
        <v>1534</v>
      </c>
      <c r="CJ16">
        <v>1504</v>
      </c>
      <c r="CK16">
        <v>1222079</v>
      </c>
      <c r="CL16">
        <v>1066</v>
      </c>
      <c r="CM16">
        <v>826</v>
      </c>
      <c r="CN16">
        <v>867</v>
      </c>
      <c r="CO16">
        <v>768396</v>
      </c>
      <c r="CP16">
        <v>785</v>
      </c>
      <c r="CQ16">
        <v>9864</v>
      </c>
      <c r="CR16">
        <v>11922</v>
      </c>
      <c r="CS16">
        <v>7128298</v>
      </c>
      <c r="CT16">
        <v>6507</v>
      </c>
      <c r="CU16">
        <v>2636</v>
      </c>
      <c r="CV16">
        <v>2876</v>
      </c>
      <c r="CW16">
        <v>7768179</v>
      </c>
      <c r="CX16">
        <v>3450</v>
      </c>
      <c r="CY16">
        <v>1588</v>
      </c>
      <c r="CZ16">
        <v>1512</v>
      </c>
      <c r="DA16">
        <v>877507</v>
      </c>
      <c r="DB16">
        <v>1817</v>
      </c>
      <c r="DC16">
        <v>5064</v>
      </c>
      <c r="DD16">
        <v>1537</v>
      </c>
      <c r="DE16">
        <v>664849</v>
      </c>
      <c r="DF16">
        <v>1948</v>
      </c>
    </row>
    <row r="17" spans="1:110" x14ac:dyDescent="0.4">
      <c r="A17" s="1" t="s">
        <v>22</v>
      </c>
      <c r="B17" s="1" t="s">
        <v>23</v>
      </c>
      <c r="C17">
        <v>1165</v>
      </c>
      <c r="D17">
        <v>649</v>
      </c>
      <c r="E17">
        <v>441505</v>
      </c>
      <c r="F17">
        <v>1040</v>
      </c>
      <c r="G17">
        <v>1806</v>
      </c>
      <c r="H17">
        <v>1937</v>
      </c>
      <c r="I17">
        <v>1824779</v>
      </c>
      <c r="J17">
        <v>1702</v>
      </c>
      <c r="K17">
        <v>1159</v>
      </c>
      <c r="L17">
        <v>1247</v>
      </c>
      <c r="M17">
        <v>791132</v>
      </c>
      <c r="N17">
        <v>1623</v>
      </c>
      <c r="O17">
        <v>982</v>
      </c>
      <c r="P17">
        <v>971</v>
      </c>
      <c r="Q17">
        <v>512691</v>
      </c>
      <c r="R17">
        <v>1537</v>
      </c>
      <c r="S17">
        <v>3015</v>
      </c>
      <c r="T17">
        <v>2726</v>
      </c>
      <c r="U17">
        <v>861255</v>
      </c>
      <c r="V17">
        <v>3885</v>
      </c>
      <c r="W17">
        <v>4207</v>
      </c>
      <c r="X17">
        <v>3946</v>
      </c>
      <c r="Y17">
        <v>2939304</v>
      </c>
      <c r="Z17">
        <v>5140</v>
      </c>
      <c r="AA17">
        <v>3606</v>
      </c>
      <c r="AB17">
        <v>3190</v>
      </c>
      <c r="AC17">
        <v>2335861</v>
      </c>
      <c r="AD17">
        <v>5041</v>
      </c>
      <c r="AE17">
        <v>2529</v>
      </c>
      <c r="AF17">
        <v>2333</v>
      </c>
      <c r="AG17">
        <v>2123938</v>
      </c>
      <c r="AH17">
        <v>2641</v>
      </c>
      <c r="AI17">
        <v>8751</v>
      </c>
      <c r="AJ17">
        <v>9358</v>
      </c>
      <c r="AK17">
        <v>4633250</v>
      </c>
      <c r="AL17">
        <v>8928</v>
      </c>
      <c r="AM17">
        <v>8524</v>
      </c>
      <c r="AN17">
        <v>8825</v>
      </c>
      <c r="AO17">
        <v>7818116</v>
      </c>
      <c r="AP17">
        <v>11903</v>
      </c>
      <c r="AQ17">
        <v>383</v>
      </c>
      <c r="AR17">
        <v>382</v>
      </c>
      <c r="AS17">
        <v>368624</v>
      </c>
      <c r="AT17">
        <v>397</v>
      </c>
      <c r="AU17">
        <v>1346</v>
      </c>
      <c r="AV17">
        <v>1419</v>
      </c>
      <c r="AW17">
        <v>1392998</v>
      </c>
      <c r="AX17">
        <v>1130</v>
      </c>
      <c r="AY17">
        <v>5367</v>
      </c>
      <c r="AZ17">
        <v>5263</v>
      </c>
      <c r="BA17">
        <v>4610529</v>
      </c>
      <c r="BB17">
        <v>5312</v>
      </c>
      <c r="BC17">
        <v>17566</v>
      </c>
      <c r="BD17">
        <v>16738</v>
      </c>
      <c r="BE17">
        <v>6230668</v>
      </c>
      <c r="BF17">
        <v>16088</v>
      </c>
      <c r="BG17">
        <v>1663</v>
      </c>
      <c r="BH17">
        <v>2033</v>
      </c>
      <c r="BI17">
        <v>402808</v>
      </c>
      <c r="BJ17">
        <v>2152</v>
      </c>
      <c r="BK17">
        <v>14192</v>
      </c>
      <c r="BL17">
        <v>12531</v>
      </c>
      <c r="BM17">
        <v>6046546</v>
      </c>
      <c r="BN17">
        <v>8606</v>
      </c>
      <c r="BO17">
        <v>2970</v>
      </c>
      <c r="BP17">
        <v>3533</v>
      </c>
      <c r="BQ17">
        <v>3070322</v>
      </c>
      <c r="BR17">
        <v>6527</v>
      </c>
      <c r="BS17">
        <v>3576</v>
      </c>
      <c r="BT17">
        <v>3737</v>
      </c>
      <c r="BU17">
        <v>447496</v>
      </c>
      <c r="BV17">
        <v>2067</v>
      </c>
      <c r="BW17">
        <v>4930</v>
      </c>
      <c r="BX17">
        <v>7177</v>
      </c>
      <c r="BY17">
        <v>4833166</v>
      </c>
      <c r="BZ17">
        <v>5800</v>
      </c>
      <c r="CA17">
        <v>30089</v>
      </c>
      <c r="CB17">
        <v>32266</v>
      </c>
      <c r="CC17">
        <v>8249697</v>
      </c>
      <c r="CD17">
        <v>6178</v>
      </c>
      <c r="CE17">
        <v>5097</v>
      </c>
      <c r="CF17">
        <v>5032</v>
      </c>
      <c r="CG17">
        <v>3729018</v>
      </c>
      <c r="CH17">
        <v>6127</v>
      </c>
      <c r="CI17">
        <v>1728</v>
      </c>
      <c r="CJ17">
        <v>1691</v>
      </c>
      <c r="CK17">
        <v>1362376</v>
      </c>
      <c r="CL17">
        <v>1119</v>
      </c>
      <c r="CM17">
        <v>700</v>
      </c>
      <c r="CN17">
        <v>898</v>
      </c>
      <c r="CO17">
        <v>826738</v>
      </c>
      <c r="CP17">
        <v>719</v>
      </c>
      <c r="CQ17">
        <v>10341</v>
      </c>
      <c r="CR17">
        <v>12179</v>
      </c>
      <c r="CS17">
        <v>7044526</v>
      </c>
      <c r="CT17">
        <v>6991</v>
      </c>
      <c r="CU17">
        <v>2813</v>
      </c>
      <c r="CV17">
        <v>2973</v>
      </c>
      <c r="CW17">
        <v>8022052</v>
      </c>
      <c r="CX17">
        <v>3586</v>
      </c>
      <c r="CY17">
        <v>1579</v>
      </c>
      <c r="CZ17">
        <v>1413</v>
      </c>
      <c r="DA17">
        <v>824365</v>
      </c>
      <c r="DB17">
        <v>1777</v>
      </c>
      <c r="DC17">
        <v>5329</v>
      </c>
      <c r="DD17">
        <v>1716</v>
      </c>
      <c r="DE17">
        <v>659299</v>
      </c>
      <c r="DF17">
        <v>1906</v>
      </c>
    </row>
    <row r="18" spans="1:110" x14ac:dyDescent="0.4">
      <c r="A18" s="1" t="s">
        <v>24</v>
      </c>
      <c r="B18" s="1" t="s">
        <v>25</v>
      </c>
      <c r="C18">
        <v>1325</v>
      </c>
      <c r="D18">
        <v>695</v>
      </c>
      <c r="E18">
        <v>491782</v>
      </c>
      <c r="F18">
        <v>1026</v>
      </c>
      <c r="G18">
        <v>2115</v>
      </c>
      <c r="H18">
        <v>2002</v>
      </c>
      <c r="I18">
        <v>2027277</v>
      </c>
      <c r="J18">
        <v>1819</v>
      </c>
      <c r="K18">
        <v>1335</v>
      </c>
      <c r="L18">
        <v>1388</v>
      </c>
      <c r="M18">
        <v>853953</v>
      </c>
      <c r="N18">
        <v>1671</v>
      </c>
      <c r="O18">
        <v>973</v>
      </c>
      <c r="P18">
        <v>939</v>
      </c>
      <c r="Q18">
        <v>491950</v>
      </c>
      <c r="R18">
        <v>1542</v>
      </c>
      <c r="S18">
        <v>3353</v>
      </c>
      <c r="T18">
        <v>2947</v>
      </c>
      <c r="U18">
        <v>953840</v>
      </c>
      <c r="V18">
        <v>3986</v>
      </c>
      <c r="W18">
        <v>4483</v>
      </c>
      <c r="X18">
        <v>4211</v>
      </c>
      <c r="Y18">
        <v>3160140</v>
      </c>
      <c r="Z18">
        <v>5023</v>
      </c>
      <c r="AA18">
        <v>3854</v>
      </c>
      <c r="AB18">
        <v>3425</v>
      </c>
      <c r="AC18">
        <v>2513598</v>
      </c>
      <c r="AD18">
        <v>5091</v>
      </c>
      <c r="AE18">
        <v>2669</v>
      </c>
      <c r="AF18">
        <v>2638</v>
      </c>
      <c r="AG18">
        <v>2447039</v>
      </c>
      <c r="AH18">
        <v>2562</v>
      </c>
      <c r="AI18">
        <v>9744</v>
      </c>
      <c r="AJ18">
        <v>10412</v>
      </c>
      <c r="AK18">
        <v>5199550</v>
      </c>
      <c r="AL18">
        <v>8861</v>
      </c>
      <c r="AM18">
        <v>9467</v>
      </c>
      <c r="AN18">
        <v>10002</v>
      </c>
      <c r="AO18">
        <v>8977469</v>
      </c>
      <c r="AP18">
        <v>11844</v>
      </c>
      <c r="AQ18">
        <v>383</v>
      </c>
      <c r="AR18">
        <v>477</v>
      </c>
      <c r="AS18">
        <v>485116</v>
      </c>
      <c r="AT18">
        <v>385</v>
      </c>
      <c r="AU18">
        <v>1341</v>
      </c>
      <c r="AV18">
        <v>1694</v>
      </c>
      <c r="AW18">
        <v>1835818</v>
      </c>
      <c r="AX18">
        <v>1022</v>
      </c>
      <c r="AY18">
        <v>5806</v>
      </c>
      <c r="AZ18">
        <v>5551</v>
      </c>
      <c r="BA18">
        <v>4838352</v>
      </c>
      <c r="BB18">
        <v>5490</v>
      </c>
      <c r="BC18">
        <v>19616</v>
      </c>
      <c r="BD18">
        <v>18910</v>
      </c>
      <c r="BE18">
        <v>6916939</v>
      </c>
      <c r="BF18">
        <v>16313</v>
      </c>
      <c r="BG18">
        <v>1668</v>
      </c>
      <c r="BH18">
        <v>1867</v>
      </c>
      <c r="BI18">
        <v>370656</v>
      </c>
      <c r="BJ18">
        <v>2431</v>
      </c>
      <c r="BK18">
        <v>15942</v>
      </c>
      <c r="BL18">
        <v>14043</v>
      </c>
      <c r="BM18">
        <v>6826224</v>
      </c>
      <c r="BN18">
        <v>8610</v>
      </c>
      <c r="BO18">
        <v>3156</v>
      </c>
      <c r="BP18">
        <v>3781</v>
      </c>
      <c r="BQ18">
        <v>3237736</v>
      </c>
      <c r="BR18">
        <v>6398</v>
      </c>
      <c r="BS18">
        <v>4194</v>
      </c>
      <c r="BT18">
        <v>4526</v>
      </c>
      <c r="BU18">
        <v>534807</v>
      </c>
      <c r="BV18">
        <v>1965</v>
      </c>
      <c r="BW18">
        <v>5469</v>
      </c>
      <c r="BX18">
        <v>8222</v>
      </c>
      <c r="BY18">
        <v>5425710</v>
      </c>
      <c r="BZ18">
        <v>6059</v>
      </c>
      <c r="CA18">
        <v>34480</v>
      </c>
      <c r="CB18">
        <v>36751</v>
      </c>
      <c r="CC18">
        <v>9315856</v>
      </c>
      <c r="CD18">
        <v>6160</v>
      </c>
      <c r="CE18">
        <v>4834</v>
      </c>
      <c r="CF18">
        <v>5494</v>
      </c>
      <c r="CG18">
        <v>4088108</v>
      </c>
      <c r="CH18">
        <v>6030</v>
      </c>
      <c r="CI18">
        <v>1713</v>
      </c>
      <c r="CJ18">
        <v>1766</v>
      </c>
      <c r="CK18">
        <v>1428372</v>
      </c>
      <c r="CL18">
        <v>1143</v>
      </c>
      <c r="CM18">
        <v>785</v>
      </c>
      <c r="CN18">
        <v>922</v>
      </c>
      <c r="CO18">
        <v>880109</v>
      </c>
      <c r="CP18">
        <v>733</v>
      </c>
      <c r="CQ18">
        <v>10711</v>
      </c>
      <c r="CR18">
        <v>13349</v>
      </c>
      <c r="CS18">
        <v>7918963</v>
      </c>
      <c r="CT18">
        <v>6957</v>
      </c>
      <c r="CU18">
        <v>2933</v>
      </c>
      <c r="CV18">
        <v>3391</v>
      </c>
      <c r="CW18">
        <v>9460119</v>
      </c>
      <c r="CX18">
        <v>3447</v>
      </c>
      <c r="CY18">
        <v>1624</v>
      </c>
      <c r="CZ18">
        <v>1491</v>
      </c>
      <c r="DA18">
        <v>870700</v>
      </c>
      <c r="DB18">
        <v>1749</v>
      </c>
      <c r="DC18">
        <v>5280</v>
      </c>
      <c r="DD18">
        <v>1797</v>
      </c>
      <c r="DE18">
        <v>737275</v>
      </c>
      <c r="DF18">
        <v>1933</v>
      </c>
    </row>
    <row r="19" spans="1:110" x14ac:dyDescent="0.4">
      <c r="A19" s="1" t="s">
        <v>26</v>
      </c>
      <c r="B19" s="1" t="s">
        <v>27</v>
      </c>
      <c r="C19">
        <v>1066</v>
      </c>
      <c r="D19">
        <v>562</v>
      </c>
      <c r="E19">
        <v>394651</v>
      </c>
      <c r="F19">
        <v>1044</v>
      </c>
      <c r="G19">
        <v>1430</v>
      </c>
      <c r="H19">
        <v>1626</v>
      </c>
      <c r="I19">
        <v>1602776</v>
      </c>
      <c r="J19">
        <v>1625</v>
      </c>
      <c r="K19">
        <v>1049</v>
      </c>
      <c r="L19">
        <v>1118</v>
      </c>
      <c r="M19">
        <v>679347</v>
      </c>
      <c r="N19">
        <v>1665</v>
      </c>
      <c r="O19">
        <v>820</v>
      </c>
      <c r="P19">
        <v>774</v>
      </c>
      <c r="Q19">
        <v>427210</v>
      </c>
      <c r="R19">
        <v>1543</v>
      </c>
      <c r="S19">
        <v>2421</v>
      </c>
      <c r="T19">
        <v>2523</v>
      </c>
      <c r="U19">
        <v>799850</v>
      </c>
      <c r="V19">
        <v>3909</v>
      </c>
      <c r="W19">
        <v>3585</v>
      </c>
      <c r="X19">
        <v>3472</v>
      </c>
      <c r="Y19">
        <v>2600703</v>
      </c>
      <c r="Z19">
        <v>4928</v>
      </c>
      <c r="AA19">
        <v>3021</v>
      </c>
      <c r="AB19">
        <v>2773</v>
      </c>
      <c r="AC19">
        <v>2028964</v>
      </c>
      <c r="AD19">
        <v>5006</v>
      </c>
      <c r="AE19">
        <v>2126</v>
      </c>
      <c r="AF19">
        <v>2134</v>
      </c>
      <c r="AG19">
        <v>1915687</v>
      </c>
      <c r="AH19">
        <v>2514</v>
      </c>
      <c r="AI19">
        <v>7934</v>
      </c>
      <c r="AJ19">
        <v>8704</v>
      </c>
      <c r="AK19">
        <v>4547426</v>
      </c>
      <c r="AL19">
        <v>8666</v>
      </c>
      <c r="AM19">
        <v>7327</v>
      </c>
      <c r="AN19">
        <v>8192</v>
      </c>
      <c r="AO19">
        <v>7279950</v>
      </c>
      <c r="AP19">
        <v>11578</v>
      </c>
      <c r="AQ19">
        <v>308</v>
      </c>
      <c r="AR19">
        <v>371</v>
      </c>
      <c r="AS19">
        <v>371919</v>
      </c>
      <c r="AT19">
        <v>372</v>
      </c>
      <c r="AU19">
        <v>1140</v>
      </c>
      <c r="AV19">
        <v>1298</v>
      </c>
      <c r="AW19">
        <v>1211680</v>
      </c>
      <c r="AX19">
        <v>1024</v>
      </c>
      <c r="AY19">
        <v>4592</v>
      </c>
      <c r="AZ19">
        <v>4606</v>
      </c>
      <c r="BA19">
        <v>4104853</v>
      </c>
      <c r="BB19">
        <v>5359</v>
      </c>
      <c r="BC19">
        <v>15826</v>
      </c>
      <c r="BD19">
        <v>15436</v>
      </c>
      <c r="BE19">
        <v>5610609</v>
      </c>
      <c r="BF19">
        <v>16398</v>
      </c>
      <c r="BG19">
        <v>1175</v>
      </c>
      <c r="BH19">
        <v>1540</v>
      </c>
      <c r="BI19">
        <v>297463</v>
      </c>
      <c r="BJ19">
        <v>2488</v>
      </c>
      <c r="BK19">
        <v>11870</v>
      </c>
      <c r="BL19">
        <v>10612</v>
      </c>
      <c r="BM19">
        <v>5235807</v>
      </c>
      <c r="BN19">
        <v>8652</v>
      </c>
      <c r="BO19">
        <v>2419</v>
      </c>
      <c r="BP19">
        <v>2983</v>
      </c>
      <c r="BQ19">
        <v>2526451</v>
      </c>
      <c r="BR19">
        <v>6227</v>
      </c>
      <c r="BS19">
        <v>3427</v>
      </c>
      <c r="BT19">
        <v>3710</v>
      </c>
      <c r="BU19">
        <v>446201</v>
      </c>
      <c r="BV19">
        <v>1884</v>
      </c>
      <c r="BW19">
        <v>4242</v>
      </c>
      <c r="BX19">
        <v>6698</v>
      </c>
      <c r="BY19">
        <v>4562169</v>
      </c>
      <c r="BZ19">
        <v>5802</v>
      </c>
      <c r="CA19">
        <v>27709</v>
      </c>
      <c r="CB19">
        <v>29711</v>
      </c>
      <c r="CC19">
        <v>7857081</v>
      </c>
      <c r="CD19">
        <v>6152</v>
      </c>
      <c r="CE19">
        <v>4375</v>
      </c>
      <c r="CF19">
        <v>5070</v>
      </c>
      <c r="CG19">
        <v>3708545</v>
      </c>
      <c r="CH19">
        <v>5732</v>
      </c>
      <c r="CI19">
        <v>1528</v>
      </c>
      <c r="CJ19">
        <v>1535</v>
      </c>
      <c r="CK19">
        <v>1246656</v>
      </c>
      <c r="CL19">
        <v>1151</v>
      </c>
      <c r="CM19">
        <v>618</v>
      </c>
      <c r="CN19">
        <v>793</v>
      </c>
      <c r="CO19">
        <v>706904</v>
      </c>
      <c r="CP19">
        <v>704</v>
      </c>
      <c r="CQ19">
        <v>8771</v>
      </c>
      <c r="CR19">
        <v>11321</v>
      </c>
      <c r="CS19">
        <v>6667729</v>
      </c>
      <c r="CT19">
        <v>6747</v>
      </c>
      <c r="CU19">
        <v>2199</v>
      </c>
      <c r="CV19">
        <v>2642</v>
      </c>
      <c r="CW19">
        <v>7165453</v>
      </c>
      <c r="CX19">
        <v>3304</v>
      </c>
      <c r="CY19">
        <v>1458</v>
      </c>
      <c r="CZ19">
        <v>1440</v>
      </c>
      <c r="DA19">
        <v>830755</v>
      </c>
      <c r="DB19">
        <v>1656</v>
      </c>
      <c r="DC19">
        <v>4611</v>
      </c>
      <c r="DD19">
        <v>1478</v>
      </c>
      <c r="DE19">
        <v>624693</v>
      </c>
      <c r="DF19">
        <v>1867</v>
      </c>
    </row>
    <row r="20" spans="1:110" x14ac:dyDescent="0.4">
      <c r="A20" s="1" t="s">
        <v>28</v>
      </c>
      <c r="B20" s="1" t="s">
        <v>29</v>
      </c>
      <c r="C20">
        <v>1223</v>
      </c>
      <c r="D20">
        <v>637</v>
      </c>
      <c r="E20">
        <v>450691</v>
      </c>
      <c r="F20">
        <v>1041</v>
      </c>
      <c r="G20">
        <v>1902</v>
      </c>
      <c r="H20">
        <v>1810</v>
      </c>
      <c r="I20">
        <v>1973757</v>
      </c>
      <c r="J20">
        <v>1722</v>
      </c>
      <c r="K20">
        <v>1190</v>
      </c>
      <c r="L20">
        <v>1324</v>
      </c>
      <c r="M20">
        <v>827543</v>
      </c>
      <c r="N20">
        <v>1654</v>
      </c>
      <c r="O20">
        <v>935</v>
      </c>
      <c r="P20">
        <v>891</v>
      </c>
      <c r="Q20">
        <v>496669</v>
      </c>
      <c r="R20">
        <v>1528</v>
      </c>
      <c r="S20">
        <v>2913</v>
      </c>
      <c r="T20">
        <v>2866</v>
      </c>
      <c r="U20">
        <v>924195</v>
      </c>
      <c r="V20">
        <v>3740</v>
      </c>
      <c r="W20">
        <v>4269</v>
      </c>
      <c r="X20">
        <v>3941</v>
      </c>
      <c r="Y20">
        <v>2945962</v>
      </c>
      <c r="Z20">
        <v>4966</v>
      </c>
      <c r="AA20">
        <v>3582</v>
      </c>
      <c r="AB20">
        <v>3236</v>
      </c>
      <c r="AC20">
        <v>2419006</v>
      </c>
      <c r="AD20">
        <v>4998</v>
      </c>
      <c r="AE20">
        <v>2580</v>
      </c>
      <c r="AF20">
        <v>2480</v>
      </c>
      <c r="AG20">
        <v>2297333</v>
      </c>
      <c r="AH20">
        <v>2535</v>
      </c>
      <c r="AI20">
        <v>8592</v>
      </c>
      <c r="AJ20">
        <v>9589</v>
      </c>
      <c r="AK20">
        <v>4903641</v>
      </c>
      <c r="AL20">
        <v>8237</v>
      </c>
      <c r="AM20">
        <v>8926</v>
      </c>
      <c r="AN20">
        <v>9737</v>
      </c>
      <c r="AO20">
        <v>8553677</v>
      </c>
      <c r="AP20">
        <v>11243</v>
      </c>
      <c r="AQ20">
        <v>362</v>
      </c>
      <c r="AR20">
        <v>490</v>
      </c>
      <c r="AS20">
        <v>495654</v>
      </c>
      <c r="AT20">
        <v>349</v>
      </c>
      <c r="AU20">
        <v>1179</v>
      </c>
      <c r="AV20">
        <v>1372</v>
      </c>
      <c r="AW20">
        <v>1381256</v>
      </c>
      <c r="AX20">
        <v>1040</v>
      </c>
      <c r="AY20">
        <v>5365</v>
      </c>
      <c r="AZ20">
        <v>5493</v>
      </c>
      <c r="BA20">
        <v>4813007</v>
      </c>
      <c r="BB20">
        <v>5257</v>
      </c>
      <c r="BC20">
        <v>18097</v>
      </c>
      <c r="BD20">
        <v>17945</v>
      </c>
      <c r="BE20">
        <v>6544448</v>
      </c>
      <c r="BF20">
        <v>16047</v>
      </c>
      <c r="BG20">
        <v>1215</v>
      </c>
      <c r="BH20">
        <v>1944</v>
      </c>
      <c r="BI20">
        <v>377726</v>
      </c>
      <c r="BJ20">
        <v>2261</v>
      </c>
      <c r="BK20">
        <v>14363</v>
      </c>
      <c r="BL20">
        <v>12875</v>
      </c>
      <c r="BM20">
        <v>6328674</v>
      </c>
      <c r="BN20">
        <v>8515</v>
      </c>
      <c r="BO20">
        <v>3082</v>
      </c>
      <c r="BP20">
        <v>3655</v>
      </c>
      <c r="BQ20">
        <v>3123873</v>
      </c>
      <c r="BR20">
        <v>6022</v>
      </c>
      <c r="BS20">
        <v>4006</v>
      </c>
      <c r="BT20">
        <v>4489</v>
      </c>
      <c r="BU20">
        <v>552218</v>
      </c>
      <c r="BV20">
        <v>1787</v>
      </c>
      <c r="BW20">
        <v>5249</v>
      </c>
      <c r="BX20">
        <v>7796</v>
      </c>
      <c r="BY20">
        <v>5205342</v>
      </c>
      <c r="BZ20">
        <v>5778</v>
      </c>
      <c r="CA20">
        <v>31426</v>
      </c>
      <c r="CB20">
        <v>33885</v>
      </c>
      <c r="CC20">
        <v>8784916</v>
      </c>
      <c r="CD20">
        <v>5927</v>
      </c>
      <c r="CE20">
        <v>4896</v>
      </c>
      <c r="CF20">
        <v>5401</v>
      </c>
      <c r="CG20">
        <v>3951182</v>
      </c>
      <c r="CH20">
        <v>5801</v>
      </c>
      <c r="CI20">
        <v>1526</v>
      </c>
      <c r="CJ20">
        <v>1554</v>
      </c>
      <c r="CK20">
        <v>1255264</v>
      </c>
      <c r="CL20">
        <v>1141</v>
      </c>
      <c r="CM20">
        <v>667</v>
      </c>
      <c r="CN20">
        <v>771</v>
      </c>
      <c r="CO20">
        <v>699900</v>
      </c>
      <c r="CP20">
        <v>773</v>
      </c>
      <c r="CQ20">
        <v>9839</v>
      </c>
      <c r="CR20">
        <v>12343</v>
      </c>
      <c r="CS20">
        <v>7234058</v>
      </c>
      <c r="CT20">
        <v>6679</v>
      </c>
      <c r="CU20">
        <v>2685</v>
      </c>
      <c r="CV20">
        <v>3115</v>
      </c>
      <c r="CW20">
        <v>8164515</v>
      </c>
      <c r="CX20">
        <v>3216</v>
      </c>
      <c r="CY20">
        <v>1664</v>
      </c>
      <c r="CZ20">
        <v>1609</v>
      </c>
      <c r="DA20">
        <v>943920</v>
      </c>
      <c r="DB20">
        <v>1559</v>
      </c>
      <c r="DC20">
        <v>5233</v>
      </c>
      <c r="DD20">
        <v>1763</v>
      </c>
      <c r="DE20">
        <v>670144</v>
      </c>
      <c r="DF20">
        <v>1725</v>
      </c>
    </row>
    <row r="21" spans="1:110" x14ac:dyDescent="0.4">
      <c r="A21" s="1" t="s">
        <v>30</v>
      </c>
      <c r="B21" s="1" t="s">
        <v>31</v>
      </c>
      <c r="C21">
        <v>1348</v>
      </c>
      <c r="D21">
        <v>684</v>
      </c>
      <c r="E21">
        <v>496357</v>
      </c>
      <c r="F21">
        <v>1143</v>
      </c>
      <c r="G21">
        <v>2069</v>
      </c>
      <c r="H21">
        <v>2000</v>
      </c>
      <c r="I21">
        <v>2081843</v>
      </c>
      <c r="J21">
        <v>1792</v>
      </c>
      <c r="K21">
        <v>1269</v>
      </c>
      <c r="L21">
        <v>1353</v>
      </c>
      <c r="M21">
        <v>861424</v>
      </c>
      <c r="N21">
        <v>1656</v>
      </c>
      <c r="O21">
        <v>899</v>
      </c>
      <c r="P21">
        <v>946</v>
      </c>
      <c r="Q21">
        <v>526461</v>
      </c>
      <c r="R21">
        <v>1389</v>
      </c>
      <c r="S21">
        <v>3227</v>
      </c>
      <c r="T21">
        <v>3056</v>
      </c>
      <c r="U21">
        <v>969478</v>
      </c>
      <c r="V21">
        <v>3696</v>
      </c>
      <c r="W21">
        <v>4640</v>
      </c>
      <c r="X21">
        <v>4172</v>
      </c>
      <c r="Y21">
        <v>3127257</v>
      </c>
      <c r="Z21">
        <v>5006</v>
      </c>
      <c r="AA21">
        <v>3850</v>
      </c>
      <c r="AB21">
        <v>3527</v>
      </c>
      <c r="AC21">
        <v>2648928</v>
      </c>
      <c r="AD21">
        <v>5026</v>
      </c>
      <c r="AE21">
        <v>2767</v>
      </c>
      <c r="AF21">
        <v>2660</v>
      </c>
      <c r="AG21">
        <v>2465364</v>
      </c>
      <c r="AH21">
        <v>2546</v>
      </c>
      <c r="AI21">
        <v>10172</v>
      </c>
      <c r="AJ21">
        <v>11039</v>
      </c>
      <c r="AK21">
        <v>5501033</v>
      </c>
      <c r="AL21">
        <v>8097</v>
      </c>
      <c r="AM21">
        <v>9813</v>
      </c>
      <c r="AN21">
        <v>10552</v>
      </c>
      <c r="AO21">
        <v>9329876</v>
      </c>
      <c r="AP21">
        <v>11044</v>
      </c>
      <c r="AQ21">
        <v>434</v>
      </c>
      <c r="AR21">
        <v>505</v>
      </c>
      <c r="AS21">
        <v>513197</v>
      </c>
      <c r="AT21">
        <v>378</v>
      </c>
      <c r="AU21">
        <v>1214</v>
      </c>
      <c r="AV21">
        <v>1407</v>
      </c>
      <c r="AW21">
        <v>1516558</v>
      </c>
      <c r="AX21">
        <v>1027</v>
      </c>
      <c r="AY21">
        <v>5850</v>
      </c>
      <c r="AZ21">
        <v>5791</v>
      </c>
      <c r="BA21">
        <v>5056943</v>
      </c>
      <c r="BB21">
        <v>5274</v>
      </c>
      <c r="BC21">
        <v>21209</v>
      </c>
      <c r="BD21">
        <v>20501</v>
      </c>
      <c r="BE21">
        <v>7379289</v>
      </c>
      <c r="BF21">
        <v>16218</v>
      </c>
      <c r="BG21">
        <v>1422</v>
      </c>
      <c r="BH21">
        <v>2399</v>
      </c>
      <c r="BI21">
        <v>459044</v>
      </c>
      <c r="BJ21">
        <v>1837</v>
      </c>
      <c r="BK21">
        <v>16381</v>
      </c>
      <c r="BL21">
        <v>14546</v>
      </c>
      <c r="BM21">
        <v>7162875</v>
      </c>
      <c r="BN21">
        <v>8288</v>
      </c>
      <c r="BO21">
        <v>3493</v>
      </c>
      <c r="BP21">
        <v>4145</v>
      </c>
      <c r="BQ21">
        <v>3565796</v>
      </c>
      <c r="BR21">
        <v>5953</v>
      </c>
      <c r="BS21">
        <v>4778</v>
      </c>
      <c r="BT21">
        <v>4657</v>
      </c>
      <c r="BU21">
        <v>562048</v>
      </c>
      <c r="BV21">
        <v>2183</v>
      </c>
      <c r="BW21">
        <v>5676</v>
      </c>
      <c r="BX21">
        <v>8582</v>
      </c>
      <c r="BY21">
        <v>5865440</v>
      </c>
      <c r="BZ21">
        <v>5989</v>
      </c>
      <c r="CA21">
        <v>34626</v>
      </c>
      <c r="CB21">
        <v>36302</v>
      </c>
      <c r="CC21">
        <v>9364631</v>
      </c>
      <c r="CD21">
        <v>6547</v>
      </c>
      <c r="CE21">
        <v>5672</v>
      </c>
      <c r="CF21">
        <v>6386</v>
      </c>
      <c r="CG21">
        <v>4720630</v>
      </c>
      <c r="CH21">
        <v>5998</v>
      </c>
      <c r="CI21">
        <v>1724</v>
      </c>
      <c r="CJ21">
        <v>1645</v>
      </c>
      <c r="CK21">
        <v>1330357</v>
      </c>
      <c r="CL21">
        <v>1279</v>
      </c>
      <c r="CM21">
        <v>623</v>
      </c>
      <c r="CN21">
        <v>842</v>
      </c>
      <c r="CO21">
        <v>802114</v>
      </c>
      <c r="CP21">
        <v>725</v>
      </c>
      <c r="CQ21">
        <v>10569</v>
      </c>
      <c r="CR21">
        <v>13035</v>
      </c>
      <c r="CS21">
        <v>7746653</v>
      </c>
      <c r="CT21">
        <v>6709</v>
      </c>
      <c r="CU21">
        <v>3029</v>
      </c>
      <c r="CV21">
        <v>3305</v>
      </c>
      <c r="CW21">
        <v>8430838</v>
      </c>
      <c r="CX21">
        <v>3320</v>
      </c>
      <c r="CY21">
        <v>1691</v>
      </c>
      <c r="CZ21">
        <v>1541</v>
      </c>
      <c r="DA21">
        <v>893402</v>
      </c>
      <c r="DB21">
        <v>1708</v>
      </c>
      <c r="DC21">
        <v>6111</v>
      </c>
      <c r="DD21">
        <v>1828</v>
      </c>
      <c r="DE21">
        <v>777263</v>
      </c>
      <c r="DF21">
        <v>1831</v>
      </c>
    </row>
    <row r="22" spans="1:110" x14ac:dyDescent="0.4">
      <c r="A22" s="1" t="s">
        <v>32</v>
      </c>
      <c r="B22" s="1" t="s">
        <v>33</v>
      </c>
      <c r="C22">
        <v>1154</v>
      </c>
      <c r="D22">
        <v>609</v>
      </c>
      <c r="E22">
        <v>438346</v>
      </c>
      <c r="F22">
        <v>1108</v>
      </c>
      <c r="G22">
        <v>1772</v>
      </c>
      <c r="H22">
        <v>1792</v>
      </c>
      <c r="I22">
        <v>1802797</v>
      </c>
      <c r="J22">
        <v>1770</v>
      </c>
      <c r="K22">
        <v>1261</v>
      </c>
      <c r="L22">
        <v>1283</v>
      </c>
      <c r="M22">
        <v>838010</v>
      </c>
      <c r="N22">
        <v>1796</v>
      </c>
      <c r="O22">
        <v>705</v>
      </c>
      <c r="P22">
        <v>779</v>
      </c>
      <c r="Q22">
        <v>427290</v>
      </c>
      <c r="R22">
        <v>1282</v>
      </c>
      <c r="S22">
        <v>3031</v>
      </c>
      <c r="T22">
        <v>2661</v>
      </c>
      <c r="U22">
        <v>848483</v>
      </c>
      <c r="V22">
        <v>3867</v>
      </c>
      <c r="W22">
        <v>4131</v>
      </c>
      <c r="X22">
        <v>3800</v>
      </c>
      <c r="Y22">
        <v>2853663</v>
      </c>
      <c r="Z22">
        <v>5092</v>
      </c>
      <c r="AA22">
        <v>3526</v>
      </c>
      <c r="AB22">
        <v>3092</v>
      </c>
      <c r="AC22">
        <v>2308384</v>
      </c>
      <c r="AD22">
        <v>5153</v>
      </c>
      <c r="AE22">
        <v>2606</v>
      </c>
      <c r="AF22">
        <v>2367</v>
      </c>
      <c r="AG22">
        <v>2196058</v>
      </c>
      <c r="AH22">
        <v>2629</v>
      </c>
      <c r="AI22">
        <v>9789</v>
      </c>
      <c r="AJ22">
        <v>10110</v>
      </c>
      <c r="AK22">
        <v>5125527</v>
      </c>
      <c r="AL22">
        <v>8206</v>
      </c>
      <c r="AM22">
        <v>9409</v>
      </c>
      <c r="AN22">
        <v>10093</v>
      </c>
      <c r="AO22">
        <v>8826853</v>
      </c>
      <c r="AP22">
        <v>11088</v>
      </c>
      <c r="AQ22">
        <v>402</v>
      </c>
      <c r="AR22">
        <v>498</v>
      </c>
      <c r="AS22">
        <v>504602</v>
      </c>
      <c r="AT22">
        <v>378</v>
      </c>
      <c r="AU22">
        <v>1139</v>
      </c>
      <c r="AV22">
        <v>1396</v>
      </c>
      <c r="AW22">
        <v>1350432</v>
      </c>
      <c r="AX22">
        <v>958</v>
      </c>
      <c r="AY22">
        <v>5448</v>
      </c>
      <c r="AZ22">
        <v>5428</v>
      </c>
      <c r="BA22">
        <v>4836023</v>
      </c>
      <c r="BB22">
        <v>5441</v>
      </c>
      <c r="BC22">
        <v>19897</v>
      </c>
      <c r="BD22">
        <v>19849</v>
      </c>
      <c r="BE22">
        <v>7208551</v>
      </c>
      <c r="BF22">
        <v>15832</v>
      </c>
      <c r="BG22">
        <v>1530</v>
      </c>
      <c r="BH22">
        <v>2106</v>
      </c>
      <c r="BI22">
        <v>406316</v>
      </c>
      <c r="BJ22">
        <v>1962</v>
      </c>
      <c r="BK22">
        <v>15178</v>
      </c>
      <c r="BL22">
        <v>12979</v>
      </c>
      <c r="BM22">
        <v>6511618</v>
      </c>
      <c r="BN22">
        <v>8625</v>
      </c>
      <c r="BO22">
        <v>3376</v>
      </c>
      <c r="BP22">
        <v>3781</v>
      </c>
      <c r="BQ22">
        <v>3224052</v>
      </c>
      <c r="BR22">
        <v>5990</v>
      </c>
      <c r="BS22">
        <v>4546</v>
      </c>
      <c r="BT22">
        <v>4983</v>
      </c>
      <c r="BU22">
        <v>608869</v>
      </c>
      <c r="BV22">
        <v>1935</v>
      </c>
      <c r="BW22">
        <v>5469</v>
      </c>
      <c r="BX22">
        <v>8292</v>
      </c>
      <c r="BY22">
        <v>5718388</v>
      </c>
      <c r="BZ22">
        <v>6019</v>
      </c>
      <c r="CA22">
        <v>32429</v>
      </c>
      <c r="CB22">
        <v>33984</v>
      </c>
      <c r="CC22">
        <v>8893391</v>
      </c>
      <c r="CD22">
        <v>6656</v>
      </c>
      <c r="CE22">
        <v>5384</v>
      </c>
      <c r="CF22">
        <v>6075</v>
      </c>
      <c r="CG22">
        <v>4415135</v>
      </c>
      <c r="CH22">
        <v>5945</v>
      </c>
      <c r="CI22">
        <v>1588</v>
      </c>
      <c r="CJ22">
        <v>1656</v>
      </c>
      <c r="CK22">
        <v>1342974</v>
      </c>
      <c r="CL22">
        <v>1196</v>
      </c>
      <c r="CM22">
        <v>708</v>
      </c>
      <c r="CN22">
        <v>837</v>
      </c>
      <c r="CO22">
        <v>782214</v>
      </c>
      <c r="CP22">
        <v>818</v>
      </c>
      <c r="CQ22">
        <v>10115</v>
      </c>
      <c r="CR22">
        <v>12712</v>
      </c>
      <c r="CS22">
        <v>7435353</v>
      </c>
      <c r="CT22">
        <v>6523</v>
      </c>
      <c r="CU22">
        <v>2817</v>
      </c>
      <c r="CV22">
        <v>3174</v>
      </c>
      <c r="CW22">
        <v>8235228</v>
      </c>
      <c r="CX22">
        <v>3369</v>
      </c>
      <c r="CY22">
        <v>1783</v>
      </c>
      <c r="CZ22">
        <v>1655</v>
      </c>
      <c r="DA22">
        <v>974310</v>
      </c>
      <c r="DB22">
        <v>1661</v>
      </c>
      <c r="DC22">
        <v>5642</v>
      </c>
      <c r="DD22">
        <v>1740</v>
      </c>
      <c r="DE22">
        <v>718800</v>
      </c>
      <c r="DF22">
        <v>1766</v>
      </c>
    </row>
    <row r="23" spans="1:110" x14ac:dyDescent="0.4">
      <c r="A23" s="1" t="s">
        <v>34</v>
      </c>
      <c r="B23" s="1" t="s">
        <v>35</v>
      </c>
      <c r="C23">
        <v>1231</v>
      </c>
      <c r="D23">
        <v>589</v>
      </c>
      <c r="E23">
        <v>413752</v>
      </c>
      <c r="F23">
        <v>1173</v>
      </c>
      <c r="G23">
        <v>1661</v>
      </c>
      <c r="H23">
        <v>1714</v>
      </c>
      <c r="I23">
        <v>1748958</v>
      </c>
      <c r="J23">
        <v>1718</v>
      </c>
      <c r="K23">
        <v>1197</v>
      </c>
      <c r="L23">
        <v>1212</v>
      </c>
      <c r="M23">
        <v>800826</v>
      </c>
      <c r="N23">
        <v>1912</v>
      </c>
      <c r="O23">
        <v>856</v>
      </c>
      <c r="P23">
        <v>708</v>
      </c>
      <c r="Q23">
        <v>386932</v>
      </c>
      <c r="R23">
        <v>1360</v>
      </c>
      <c r="S23">
        <v>2871</v>
      </c>
      <c r="T23">
        <v>2434</v>
      </c>
      <c r="U23">
        <v>774683</v>
      </c>
      <c r="V23">
        <v>4216</v>
      </c>
      <c r="W23">
        <v>4048</v>
      </c>
      <c r="X23">
        <v>3622</v>
      </c>
      <c r="Y23">
        <v>2766358</v>
      </c>
      <c r="Z23">
        <v>5282</v>
      </c>
      <c r="AA23">
        <v>3194</v>
      </c>
      <c r="AB23">
        <v>2818</v>
      </c>
      <c r="AC23">
        <v>2144164</v>
      </c>
      <c r="AD23">
        <v>5257</v>
      </c>
      <c r="AE23">
        <v>2391</v>
      </c>
      <c r="AF23">
        <v>2269</v>
      </c>
      <c r="AG23">
        <v>2122079</v>
      </c>
      <c r="AH23">
        <v>2668</v>
      </c>
      <c r="AI23">
        <v>9242</v>
      </c>
      <c r="AJ23">
        <v>9314</v>
      </c>
      <c r="AK23">
        <v>4821102</v>
      </c>
      <c r="AL23">
        <v>8854</v>
      </c>
      <c r="AM23">
        <v>8379</v>
      </c>
      <c r="AN23">
        <v>8663</v>
      </c>
      <c r="AO23">
        <v>7761433</v>
      </c>
      <c r="AP23">
        <v>11367</v>
      </c>
      <c r="AQ23">
        <v>372</v>
      </c>
      <c r="AR23">
        <v>450</v>
      </c>
      <c r="AS23">
        <v>470174</v>
      </c>
      <c r="AT23">
        <v>376</v>
      </c>
      <c r="AU23">
        <v>995</v>
      </c>
      <c r="AV23">
        <v>1086</v>
      </c>
      <c r="AW23">
        <v>1086798</v>
      </c>
      <c r="AX23">
        <v>1056</v>
      </c>
      <c r="AY23">
        <v>5013</v>
      </c>
      <c r="AZ23">
        <v>4817</v>
      </c>
      <c r="BA23">
        <v>4303846</v>
      </c>
      <c r="BB23">
        <v>5528</v>
      </c>
      <c r="BC23">
        <v>18156</v>
      </c>
      <c r="BD23">
        <v>17155</v>
      </c>
      <c r="BE23">
        <v>6099230</v>
      </c>
      <c r="BF23">
        <v>16256</v>
      </c>
      <c r="BG23">
        <v>1299</v>
      </c>
      <c r="BH23">
        <v>1592</v>
      </c>
      <c r="BI23">
        <v>316633</v>
      </c>
      <c r="BJ23">
        <v>2152</v>
      </c>
      <c r="BK23">
        <v>14035</v>
      </c>
      <c r="BL23">
        <v>12190</v>
      </c>
      <c r="BM23">
        <v>6135345</v>
      </c>
      <c r="BN23">
        <v>8795</v>
      </c>
      <c r="BO23">
        <v>3307</v>
      </c>
      <c r="BP23">
        <v>3888</v>
      </c>
      <c r="BQ23">
        <v>3266284</v>
      </c>
      <c r="BR23">
        <v>5912</v>
      </c>
      <c r="BS23">
        <v>4952</v>
      </c>
      <c r="BT23">
        <v>5008</v>
      </c>
      <c r="BU23">
        <v>614700</v>
      </c>
      <c r="BV23">
        <v>2042</v>
      </c>
      <c r="BW23">
        <v>4976</v>
      </c>
      <c r="BX23">
        <v>7760</v>
      </c>
      <c r="BY23">
        <v>5210519</v>
      </c>
      <c r="BZ23">
        <v>6171</v>
      </c>
      <c r="CA23">
        <v>30386</v>
      </c>
      <c r="CB23">
        <v>32398</v>
      </c>
      <c r="CC23">
        <v>8515675</v>
      </c>
      <c r="CD23">
        <v>6514</v>
      </c>
      <c r="CE23">
        <v>5572</v>
      </c>
      <c r="CF23">
        <v>6658</v>
      </c>
      <c r="CG23">
        <v>4824680</v>
      </c>
      <c r="CH23">
        <v>5488</v>
      </c>
      <c r="CI23">
        <v>1669</v>
      </c>
      <c r="CJ23">
        <v>1645</v>
      </c>
      <c r="CK23">
        <v>1338077</v>
      </c>
      <c r="CL23">
        <v>1141</v>
      </c>
      <c r="CM23">
        <v>715</v>
      </c>
      <c r="CN23">
        <v>850</v>
      </c>
      <c r="CO23">
        <v>781505</v>
      </c>
      <c r="CP23">
        <v>857</v>
      </c>
      <c r="CQ23">
        <v>10017</v>
      </c>
      <c r="CR23">
        <v>12061</v>
      </c>
      <c r="CS23">
        <v>7091080</v>
      </c>
      <c r="CT23">
        <v>6991</v>
      </c>
      <c r="CU23">
        <v>2756</v>
      </c>
      <c r="CV23">
        <v>3166</v>
      </c>
      <c r="CW23">
        <v>8662467</v>
      </c>
      <c r="CX23">
        <v>3299</v>
      </c>
      <c r="CY23">
        <v>1993</v>
      </c>
      <c r="CZ23">
        <v>1865</v>
      </c>
      <c r="DA23">
        <v>1101674</v>
      </c>
      <c r="DB23">
        <v>1573</v>
      </c>
      <c r="DC23">
        <v>5287</v>
      </c>
      <c r="DD23">
        <v>1604</v>
      </c>
      <c r="DE23">
        <v>681416</v>
      </c>
      <c r="DF23">
        <v>1633</v>
      </c>
    </row>
    <row r="24" spans="1:110" x14ac:dyDescent="0.4">
      <c r="A24" s="1" t="s">
        <v>36</v>
      </c>
      <c r="B24" s="1" t="s">
        <v>37</v>
      </c>
      <c r="C24">
        <v>1111</v>
      </c>
      <c r="D24">
        <v>565</v>
      </c>
      <c r="E24">
        <v>389421</v>
      </c>
      <c r="F24">
        <v>1174</v>
      </c>
      <c r="G24">
        <v>1713</v>
      </c>
      <c r="H24">
        <v>1741</v>
      </c>
      <c r="I24">
        <v>1752939</v>
      </c>
      <c r="J24">
        <v>1670</v>
      </c>
      <c r="K24">
        <v>1002</v>
      </c>
      <c r="L24">
        <v>1098</v>
      </c>
      <c r="M24">
        <v>727987</v>
      </c>
      <c r="N24">
        <v>1936</v>
      </c>
      <c r="O24">
        <v>883</v>
      </c>
      <c r="P24">
        <v>675</v>
      </c>
      <c r="Q24">
        <v>367163</v>
      </c>
      <c r="R24">
        <v>1479</v>
      </c>
      <c r="S24">
        <v>2409</v>
      </c>
      <c r="T24">
        <v>2229</v>
      </c>
      <c r="U24">
        <v>713265</v>
      </c>
      <c r="V24">
        <v>4226</v>
      </c>
      <c r="W24">
        <v>3760</v>
      </c>
      <c r="X24">
        <v>3537</v>
      </c>
      <c r="Y24">
        <v>2725692</v>
      </c>
      <c r="Z24">
        <v>5200</v>
      </c>
      <c r="AA24">
        <v>3227</v>
      </c>
      <c r="AB24">
        <v>2589</v>
      </c>
      <c r="AC24">
        <v>1997122</v>
      </c>
      <c r="AD24">
        <v>5552</v>
      </c>
      <c r="AE24">
        <v>2329</v>
      </c>
      <c r="AF24">
        <v>2292</v>
      </c>
      <c r="AG24">
        <v>2105890</v>
      </c>
      <c r="AH24">
        <v>2566</v>
      </c>
      <c r="AI24">
        <v>8525</v>
      </c>
      <c r="AJ24">
        <v>9041</v>
      </c>
      <c r="AK24">
        <v>4601615</v>
      </c>
      <c r="AL24">
        <v>8829</v>
      </c>
      <c r="AM24">
        <v>7676</v>
      </c>
      <c r="AN24">
        <v>8336</v>
      </c>
      <c r="AO24">
        <v>7463982</v>
      </c>
      <c r="AP24">
        <v>11066</v>
      </c>
      <c r="AQ24">
        <v>326</v>
      </c>
      <c r="AR24">
        <v>434</v>
      </c>
      <c r="AS24">
        <v>424248</v>
      </c>
      <c r="AT24">
        <v>353</v>
      </c>
      <c r="AU24">
        <v>975</v>
      </c>
      <c r="AV24">
        <v>941</v>
      </c>
      <c r="AW24">
        <v>934811</v>
      </c>
      <c r="AX24">
        <v>1196</v>
      </c>
      <c r="AY24">
        <v>4765</v>
      </c>
      <c r="AZ24">
        <v>4708</v>
      </c>
      <c r="BA24">
        <v>4165761</v>
      </c>
      <c r="BB24">
        <v>5536</v>
      </c>
      <c r="BC24">
        <v>16771</v>
      </c>
      <c r="BD24">
        <v>16297</v>
      </c>
      <c r="BE24">
        <v>5865218</v>
      </c>
      <c r="BF24">
        <v>16358</v>
      </c>
      <c r="BG24">
        <v>1143</v>
      </c>
      <c r="BH24">
        <v>1481</v>
      </c>
      <c r="BI24">
        <v>295158</v>
      </c>
      <c r="BJ24">
        <v>2087</v>
      </c>
      <c r="BK24">
        <v>13799</v>
      </c>
      <c r="BL24">
        <v>12267</v>
      </c>
      <c r="BM24">
        <v>6082061</v>
      </c>
      <c r="BN24">
        <v>8372</v>
      </c>
      <c r="BO24">
        <v>3084</v>
      </c>
      <c r="BP24">
        <v>3437</v>
      </c>
      <c r="BQ24">
        <v>2967413</v>
      </c>
      <c r="BR24">
        <v>5983</v>
      </c>
      <c r="BS24">
        <v>4695</v>
      </c>
      <c r="BT24">
        <v>4910</v>
      </c>
      <c r="BU24">
        <v>611326</v>
      </c>
      <c r="BV24">
        <v>1982</v>
      </c>
      <c r="BW24">
        <v>4610</v>
      </c>
      <c r="BX24">
        <v>6801</v>
      </c>
      <c r="BY24">
        <v>4744948</v>
      </c>
      <c r="BZ24">
        <v>6068</v>
      </c>
      <c r="CA24">
        <v>28796</v>
      </c>
      <c r="CB24">
        <v>30396</v>
      </c>
      <c r="CC24">
        <v>7927201</v>
      </c>
      <c r="CD24">
        <v>6600</v>
      </c>
      <c r="CE24">
        <v>4380</v>
      </c>
      <c r="CF24">
        <v>4642</v>
      </c>
      <c r="CG24">
        <v>3438118</v>
      </c>
      <c r="CH24">
        <v>5718</v>
      </c>
      <c r="CI24">
        <v>1417</v>
      </c>
      <c r="CJ24">
        <v>1379</v>
      </c>
      <c r="CK24">
        <v>1144896</v>
      </c>
      <c r="CL24">
        <v>1279</v>
      </c>
      <c r="CM24">
        <v>536</v>
      </c>
      <c r="CN24">
        <v>819</v>
      </c>
      <c r="CO24">
        <v>774104</v>
      </c>
      <c r="CP24">
        <v>739</v>
      </c>
      <c r="CQ24">
        <v>8979</v>
      </c>
      <c r="CR24">
        <v>11232</v>
      </c>
      <c r="CS24">
        <v>6828475</v>
      </c>
      <c r="CT24">
        <v>7154</v>
      </c>
      <c r="CU24">
        <v>2525</v>
      </c>
      <c r="CV24">
        <v>2778</v>
      </c>
      <c r="CW24">
        <v>7096158</v>
      </c>
      <c r="CX24">
        <v>3336</v>
      </c>
      <c r="CY24">
        <v>1629</v>
      </c>
      <c r="CZ24">
        <v>1408</v>
      </c>
      <c r="DA24">
        <v>825752</v>
      </c>
      <c r="DB24">
        <v>1659</v>
      </c>
      <c r="DC24">
        <v>5112</v>
      </c>
      <c r="DD24">
        <v>1583</v>
      </c>
      <c r="DE24">
        <v>630363</v>
      </c>
      <c r="DF24">
        <v>1814</v>
      </c>
    </row>
    <row r="25" spans="1:110" x14ac:dyDescent="0.4">
      <c r="A25" s="1" t="s">
        <v>38</v>
      </c>
      <c r="B25" s="1" t="s">
        <v>39</v>
      </c>
      <c r="C25">
        <v>1056</v>
      </c>
      <c r="D25">
        <v>561</v>
      </c>
      <c r="E25">
        <v>399234</v>
      </c>
      <c r="F25">
        <v>1160</v>
      </c>
      <c r="G25">
        <v>1778</v>
      </c>
      <c r="H25">
        <v>1864</v>
      </c>
      <c r="I25">
        <v>1941733</v>
      </c>
      <c r="J25">
        <v>1602</v>
      </c>
      <c r="K25">
        <v>992</v>
      </c>
      <c r="L25">
        <v>1194</v>
      </c>
      <c r="M25">
        <v>760462</v>
      </c>
      <c r="N25">
        <v>1776</v>
      </c>
      <c r="O25">
        <v>928</v>
      </c>
      <c r="P25">
        <v>739</v>
      </c>
      <c r="Q25">
        <v>406740</v>
      </c>
      <c r="R25">
        <v>1580</v>
      </c>
      <c r="S25">
        <v>2066</v>
      </c>
      <c r="T25">
        <v>2189</v>
      </c>
      <c r="U25">
        <v>718964</v>
      </c>
      <c r="V25">
        <v>4011</v>
      </c>
      <c r="W25">
        <v>3860</v>
      </c>
      <c r="X25">
        <v>3625</v>
      </c>
      <c r="Y25">
        <v>2889114</v>
      </c>
      <c r="Z25">
        <v>5085</v>
      </c>
      <c r="AA25">
        <v>3038</v>
      </c>
      <c r="AB25">
        <v>2664</v>
      </c>
      <c r="AC25">
        <v>2041968</v>
      </c>
      <c r="AD25">
        <v>5523</v>
      </c>
      <c r="AE25">
        <v>2446</v>
      </c>
      <c r="AF25">
        <v>2348</v>
      </c>
      <c r="AG25">
        <v>2231606</v>
      </c>
      <c r="AH25">
        <v>2563</v>
      </c>
      <c r="AI25">
        <v>8471</v>
      </c>
      <c r="AJ25">
        <v>8683</v>
      </c>
      <c r="AK25">
        <v>4404844</v>
      </c>
      <c r="AL25">
        <v>9065</v>
      </c>
      <c r="AM25">
        <v>7792</v>
      </c>
      <c r="AN25">
        <v>8062</v>
      </c>
      <c r="AO25">
        <v>7315621</v>
      </c>
      <c r="AP25">
        <v>11261</v>
      </c>
      <c r="AQ25">
        <v>322</v>
      </c>
      <c r="AR25">
        <v>415</v>
      </c>
      <c r="AS25">
        <v>424392</v>
      </c>
      <c r="AT25">
        <v>328</v>
      </c>
      <c r="AU25">
        <v>1075</v>
      </c>
      <c r="AV25">
        <v>1405</v>
      </c>
      <c r="AW25">
        <v>1396822</v>
      </c>
      <c r="AX25">
        <v>979</v>
      </c>
      <c r="AY25">
        <v>4881</v>
      </c>
      <c r="AZ25">
        <v>4790</v>
      </c>
      <c r="BA25">
        <v>4276536</v>
      </c>
      <c r="BB25">
        <v>5490</v>
      </c>
      <c r="BC25">
        <v>16220</v>
      </c>
      <c r="BD25">
        <v>15981</v>
      </c>
      <c r="BE25">
        <v>5865657</v>
      </c>
      <c r="BF25">
        <v>15789</v>
      </c>
      <c r="BG25">
        <v>1150</v>
      </c>
      <c r="BH25">
        <v>1510</v>
      </c>
      <c r="BI25">
        <v>304895</v>
      </c>
      <c r="BJ25">
        <v>2181</v>
      </c>
      <c r="BK25">
        <v>15000</v>
      </c>
      <c r="BL25">
        <v>12814</v>
      </c>
      <c r="BM25">
        <v>6377787</v>
      </c>
      <c r="BN25">
        <v>8708</v>
      </c>
      <c r="BO25">
        <v>2966</v>
      </c>
      <c r="BP25">
        <v>3462</v>
      </c>
      <c r="BQ25">
        <v>3031416</v>
      </c>
      <c r="BR25">
        <v>5948</v>
      </c>
      <c r="BS25">
        <v>5156</v>
      </c>
      <c r="BT25">
        <v>5325</v>
      </c>
      <c r="BU25">
        <v>671816</v>
      </c>
      <c r="BV25">
        <v>2246</v>
      </c>
      <c r="BW25">
        <v>4643</v>
      </c>
      <c r="BX25">
        <v>7349</v>
      </c>
      <c r="BY25">
        <v>5025732</v>
      </c>
      <c r="BZ25">
        <v>5673</v>
      </c>
      <c r="CA25">
        <v>28106</v>
      </c>
      <c r="CB25">
        <v>30423</v>
      </c>
      <c r="CC25">
        <v>8192960</v>
      </c>
      <c r="CD25">
        <v>6099</v>
      </c>
      <c r="CE25">
        <v>4312</v>
      </c>
      <c r="CF25">
        <v>5130</v>
      </c>
      <c r="CG25">
        <v>3802925</v>
      </c>
      <c r="CH25">
        <v>5460</v>
      </c>
      <c r="CI25">
        <v>1427</v>
      </c>
      <c r="CJ25">
        <v>1432</v>
      </c>
      <c r="CK25">
        <v>1168908</v>
      </c>
      <c r="CL25">
        <v>1257</v>
      </c>
      <c r="CM25">
        <v>675</v>
      </c>
      <c r="CN25">
        <v>854</v>
      </c>
      <c r="CO25">
        <v>801811</v>
      </c>
      <c r="CP25">
        <v>723</v>
      </c>
      <c r="CQ25">
        <v>8952</v>
      </c>
      <c r="CR25">
        <v>11186</v>
      </c>
      <c r="CS25">
        <v>6891218</v>
      </c>
      <c r="CT25">
        <v>7155</v>
      </c>
      <c r="CU25">
        <v>2572</v>
      </c>
      <c r="CV25">
        <v>2804</v>
      </c>
      <c r="CW25">
        <v>7859347</v>
      </c>
      <c r="CX25">
        <v>3406</v>
      </c>
      <c r="CY25">
        <v>1516</v>
      </c>
      <c r="CZ25">
        <v>1245</v>
      </c>
      <c r="DA25">
        <v>723752</v>
      </c>
      <c r="DB25">
        <v>1759</v>
      </c>
      <c r="DC25">
        <v>4576</v>
      </c>
      <c r="DD25">
        <v>1606</v>
      </c>
      <c r="DE25">
        <v>639302</v>
      </c>
      <c r="DF25">
        <v>1854</v>
      </c>
    </row>
    <row r="26" spans="1:110" x14ac:dyDescent="0.4">
      <c r="A26" s="1" t="s">
        <v>40</v>
      </c>
      <c r="B26" s="1" t="s">
        <v>41</v>
      </c>
      <c r="C26">
        <v>1083</v>
      </c>
      <c r="D26">
        <v>600</v>
      </c>
      <c r="E26">
        <v>435602</v>
      </c>
      <c r="F26">
        <v>1112</v>
      </c>
      <c r="G26">
        <v>1928</v>
      </c>
      <c r="H26">
        <v>1699</v>
      </c>
      <c r="I26">
        <v>1819203</v>
      </c>
      <c r="J26">
        <v>1833</v>
      </c>
      <c r="K26">
        <v>1053</v>
      </c>
      <c r="L26">
        <v>1226</v>
      </c>
      <c r="M26">
        <v>782798</v>
      </c>
      <c r="N26">
        <v>1638</v>
      </c>
      <c r="O26">
        <v>978</v>
      </c>
      <c r="P26">
        <v>1223</v>
      </c>
      <c r="Q26">
        <v>669200</v>
      </c>
      <c r="R26">
        <v>1269</v>
      </c>
      <c r="S26">
        <v>2419</v>
      </c>
      <c r="T26">
        <v>2522</v>
      </c>
      <c r="U26">
        <v>830563</v>
      </c>
      <c r="V26">
        <v>3933</v>
      </c>
      <c r="W26">
        <v>4051</v>
      </c>
      <c r="X26">
        <v>3705</v>
      </c>
      <c r="Y26">
        <v>2859187</v>
      </c>
      <c r="Z26">
        <v>5178</v>
      </c>
      <c r="AA26">
        <v>3389</v>
      </c>
      <c r="AB26">
        <v>3298</v>
      </c>
      <c r="AC26">
        <v>2513790</v>
      </c>
      <c r="AD26">
        <v>5180</v>
      </c>
      <c r="AE26">
        <v>2370</v>
      </c>
      <c r="AF26">
        <v>2270</v>
      </c>
      <c r="AG26">
        <v>2130903</v>
      </c>
      <c r="AH26">
        <v>2551</v>
      </c>
      <c r="AI26">
        <v>8453</v>
      </c>
      <c r="AJ26">
        <v>9181</v>
      </c>
      <c r="AK26">
        <v>4822733</v>
      </c>
      <c r="AL26">
        <v>8750</v>
      </c>
      <c r="AM26">
        <v>8375</v>
      </c>
      <c r="AN26">
        <v>8650</v>
      </c>
      <c r="AO26">
        <v>7852628</v>
      </c>
      <c r="AP26">
        <v>11355</v>
      </c>
      <c r="AQ26">
        <v>351</v>
      </c>
      <c r="AR26">
        <v>408</v>
      </c>
      <c r="AS26">
        <v>429846</v>
      </c>
      <c r="AT26">
        <v>346</v>
      </c>
      <c r="AU26">
        <v>1239</v>
      </c>
      <c r="AV26">
        <v>1368</v>
      </c>
      <c r="AW26">
        <v>1431329</v>
      </c>
      <c r="AX26">
        <v>955</v>
      </c>
      <c r="AY26">
        <v>5223</v>
      </c>
      <c r="AZ26">
        <v>5275</v>
      </c>
      <c r="BA26">
        <v>4628110</v>
      </c>
      <c r="BB26">
        <v>5262</v>
      </c>
      <c r="BC26">
        <v>18078</v>
      </c>
      <c r="BD26">
        <v>17644</v>
      </c>
      <c r="BE26">
        <v>6611713</v>
      </c>
      <c r="BF26">
        <v>15579</v>
      </c>
      <c r="BG26">
        <v>1213</v>
      </c>
      <c r="BH26">
        <v>1701</v>
      </c>
      <c r="BI26">
        <v>340036</v>
      </c>
      <c r="BJ26">
        <v>2144</v>
      </c>
      <c r="BK26">
        <v>15189</v>
      </c>
      <c r="BL26">
        <v>13285</v>
      </c>
      <c r="BM26">
        <v>6607391</v>
      </c>
      <c r="BN26">
        <v>8425</v>
      </c>
      <c r="BO26">
        <v>3150</v>
      </c>
      <c r="BP26">
        <v>3616</v>
      </c>
      <c r="BQ26">
        <v>3171006</v>
      </c>
      <c r="BR26">
        <v>6087</v>
      </c>
      <c r="BS26">
        <v>5111</v>
      </c>
      <c r="BT26">
        <v>6306</v>
      </c>
      <c r="BU26">
        <v>794099</v>
      </c>
      <c r="BV26">
        <v>1633</v>
      </c>
      <c r="BW26">
        <v>4869</v>
      </c>
      <c r="BX26">
        <v>7201</v>
      </c>
      <c r="BY26">
        <v>4946445</v>
      </c>
      <c r="BZ26">
        <v>5647</v>
      </c>
      <c r="CA26">
        <v>29908</v>
      </c>
      <c r="CB26">
        <v>31738</v>
      </c>
      <c r="CC26">
        <v>8536485</v>
      </c>
      <c r="CD26">
        <v>6165</v>
      </c>
      <c r="CE26">
        <v>4901</v>
      </c>
      <c r="CF26">
        <v>5447</v>
      </c>
      <c r="CG26">
        <v>4072073</v>
      </c>
      <c r="CH26">
        <v>5525</v>
      </c>
      <c r="CI26">
        <v>1580</v>
      </c>
      <c r="CJ26">
        <v>1527</v>
      </c>
      <c r="CK26">
        <v>1247505</v>
      </c>
      <c r="CL26">
        <v>1306</v>
      </c>
      <c r="CM26">
        <v>750</v>
      </c>
      <c r="CN26">
        <v>873</v>
      </c>
      <c r="CO26">
        <v>830481</v>
      </c>
      <c r="CP26">
        <v>748</v>
      </c>
      <c r="CQ26">
        <v>9754</v>
      </c>
      <c r="CR26">
        <v>12014</v>
      </c>
      <c r="CS26">
        <v>7325137</v>
      </c>
      <c r="CT26">
        <v>7235</v>
      </c>
      <c r="CU26">
        <v>2737</v>
      </c>
      <c r="CV26">
        <v>3159</v>
      </c>
      <c r="CW26">
        <v>8514631</v>
      </c>
      <c r="CX26">
        <v>3355</v>
      </c>
      <c r="CY26">
        <v>1598</v>
      </c>
      <c r="CZ26">
        <v>1477</v>
      </c>
      <c r="DA26">
        <v>866093</v>
      </c>
      <c r="DB26">
        <v>1705</v>
      </c>
      <c r="DC26">
        <v>5262</v>
      </c>
      <c r="DD26">
        <v>1784</v>
      </c>
      <c r="DE26">
        <v>741895</v>
      </c>
      <c r="DF26">
        <v>1830</v>
      </c>
    </row>
    <row r="27" spans="1:110" x14ac:dyDescent="0.4">
      <c r="A27" s="1" t="s">
        <v>42</v>
      </c>
      <c r="B27" s="1" t="s">
        <v>43</v>
      </c>
      <c r="C27">
        <v>1157</v>
      </c>
      <c r="D27">
        <v>615</v>
      </c>
      <c r="E27">
        <v>450569</v>
      </c>
      <c r="F27">
        <v>1079</v>
      </c>
      <c r="G27">
        <v>1923</v>
      </c>
      <c r="H27">
        <v>2067</v>
      </c>
      <c r="I27">
        <v>2068518</v>
      </c>
      <c r="J27">
        <v>1687</v>
      </c>
      <c r="K27">
        <v>1118</v>
      </c>
      <c r="L27">
        <v>1240</v>
      </c>
      <c r="M27">
        <v>796407</v>
      </c>
      <c r="N27">
        <v>1632</v>
      </c>
      <c r="O27">
        <v>1057</v>
      </c>
      <c r="P27">
        <v>993</v>
      </c>
      <c r="Q27">
        <v>535959</v>
      </c>
      <c r="R27">
        <v>1294</v>
      </c>
      <c r="S27">
        <v>2710</v>
      </c>
      <c r="T27">
        <v>2826</v>
      </c>
      <c r="U27">
        <v>903019</v>
      </c>
      <c r="V27">
        <v>3798</v>
      </c>
      <c r="W27">
        <v>3976</v>
      </c>
      <c r="X27">
        <v>3791</v>
      </c>
      <c r="Y27">
        <v>2946711</v>
      </c>
      <c r="Z27">
        <v>5128</v>
      </c>
      <c r="AA27">
        <v>3614</v>
      </c>
      <c r="AB27">
        <v>3387</v>
      </c>
      <c r="AC27">
        <v>2520757</v>
      </c>
      <c r="AD27">
        <v>5049</v>
      </c>
      <c r="AE27">
        <v>2287</v>
      </c>
      <c r="AF27">
        <v>2311</v>
      </c>
      <c r="AG27">
        <v>2186983</v>
      </c>
      <c r="AH27">
        <v>2413</v>
      </c>
      <c r="AI27">
        <v>9320</v>
      </c>
      <c r="AJ27">
        <v>9785</v>
      </c>
      <c r="AK27">
        <v>5118437</v>
      </c>
      <c r="AL27">
        <v>8901</v>
      </c>
      <c r="AM27">
        <v>8493</v>
      </c>
      <c r="AN27">
        <v>9122</v>
      </c>
      <c r="AO27">
        <v>8268498</v>
      </c>
      <c r="AP27">
        <v>11350</v>
      </c>
      <c r="AQ27">
        <v>376</v>
      </c>
      <c r="AR27">
        <v>427</v>
      </c>
      <c r="AS27">
        <v>444047</v>
      </c>
      <c r="AT27">
        <v>341</v>
      </c>
      <c r="AU27">
        <v>1415</v>
      </c>
      <c r="AV27">
        <v>1546</v>
      </c>
      <c r="AW27">
        <v>1573534</v>
      </c>
      <c r="AX27">
        <v>985</v>
      </c>
      <c r="AY27">
        <v>5527</v>
      </c>
      <c r="AZ27">
        <v>5418</v>
      </c>
      <c r="BA27">
        <v>4763067</v>
      </c>
      <c r="BB27">
        <v>5243</v>
      </c>
      <c r="BC27">
        <v>17724</v>
      </c>
      <c r="BD27">
        <v>17108</v>
      </c>
      <c r="BE27">
        <v>6542514</v>
      </c>
      <c r="BF27">
        <v>15667</v>
      </c>
      <c r="BG27">
        <v>1343</v>
      </c>
      <c r="BH27">
        <v>1886</v>
      </c>
      <c r="BI27">
        <v>403148</v>
      </c>
      <c r="BJ27">
        <v>1998</v>
      </c>
      <c r="BK27">
        <v>14146</v>
      </c>
      <c r="BL27">
        <v>12440</v>
      </c>
      <c r="BM27">
        <v>6326407</v>
      </c>
      <c r="BN27">
        <v>8669</v>
      </c>
      <c r="BO27">
        <v>3042</v>
      </c>
      <c r="BP27">
        <v>3553</v>
      </c>
      <c r="BQ27">
        <v>3054247</v>
      </c>
      <c r="BR27">
        <v>6204</v>
      </c>
      <c r="BS27">
        <v>3538</v>
      </c>
      <c r="BT27">
        <v>3036</v>
      </c>
      <c r="BU27">
        <v>396035</v>
      </c>
      <c r="BV27">
        <v>2312</v>
      </c>
      <c r="BW27">
        <v>4846</v>
      </c>
      <c r="BX27">
        <v>7421</v>
      </c>
      <c r="BY27">
        <v>5267168</v>
      </c>
      <c r="BZ27">
        <v>5666</v>
      </c>
      <c r="CA27">
        <v>31901</v>
      </c>
      <c r="CB27">
        <v>33673</v>
      </c>
      <c r="CC27">
        <v>9027149</v>
      </c>
      <c r="CD27">
        <v>6320</v>
      </c>
      <c r="CE27">
        <v>4859</v>
      </c>
      <c r="CF27">
        <v>5716</v>
      </c>
      <c r="CG27">
        <v>4281327</v>
      </c>
      <c r="CH27">
        <v>5418</v>
      </c>
      <c r="CI27">
        <v>1596</v>
      </c>
      <c r="CJ27">
        <v>1714</v>
      </c>
      <c r="CK27">
        <v>1403942</v>
      </c>
      <c r="CL27">
        <v>1196</v>
      </c>
      <c r="CM27">
        <v>780</v>
      </c>
      <c r="CN27">
        <v>940</v>
      </c>
      <c r="CO27">
        <v>933116</v>
      </c>
      <c r="CP27">
        <v>717</v>
      </c>
      <c r="CQ27">
        <v>10272</v>
      </c>
      <c r="CR27">
        <v>13228</v>
      </c>
      <c r="CS27">
        <v>8196167</v>
      </c>
      <c r="CT27">
        <v>6835</v>
      </c>
      <c r="CU27">
        <v>2837</v>
      </c>
      <c r="CV27">
        <v>3217</v>
      </c>
      <c r="CW27">
        <v>8897179</v>
      </c>
      <c r="CX27">
        <v>3334</v>
      </c>
      <c r="CY27">
        <v>1912</v>
      </c>
      <c r="CZ27">
        <v>1432</v>
      </c>
      <c r="DA27">
        <v>854220</v>
      </c>
      <c r="DB27">
        <v>1983</v>
      </c>
      <c r="DC27">
        <v>5292</v>
      </c>
      <c r="DD27">
        <v>1862</v>
      </c>
      <c r="DE27">
        <v>799022</v>
      </c>
      <c r="DF27">
        <v>1840</v>
      </c>
    </row>
    <row r="28" spans="1:110" x14ac:dyDescent="0.4">
      <c r="A28" s="1" t="s">
        <v>44</v>
      </c>
      <c r="B28" s="1" t="s">
        <v>45</v>
      </c>
      <c r="C28">
        <v>1079</v>
      </c>
      <c r="D28">
        <v>564</v>
      </c>
      <c r="E28">
        <v>426040</v>
      </c>
      <c r="F28">
        <v>1043</v>
      </c>
      <c r="G28">
        <v>1716</v>
      </c>
      <c r="H28">
        <v>1804</v>
      </c>
      <c r="I28">
        <v>1904399</v>
      </c>
      <c r="J28">
        <v>1616</v>
      </c>
      <c r="K28">
        <v>991</v>
      </c>
      <c r="L28">
        <v>1135</v>
      </c>
      <c r="M28">
        <v>720264</v>
      </c>
      <c r="N28">
        <v>1557</v>
      </c>
      <c r="O28">
        <v>925</v>
      </c>
      <c r="P28">
        <v>898</v>
      </c>
      <c r="Q28">
        <v>482625</v>
      </c>
      <c r="R28">
        <v>1286</v>
      </c>
      <c r="S28">
        <v>2649</v>
      </c>
      <c r="T28">
        <v>2648</v>
      </c>
      <c r="U28">
        <v>851532</v>
      </c>
      <c r="V28">
        <v>3749</v>
      </c>
      <c r="W28">
        <v>3726</v>
      </c>
      <c r="X28">
        <v>3471</v>
      </c>
      <c r="Y28">
        <v>2670880</v>
      </c>
      <c r="Z28">
        <v>4978</v>
      </c>
      <c r="AA28">
        <v>3509</v>
      </c>
      <c r="AB28">
        <v>3271</v>
      </c>
      <c r="AC28">
        <v>2420266</v>
      </c>
      <c r="AD28">
        <v>4987</v>
      </c>
      <c r="AE28">
        <v>2297</v>
      </c>
      <c r="AF28">
        <v>2143</v>
      </c>
      <c r="AG28">
        <v>2025164</v>
      </c>
      <c r="AH28">
        <v>2431</v>
      </c>
      <c r="AI28">
        <v>8469</v>
      </c>
      <c r="AJ28">
        <v>9074</v>
      </c>
      <c r="AK28">
        <v>4686965</v>
      </c>
      <c r="AL28">
        <v>8791</v>
      </c>
      <c r="AM28">
        <v>7963</v>
      </c>
      <c r="AN28">
        <v>8598</v>
      </c>
      <c r="AO28">
        <v>7727436</v>
      </c>
      <c r="AP28">
        <v>11271</v>
      </c>
      <c r="AQ28">
        <v>323</v>
      </c>
      <c r="AR28">
        <v>400</v>
      </c>
      <c r="AS28">
        <v>430533</v>
      </c>
      <c r="AT28">
        <v>339</v>
      </c>
      <c r="AU28">
        <v>1368</v>
      </c>
      <c r="AV28">
        <v>1620</v>
      </c>
      <c r="AW28">
        <v>1695516</v>
      </c>
      <c r="AX28">
        <v>865</v>
      </c>
      <c r="AY28">
        <v>4830</v>
      </c>
      <c r="AZ28">
        <v>4755</v>
      </c>
      <c r="BA28">
        <v>4283201</v>
      </c>
      <c r="BB28">
        <v>5201</v>
      </c>
      <c r="BC28">
        <v>16308</v>
      </c>
      <c r="BD28">
        <v>15746</v>
      </c>
      <c r="BE28">
        <v>6013826</v>
      </c>
      <c r="BF28">
        <v>15612</v>
      </c>
      <c r="BG28">
        <v>1306</v>
      </c>
      <c r="BH28">
        <v>1897</v>
      </c>
      <c r="BI28">
        <v>420533</v>
      </c>
      <c r="BJ28">
        <v>1930</v>
      </c>
      <c r="BK28">
        <v>13352</v>
      </c>
      <c r="BL28">
        <v>11703</v>
      </c>
      <c r="BM28">
        <v>5980921</v>
      </c>
      <c r="BN28">
        <v>8485</v>
      </c>
      <c r="BO28">
        <v>2839</v>
      </c>
      <c r="BP28">
        <v>3220</v>
      </c>
      <c r="BQ28">
        <v>2847307</v>
      </c>
      <c r="BR28">
        <v>6266</v>
      </c>
      <c r="BS28">
        <v>3259</v>
      </c>
      <c r="BT28">
        <v>3529</v>
      </c>
      <c r="BU28">
        <v>473004</v>
      </c>
      <c r="BV28">
        <v>2128</v>
      </c>
      <c r="BW28">
        <v>4657</v>
      </c>
      <c r="BX28">
        <v>7081</v>
      </c>
      <c r="BY28">
        <v>4884825</v>
      </c>
      <c r="BZ28">
        <v>5439</v>
      </c>
      <c r="CA28">
        <v>28366</v>
      </c>
      <c r="CB28">
        <v>30110</v>
      </c>
      <c r="CC28">
        <v>8270772</v>
      </c>
      <c r="CD28">
        <v>6325</v>
      </c>
      <c r="CE28">
        <v>4207</v>
      </c>
      <c r="CF28">
        <v>4534</v>
      </c>
      <c r="CG28">
        <v>3439044</v>
      </c>
      <c r="CH28">
        <v>5570</v>
      </c>
      <c r="CI28">
        <v>1424</v>
      </c>
      <c r="CJ28">
        <v>1434</v>
      </c>
      <c r="CK28">
        <v>1178411</v>
      </c>
      <c r="CL28">
        <v>1185</v>
      </c>
      <c r="CM28">
        <v>718</v>
      </c>
      <c r="CN28">
        <v>800</v>
      </c>
      <c r="CO28">
        <v>709506</v>
      </c>
      <c r="CP28">
        <v>756</v>
      </c>
      <c r="CQ28">
        <v>9233</v>
      </c>
      <c r="CR28">
        <v>11505</v>
      </c>
      <c r="CS28">
        <v>7115698</v>
      </c>
      <c r="CT28">
        <v>6824</v>
      </c>
      <c r="CU28">
        <v>2546</v>
      </c>
      <c r="CV28">
        <v>2920</v>
      </c>
      <c r="CW28">
        <v>8345177</v>
      </c>
      <c r="CX28">
        <v>3251</v>
      </c>
      <c r="CY28">
        <v>1387</v>
      </c>
      <c r="CZ28">
        <v>1262</v>
      </c>
      <c r="DA28">
        <v>757287</v>
      </c>
      <c r="DB28">
        <v>1882</v>
      </c>
      <c r="DC28">
        <v>4563</v>
      </c>
      <c r="DD28">
        <v>1526</v>
      </c>
      <c r="DE28">
        <v>652157</v>
      </c>
      <c r="DF28">
        <v>1915</v>
      </c>
    </row>
    <row r="29" spans="1:110" x14ac:dyDescent="0.4">
      <c r="A29" s="1" t="s">
        <v>46</v>
      </c>
      <c r="B29" s="1" t="s">
        <v>47</v>
      </c>
      <c r="C29">
        <v>1186</v>
      </c>
      <c r="D29">
        <v>623</v>
      </c>
      <c r="E29">
        <v>466758</v>
      </c>
      <c r="F29">
        <v>1059</v>
      </c>
      <c r="G29">
        <v>2074</v>
      </c>
      <c r="H29">
        <v>2134</v>
      </c>
      <c r="I29">
        <v>2236397</v>
      </c>
      <c r="J29">
        <v>1552</v>
      </c>
      <c r="K29">
        <v>1267</v>
      </c>
      <c r="L29">
        <v>1292</v>
      </c>
      <c r="M29">
        <v>838214</v>
      </c>
      <c r="N29">
        <v>1579</v>
      </c>
      <c r="O29">
        <v>971</v>
      </c>
      <c r="P29">
        <v>933</v>
      </c>
      <c r="Q29">
        <v>530637</v>
      </c>
      <c r="R29">
        <v>1295</v>
      </c>
      <c r="S29">
        <v>3000</v>
      </c>
      <c r="T29">
        <v>2826</v>
      </c>
      <c r="U29">
        <v>917709</v>
      </c>
      <c r="V29">
        <v>3757</v>
      </c>
      <c r="W29">
        <v>4222</v>
      </c>
      <c r="X29">
        <v>3809</v>
      </c>
      <c r="Y29">
        <v>2942526</v>
      </c>
      <c r="Z29">
        <v>5107</v>
      </c>
      <c r="AA29">
        <v>3817</v>
      </c>
      <c r="AB29">
        <v>3456</v>
      </c>
      <c r="AC29">
        <v>2546016</v>
      </c>
      <c r="AD29">
        <v>4970</v>
      </c>
      <c r="AE29">
        <v>2392</v>
      </c>
      <c r="AF29">
        <v>2309</v>
      </c>
      <c r="AG29">
        <v>2177446</v>
      </c>
      <c r="AH29">
        <v>2398</v>
      </c>
      <c r="AI29">
        <v>9051</v>
      </c>
      <c r="AJ29">
        <v>9398</v>
      </c>
      <c r="AK29">
        <v>4793742</v>
      </c>
      <c r="AL29">
        <v>8945</v>
      </c>
      <c r="AM29">
        <v>8646</v>
      </c>
      <c r="AN29">
        <v>8905</v>
      </c>
      <c r="AO29">
        <v>8173947</v>
      </c>
      <c r="AP29">
        <v>11624</v>
      </c>
      <c r="AQ29">
        <v>347</v>
      </c>
      <c r="AR29">
        <v>429</v>
      </c>
      <c r="AS29">
        <v>452000</v>
      </c>
      <c r="AT29">
        <v>349</v>
      </c>
      <c r="AU29">
        <v>1616</v>
      </c>
      <c r="AV29">
        <v>1548</v>
      </c>
      <c r="AW29">
        <v>1600488</v>
      </c>
      <c r="AX29">
        <v>1035</v>
      </c>
      <c r="AY29">
        <v>5152</v>
      </c>
      <c r="AZ29">
        <v>5243</v>
      </c>
      <c r="BA29">
        <v>4688513</v>
      </c>
      <c r="BB29">
        <v>5319</v>
      </c>
      <c r="BC29">
        <v>16897</v>
      </c>
      <c r="BD29">
        <v>16268</v>
      </c>
      <c r="BE29">
        <v>6218053</v>
      </c>
      <c r="BF29">
        <v>15473</v>
      </c>
      <c r="BG29">
        <v>1625</v>
      </c>
      <c r="BH29">
        <v>1899</v>
      </c>
      <c r="BI29">
        <v>409658</v>
      </c>
      <c r="BJ29">
        <v>2158</v>
      </c>
      <c r="BK29">
        <v>14754</v>
      </c>
      <c r="BL29">
        <v>12744</v>
      </c>
      <c r="BM29">
        <v>6576841</v>
      </c>
      <c r="BN29">
        <v>8518</v>
      </c>
      <c r="BO29">
        <v>2842</v>
      </c>
      <c r="BP29">
        <v>3495</v>
      </c>
      <c r="BQ29">
        <v>3051607</v>
      </c>
      <c r="BR29">
        <v>6054</v>
      </c>
      <c r="BS29">
        <v>3612</v>
      </c>
      <c r="BT29">
        <v>3640</v>
      </c>
      <c r="BU29">
        <v>458020</v>
      </c>
      <c r="BV29">
        <v>2316</v>
      </c>
      <c r="BW29">
        <v>5000</v>
      </c>
      <c r="BX29">
        <v>7344</v>
      </c>
      <c r="BY29">
        <v>5119850</v>
      </c>
      <c r="BZ29">
        <v>5578</v>
      </c>
      <c r="CA29">
        <v>30594</v>
      </c>
      <c r="CB29">
        <v>32861</v>
      </c>
      <c r="CC29">
        <v>8820695</v>
      </c>
      <c r="CD29">
        <v>6275</v>
      </c>
      <c r="CE29">
        <v>4657</v>
      </c>
      <c r="CF29">
        <v>4897</v>
      </c>
      <c r="CG29">
        <v>3666729</v>
      </c>
      <c r="CH29">
        <v>5964</v>
      </c>
      <c r="CI29">
        <v>1663</v>
      </c>
      <c r="CJ29">
        <v>1514</v>
      </c>
      <c r="CK29">
        <v>1242359</v>
      </c>
      <c r="CL29">
        <v>1360</v>
      </c>
      <c r="CM29">
        <v>738</v>
      </c>
      <c r="CN29">
        <v>839</v>
      </c>
      <c r="CO29">
        <v>797336</v>
      </c>
      <c r="CP29">
        <v>774</v>
      </c>
      <c r="CQ29">
        <v>10068</v>
      </c>
      <c r="CR29">
        <v>11951</v>
      </c>
      <c r="CS29">
        <v>7418158</v>
      </c>
      <c r="CT29">
        <v>7183</v>
      </c>
      <c r="CU29">
        <v>2834</v>
      </c>
      <c r="CV29">
        <v>3148</v>
      </c>
      <c r="CW29">
        <v>8879098</v>
      </c>
      <c r="CX29">
        <v>3197</v>
      </c>
      <c r="CY29">
        <v>1493</v>
      </c>
      <c r="CZ29">
        <v>1284</v>
      </c>
      <c r="DA29">
        <v>767192</v>
      </c>
      <c r="DB29">
        <v>1886</v>
      </c>
      <c r="DC29">
        <v>5125</v>
      </c>
      <c r="DD29">
        <v>1800</v>
      </c>
      <c r="DE29">
        <v>722455</v>
      </c>
      <c r="DF29">
        <v>1902</v>
      </c>
    </row>
    <row r="30" spans="1:110" x14ac:dyDescent="0.4">
      <c r="A30" s="1" t="s">
        <v>48</v>
      </c>
      <c r="B30" s="1" t="s">
        <v>49</v>
      </c>
      <c r="C30">
        <v>1228</v>
      </c>
      <c r="D30">
        <v>666</v>
      </c>
      <c r="E30">
        <v>505139</v>
      </c>
      <c r="F30">
        <v>1069</v>
      </c>
      <c r="G30">
        <v>2217</v>
      </c>
      <c r="H30">
        <v>2137</v>
      </c>
      <c r="I30">
        <v>2196639</v>
      </c>
      <c r="J30">
        <v>1630</v>
      </c>
      <c r="K30">
        <v>1212</v>
      </c>
      <c r="L30">
        <v>1372</v>
      </c>
      <c r="M30">
        <v>847539</v>
      </c>
      <c r="N30">
        <v>1525</v>
      </c>
      <c r="O30">
        <v>915</v>
      </c>
      <c r="P30">
        <v>940</v>
      </c>
      <c r="Q30">
        <v>506590</v>
      </c>
      <c r="R30">
        <v>1261</v>
      </c>
      <c r="S30">
        <v>3318</v>
      </c>
      <c r="T30">
        <v>3142</v>
      </c>
      <c r="U30">
        <v>1008217</v>
      </c>
      <c r="V30">
        <v>3907</v>
      </c>
      <c r="W30">
        <v>4521</v>
      </c>
      <c r="X30">
        <v>4221</v>
      </c>
      <c r="Y30">
        <v>3316252</v>
      </c>
      <c r="Z30">
        <v>4983</v>
      </c>
      <c r="AA30">
        <v>4132</v>
      </c>
      <c r="AB30">
        <v>3539</v>
      </c>
      <c r="AC30">
        <v>2650409</v>
      </c>
      <c r="AD30">
        <v>5228</v>
      </c>
      <c r="AE30">
        <v>2594</v>
      </c>
      <c r="AF30">
        <v>2529</v>
      </c>
      <c r="AG30">
        <v>2367297</v>
      </c>
      <c r="AH30">
        <v>2306</v>
      </c>
      <c r="AI30">
        <v>9359</v>
      </c>
      <c r="AJ30">
        <v>10177</v>
      </c>
      <c r="AK30">
        <v>5217312</v>
      </c>
      <c r="AL30">
        <v>8503</v>
      </c>
      <c r="AM30">
        <v>9273</v>
      </c>
      <c r="AN30">
        <v>9830</v>
      </c>
      <c r="AO30">
        <v>8994850</v>
      </c>
      <c r="AP30">
        <v>11527</v>
      </c>
      <c r="AQ30">
        <v>348</v>
      </c>
      <c r="AR30">
        <v>450</v>
      </c>
      <c r="AS30">
        <v>472422</v>
      </c>
      <c r="AT30">
        <v>346</v>
      </c>
      <c r="AU30">
        <v>1508</v>
      </c>
      <c r="AV30">
        <v>1575</v>
      </c>
      <c r="AW30">
        <v>1529311</v>
      </c>
      <c r="AX30">
        <v>1075</v>
      </c>
      <c r="AY30">
        <v>5594</v>
      </c>
      <c r="AZ30">
        <v>5382</v>
      </c>
      <c r="BA30">
        <v>4722763</v>
      </c>
      <c r="BB30">
        <v>5333</v>
      </c>
      <c r="BC30">
        <v>18703</v>
      </c>
      <c r="BD30">
        <v>17721</v>
      </c>
      <c r="BE30">
        <v>6680804</v>
      </c>
      <c r="BF30">
        <v>15760</v>
      </c>
      <c r="BG30">
        <v>1584</v>
      </c>
      <c r="BH30">
        <v>1925</v>
      </c>
      <c r="BI30">
        <v>414988</v>
      </c>
      <c r="BJ30">
        <v>2274</v>
      </c>
      <c r="BK30">
        <v>15743</v>
      </c>
      <c r="BL30">
        <v>13575</v>
      </c>
      <c r="BM30">
        <v>7094915</v>
      </c>
      <c r="BN30">
        <v>8496</v>
      </c>
      <c r="BO30">
        <v>3219</v>
      </c>
      <c r="BP30">
        <v>3988</v>
      </c>
      <c r="BQ30">
        <v>3415367</v>
      </c>
      <c r="BR30">
        <v>5926</v>
      </c>
      <c r="BS30">
        <v>3968</v>
      </c>
      <c r="BT30">
        <v>4448</v>
      </c>
      <c r="BU30">
        <v>543998</v>
      </c>
      <c r="BV30">
        <v>2003</v>
      </c>
      <c r="BW30">
        <v>5165</v>
      </c>
      <c r="BX30">
        <v>7194</v>
      </c>
      <c r="BY30">
        <v>5080927</v>
      </c>
      <c r="BZ30">
        <v>5945</v>
      </c>
      <c r="CA30">
        <v>33978</v>
      </c>
      <c r="CB30">
        <v>36200</v>
      </c>
      <c r="CC30">
        <v>9634686</v>
      </c>
      <c r="CD30">
        <v>6382</v>
      </c>
      <c r="CE30">
        <v>4741</v>
      </c>
      <c r="CF30">
        <v>5136</v>
      </c>
      <c r="CG30">
        <v>3874039</v>
      </c>
      <c r="CH30">
        <v>6117</v>
      </c>
      <c r="CI30">
        <v>1684</v>
      </c>
      <c r="CJ30">
        <v>1735</v>
      </c>
      <c r="CK30">
        <v>1430331</v>
      </c>
      <c r="CL30">
        <v>1310</v>
      </c>
      <c r="CM30">
        <v>802</v>
      </c>
      <c r="CN30">
        <v>926</v>
      </c>
      <c r="CO30">
        <v>896216</v>
      </c>
      <c r="CP30">
        <v>773</v>
      </c>
      <c r="CQ30">
        <v>10941</v>
      </c>
      <c r="CR30">
        <v>13381</v>
      </c>
      <c r="CS30">
        <v>8258216</v>
      </c>
      <c r="CT30">
        <v>7345</v>
      </c>
      <c r="CU30">
        <v>2881</v>
      </c>
      <c r="CV30">
        <v>3191</v>
      </c>
      <c r="CW30">
        <v>8847475</v>
      </c>
      <c r="CX30">
        <v>3274</v>
      </c>
      <c r="CY30">
        <v>1646</v>
      </c>
      <c r="CZ30">
        <v>1389</v>
      </c>
      <c r="DA30">
        <v>833376</v>
      </c>
      <c r="DB30">
        <v>1928</v>
      </c>
      <c r="DC30">
        <v>5369</v>
      </c>
      <c r="DD30">
        <v>1779</v>
      </c>
      <c r="DE30">
        <v>819987</v>
      </c>
      <c r="DF30">
        <v>2050</v>
      </c>
    </row>
    <row r="31" spans="1:110" x14ac:dyDescent="0.4">
      <c r="A31" s="1" t="s">
        <v>50</v>
      </c>
      <c r="B31" s="1" t="s">
        <v>51</v>
      </c>
      <c r="C31">
        <v>941</v>
      </c>
      <c r="D31">
        <v>528</v>
      </c>
      <c r="E31">
        <v>406282</v>
      </c>
      <c r="F31">
        <v>1042</v>
      </c>
      <c r="G31">
        <v>1544</v>
      </c>
      <c r="H31">
        <v>1539</v>
      </c>
      <c r="I31">
        <v>1654266</v>
      </c>
      <c r="J31">
        <v>1640</v>
      </c>
      <c r="K31">
        <v>1020</v>
      </c>
      <c r="L31">
        <v>1059</v>
      </c>
      <c r="M31">
        <v>652764</v>
      </c>
      <c r="N31">
        <v>1519</v>
      </c>
      <c r="O31">
        <v>702</v>
      </c>
      <c r="P31">
        <v>674</v>
      </c>
      <c r="Q31">
        <v>385390</v>
      </c>
      <c r="R31">
        <v>1290</v>
      </c>
      <c r="S31">
        <v>2369</v>
      </c>
      <c r="T31">
        <v>2254</v>
      </c>
      <c r="U31">
        <v>736534</v>
      </c>
      <c r="V31">
        <v>3977</v>
      </c>
      <c r="W31">
        <v>3291</v>
      </c>
      <c r="X31">
        <v>3215</v>
      </c>
      <c r="Y31">
        <v>2489162</v>
      </c>
      <c r="Z31">
        <v>4798</v>
      </c>
      <c r="AA31">
        <v>2677</v>
      </c>
      <c r="AB31">
        <v>2700</v>
      </c>
      <c r="AC31">
        <v>2031297</v>
      </c>
      <c r="AD31">
        <v>4961</v>
      </c>
      <c r="AE31">
        <v>1998</v>
      </c>
      <c r="AF31">
        <v>1962</v>
      </c>
      <c r="AG31">
        <v>1824174</v>
      </c>
      <c r="AH31">
        <v>2247</v>
      </c>
      <c r="AI31">
        <v>7472</v>
      </c>
      <c r="AJ31">
        <v>7728</v>
      </c>
      <c r="AK31">
        <v>4148915</v>
      </c>
      <c r="AL31">
        <v>8683</v>
      </c>
      <c r="AM31">
        <v>6846</v>
      </c>
      <c r="AN31">
        <v>7707</v>
      </c>
      <c r="AO31">
        <v>7076462</v>
      </c>
      <c r="AP31">
        <v>11046</v>
      </c>
      <c r="AQ31">
        <v>268</v>
      </c>
      <c r="AR31">
        <v>343</v>
      </c>
      <c r="AS31">
        <v>367350</v>
      </c>
      <c r="AT31">
        <v>334</v>
      </c>
      <c r="AU31">
        <v>984</v>
      </c>
      <c r="AV31">
        <v>1159</v>
      </c>
      <c r="AW31">
        <v>1105515</v>
      </c>
      <c r="AX31">
        <v>1008</v>
      </c>
      <c r="AY31">
        <v>4246</v>
      </c>
      <c r="AZ31">
        <v>4368</v>
      </c>
      <c r="BA31">
        <v>3872726</v>
      </c>
      <c r="BB31">
        <v>5226</v>
      </c>
      <c r="BC31">
        <v>13828</v>
      </c>
      <c r="BD31">
        <v>13477</v>
      </c>
      <c r="BE31">
        <v>5159473</v>
      </c>
      <c r="BF31">
        <v>15555</v>
      </c>
      <c r="BG31">
        <v>954</v>
      </c>
      <c r="BH31">
        <v>1394</v>
      </c>
      <c r="BI31">
        <v>304881</v>
      </c>
      <c r="BJ31">
        <v>2200</v>
      </c>
      <c r="BK31">
        <v>11478</v>
      </c>
      <c r="BL31">
        <v>10193</v>
      </c>
      <c r="BM31">
        <v>5298211</v>
      </c>
      <c r="BN31">
        <v>8311</v>
      </c>
      <c r="BO31">
        <v>2397</v>
      </c>
      <c r="BP31">
        <v>3044</v>
      </c>
      <c r="BQ31">
        <v>2530584</v>
      </c>
      <c r="BR31">
        <v>5843</v>
      </c>
      <c r="BS31">
        <v>3363</v>
      </c>
      <c r="BT31">
        <v>3330</v>
      </c>
      <c r="BU31">
        <v>420637</v>
      </c>
      <c r="BV31">
        <v>2143</v>
      </c>
      <c r="BW31">
        <v>3956</v>
      </c>
      <c r="BX31">
        <v>6360</v>
      </c>
      <c r="BY31">
        <v>4424082</v>
      </c>
      <c r="BZ31">
        <v>5521</v>
      </c>
      <c r="CA31">
        <v>25920</v>
      </c>
      <c r="CB31">
        <v>27574</v>
      </c>
      <c r="CC31">
        <v>7712304</v>
      </c>
      <c r="CD31">
        <v>6557</v>
      </c>
      <c r="CE31">
        <v>3424</v>
      </c>
      <c r="CF31">
        <v>4259</v>
      </c>
      <c r="CG31">
        <v>3213391</v>
      </c>
      <c r="CH31">
        <v>5683</v>
      </c>
      <c r="CI31">
        <v>1173</v>
      </c>
      <c r="CJ31">
        <v>1369</v>
      </c>
      <c r="CK31">
        <v>1128518</v>
      </c>
      <c r="CL31">
        <v>1116</v>
      </c>
      <c r="CM31">
        <v>555</v>
      </c>
      <c r="CN31">
        <v>689</v>
      </c>
      <c r="CO31">
        <v>658821</v>
      </c>
      <c r="CP31">
        <v>761</v>
      </c>
      <c r="CQ31">
        <v>7784</v>
      </c>
      <c r="CR31">
        <v>10268</v>
      </c>
      <c r="CS31">
        <v>6361818</v>
      </c>
      <c r="CT31">
        <v>6920</v>
      </c>
      <c r="CU31">
        <v>2162</v>
      </c>
      <c r="CV31">
        <v>2517</v>
      </c>
      <c r="CW31">
        <v>7253939</v>
      </c>
      <c r="CX31">
        <v>3206</v>
      </c>
      <c r="CY31">
        <v>1351</v>
      </c>
      <c r="CZ31">
        <v>1206</v>
      </c>
      <c r="DA31">
        <v>714453</v>
      </c>
      <c r="DB31">
        <v>1832</v>
      </c>
      <c r="DC31">
        <v>3716</v>
      </c>
      <c r="DD31">
        <v>1368</v>
      </c>
      <c r="DE31">
        <v>577562</v>
      </c>
      <c r="DF31">
        <v>1966</v>
      </c>
    </row>
    <row r="32" spans="1:110" x14ac:dyDescent="0.4">
      <c r="A32" s="1" t="s">
        <v>52</v>
      </c>
      <c r="B32" s="1" t="s">
        <v>53</v>
      </c>
      <c r="C32">
        <v>1213</v>
      </c>
      <c r="D32">
        <v>635</v>
      </c>
      <c r="E32">
        <v>484265</v>
      </c>
      <c r="F32">
        <v>1089</v>
      </c>
      <c r="G32">
        <v>2117</v>
      </c>
      <c r="H32">
        <v>2008</v>
      </c>
      <c r="I32">
        <v>2124119</v>
      </c>
      <c r="J32">
        <v>1753</v>
      </c>
      <c r="K32">
        <v>1263</v>
      </c>
      <c r="L32">
        <v>1268</v>
      </c>
      <c r="M32">
        <v>826905</v>
      </c>
      <c r="N32">
        <v>1628</v>
      </c>
      <c r="O32">
        <v>992</v>
      </c>
      <c r="P32">
        <v>928</v>
      </c>
      <c r="Q32">
        <v>533519</v>
      </c>
      <c r="R32">
        <v>1359</v>
      </c>
      <c r="S32">
        <v>3002</v>
      </c>
      <c r="T32">
        <v>2924</v>
      </c>
      <c r="U32">
        <v>967912</v>
      </c>
      <c r="V32">
        <v>3966</v>
      </c>
      <c r="W32">
        <v>4422</v>
      </c>
      <c r="X32">
        <v>3956</v>
      </c>
      <c r="Y32">
        <v>3092987</v>
      </c>
      <c r="Z32">
        <v>4904</v>
      </c>
      <c r="AA32">
        <v>3616</v>
      </c>
      <c r="AB32">
        <v>3205</v>
      </c>
      <c r="AC32">
        <v>2449842</v>
      </c>
      <c r="AD32">
        <v>4952</v>
      </c>
      <c r="AE32">
        <v>2618</v>
      </c>
      <c r="AF32">
        <v>2387</v>
      </c>
      <c r="AG32">
        <v>2298087</v>
      </c>
      <c r="AH32">
        <v>2347</v>
      </c>
      <c r="AI32">
        <v>9151</v>
      </c>
      <c r="AJ32">
        <v>9512</v>
      </c>
      <c r="AK32">
        <v>4949127</v>
      </c>
      <c r="AL32">
        <v>8648</v>
      </c>
      <c r="AM32">
        <v>9205</v>
      </c>
      <c r="AN32">
        <v>9272</v>
      </c>
      <c r="AO32">
        <v>8676636</v>
      </c>
      <c r="AP32">
        <v>11257</v>
      </c>
      <c r="AQ32">
        <v>355</v>
      </c>
      <c r="AR32">
        <v>438</v>
      </c>
      <c r="AS32">
        <v>473792</v>
      </c>
      <c r="AT32">
        <v>326</v>
      </c>
      <c r="AU32">
        <v>1262</v>
      </c>
      <c r="AV32">
        <v>1234</v>
      </c>
      <c r="AW32">
        <v>1153360</v>
      </c>
      <c r="AX32">
        <v>1141</v>
      </c>
      <c r="AY32">
        <v>5395</v>
      </c>
      <c r="AZ32">
        <v>5401</v>
      </c>
      <c r="BA32">
        <v>4702803</v>
      </c>
      <c r="BB32">
        <v>5282</v>
      </c>
      <c r="BC32">
        <v>17898</v>
      </c>
      <c r="BD32">
        <v>16795</v>
      </c>
      <c r="BE32">
        <v>6316169</v>
      </c>
      <c r="BF32">
        <v>15800</v>
      </c>
      <c r="BG32">
        <v>1290</v>
      </c>
      <c r="BH32">
        <v>1725</v>
      </c>
      <c r="BI32">
        <v>372543</v>
      </c>
      <c r="BJ32">
        <v>2138</v>
      </c>
      <c r="BK32">
        <v>15845</v>
      </c>
      <c r="BL32">
        <v>13182</v>
      </c>
      <c r="BM32">
        <v>6965262</v>
      </c>
      <c r="BN32">
        <v>8730</v>
      </c>
      <c r="BO32">
        <v>3299</v>
      </c>
      <c r="BP32">
        <v>3851</v>
      </c>
      <c r="BQ32">
        <v>3279591</v>
      </c>
      <c r="BR32">
        <v>5794</v>
      </c>
      <c r="BS32">
        <v>3869</v>
      </c>
      <c r="BT32">
        <v>4430</v>
      </c>
      <c r="BU32">
        <v>567895</v>
      </c>
      <c r="BV32">
        <v>1693</v>
      </c>
      <c r="BW32">
        <v>4887</v>
      </c>
      <c r="BX32">
        <v>7408</v>
      </c>
      <c r="BY32">
        <v>5117744</v>
      </c>
      <c r="BZ32">
        <v>5515</v>
      </c>
      <c r="CA32">
        <v>31129</v>
      </c>
      <c r="CB32">
        <v>33527</v>
      </c>
      <c r="CC32">
        <v>9097744</v>
      </c>
      <c r="CD32">
        <v>6469</v>
      </c>
      <c r="CE32">
        <v>4743</v>
      </c>
      <c r="CF32">
        <v>5209</v>
      </c>
      <c r="CG32">
        <v>3977540</v>
      </c>
      <c r="CH32">
        <v>5751</v>
      </c>
      <c r="CI32">
        <v>1754</v>
      </c>
      <c r="CJ32">
        <v>1662</v>
      </c>
      <c r="CK32">
        <v>1360435</v>
      </c>
      <c r="CL32">
        <v>1212</v>
      </c>
      <c r="CM32">
        <v>753</v>
      </c>
      <c r="CN32">
        <v>777</v>
      </c>
      <c r="CO32">
        <v>731856</v>
      </c>
      <c r="CP32">
        <v>863</v>
      </c>
      <c r="CQ32">
        <v>10061</v>
      </c>
      <c r="CR32">
        <v>12220</v>
      </c>
      <c r="CS32">
        <v>7617983</v>
      </c>
      <c r="CT32">
        <v>7132</v>
      </c>
      <c r="CU32">
        <v>2707</v>
      </c>
      <c r="CV32">
        <v>3223</v>
      </c>
      <c r="CW32">
        <v>9001237</v>
      </c>
      <c r="CX32">
        <v>3126</v>
      </c>
      <c r="CY32">
        <v>1555</v>
      </c>
      <c r="CZ32">
        <v>1228</v>
      </c>
      <c r="DA32">
        <v>764028</v>
      </c>
      <c r="DB32">
        <v>1867</v>
      </c>
      <c r="DC32">
        <v>5135</v>
      </c>
      <c r="DD32">
        <v>1820</v>
      </c>
      <c r="DE32">
        <v>752784</v>
      </c>
      <c r="DF32">
        <v>1827</v>
      </c>
    </row>
    <row r="33" spans="1:110" x14ac:dyDescent="0.4">
      <c r="A33" s="1" t="s">
        <v>54</v>
      </c>
      <c r="B33" s="1" t="s">
        <v>55</v>
      </c>
      <c r="C33">
        <v>1302</v>
      </c>
      <c r="D33">
        <v>663</v>
      </c>
      <c r="E33">
        <v>495852</v>
      </c>
      <c r="F33">
        <v>1120</v>
      </c>
      <c r="G33">
        <v>2137</v>
      </c>
      <c r="H33">
        <v>2180</v>
      </c>
      <c r="I33">
        <v>2223968</v>
      </c>
      <c r="J33">
        <v>1712</v>
      </c>
      <c r="K33">
        <v>1214</v>
      </c>
      <c r="L33">
        <v>1380</v>
      </c>
      <c r="M33">
        <v>892924</v>
      </c>
      <c r="N33">
        <v>1611</v>
      </c>
      <c r="O33">
        <v>768</v>
      </c>
      <c r="P33">
        <v>925</v>
      </c>
      <c r="Q33">
        <v>505944</v>
      </c>
      <c r="R33">
        <v>1177</v>
      </c>
      <c r="S33">
        <v>3086</v>
      </c>
      <c r="T33">
        <v>2877</v>
      </c>
      <c r="U33">
        <v>954183</v>
      </c>
      <c r="V33">
        <v>4109</v>
      </c>
      <c r="W33">
        <v>4658</v>
      </c>
      <c r="X33">
        <v>4122</v>
      </c>
      <c r="Y33">
        <v>3192763</v>
      </c>
      <c r="Z33">
        <v>5029</v>
      </c>
      <c r="AA33">
        <v>3885</v>
      </c>
      <c r="AB33">
        <v>3664</v>
      </c>
      <c r="AC33">
        <v>2726998</v>
      </c>
      <c r="AD33">
        <v>4852</v>
      </c>
      <c r="AE33">
        <v>2776</v>
      </c>
      <c r="AF33">
        <v>2629</v>
      </c>
      <c r="AG33">
        <v>2491916</v>
      </c>
      <c r="AH33">
        <v>2328</v>
      </c>
      <c r="AI33">
        <v>9915</v>
      </c>
      <c r="AJ33">
        <v>10690</v>
      </c>
      <c r="AK33">
        <v>5464871</v>
      </c>
      <c r="AL33">
        <v>8514</v>
      </c>
      <c r="AM33">
        <v>9667</v>
      </c>
      <c r="AN33">
        <v>10144</v>
      </c>
      <c r="AO33">
        <v>9284038</v>
      </c>
      <c r="AP33">
        <v>11242</v>
      </c>
      <c r="AQ33">
        <v>416</v>
      </c>
      <c r="AR33">
        <v>479</v>
      </c>
      <c r="AS33">
        <v>504550</v>
      </c>
      <c r="AT33">
        <v>338</v>
      </c>
      <c r="AU33">
        <v>1504</v>
      </c>
      <c r="AV33">
        <v>1883</v>
      </c>
      <c r="AW33">
        <v>1967667</v>
      </c>
      <c r="AX33">
        <v>958</v>
      </c>
      <c r="AY33">
        <v>5615</v>
      </c>
      <c r="AZ33">
        <v>5600</v>
      </c>
      <c r="BA33">
        <v>4996721</v>
      </c>
      <c r="BB33">
        <v>5331</v>
      </c>
      <c r="BC33">
        <v>19373</v>
      </c>
      <c r="BD33">
        <v>18977</v>
      </c>
      <c r="BE33">
        <v>6998814</v>
      </c>
      <c r="BF33">
        <v>15311</v>
      </c>
      <c r="BG33">
        <v>1433</v>
      </c>
      <c r="BH33">
        <v>2062</v>
      </c>
      <c r="BI33">
        <v>431922</v>
      </c>
      <c r="BJ33">
        <v>1934</v>
      </c>
      <c r="BK33">
        <v>16902</v>
      </c>
      <c r="BL33">
        <v>14757</v>
      </c>
      <c r="BM33">
        <v>7870152</v>
      </c>
      <c r="BN33">
        <v>8453</v>
      </c>
      <c r="BO33">
        <v>3536</v>
      </c>
      <c r="BP33">
        <v>4106</v>
      </c>
      <c r="BQ33">
        <v>3554644</v>
      </c>
      <c r="BR33">
        <v>5727</v>
      </c>
      <c r="BS33">
        <v>4957</v>
      </c>
      <c r="BT33">
        <v>4741</v>
      </c>
      <c r="BU33">
        <v>605342</v>
      </c>
      <c r="BV33">
        <v>2037</v>
      </c>
      <c r="BW33">
        <v>5611</v>
      </c>
      <c r="BX33">
        <v>8094</v>
      </c>
      <c r="BY33">
        <v>5629259</v>
      </c>
      <c r="BZ33">
        <v>5896</v>
      </c>
      <c r="CA33">
        <v>34531</v>
      </c>
      <c r="CB33">
        <v>36719</v>
      </c>
      <c r="CC33">
        <v>9755068</v>
      </c>
      <c r="CD33">
        <v>6421</v>
      </c>
      <c r="CE33">
        <v>5420</v>
      </c>
      <c r="CF33">
        <v>6049</v>
      </c>
      <c r="CG33">
        <v>4574201</v>
      </c>
      <c r="CH33">
        <v>5730</v>
      </c>
      <c r="CI33">
        <v>1758</v>
      </c>
      <c r="CJ33">
        <v>1834</v>
      </c>
      <c r="CK33">
        <v>1512183</v>
      </c>
      <c r="CL33">
        <v>1171</v>
      </c>
      <c r="CM33">
        <v>737</v>
      </c>
      <c r="CN33">
        <v>854</v>
      </c>
      <c r="CO33">
        <v>825905</v>
      </c>
      <c r="CP33">
        <v>866</v>
      </c>
      <c r="CQ33">
        <v>11056</v>
      </c>
      <c r="CR33">
        <v>13394</v>
      </c>
      <c r="CS33">
        <v>8355147</v>
      </c>
      <c r="CT33">
        <v>7358</v>
      </c>
      <c r="CU33">
        <v>3051</v>
      </c>
      <c r="CV33">
        <v>3358</v>
      </c>
      <c r="CW33">
        <v>9187033</v>
      </c>
      <c r="CX33">
        <v>3198</v>
      </c>
      <c r="CY33">
        <v>1600</v>
      </c>
      <c r="CZ33">
        <v>1379</v>
      </c>
      <c r="DA33">
        <v>851140</v>
      </c>
      <c r="DB33">
        <v>1844</v>
      </c>
      <c r="DC33">
        <v>5764</v>
      </c>
      <c r="DD33">
        <v>1937</v>
      </c>
      <c r="DE33">
        <v>802792</v>
      </c>
      <c r="DF33">
        <v>1895</v>
      </c>
    </row>
    <row r="34" spans="1:110" x14ac:dyDescent="0.4">
      <c r="A34" s="1" t="s">
        <v>56</v>
      </c>
      <c r="B34" s="1" t="s">
        <v>57</v>
      </c>
      <c r="C34">
        <v>1065</v>
      </c>
      <c r="D34">
        <v>552</v>
      </c>
      <c r="E34">
        <v>417372</v>
      </c>
      <c r="F34">
        <v>1130</v>
      </c>
      <c r="G34">
        <v>1807</v>
      </c>
      <c r="H34">
        <v>1855</v>
      </c>
      <c r="I34">
        <v>1888761</v>
      </c>
      <c r="J34">
        <v>1670</v>
      </c>
      <c r="K34">
        <v>1141</v>
      </c>
      <c r="L34">
        <v>1181</v>
      </c>
      <c r="M34">
        <v>784457</v>
      </c>
      <c r="N34">
        <v>1722</v>
      </c>
      <c r="O34">
        <v>766</v>
      </c>
      <c r="P34">
        <v>728</v>
      </c>
      <c r="Q34">
        <v>387172</v>
      </c>
      <c r="R34">
        <v>1215</v>
      </c>
      <c r="S34">
        <v>2625</v>
      </c>
      <c r="T34">
        <v>2434</v>
      </c>
      <c r="U34">
        <v>809378</v>
      </c>
      <c r="V34">
        <v>4297</v>
      </c>
      <c r="W34">
        <v>4044</v>
      </c>
      <c r="X34">
        <v>3402</v>
      </c>
      <c r="Y34">
        <v>2670088</v>
      </c>
      <c r="Z34">
        <v>5379</v>
      </c>
      <c r="AA34">
        <v>3436</v>
      </c>
      <c r="AB34">
        <v>3045</v>
      </c>
      <c r="AC34">
        <v>2325575</v>
      </c>
      <c r="AD34">
        <v>4967</v>
      </c>
      <c r="AE34">
        <v>2306</v>
      </c>
      <c r="AF34">
        <v>2194</v>
      </c>
      <c r="AG34">
        <v>2052446</v>
      </c>
      <c r="AH34">
        <v>2317</v>
      </c>
      <c r="AI34">
        <v>8702</v>
      </c>
      <c r="AJ34">
        <v>9260</v>
      </c>
      <c r="AK34">
        <v>4756823</v>
      </c>
      <c r="AL34">
        <v>8635</v>
      </c>
      <c r="AM34">
        <v>8426</v>
      </c>
      <c r="AN34">
        <v>9113</v>
      </c>
      <c r="AO34">
        <v>8248826</v>
      </c>
      <c r="AP34">
        <v>10961</v>
      </c>
      <c r="AQ34">
        <v>392</v>
      </c>
      <c r="AR34">
        <v>429</v>
      </c>
      <c r="AS34">
        <v>461077</v>
      </c>
      <c r="AT34">
        <v>373</v>
      </c>
      <c r="AU34">
        <v>1093</v>
      </c>
      <c r="AV34">
        <v>1149</v>
      </c>
      <c r="AW34">
        <v>1226005</v>
      </c>
      <c r="AX34">
        <v>1044</v>
      </c>
      <c r="AY34">
        <v>5182</v>
      </c>
      <c r="AZ34">
        <v>5021</v>
      </c>
      <c r="BA34">
        <v>4496386</v>
      </c>
      <c r="BB34">
        <v>5542</v>
      </c>
      <c r="BC34">
        <v>17304</v>
      </c>
      <c r="BD34">
        <v>17125</v>
      </c>
      <c r="BE34">
        <v>6452801</v>
      </c>
      <c r="BF34">
        <v>15005</v>
      </c>
      <c r="BG34">
        <v>1378</v>
      </c>
      <c r="BH34">
        <v>1905</v>
      </c>
      <c r="BI34">
        <v>408386</v>
      </c>
      <c r="BJ34">
        <v>1900</v>
      </c>
      <c r="BK34">
        <v>14810</v>
      </c>
      <c r="BL34">
        <v>12444</v>
      </c>
      <c r="BM34">
        <v>6580028</v>
      </c>
      <c r="BN34">
        <v>8923</v>
      </c>
      <c r="BO34">
        <v>3071</v>
      </c>
      <c r="BP34">
        <v>3652</v>
      </c>
      <c r="BQ34">
        <v>3143386</v>
      </c>
      <c r="BR34">
        <v>5623</v>
      </c>
      <c r="BS34">
        <v>4379</v>
      </c>
      <c r="BT34">
        <v>4589</v>
      </c>
      <c r="BU34">
        <v>580014</v>
      </c>
      <c r="BV34">
        <v>2010</v>
      </c>
      <c r="BW34">
        <v>5101</v>
      </c>
      <c r="BX34">
        <v>7604</v>
      </c>
      <c r="BY34">
        <v>5302872</v>
      </c>
      <c r="BZ34">
        <v>5940</v>
      </c>
      <c r="CA34">
        <v>29351</v>
      </c>
      <c r="CB34">
        <v>31142</v>
      </c>
      <c r="CC34">
        <v>8420541</v>
      </c>
      <c r="CD34">
        <v>6831</v>
      </c>
      <c r="CE34">
        <v>4669</v>
      </c>
      <c r="CF34">
        <v>5468</v>
      </c>
      <c r="CG34">
        <v>4109769</v>
      </c>
      <c r="CH34">
        <v>5594</v>
      </c>
      <c r="CI34">
        <v>1558</v>
      </c>
      <c r="CJ34">
        <v>1544</v>
      </c>
      <c r="CK34">
        <v>1272043</v>
      </c>
      <c r="CL34">
        <v>1238</v>
      </c>
      <c r="CM34">
        <v>639</v>
      </c>
      <c r="CN34">
        <v>734</v>
      </c>
      <c r="CO34">
        <v>677563</v>
      </c>
      <c r="CP34">
        <v>891</v>
      </c>
      <c r="CQ34">
        <v>9347</v>
      </c>
      <c r="CR34">
        <v>11368</v>
      </c>
      <c r="CS34">
        <v>7032981</v>
      </c>
      <c r="CT34">
        <v>7451</v>
      </c>
      <c r="CU34">
        <v>2600</v>
      </c>
      <c r="CV34">
        <v>2923</v>
      </c>
      <c r="CW34">
        <v>8019093</v>
      </c>
      <c r="CX34">
        <v>3243</v>
      </c>
      <c r="CY34">
        <v>1403</v>
      </c>
      <c r="CZ34">
        <v>1238</v>
      </c>
      <c r="DA34">
        <v>772152</v>
      </c>
      <c r="DB34">
        <v>1785</v>
      </c>
      <c r="DC34">
        <v>4991</v>
      </c>
      <c r="DD34">
        <v>1811</v>
      </c>
      <c r="DE34">
        <v>741632</v>
      </c>
      <c r="DF34">
        <v>1853</v>
      </c>
    </row>
    <row r="35" spans="1:110" x14ac:dyDescent="0.4">
      <c r="A35" s="1" t="s">
        <v>58</v>
      </c>
      <c r="B35" s="1" t="s">
        <v>59</v>
      </c>
      <c r="C35">
        <v>1148</v>
      </c>
      <c r="D35">
        <v>579</v>
      </c>
      <c r="E35">
        <v>441866</v>
      </c>
      <c r="F35">
        <v>1193</v>
      </c>
      <c r="G35">
        <v>1965</v>
      </c>
      <c r="H35">
        <v>2010</v>
      </c>
      <c r="I35">
        <v>2127367</v>
      </c>
      <c r="J35">
        <v>1635</v>
      </c>
      <c r="K35">
        <v>1183</v>
      </c>
      <c r="L35">
        <v>1196</v>
      </c>
      <c r="M35">
        <v>805852</v>
      </c>
      <c r="N35">
        <v>1773</v>
      </c>
      <c r="O35">
        <v>856</v>
      </c>
      <c r="P35">
        <v>689</v>
      </c>
      <c r="Q35">
        <v>368305</v>
      </c>
      <c r="R35">
        <v>1356</v>
      </c>
      <c r="S35">
        <v>2440</v>
      </c>
      <c r="T35">
        <v>2251</v>
      </c>
      <c r="U35">
        <v>760009</v>
      </c>
      <c r="V35">
        <v>4489</v>
      </c>
      <c r="W35">
        <v>3905</v>
      </c>
      <c r="X35">
        <v>3729</v>
      </c>
      <c r="Y35">
        <v>2968502</v>
      </c>
      <c r="Z35">
        <v>5249</v>
      </c>
      <c r="AA35">
        <v>3391</v>
      </c>
      <c r="AB35">
        <v>2927</v>
      </c>
      <c r="AC35">
        <v>2274009</v>
      </c>
      <c r="AD35">
        <v>5160</v>
      </c>
      <c r="AE35">
        <v>2482</v>
      </c>
      <c r="AF35">
        <v>2266</v>
      </c>
      <c r="AG35">
        <v>2128430</v>
      </c>
      <c r="AH35">
        <v>2416</v>
      </c>
      <c r="AI35">
        <v>9365</v>
      </c>
      <c r="AJ35">
        <v>9640</v>
      </c>
      <c r="AK35">
        <v>5028519</v>
      </c>
      <c r="AL35">
        <v>9248</v>
      </c>
      <c r="AM35">
        <v>8313</v>
      </c>
      <c r="AN35">
        <v>8602</v>
      </c>
      <c r="AO35">
        <v>8057580</v>
      </c>
      <c r="AP35">
        <v>11067</v>
      </c>
      <c r="AQ35">
        <v>338</v>
      </c>
      <c r="AR35">
        <v>400</v>
      </c>
      <c r="AS35">
        <v>433306</v>
      </c>
      <c r="AT35">
        <v>350</v>
      </c>
      <c r="AU35">
        <v>1135</v>
      </c>
      <c r="AV35">
        <v>1229</v>
      </c>
      <c r="AW35">
        <v>1310108</v>
      </c>
      <c r="AX35">
        <v>1098</v>
      </c>
      <c r="AY35">
        <v>5269</v>
      </c>
      <c r="AZ35">
        <v>5180</v>
      </c>
      <c r="BA35">
        <v>4479423</v>
      </c>
      <c r="BB35">
        <v>5790</v>
      </c>
      <c r="BC35">
        <v>17273</v>
      </c>
      <c r="BD35">
        <v>15918</v>
      </c>
      <c r="BE35">
        <v>5792040</v>
      </c>
      <c r="BF35">
        <v>15539</v>
      </c>
      <c r="BG35">
        <v>1229</v>
      </c>
      <c r="BH35">
        <v>1479</v>
      </c>
      <c r="BI35">
        <v>327128</v>
      </c>
      <c r="BJ35">
        <v>2067</v>
      </c>
      <c r="BK35">
        <v>14481</v>
      </c>
      <c r="BL35">
        <v>12428</v>
      </c>
      <c r="BM35">
        <v>6616940</v>
      </c>
      <c r="BN35">
        <v>9090</v>
      </c>
      <c r="BO35">
        <v>3207</v>
      </c>
      <c r="BP35">
        <v>3860</v>
      </c>
      <c r="BQ35">
        <v>3304696</v>
      </c>
      <c r="BR35">
        <v>5371</v>
      </c>
      <c r="BS35">
        <v>4790</v>
      </c>
      <c r="BT35">
        <v>4622</v>
      </c>
      <c r="BU35">
        <v>585512</v>
      </c>
      <c r="BV35">
        <v>2314</v>
      </c>
      <c r="BW35">
        <v>4948</v>
      </c>
      <c r="BX35">
        <v>7628</v>
      </c>
      <c r="BY35">
        <v>5269942</v>
      </c>
      <c r="BZ35">
        <v>6029</v>
      </c>
      <c r="CA35">
        <v>30315</v>
      </c>
      <c r="CB35">
        <v>32124</v>
      </c>
      <c r="CC35">
        <v>8549736</v>
      </c>
      <c r="CD35">
        <v>6804</v>
      </c>
      <c r="CE35">
        <v>5406</v>
      </c>
      <c r="CF35">
        <v>6341</v>
      </c>
      <c r="CG35">
        <v>4795649</v>
      </c>
      <c r="CH35">
        <v>5045</v>
      </c>
      <c r="CI35">
        <v>1674</v>
      </c>
      <c r="CJ35">
        <v>1611</v>
      </c>
      <c r="CK35">
        <v>1325225</v>
      </c>
      <c r="CL35">
        <v>1315</v>
      </c>
      <c r="CM35">
        <v>663</v>
      </c>
      <c r="CN35">
        <v>713</v>
      </c>
      <c r="CO35">
        <v>682322</v>
      </c>
      <c r="CP35">
        <v>977</v>
      </c>
      <c r="CQ35">
        <v>9266</v>
      </c>
      <c r="CR35">
        <v>11553</v>
      </c>
      <c r="CS35">
        <v>7177053</v>
      </c>
      <c r="CT35">
        <v>7407</v>
      </c>
      <c r="CU35">
        <v>2658</v>
      </c>
      <c r="CV35">
        <v>3122</v>
      </c>
      <c r="CW35">
        <v>8499799</v>
      </c>
      <c r="CX35">
        <v>3212</v>
      </c>
      <c r="CY35">
        <v>1847</v>
      </c>
      <c r="CZ35">
        <v>1597</v>
      </c>
      <c r="DA35">
        <v>992723</v>
      </c>
      <c r="DB35">
        <v>1812</v>
      </c>
      <c r="DC35">
        <v>5184</v>
      </c>
      <c r="DD35">
        <v>1561</v>
      </c>
      <c r="DE35">
        <v>730050</v>
      </c>
      <c r="DF35">
        <v>1877</v>
      </c>
    </row>
    <row r="36" spans="1:110" x14ac:dyDescent="0.4">
      <c r="A36" s="1" t="s">
        <v>60</v>
      </c>
      <c r="B36" s="1" t="s">
        <v>61</v>
      </c>
      <c r="C36">
        <v>985</v>
      </c>
      <c r="D36">
        <v>528</v>
      </c>
      <c r="E36">
        <v>404195</v>
      </c>
      <c r="F36">
        <v>1122</v>
      </c>
      <c r="G36">
        <v>1884</v>
      </c>
      <c r="H36">
        <v>1876</v>
      </c>
      <c r="I36">
        <v>2002202</v>
      </c>
      <c r="J36">
        <v>1645</v>
      </c>
      <c r="K36">
        <v>836</v>
      </c>
      <c r="L36">
        <v>1053</v>
      </c>
      <c r="M36">
        <v>641927</v>
      </c>
      <c r="N36">
        <v>1611</v>
      </c>
      <c r="O36">
        <v>737</v>
      </c>
      <c r="P36">
        <v>514</v>
      </c>
      <c r="Q36">
        <v>303798</v>
      </c>
      <c r="R36">
        <v>1459</v>
      </c>
      <c r="S36">
        <v>1929</v>
      </c>
      <c r="T36">
        <v>2137</v>
      </c>
      <c r="U36">
        <v>702145</v>
      </c>
      <c r="V36">
        <v>4134</v>
      </c>
      <c r="W36">
        <v>3516</v>
      </c>
      <c r="X36">
        <v>3262</v>
      </c>
      <c r="Y36">
        <v>2473694</v>
      </c>
      <c r="Z36">
        <v>5148</v>
      </c>
      <c r="AA36">
        <v>3113</v>
      </c>
      <c r="AB36">
        <v>2659</v>
      </c>
      <c r="AC36">
        <v>2021398</v>
      </c>
      <c r="AD36">
        <v>5261</v>
      </c>
      <c r="AE36">
        <v>2051</v>
      </c>
      <c r="AF36">
        <v>2050</v>
      </c>
      <c r="AG36">
        <v>1796895</v>
      </c>
      <c r="AH36">
        <v>2264</v>
      </c>
      <c r="AI36">
        <v>8323</v>
      </c>
      <c r="AJ36">
        <v>8035</v>
      </c>
      <c r="AK36">
        <v>4425488</v>
      </c>
      <c r="AL36">
        <v>9572</v>
      </c>
      <c r="AM36">
        <v>7777</v>
      </c>
      <c r="AN36">
        <v>7777</v>
      </c>
      <c r="AO36">
        <v>6978240</v>
      </c>
      <c r="AP36">
        <v>11082</v>
      </c>
      <c r="AQ36">
        <v>323</v>
      </c>
      <c r="AR36">
        <v>358</v>
      </c>
      <c r="AS36">
        <v>392785</v>
      </c>
      <c r="AT36">
        <v>372</v>
      </c>
      <c r="AU36">
        <v>1061</v>
      </c>
      <c r="AV36">
        <v>1002</v>
      </c>
      <c r="AW36">
        <v>1306300</v>
      </c>
      <c r="AX36">
        <v>1276</v>
      </c>
      <c r="AY36">
        <v>4346</v>
      </c>
      <c r="AZ36">
        <v>4244</v>
      </c>
      <c r="BA36">
        <v>3892672</v>
      </c>
      <c r="BB36">
        <v>5750</v>
      </c>
      <c r="BC36">
        <v>15878</v>
      </c>
      <c r="BD36">
        <v>15168</v>
      </c>
      <c r="BE36">
        <v>5582495</v>
      </c>
      <c r="BF36">
        <v>15217</v>
      </c>
      <c r="BG36">
        <v>1011</v>
      </c>
      <c r="BH36">
        <v>1466</v>
      </c>
      <c r="BI36">
        <v>310234</v>
      </c>
      <c r="BJ36">
        <v>1876</v>
      </c>
      <c r="BK36">
        <v>13613</v>
      </c>
      <c r="BL36">
        <v>11875</v>
      </c>
      <c r="BM36">
        <v>5870509</v>
      </c>
      <c r="BN36">
        <v>10324</v>
      </c>
      <c r="BO36">
        <v>3073</v>
      </c>
      <c r="BP36">
        <v>3562</v>
      </c>
      <c r="BQ36">
        <v>3154616</v>
      </c>
      <c r="BR36">
        <v>5466</v>
      </c>
      <c r="BS36">
        <v>4742</v>
      </c>
      <c r="BT36">
        <v>4770</v>
      </c>
      <c r="BU36">
        <v>619153</v>
      </c>
      <c r="BV36">
        <v>2432</v>
      </c>
      <c r="BW36">
        <v>3928</v>
      </c>
      <c r="BX36">
        <v>6009</v>
      </c>
      <c r="BY36">
        <v>4823186</v>
      </c>
      <c r="BZ36">
        <v>4260</v>
      </c>
      <c r="CA36">
        <v>28528</v>
      </c>
      <c r="CB36">
        <v>30109</v>
      </c>
      <c r="CC36">
        <v>8044662</v>
      </c>
      <c r="CD36">
        <v>9719</v>
      </c>
      <c r="CE36">
        <v>4465</v>
      </c>
      <c r="CF36">
        <v>4124</v>
      </c>
      <c r="CG36">
        <v>3163695</v>
      </c>
      <c r="CH36">
        <v>5496</v>
      </c>
      <c r="CI36">
        <v>1339</v>
      </c>
      <c r="CJ36">
        <v>1328</v>
      </c>
      <c r="CK36">
        <v>1117595</v>
      </c>
      <c r="CL36">
        <v>1358</v>
      </c>
      <c r="CM36">
        <v>591</v>
      </c>
      <c r="CN36">
        <v>762</v>
      </c>
      <c r="CO36">
        <v>727890</v>
      </c>
      <c r="CP36">
        <v>950</v>
      </c>
      <c r="CQ36">
        <v>8990</v>
      </c>
      <c r="CR36">
        <v>10862</v>
      </c>
      <c r="CS36">
        <v>6785639</v>
      </c>
      <c r="CT36">
        <v>7633</v>
      </c>
      <c r="CU36">
        <v>2525</v>
      </c>
      <c r="CV36">
        <v>2776</v>
      </c>
      <c r="CW36">
        <v>7802109</v>
      </c>
      <c r="CX36">
        <v>3294</v>
      </c>
      <c r="CY36">
        <v>1551</v>
      </c>
      <c r="CZ36">
        <v>1267</v>
      </c>
      <c r="DA36">
        <v>789663</v>
      </c>
      <c r="DB36">
        <v>1883</v>
      </c>
      <c r="DC36">
        <v>4781</v>
      </c>
      <c r="DD36">
        <v>1634</v>
      </c>
      <c r="DE36">
        <v>679160</v>
      </c>
      <c r="DF36">
        <v>1819</v>
      </c>
    </row>
    <row r="37" spans="1:110" x14ac:dyDescent="0.4">
      <c r="A37" s="1" t="s">
        <v>62</v>
      </c>
      <c r="B37" s="1" t="s">
        <v>63</v>
      </c>
      <c r="C37">
        <v>984</v>
      </c>
      <c r="D37">
        <v>522</v>
      </c>
      <c r="E37">
        <v>405171</v>
      </c>
      <c r="F37">
        <v>1103</v>
      </c>
      <c r="G37">
        <v>1667</v>
      </c>
      <c r="H37">
        <v>1883</v>
      </c>
      <c r="I37">
        <v>1911827</v>
      </c>
      <c r="J37">
        <v>1439</v>
      </c>
      <c r="K37">
        <v>802</v>
      </c>
      <c r="L37">
        <v>952</v>
      </c>
      <c r="M37">
        <v>627124</v>
      </c>
      <c r="N37">
        <v>1555</v>
      </c>
      <c r="O37">
        <v>768</v>
      </c>
      <c r="P37">
        <v>602</v>
      </c>
      <c r="Q37">
        <v>302124</v>
      </c>
      <c r="R37">
        <v>1449</v>
      </c>
      <c r="S37">
        <v>1995</v>
      </c>
      <c r="T37">
        <v>1982</v>
      </c>
      <c r="U37">
        <v>711137</v>
      </c>
      <c r="V37">
        <v>4096</v>
      </c>
      <c r="W37">
        <v>3706</v>
      </c>
      <c r="X37">
        <v>3618</v>
      </c>
      <c r="Y37">
        <v>2702246</v>
      </c>
      <c r="Z37">
        <v>5005</v>
      </c>
      <c r="AA37">
        <v>3199</v>
      </c>
      <c r="AB37">
        <v>2761</v>
      </c>
      <c r="AC37">
        <v>2094834</v>
      </c>
      <c r="AD37">
        <v>5278</v>
      </c>
      <c r="AE37">
        <v>2259</v>
      </c>
      <c r="AF37">
        <v>2305</v>
      </c>
      <c r="AG37">
        <v>1922249</v>
      </c>
      <c r="AH37">
        <v>2203</v>
      </c>
      <c r="AI37">
        <v>8310</v>
      </c>
      <c r="AJ37">
        <v>8728</v>
      </c>
      <c r="AK37">
        <v>4694163</v>
      </c>
      <c r="AL37">
        <v>8882</v>
      </c>
      <c r="AM37">
        <v>8149</v>
      </c>
      <c r="AN37">
        <v>7871</v>
      </c>
      <c r="AO37">
        <v>7143823</v>
      </c>
      <c r="AP37">
        <v>10860</v>
      </c>
      <c r="AQ37">
        <v>326</v>
      </c>
      <c r="AR37">
        <v>381</v>
      </c>
      <c r="AS37">
        <v>408485</v>
      </c>
      <c r="AT37">
        <v>355</v>
      </c>
      <c r="AU37">
        <v>1114</v>
      </c>
      <c r="AV37">
        <v>1421</v>
      </c>
      <c r="AW37">
        <v>1564794</v>
      </c>
      <c r="AX37">
        <v>1043</v>
      </c>
      <c r="AY37">
        <v>4873</v>
      </c>
      <c r="AZ37">
        <v>4583</v>
      </c>
      <c r="BA37">
        <v>4229240</v>
      </c>
      <c r="BB37">
        <v>5455</v>
      </c>
      <c r="BC37">
        <v>16080</v>
      </c>
      <c r="BD37">
        <v>14768</v>
      </c>
      <c r="BE37">
        <v>5453162</v>
      </c>
      <c r="BF37">
        <v>15469</v>
      </c>
      <c r="BG37">
        <v>1241</v>
      </c>
      <c r="BH37">
        <v>1391</v>
      </c>
      <c r="BI37">
        <v>294984</v>
      </c>
      <c r="BJ37">
        <v>1827</v>
      </c>
      <c r="BK37">
        <v>14131</v>
      </c>
      <c r="BL37">
        <v>11963</v>
      </c>
      <c r="BM37">
        <v>6630842</v>
      </c>
      <c r="BN37">
        <v>9805</v>
      </c>
      <c r="BO37">
        <v>2923</v>
      </c>
      <c r="BP37">
        <v>3619</v>
      </c>
      <c r="BQ37">
        <v>3191593</v>
      </c>
      <c r="BR37">
        <v>5303</v>
      </c>
      <c r="BS37">
        <v>4598</v>
      </c>
      <c r="BT37">
        <v>4916</v>
      </c>
      <c r="BU37">
        <v>661414</v>
      </c>
      <c r="BV37">
        <v>2433</v>
      </c>
      <c r="BW37">
        <v>4028</v>
      </c>
      <c r="BX37">
        <v>4751</v>
      </c>
      <c r="BY37">
        <v>3674686</v>
      </c>
      <c r="BZ37">
        <v>4074</v>
      </c>
      <c r="CA37">
        <v>28351</v>
      </c>
      <c r="CB37">
        <v>30278</v>
      </c>
      <c r="CC37">
        <v>8330241</v>
      </c>
      <c r="CD37">
        <v>9836</v>
      </c>
      <c r="CE37">
        <v>4381</v>
      </c>
      <c r="CF37">
        <v>4900</v>
      </c>
      <c r="CG37">
        <v>3711649</v>
      </c>
      <c r="CH37">
        <v>5523</v>
      </c>
      <c r="CI37">
        <v>1373</v>
      </c>
      <c r="CJ37">
        <v>1433</v>
      </c>
      <c r="CK37">
        <v>1202578</v>
      </c>
      <c r="CL37">
        <v>1344</v>
      </c>
      <c r="CM37">
        <v>619</v>
      </c>
      <c r="CN37">
        <v>743</v>
      </c>
      <c r="CO37">
        <v>708690</v>
      </c>
      <c r="CP37">
        <v>974</v>
      </c>
      <c r="CQ37">
        <v>8584</v>
      </c>
      <c r="CR37">
        <v>10914</v>
      </c>
      <c r="CS37">
        <v>6765926</v>
      </c>
      <c r="CT37">
        <v>7462</v>
      </c>
      <c r="CU37">
        <v>2516</v>
      </c>
      <c r="CV37">
        <v>2895</v>
      </c>
      <c r="CW37">
        <v>7836798</v>
      </c>
      <c r="CX37">
        <v>3311</v>
      </c>
      <c r="CY37">
        <v>1429</v>
      </c>
      <c r="CZ37">
        <v>1238</v>
      </c>
      <c r="DA37">
        <v>762779</v>
      </c>
      <c r="DB37">
        <v>1889</v>
      </c>
      <c r="DC37">
        <v>4438</v>
      </c>
      <c r="DD37">
        <v>1482</v>
      </c>
      <c r="DE37">
        <v>622783</v>
      </c>
      <c r="DF37">
        <v>1803</v>
      </c>
    </row>
    <row r="38" spans="1:110" x14ac:dyDescent="0.4">
      <c r="A38" s="1" t="s">
        <v>64</v>
      </c>
      <c r="B38" s="1" t="s">
        <v>65</v>
      </c>
      <c r="C38">
        <v>1072</v>
      </c>
      <c r="D38">
        <v>657</v>
      </c>
      <c r="E38">
        <v>498741</v>
      </c>
      <c r="F38">
        <v>1046</v>
      </c>
      <c r="G38">
        <v>2018</v>
      </c>
      <c r="H38">
        <v>1765</v>
      </c>
      <c r="I38">
        <v>2007187</v>
      </c>
      <c r="J38">
        <v>1596</v>
      </c>
      <c r="K38">
        <v>1122</v>
      </c>
      <c r="L38">
        <v>1484</v>
      </c>
      <c r="M38">
        <v>951597</v>
      </c>
      <c r="N38">
        <v>1342</v>
      </c>
      <c r="O38">
        <v>895</v>
      </c>
      <c r="P38">
        <v>1124</v>
      </c>
      <c r="Q38">
        <v>637343</v>
      </c>
      <c r="R38">
        <v>1142</v>
      </c>
      <c r="S38">
        <v>2683</v>
      </c>
      <c r="T38">
        <v>3323</v>
      </c>
      <c r="U38">
        <v>1093742</v>
      </c>
      <c r="V38">
        <v>3138</v>
      </c>
      <c r="W38">
        <v>4126</v>
      </c>
      <c r="X38">
        <v>3906</v>
      </c>
      <c r="Y38">
        <v>3007608</v>
      </c>
      <c r="Z38">
        <v>4743</v>
      </c>
      <c r="AA38">
        <v>3444</v>
      </c>
      <c r="AB38">
        <v>3610</v>
      </c>
      <c r="AC38">
        <v>2742390</v>
      </c>
      <c r="AD38">
        <v>4665</v>
      </c>
      <c r="AE38">
        <v>2322</v>
      </c>
      <c r="AF38">
        <v>2273</v>
      </c>
      <c r="AG38">
        <v>2004365</v>
      </c>
      <c r="AH38">
        <v>2103</v>
      </c>
      <c r="AI38">
        <v>9292</v>
      </c>
      <c r="AJ38">
        <v>10590</v>
      </c>
      <c r="AK38">
        <v>5667734</v>
      </c>
      <c r="AL38">
        <v>7523</v>
      </c>
      <c r="AM38">
        <v>8615</v>
      </c>
      <c r="AN38">
        <v>9587</v>
      </c>
      <c r="AO38">
        <v>8657849</v>
      </c>
      <c r="AP38">
        <v>9923</v>
      </c>
      <c r="AQ38">
        <v>365</v>
      </c>
      <c r="AR38">
        <v>430</v>
      </c>
      <c r="AS38">
        <v>476997</v>
      </c>
      <c r="AT38">
        <v>324</v>
      </c>
      <c r="AU38">
        <v>1363</v>
      </c>
      <c r="AV38">
        <v>1614</v>
      </c>
      <c r="AW38">
        <v>1807884</v>
      </c>
      <c r="AX38">
        <v>918</v>
      </c>
      <c r="AY38">
        <v>5350</v>
      </c>
      <c r="AZ38">
        <v>5593</v>
      </c>
      <c r="BA38">
        <v>4892929</v>
      </c>
      <c r="BB38">
        <v>4898</v>
      </c>
      <c r="BC38">
        <v>17638</v>
      </c>
      <c r="BD38">
        <v>17082</v>
      </c>
      <c r="BE38">
        <v>6508786</v>
      </c>
      <c r="BF38">
        <v>15163</v>
      </c>
      <c r="BG38">
        <v>1423</v>
      </c>
      <c r="BH38">
        <v>1728</v>
      </c>
      <c r="BI38">
        <v>373533</v>
      </c>
      <c r="BJ38">
        <v>2151</v>
      </c>
      <c r="BK38">
        <v>16519</v>
      </c>
      <c r="BL38">
        <v>13841</v>
      </c>
      <c r="BM38">
        <v>6794908</v>
      </c>
      <c r="BN38">
        <v>9528</v>
      </c>
      <c r="BO38">
        <v>3408</v>
      </c>
      <c r="BP38">
        <v>4493</v>
      </c>
      <c r="BQ38">
        <v>3875813</v>
      </c>
      <c r="BR38">
        <v>4796</v>
      </c>
      <c r="BS38">
        <v>4682</v>
      </c>
      <c r="BT38">
        <v>6150</v>
      </c>
      <c r="BU38">
        <v>795664</v>
      </c>
      <c r="BV38">
        <v>1354</v>
      </c>
      <c r="BW38">
        <v>4593</v>
      </c>
      <c r="BX38">
        <v>5350</v>
      </c>
      <c r="BY38">
        <v>3946199</v>
      </c>
      <c r="BZ38">
        <v>3893</v>
      </c>
      <c r="CA38">
        <v>33709</v>
      </c>
      <c r="CB38">
        <v>36682</v>
      </c>
      <c r="CC38">
        <v>9717564</v>
      </c>
      <c r="CD38">
        <v>8354</v>
      </c>
      <c r="CE38">
        <v>5230</v>
      </c>
      <c r="CF38">
        <v>5438</v>
      </c>
      <c r="CG38">
        <v>4158453</v>
      </c>
      <c r="CH38">
        <v>5948</v>
      </c>
      <c r="CI38">
        <v>1529</v>
      </c>
      <c r="CJ38">
        <v>1686</v>
      </c>
      <c r="CK38">
        <v>1407110</v>
      </c>
      <c r="CL38">
        <v>1258</v>
      </c>
      <c r="CM38">
        <v>771</v>
      </c>
      <c r="CN38">
        <v>948</v>
      </c>
      <c r="CO38">
        <v>906619</v>
      </c>
      <c r="CP38">
        <v>977</v>
      </c>
      <c r="CQ38">
        <v>9944</v>
      </c>
      <c r="CR38">
        <v>12693</v>
      </c>
      <c r="CS38">
        <v>7849844</v>
      </c>
      <c r="CT38">
        <v>7363</v>
      </c>
      <c r="CU38">
        <v>2841</v>
      </c>
      <c r="CV38">
        <v>3293</v>
      </c>
      <c r="CW38">
        <v>8884150</v>
      </c>
      <c r="CX38">
        <v>3258</v>
      </c>
      <c r="CY38">
        <v>1704</v>
      </c>
      <c r="CZ38">
        <v>1385</v>
      </c>
      <c r="DA38">
        <v>852382</v>
      </c>
      <c r="DB38">
        <v>1942</v>
      </c>
      <c r="DC38">
        <v>5275</v>
      </c>
      <c r="DD38">
        <v>1764</v>
      </c>
      <c r="DE38">
        <v>777102</v>
      </c>
      <c r="DF38">
        <v>1759</v>
      </c>
    </row>
    <row r="39" spans="1:110" x14ac:dyDescent="0.4">
      <c r="A39" s="1"/>
      <c r="B39" s="1"/>
    </row>
    <row r="40" spans="1:110" x14ac:dyDescent="0.4">
      <c r="A40" s="1"/>
      <c r="B40" s="1"/>
    </row>
  </sheetData>
  <phoneticPr fontId="2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2E2AC-5C23-483A-ABC9-781E1B15CA03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2818</v>
      </c>
      <c r="D3" t="s">
        <v>2818</v>
      </c>
      <c r="E3" t="s">
        <v>2818</v>
      </c>
      <c r="F3" t="s">
        <v>2818</v>
      </c>
      <c r="G3" t="s">
        <v>2821</v>
      </c>
      <c r="H3" t="s">
        <v>2821</v>
      </c>
      <c r="I3" t="s">
        <v>2821</v>
      </c>
      <c r="J3" t="s">
        <v>2821</v>
      </c>
      <c r="K3" t="s">
        <v>2823</v>
      </c>
      <c r="L3" t="s">
        <v>2823</v>
      </c>
      <c r="M3" t="s">
        <v>2823</v>
      </c>
      <c r="N3" t="s">
        <v>2823</v>
      </c>
      <c r="O3" t="s">
        <v>2825</v>
      </c>
      <c r="P3" t="s">
        <v>2825</v>
      </c>
      <c r="Q3" t="s">
        <v>2825</v>
      </c>
      <c r="R3" t="s">
        <v>2825</v>
      </c>
      <c r="S3" t="s">
        <v>2827</v>
      </c>
      <c r="T3" t="s">
        <v>2827</v>
      </c>
      <c r="U3" t="s">
        <v>2827</v>
      </c>
      <c r="V3" t="s">
        <v>2827</v>
      </c>
    </row>
    <row r="4" spans="1:22" x14ac:dyDescent="0.4">
      <c r="A4" s="1"/>
      <c r="B4" s="2" t="s">
        <v>1</v>
      </c>
      <c r="C4" t="s">
        <v>2819</v>
      </c>
      <c r="D4" t="s">
        <v>2819</v>
      </c>
      <c r="E4" t="s">
        <v>2819</v>
      </c>
      <c r="F4" t="s">
        <v>2819</v>
      </c>
      <c r="G4" t="s">
        <v>2822</v>
      </c>
      <c r="H4" t="s">
        <v>2822</v>
      </c>
      <c r="I4" t="s">
        <v>2822</v>
      </c>
      <c r="J4" t="s">
        <v>2822</v>
      </c>
      <c r="K4" t="s">
        <v>2824</v>
      </c>
      <c r="L4" t="s">
        <v>2824</v>
      </c>
      <c r="M4" t="s">
        <v>2824</v>
      </c>
      <c r="N4" t="s">
        <v>2824</v>
      </c>
      <c r="O4" t="s">
        <v>2826</v>
      </c>
      <c r="P4" t="s">
        <v>2826</v>
      </c>
      <c r="Q4" t="s">
        <v>2826</v>
      </c>
      <c r="R4" t="s">
        <v>2826</v>
      </c>
      <c r="S4" t="s">
        <v>2828</v>
      </c>
      <c r="T4" t="s">
        <v>2828</v>
      </c>
      <c r="U4" t="s">
        <v>2828</v>
      </c>
      <c r="V4" t="s">
        <v>2828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2197</v>
      </c>
      <c r="D7" t="s">
        <v>2197</v>
      </c>
      <c r="E7" t="s">
        <v>341</v>
      </c>
      <c r="F7" t="s">
        <v>2197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588</v>
      </c>
      <c r="T7" t="s">
        <v>588</v>
      </c>
      <c r="U7" t="s">
        <v>341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2820</v>
      </c>
      <c r="D8" t="s">
        <v>2820</v>
      </c>
      <c r="E8" t="s">
        <v>342</v>
      </c>
      <c r="F8" t="s">
        <v>2820</v>
      </c>
      <c r="G8" t="s">
        <v>2820</v>
      </c>
      <c r="H8" t="s">
        <v>2820</v>
      </c>
      <c r="I8" t="s">
        <v>342</v>
      </c>
      <c r="J8" t="s">
        <v>2820</v>
      </c>
      <c r="K8" t="s">
        <v>2820</v>
      </c>
      <c r="L8" t="s">
        <v>2820</v>
      </c>
      <c r="M8" t="s">
        <v>342</v>
      </c>
      <c r="N8" t="s">
        <v>2820</v>
      </c>
      <c r="O8" t="s">
        <v>2820</v>
      </c>
      <c r="P8" t="s">
        <v>2820</v>
      </c>
      <c r="Q8" t="s">
        <v>342</v>
      </c>
      <c r="R8" t="s">
        <v>2820</v>
      </c>
      <c r="S8" t="s">
        <v>253</v>
      </c>
      <c r="T8" t="s">
        <v>253</v>
      </c>
      <c r="U8" t="s">
        <v>342</v>
      </c>
      <c r="V8" t="s">
        <v>253</v>
      </c>
    </row>
    <row r="9" spans="1:22" x14ac:dyDescent="0.4">
      <c r="A9" s="1" t="s">
        <v>6</v>
      </c>
      <c r="B9" s="3" t="s">
        <v>7</v>
      </c>
      <c r="C9">
        <v>10160</v>
      </c>
      <c r="D9">
        <v>10079</v>
      </c>
      <c r="E9">
        <v>249334827</v>
      </c>
      <c r="F9">
        <v>340</v>
      </c>
      <c r="G9">
        <v>100327</v>
      </c>
      <c r="H9">
        <v>100154</v>
      </c>
      <c r="I9">
        <v>523703939</v>
      </c>
      <c r="J9">
        <v>4052</v>
      </c>
      <c r="K9">
        <v>22068</v>
      </c>
      <c r="L9">
        <v>21984</v>
      </c>
      <c r="M9">
        <v>145333430</v>
      </c>
      <c r="N9">
        <v>668</v>
      </c>
      <c r="O9">
        <v>4160</v>
      </c>
      <c r="P9">
        <v>4345</v>
      </c>
      <c r="Q9">
        <v>11658118</v>
      </c>
      <c r="R9">
        <v>244</v>
      </c>
      <c r="S9">
        <v>1342257</v>
      </c>
      <c r="T9">
        <v>1563493</v>
      </c>
      <c r="U9">
        <v>216231732</v>
      </c>
      <c r="V9">
        <v>117496</v>
      </c>
    </row>
    <row r="10" spans="1:22" x14ac:dyDescent="0.4">
      <c r="A10" s="1" t="s">
        <v>8</v>
      </c>
      <c r="B10" s="3" t="s">
        <v>9</v>
      </c>
      <c r="C10">
        <v>10670</v>
      </c>
      <c r="D10">
        <v>10692</v>
      </c>
      <c r="E10">
        <v>284423206</v>
      </c>
      <c r="F10">
        <v>314</v>
      </c>
      <c r="G10">
        <v>94793</v>
      </c>
      <c r="H10">
        <v>96980</v>
      </c>
      <c r="I10">
        <v>546142991</v>
      </c>
      <c r="J10">
        <v>3457</v>
      </c>
      <c r="K10">
        <v>21974</v>
      </c>
      <c r="L10">
        <v>21993</v>
      </c>
      <c r="M10">
        <v>155750609</v>
      </c>
      <c r="N10">
        <v>657</v>
      </c>
      <c r="O10">
        <v>4218</v>
      </c>
      <c r="P10">
        <v>4497</v>
      </c>
      <c r="Q10">
        <v>12917652</v>
      </c>
      <c r="R10">
        <v>209</v>
      </c>
      <c r="S10">
        <v>1344742</v>
      </c>
      <c r="T10">
        <v>1586177</v>
      </c>
      <c r="U10">
        <v>233137604</v>
      </c>
      <c r="V10">
        <v>125927</v>
      </c>
    </row>
    <row r="11" spans="1:22" x14ac:dyDescent="0.4">
      <c r="A11" s="1" t="s">
        <v>10</v>
      </c>
      <c r="B11" s="3" t="s">
        <v>11</v>
      </c>
      <c r="C11">
        <v>9508</v>
      </c>
      <c r="D11">
        <v>9502</v>
      </c>
      <c r="E11">
        <v>291236802</v>
      </c>
      <c r="F11">
        <v>314</v>
      </c>
      <c r="G11">
        <v>95232</v>
      </c>
      <c r="H11">
        <v>96135</v>
      </c>
      <c r="I11">
        <v>638231570</v>
      </c>
      <c r="J11">
        <v>3307</v>
      </c>
      <c r="K11">
        <v>20589</v>
      </c>
      <c r="L11">
        <v>20492</v>
      </c>
      <c r="M11">
        <v>168396584</v>
      </c>
      <c r="N11">
        <v>757</v>
      </c>
      <c r="O11">
        <v>3766</v>
      </c>
      <c r="P11">
        <v>3960</v>
      </c>
      <c r="Q11">
        <v>14294919</v>
      </c>
      <c r="R11">
        <v>199</v>
      </c>
      <c r="S11">
        <v>1211631</v>
      </c>
      <c r="T11">
        <v>1404198</v>
      </c>
      <c r="U11">
        <v>301826771</v>
      </c>
      <c r="V11">
        <v>121647</v>
      </c>
    </row>
    <row r="12" spans="1:22" x14ac:dyDescent="0.4">
      <c r="A12" s="1" t="s">
        <v>12</v>
      </c>
      <c r="B12" s="3" t="s">
        <v>13</v>
      </c>
      <c r="C12">
        <v>8977</v>
      </c>
      <c r="D12">
        <v>8996</v>
      </c>
      <c r="E12">
        <v>291277342</v>
      </c>
      <c r="F12">
        <v>287</v>
      </c>
      <c r="G12">
        <v>89414</v>
      </c>
      <c r="H12">
        <v>90204</v>
      </c>
      <c r="I12">
        <v>639117336</v>
      </c>
      <c r="J12">
        <v>2946</v>
      </c>
      <c r="K12">
        <v>19579</v>
      </c>
      <c r="L12">
        <v>19717</v>
      </c>
      <c r="M12">
        <v>174908475</v>
      </c>
      <c r="N12">
        <v>615</v>
      </c>
      <c r="O12">
        <v>3673</v>
      </c>
      <c r="P12">
        <v>3801</v>
      </c>
      <c r="Q12">
        <v>14598205</v>
      </c>
      <c r="R12">
        <v>202</v>
      </c>
      <c r="S12">
        <v>1105069</v>
      </c>
      <c r="T12">
        <v>1243593</v>
      </c>
      <c r="U12">
        <v>308894913</v>
      </c>
      <c r="V12">
        <v>118287</v>
      </c>
    </row>
    <row r="13" spans="1:22" x14ac:dyDescent="0.4">
      <c r="A13" s="1" t="s">
        <v>14</v>
      </c>
      <c r="B13" s="3" t="s">
        <v>15</v>
      </c>
      <c r="C13">
        <v>9843</v>
      </c>
      <c r="D13">
        <v>9853</v>
      </c>
      <c r="E13">
        <v>332959274</v>
      </c>
      <c r="F13">
        <v>264</v>
      </c>
      <c r="G13">
        <v>88573</v>
      </c>
      <c r="H13">
        <v>88846</v>
      </c>
      <c r="I13">
        <v>659825773</v>
      </c>
      <c r="J13">
        <v>3102</v>
      </c>
      <c r="K13">
        <v>20297</v>
      </c>
      <c r="L13">
        <v>20338</v>
      </c>
      <c r="M13">
        <v>190087534</v>
      </c>
      <c r="N13">
        <v>558</v>
      </c>
      <c r="O13">
        <v>3721</v>
      </c>
      <c r="P13">
        <v>3852</v>
      </c>
      <c r="Q13">
        <v>15268466</v>
      </c>
      <c r="R13">
        <v>203</v>
      </c>
      <c r="S13">
        <v>1094225</v>
      </c>
      <c r="T13">
        <v>1245736</v>
      </c>
      <c r="U13">
        <v>306209365</v>
      </c>
      <c r="V13">
        <v>102684</v>
      </c>
    </row>
    <row r="14" spans="1:22" x14ac:dyDescent="0.4">
      <c r="A14" s="1" t="s">
        <v>16</v>
      </c>
      <c r="B14" s="1" t="s">
        <v>17</v>
      </c>
      <c r="C14">
        <v>795</v>
      </c>
      <c r="D14">
        <v>825</v>
      </c>
      <c r="E14">
        <v>26278647</v>
      </c>
      <c r="F14">
        <v>352</v>
      </c>
      <c r="G14">
        <v>8004</v>
      </c>
      <c r="H14">
        <v>8284</v>
      </c>
      <c r="I14">
        <v>58108438</v>
      </c>
      <c r="J14">
        <v>3514</v>
      </c>
      <c r="K14">
        <v>1620</v>
      </c>
      <c r="L14">
        <v>1712</v>
      </c>
      <c r="M14">
        <v>14921451</v>
      </c>
      <c r="N14">
        <v>814</v>
      </c>
      <c r="O14">
        <v>323</v>
      </c>
      <c r="P14">
        <v>334</v>
      </c>
      <c r="Q14">
        <v>1263832</v>
      </c>
      <c r="R14">
        <v>186</v>
      </c>
      <c r="S14">
        <v>98097</v>
      </c>
      <c r="T14">
        <v>110146</v>
      </c>
      <c r="U14">
        <v>27605993</v>
      </c>
      <c r="V14">
        <v>118572</v>
      </c>
    </row>
    <row r="15" spans="1:22" x14ac:dyDescent="0.4">
      <c r="A15" s="1" t="s">
        <v>18</v>
      </c>
      <c r="B15" s="1" t="s">
        <v>19</v>
      </c>
      <c r="C15">
        <v>774</v>
      </c>
      <c r="D15">
        <v>804</v>
      </c>
      <c r="E15">
        <v>26113037</v>
      </c>
      <c r="F15">
        <v>322</v>
      </c>
      <c r="G15">
        <v>7809</v>
      </c>
      <c r="H15">
        <v>7654</v>
      </c>
      <c r="I15">
        <v>54978611</v>
      </c>
      <c r="J15">
        <v>3707</v>
      </c>
      <c r="K15">
        <v>1602</v>
      </c>
      <c r="L15">
        <v>1551</v>
      </c>
      <c r="M15">
        <v>14009016</v>
      </c>
      <c r="N15">
        <v>863</v>
      </c>
      <c r="O15">
        <v>311</v>
      </c>
      <c r="P15">
        <v>339</v>
      </c>
      <c r="Q15">
        <v>1298259</v>
      </c>
      <c r="R15">
        <v>171</v>
      </c>
      <c r="S15">
        <v>98307</v>
      </c>
      <c r="T15">
        <v>107663</v>
      </c>
      <c r="U15">
        <v>26663377</v>
      </c>
      <c r="V15">
        <v>119396</v>
      </c>
    </row>
    <row r="16" spans="1:22" x14ac:dyDescent="0.4">
      <c r="A16" s="1" t="s">
        <v>20</v>
      </c>
      <c r="B16" s="1" t="s">
        <v>21</v>
      </c>
      <c r="C16">
        <v>626</v>
      </c>
      <c r="D16">
        <v>626</v>
      </c>
      <c r="E16">
        <v>19983752</v>
      </c>
      <c r="F16">
        <v>323</v>
      </c>
      <c r="G16">
        <v>6859</v>
      </c>
      <c r="H16">
        <v>7399</v>
      </c>
      <c r="I16">
        <v>51559151</v>
      </c>
      <c r="J16">
        <v>3217</v>
      </c>
      <c r="K16">
        <v>1356</v>
      </c>
      <c r="L16">
        <v>1470</v>
      </c>
      <c r="M16">
        <v>12971492</v>
      </c>
      <c r="N16">
        <v>747</v>
      </c>
      <c r="O16">
        <v>278</v>
      </c>
      <c r="P16">
        <v>308</v>
      </c>
      <c r="Q16">
        <v>1166531</v>
      </c>
      <c r="R16">
        <v>153</v>
      </c>
      <c r="S16">
        <v>89083</v>
      </c>
      <c r="T16">
        <v>102812</v>
      </c>
      <c r="U16">
        <v>24892507</v>
      </c>
      <c r="V16">
        <v>117712</v>
      </c>
    </row>
    <row r="17" spans="1:22" x14ac:dyDescent="0.4">
      <c r="A17" s="1" t="s">
        <v>22</v>
      </c>
      <c r="B17" s="1" t="s">
        <v>23</v>
      </c>
      <c r="C17">
        <v>754</v>
      </c>
      <c r="D17">
        <v>708</v>
      </c>
      <c r="E17">
        <v>22895469</v>
      </c>
      <c r="F17">
        <v>369</v>
      </c>
      <c r="G17">
        <v>7722</v>
      </c>
      <c r="H17">
        <v>7568</v>
      </c>
      <c r="I17">
        <v>53766851</v>
      </c>
      <c r="J17">
        <v>3420</v>
      </c>
      <c r="K17">
        <v>1658</v>
      </c>
      <c r="L17">
        <v>1626</v>
      </c>
      <c r="M17">
        <v>14355521</v>
      </c>
      <c r="N17">
        <v>779</v>
      </c>
      <c r="O17">
        <v>322</v>
      </c>
      <c r="P17">
        <v>292</v>
      </c>
      <c r="Q17">
        <v>1112176</v>
      </c>
      <c r="R17">
        <v>197</v>
      </c>
      <c r="S17">
        <v>94316</v>
      </c>
      <c r="T17">
        <v>103891</v>
      </c>
      <c r="U17">
        <v>26772240</v>
      </c>
      <c r="V17">
        <v>113405</v>
      </c>
    </row>
    <row r="18" spans="1:22" x14ac:dyDescent="0.4">
      <c r="A18" s="1" t="s">
        <v>24</v>
      </c>
      <c r="B18" s="1" t="s">
        <v>25</v>
      </c>
      <c r="C18">
        <v>773</v>
      </c>
      <c r="D18">
        <v>803</v>
      </c>
      <c r="E18">
        <v>26550969</v>
      </c>
      <c r="F18">
        <v>335</v>
      </c>
      <c r="G18">
        <v>8002</v>
      </c>
      <c r="H18">
        <v>8099</v>
      </c>
      <c r="I18">
        <v>57256972</v>
      </c>
      <c r="J18">
        <v>3370</v>
      </c>
      <c r="K18">
        <v>1768</v>
      </c>
      <c r="L18">
        <v>1783</v>
      </c>
      <c r="M18">
        <v>15636054</v>
      </c>
      <c r="N18">
        <v>768</v>
      </c>
      <c r="O18">
        <v>317</v>
      </c>
      <c r="P18">
        <v>318</v>
      </c>
      <c r="Q18">
        <v>1207107</v>
      </c>
      <c r="R18">
        <v>207</v>
      </c>
      <c r="S18">
        <v>97461</v>
      </c>
      <c r="T18">
        <v>106875</v>
      </c>
      <c r="U18">
        <v>28613834</v>
      </c>
      <c r="V18">
        <v>114504</v>
      </c>
    </row>
    <row r="19" spans="1:22" x14ac:dyDescent="0.4">
      <c r="A19" s="1" t="s">
        <v>26</v>
      </c>
      <c r="B19" s="1" t="s">
        <v>27</v>
      </c>
      <c r="C19">
        <v>580</v>
      </c>
      <c r="D19">
        <v>586</v>
      </c>
      <c r="E19">
        <v>19298625</v>
      </c>
      <c r="F19">
        <v>329</v>
      </c>
      <c r="G19">
        <v>6413</v>
      </c>
      <c r="H19">
        <v>6311</v>
      </c>
      <c r="I19">
        <v>45435349</v>
      </c>
      <c r="J19">
        <v>3495</v>
      </c>
      <c r="K19">
        <v>1442</v>
      </c>
      <c r="L19">
        <v>1387</v>
      </c>
      <c r="M19">
        <v>12216518</v>
      </c>
      <c r="N19">
        <v>822</v>
      </c>
      <c r="O19">
        <v>277</v>
      </c>
      <c r="P19">
        <v>304</v>
      </c>
      <c r="Q19">
        <v>1158638</v>
      </c>
      <c r="R19">
        <v>189</v>
      </c>
      <c r="S19">
        <v>78297</v>
      </c>
      <c r="T19">
        <v>86888</v>
      </c>
      <c r="U19">
        <v>19981445</v>
      </c>
      <c r="V19">
        <v>116763</v>
      </c>
    </row>
    <row r="20" spans="1:22" x14ac:dyDescent="0.4">
      <c r="A20" s="1" t="s">
        <v>28</v>
      </c>
      <c r="B20" s="1" t="s">
        <v>29</v>
      </c>
      <c r="C20">
        <v>849</v>
      </c>
      <c r="D20">
        <v>834</v>
      </c>
      <c r="E20">
        <v>27349293</v>
      </c>
      <c r="F20">
        <v>344</v>
      </c>
      <c r="G20">
        <v>7733</v>
      </c>
      <c r="H20">
        <v>7546</v>
      </c>
      <c r="I20">
        <v>54996236</v>
      </c>
      <c r="J20">
        <v>3707</v>
      </c>
      <c r="K20">
        <v>1852</v>
      </c>
      <c r="L20">
        <v>1855</v>
      </c>
      <c r="M20">
        <v>16756357</v>
      </c>
      <c r="N20">
        <v>817</v>
      </c>
      <c r="O20">
        <v>318</v>
      </c>
      <c r="P20">
        <v>310</v>
      </c>
      <c r="Q20">
        <v>1191140</v>
      </c>
      <c r="R20">
        <v>209</v>
      </c>
      <c r="S20">
        <v>91320</v>
      </c>
      <c r="T20">
        <v>105315</v>
      </c>
      <c r="U20">
        <v>27096380</v>
      </c>
      <c r="V20">
        <v>113253</v>
      </c>
    </row>
    <row r="21" spans="1:22" x14ac:dyDescent="0.4">
      <c r="A21" s="1" t="s">
        <v>30</v>
      </c>
      <c r="B21" s="1" t="s">
        <v>31</v>
      </c>
      <c r="C21">
        <v>859</v>
      </c>
      <c r="D21">
        <v>925</v>
      </c>
      <c r="E21">
        <v>29827729</v>
      </c>
      <c r="F21">
        <v>278</v>
      </c>
      <c r="G21">
        <v>8158</v>
      </c>
      <c r="H21">
        <v>8487</v>
      </c>
      <c r="I21">
        <v>60222866</v>
      </c>
      <c r="J21">
        <v>3400</v>
      </c>
      <c r="K21">
        <v>1933</v>
      </c>
      <c r="L21">
        <v>2077</v>
      </c>
      <c r="M21">
        <v>18274194</v>
      </c>
      <c r="N21">
        <v>673</v>
      </c>
      <c r="O21">
        <v>293</v>
      </c>
      <c r="P21">
        <v>291</v>
      </c>
      <c r="Q21">
        <v>1080554</v>
      </c>
      <c r="R21">
        <v>219</v>
      </c>
      <c r="S21">
        <v>95039</v>
      </c>
      <c r="T21">
        <v>104392</v>
      </c>
      <c r="U21">
        <v>27513249</v>
      </c>
      <c r="V21">
        <v>112840</v>
      </c>
    </row>
    <row r="22" spans="1:22" x14ac:dyDescent="0.4">
      <c r="A22" s="1" t="s">
        <v>32</v>
      </c>
      <c r="B22" s="1" t="s">
        <v>33</v>
      </c>
      <c r="C22">
        <v>845</v>
      </c>
      <c r="D22">
        <v>860</v>
      </c>
      <c r="E22">
        <v>27817400</v>
      </c>
      <c r="F22">
        <v>262</v>
      </c>
      <c r="G22">
        <v>7805</v>
      </c>
      <c r="H22">
        <v>8089</v>
      </c>
      <c r="I22">
        <v>57136335</v>
      </c>
      <c r="J22">
        <v>3151</v>
      </c>
      <c r="K22">
        <v>1846</v>
      </c>
      <c r="L22">
        <v>1875</v>
      </c>
      <c r="M22">
        <v>16525634</v>
      </c>
      <c r="N22">
        <v>643</v>
      </c>
      <c r="O22">
        <v>335</v>
      </c>
      <c r="P22">
        <v>352</v>
      </c>
      <c r="Q22">
        <v>1374517</v>
      </c>
      <c r="R22">
        <v>204</v>
      </c>
      <c r="S22">
        <v>90722</v>
      </c>
      <c r="T22">
        <v>97013</v>
      </c>
      <c r="U22">
        <v>25219942</v>
      </c>
      <c r="V22">
        <v>117449</v>
      </c>
    </row>
    <row r="23" spans="1:22" x14ac:dyDescent="0.4">
      <c r="A23" s="1" t="s">
        <v>34</v>
      </c>
      <c r="B23" s="1" t="s">
        <v>35</v>
      </c>
      <c r="C23">
        <v>777</v>
      </c>
      <c r="D23">
        <v>750</v>
      </c>
      <c r="E23">
        <v>24928382</v>
      </c>
      <c r="F23">
        <v>287</v>
      </c>
      <c r="G23">
        <v>6597</v>
      </c>
      <c r="H23">
        <v>6840</v>
      </c>
      <c r="I23">
        <v>48642830</v>
      </c>
      <c r="J23">
        <v>2946</v>
      </c>
      <c r="K23">
        <v>1552</v>
      </c>
      <c r="L23">
        <v>1582</v>
      </c>
      <c r="M23">
        <v>13976019</v>
      </c>
      <c r="N23">
        <v>615</v>
      </c>
      <c r="O23">
        <v>295</v>
      </c>
      <c r="P23">
        <v>305</v>
      </c>
      <c r="Q23">
        <v>1208994</v>
      </c>
      <c r="R23">
        <v>202</v>
      </c>
      <c r="S23">
        <v>85763</v>
      </c>
      <c r="T23">
        <v>96216</v>
      </c>
      <c r="U23">
        <v>24145837</v>
      </c>
      <c r="V23">
        <v>118287</v>
      </c>
    </row>
    <row r="24" spans="1:22" x14ac:dyDescent="0.4">
      <c r="A24" s="1" t="s">
        <v>36</v>
      </c>
      <c r="B24" s="1" t="s">
        <v>37</v>
      </c>
      <c r="C24">
        <v>731</v>
      </c>
      <c r="D24">
        <v>697</v>
      </c>
      <c r="E24">
        <v>23611378</v>
      </c>
      <c r="F24">
        <v>319</v>
      </c>
      <c r="G24">
        <v>6476</v>
      </c>
      <c r="H24">
        <v>6327</v>
      </c>
      <c r="I24">
        <v>45824110</v>
      </c>
      <c r="J24">
        <v>3152</v>
      </c>
      <c r="K24">
        <v>1563</v>
      </c>
      <c r="L24">
        <v>1504</v>
      </c>
      <c r="M24">
        <v>13745776</v>
      </c>
      <c r="N24">
        <v>674</v>
      </c>
      <c r="O24">
        <v>289</v>
      </c>
      <c r="P24">
        <v>322</v>
      </c>
      <c r="Q24">
        <v>1280455</v>
      </c>
      <c r="R24">
        <v>182</v>
      </c>
      <c r="S24">
        <v>83603</v>
      </c>
      <c r="T24">
        <v>96601</v>
      </c>
      <c r="U24">
        <v>22408598</v>
      </c>
      <c r="V24">
        <v>115727</v>
      </c>
    </row>
    <row r="25" spans="1:22" x14ac:dyDescent="0.4">
      <c r="A25" s="1" t="s">
        <v>38</v>
      </c>
      <c r="B25" s="1" t="s">
        <v>39</v>
      </c>
      <c r="C25">
        <v>795</v>
      </c>
      <c r="D25">
        <v>771</v>
      </c>
      <c r="E25">
        <v>26156295</v>
      </c>
      <c r="F25">
        <v>344</v>
      </c>
      <c r="G25">
        <v>7234</v>
      </c>
      <c r="H25">
        <v>7204</v>
      </c>
      <c r="I25">
        <v>52616018</v>
      </c>
      <c r="J25">
        <v>3209</v>
      </c>
      <c r="K25">
        <v>1685</v>
      </c>
      <c r="L25">
        <v>1625</v>
      </c>
      <c r="M25">
        <v>14893184</v>
      </c>
      <c r="N25">
        <v>729</v>
      </c>
      <c r="O25">
        <v>319</v>
      </c>
      <c r="P25">
        <v>357</v>
      </c>
      <c r="Q25">
        <v>1444626</v>
      </c>
      <c r="R25">
        <v>154</v>
      </c>
      <c r="S25">
        <v>95510</v>
      </c>
      <c r="T25">
        <v>101470</v>
      </c>
      <c r="U25">
        <v>24621892</v>
      </c>
      <c r="V25">
        <v>117789</v>
      </c>
    </row>
    <row r="26" spans="1:22" x14ac:dyDescent="0.4">
      <c r="A26" s="1" t="s">
        <v>40</v>
      </c>
      <c r="B26" s="1" t="s">
        <v>41</v>
      </c>
      <c r="C26">
        <v>888</v>
      </c>
      <c r="D26">
        <v>922</v>
      </c>
      <c r="E26">
        <v>31298294</v>
      </c>
      <c r="F26">
        <v>306</v>
      </c>
      <c r="G26">
        <v>8209</v>
      </c>
      <c r="H26">
        <v>8195</v>
      </c>
      <c r="I26">
        <v>59162323</v>
      </c>
      <c r="J26">
        <v>3246</v>
      </c>
      <c r="K26">
        <v>1765</v>
      </c>
      <c r="L26">
        <v>1822</v>
      </c>
      <c r="M26">
        <v>16910084</v>
      </c>
      <c r="N26">
        <v>667</v>
      </c>
      <c r="O26">
        <v>339</v>
      </c>
      <c r="P26">
        <v>347</v>
      </c>
      <c r="Q26">
        <v>1390847</v>
      </c>
      <c r="R26">
        <v>160</v>
      </c>
      <c r="S26">
        <v>96477</v>
      </c>
      <c r="T26">
        <v>113575</v>
      </c>
      <c r="U26">
        <v>28575119</v>
      </c>
      <c r="V26">
        <v>111445</v>
      </c>
    </row>
    <row r="27" spans="1:22" x14ac:dyDescent="0.4">
      <c r="A27" s="1" t="s">
        <v>42</v>
      </c>
      <c r="B27" s="1" t="s">
        <v>43</v>
      </c>
      <c r="C27">
        <v>811</v>
      </c>
      <c r="D27">
        <v>821</v>
      </c>
      <c r="E27">
        <v>27868861</v>
      </c>
      <c r="F27">
        <v>297</v>
      </c>
      <c r="G27">
        <v>7887</v>
      </c>
      <c r="H27">
        <v>7930</v>
      </c>
      <c r="I27">
        <v>58024610</v>
      </c>
      <c r="J27">
        <v>3233</v>
      </c>
      <c r="K27">
        <v>1728</v>
      </c>
      <c r="L27">
        <v>1750</v>
      </c>
      <c r="M27">
        <v>16296681</v>
      </c>
      <c r="N27">
        <v>641</v>
      </c>
      <c r="O27">
        <v>323</v>
      </c>
      <c r="P27">
        <v>303</v>
      </c>
      <c r="Q27">
        <v>1188083</v>
      </c>
      <c r="R27">
        <v>193</v>
      </c>
      <c r="S27">
        <v>98788</v>
      </c>
      <c r="T27">
        <v>110168</v>
      </c>
      <c r="U27">
        <v>27548903</v>
      </c>
      <c r="V27">
        <v>108031</v>
      </c>
    </row>
    <row r="28" spans="1:22" x14ac:dyDescent="0.4">
      <c r="A28" s="1" t="s">
        <v>44</v>
      </c>
      <c r="B28" s="1" t="s">
        <v>45</v>
      </c>
      <c r="C28">
        <v>708</v>
      </c>
      <c r="D28">
        <v>748</v>
      </c>
      <c r="E28">
        <v>24854296</v>
      </c>
      <c r="F28">
        <v>257</v>
      </c>
      <c r="G28">
        <v>6594</v>
      </c>
      <c r="H28">
        <v>6878</v>
      </c>
      <c r="I28">
        <v>50602199</v>
      </c>
      <c r="J28">
        <v>2971</v>
      </c>
      <c r="K28">
        <v>1562</v>
      </c>
      <c r="L28">
        <v>1638</v>
      </c>
      <c r="M28">
        <v>15092617</v>
      </c>
      <c r="N28">
        <v>568</v>
      </c>
      <c r="O28">
        <v>287</v>
      </c>
      <c r="P28">
        <v>321</v>
      </c>
      <c r="Q28">
        <v>1268450</v>
      </c>
      <c r="R28">
        <v>167</v>
      </c>
      <c r="S28">
        <v>83239</v>
      </c>
      <c r="T28">
        <v>103618</v>
      </c>
      <c r="U28">
        <v>26079714</v>
      </c>
      <c r="V28">
        <v>102028</v>
      </c>
    </row>
    <row r="29" spans="1:22" x14ac:dyDescent="0.4">
      <c r="A29" s="1" t="s">
        <v>46</v>
      </c>
      <c r="B29" s="1" t="s">
        <v>47</v>
      </c>
      <c r="C29">
        <v>862</v>
      </c>
      <c r="D29">
        <v>824</v>
      </c>
      <c r="E29">
        <v>27561919</v>
      </c>
      <c r="F29">
        <v>295</v>
      </c>
      <c r="G29">
        <v>7652</v>
      </c>
      <c r="H29">
        <v>7497</v>
      </c>
      <c r="I29">
        <v>55492682</v>
      </c>
      <c r="J29">
        <v>3143</v>
      </c>
      <c r="K29">
        <v>1731</v>
      </c>
      <c r="L29">
        <v>1671</v>
      </c>
      <c r="M29">
        <v>15804883</v>
      </c>
      <c r="N29">
        <v>630</v>
      </c>
      <c r="O29">
        <v>322</v>
      </c>
      <c r="P29">
        <v>327</v>
      </c>
      <c r="Q29">
        <v>1286383</v>
      </c>
      <c r="R29">
        <v>173</v>
      </c>
      <c r="S29">
        <v>98517</v>
      </c>
      <c r="T29">
        <v>113165</v>
      </c>
      <c r="U29">
        <v>27163149</v>
      </c>
      <c r="V29">
        <v>98838</v>
      </c>
    </row>
    <row r="30" spans="1:22" x14ac:dyDescent="0.4">
      <c r="A30" s="1" t="s">
        <v>48</v>
      </c>
      <c r="B30" s="1" t="s">
        <v>49</v>
      </c>
      <c r="C30">
        <v>906</v>
      </c>
      <c r="D30">
        <v>901</v>
      </c>
      <c r="E30">
        <v>30087783</v>
      </c>
      <c r="F30">
        <v>299</v>
      </c>
      <c r="G30">
        <v>7923</v>
      </c>
      <c r="H30">
        <v>7789</v>
      </c>
      <c r="I30">
        <v>57565845</v>
      </c>
      <c r="J30">
        <v>3327</v>
      </c>
      <c r="K30">
        <v>1815</v>
      </c>
      <c r="L30">
        <v>1794</v>
      </c>
      <c r="M30">
        <v>16808369</v>
      </c>
      <c r="N30">
        <v>649</v>
      </c>
      <c r="O30">
        <v>329</v>
      </c>
      <c r="P30">
        <v>379</v>
      </c>
      <c r="Q30">
        <v>1503527</v>
      </c>
      <c r="R30">
        <v>139</v>
      </c>
      <c r="S30">
        <v>100655</v>
      </c>
      <c r="T30">
        <v>113833</v>
      </c>
      <c r="U30">
        <v>28581821</v>
      </c>
      <c r="V30">
        <v>100190</v>
      </c>
    </row>
    <row r="31" spans="1:22" x14ac:dyDescent="0.4">
      <c r="A31" s="1" t="s">
        <v>50</v>
      </c>
      <c r="B31" s="1" t="s">
        <v>51</v>
      </c>
      <c r="C31">
        <v>731</v>
      </c>
      <c r="D31">
        <v>743</v>
      </c>
      <c r="E31">
        <v>25273163</v>
      </c>
      <c r="F31">
        <v>288</v>
      </c>
      <c r="G31">
        <v>6071</v>
      </c>
      <c r="H31">
        <v>5904</v>
      </c>
      <c r="I31">
        <v>43858060</v>
      </c>
      <c r="J31">
        <v>3531</v>
      </c>
      <c r="K31">
        <v>1463</v>
      </c>
      <c r="L31">
        <v>1392</v>
      </c>
      <c r="M31">
        <v>13230130</v>
      </c>
      <c r="N31">
        <v>720</v>
      </c>
      <c r="O31">
        <v>235</v>
      </c>
      <c r="P31">
        <v>204</v>
      </c>
      <c r="Q31">
        <v>798899</v>
      </c>
      <c r="R31">
        <v>181</v>
      </c>
      <c r="S31">
        <v>78187</v>
      </c>
      <c r="T31">
        <v>84569</v>
      </c>
      <c r="U31">
        <v>20366436</v>
      </c>
      <c r="V31">
        <v>111990</v>
      </c>
    </row>
    <row r="32" spans="1:22" x14ac:dyDescent="0.4">
      <c r="A32" s="1" t="s">
        <v>52</v>
      </c>
      <c r="B32" s="1" t="s">
        <v>53</v>
      </c>
      <c r="C32">
        <v>888</v>
      </c>
      <c r="D32">
        <v>894</v>
      </c>
      <c r="E32">
        <v>30575848</v>
      </c>
      <c r="F32">
        <v>278</v>
      </c>
      <c r="G32">
        <v>7771</v>
      </c>
      <c r="H32">
        <v>7887</v>
      </c>
      <c r="I32">
        <v>61931543</v>
      </c>
      <c r="J32">
        <v>3457</v>
      </c>
      <c r="K32">
        <v>1807</v>
      </c>
      <c r="L32">
        <v>1854</v>
      </c>
      <c r="M32">
        <v>17780242</v>
      </c>
      <c r="N32">
        <v>669</v>
      </c>
      <c r="O32">
        <v>324</v>
      </c>
      <c r="P32">
        <v>334</v>
      </c>
      <c r="Q32">
        <v>1297509</v>
      </c>
      <c r="R32">
        <v>185</v>
      </c>
      <c r="S32">
        <v>96515</v>
      </c>
      <c r="T32">
        <v>106144</v>
      </c>
      <c r="U32">
        <v>26238427</v>
      </c>
      <c r="V32">
        <v>111897</v>
      </c>
    </row>
    <row r="33" spans="1:22" x14ac:dyDescent="0.4">
      <c r="A33" s="1" t="s">
        <v>54</v>
      </c>
      <c r="B33" s="1" t="s">
        <v>55</v>
      </c>
      <c r="C33">
        <v>900</v>
      </c>
      <c r="D33">
        <v>927</v>
      </c>
      <c r="E33">
        <v>31192021</v>
      </c>
      <c r="F33">
        <v>250</v>
      </c>
      <c r="G33">
        <v>8173</v>
      </c>
      <c r="H33">
        <v>8662</v>
      </c>
      <c r="I33">
        <v>65239691</v>
      </c>
      <c r="J33">
        <v>3007</v>
      </c>
      <c r="K33">
        <v>1875</v>
      </c>
      <c r="L33">
        <v>1946</v>
      </c>
      <c r="M33">
        <v>18260713</v>
      </c>
      <c r="N33">
        <v>598</v>
      </c>
      <c r="O33">
        <v>364</v>
      </c>
      <c r="P33">
        <v>355</v>
      </c>
      <c r="Q33">
        <v>1406092</v>
      </c>
      <c r="R33">
        <v>201</v>
      </c>
      <c r="S33">
        <v>95334</v>
      </c>
      <c r="T33">
        <v>110302</v>
      </c>
      <c r="U33">
        <v>26739417</v>
      </c>
      <c r="V33">
        <v>111352</v>
      </c>
    </row>
    <row r="34" spans="1:22" x14ac:dyDescent="0.4">
      <c r="A34" s="1" t="s">
        <v>56</v>
      </c>
      <c r="B34" s="1" t="s">
        <v>57</v>
      </c>
      <c r="C34">
        <v>860</v>
      </c>
      <c r="D34">
        <v>850</v>
      </c>
      <c r="E34">
        <v>28995704</v>
      </c>
      <c r="F34">
        <v>258</v>
      </c>
      <c r="G34">
        <v>7672</v>
      </c>
      <c r="H34">
        <v>7551</v>
      </c>
      <c r="I34">
        <v>56921962</v>
      </c>
      <c r="J34">
        <v>3180</v>
      </c>
      <c r="K34">
        <v>1802</v>
      </c>
      <c r="L34">
        <v>1767</v>
      </c>
      <c r="M34">
        <v>16438899</v>
      </c>
      <c r="N34">
        <v>633</v>
      </c>
      <c r="O34">
        <v>291</v>
      </c>
      <c r="P34">
        <v>318</v>
      </c>
      <c r="Q34">
        <v>1261552</v>
      </c>
      <c r="R34">
        <v>182</v>
      </c>
      <c r="S34">
        <v>90175</v>
      </c>
      <c r="T34">
        <v>101124</v>
      </c>
      <c r="U34">
        <v>24660118</v>
      </c>
      <c r="V34">
        <v>108693</v>
      </c>
    </row>
    <row r="35" spans="1:22" x14ac:dyDescent="0.4">
      <c r="A35" s="1" t="s">
        <v>58</v>
      </c>
      <c r="B35" s="1" t="s">
        <v>59</v>
      </c>
      <c r="C35">
        <v>763</v>
      </c>
      <c r="D35">
        <v>755</v>
      </c>
      <c r="E35">
        <v>25483712</v>
      </c>
      <c r="F35">
        <v>264</v>
      </c>
      <c r="G35">
        <v>6911</v>
      </c>
      <c r="H35">
        <v>7022</v>
      </c>
      <c r="I35">
        <v>52586730</v>
      </c>
      <c r="J35">
        <v>3102</v>
      </c>
      <c r="K35">
        <v>1501</v>
      </c>
      <c r="L35">
        <v>1575</v>
      </c>
      <c r="M35">
        <v>14825956</v>
      </c>
      <c r="N35">
        <v>558</v>
      </c>
      <c r="O35">
        <v>299</v>
      </c>
      <c r="P35">
        <v>285</v>
      </c>
      <c r="Q35">
        <v>1142043</v>
      </c>
      <c r="R35">
        <v>203</v>
      </c>
      <c r="S35">
        <v>77225</v>
      </c>
      <c r="T35">
        <v>91167</v>
      </c>
      <c r="U35">
        <v>23225771</v>
      </c>
      <c r="V35">
        <v>102684</v>
      </c>
    </row>
    <row r="36" spans="1:22" x14ac:dyDescent="0.4">
      <c r="A36" s="1" t="s">
        <v>60</v>
      </c>
      <c r="B36" s="1" t="s">
        <v>61</v>
      </c>
      <c r="C36">
        <v>723</v>
      </c>
      <c r="D36">
        <v>714</v>
      </c>
      <c r="E36">
        <v>24168119</v>
      </c>
      <c r="F36">
        <v>273</v>
      </c>
      <c r="G36">
        <v>6047</v>
      </c>
      <c r="H36">
        <v>5974</v>
      </c>
      <c r="I36">
        <v>44554662</v>
      </c>
      <c r="J36">
        <v>3222</v>
      </c>
      <c r="K36">
        <v>1486</v>
      </c>
      <c r="L36">
        <v>1425</v>
      </c>
      <c r="M36">
        <v>12702261</v>
      </c>
      <c r="N36">
        <v>620</v>
      </c>
      <c r="O36">
        <v>262</v>
      </c>
      <c r="P36">
        <v>321</v>
      </c>
      <c r="Q36">
        <v>1364362</v>
      </c>
      <c r="R36">
        <v>153</v>
      </c>
      <c r="S36">
        <v>76020</v>
      </c>
      <c r="T36">
        <v>83043</v>
      </c>
      <c r="U36">
        <v>22491106</v>
      </c>
      <c r="V36">
        <v>105647</v>
      </c>
    </row>
    <row r="37" spans="1:22" x14ac:dyDescent="0.4">
      <c r="A37" s="1" t="s">
        <v>62</v>
      </c>
      <c r="B37" s="1" t="s">
        <v>63</v>
      </c>
      <c r="C37">
        <v>821</v>
      </c>
      <c r="D37">
        <v>786</v>
      </c>
      <c r="E37">
        <v>26302619</v>
      </c>
      <c r="F37">
        <v>310</v>
      </c>
      <c r="G37">
        <v>6804</v>
      </c>
      <c r="H37">
        <v>6850</v>
      </c>
      <c r="I37">
        <v>50307063</v>
      </c>
      <c r="J37">
        <v>3177</v>
      </c>
      <c r="K37">
        <v>1528</v>
      </c>
      <c r="L37">
        <v>1466</v>
      </c>
      <c r="M37">
        <v>12857369</v>
      </c>
      <c r="N37">
        <v>681</v>
      </c>
      <c r="O37">
        <v>295</v>
      </c>
      <c r="P37">
        <v>278</v>
      </c>
      <c r="Q37">
        <v>1145427</v>
      </c>
      <c r="R37">
        <v>176</v>
      </c>
      <c r="S37">
        <v>88070</v>
      </c>
      <c r="T37">
        <v>96288</v>
      </c>
      <c r="U37">
        <v>25257762</v>
      </c>
      <c r="V37">
        <v>105657</v>
      </c>
    </row>
    <row r="38" spans="1:22" x14ac:dyDescent="0.4">
      <c r="A38" s="1" t="s">
        <v>64</v>
      </c>
      <c r="B38" s="1" t="s">
        <v>65</v>
      </c>
      <c r="C38">
        <v>930</v>
      </c>
      <c r="D38">
        <v>935</v>
      </c>
      <c r="E38">
        <v>30633935</v>
      </c>
      <c r="F38">
        <v>305</v>
      </c>
      <c r="G38">
        <v>7870</v>
      </c>
      <c r="H38">
        <v>7857</v>
      </c>
      <c r="I38">
        <v>57189099</v>
      </c>
      <c r="J38">
        <v>3219</v>
      </c>
      <c r="K38">
        <v>1710</v>
      </c>
      <c r="L38">
        <v>1690</v>
      </c>
      <c r="M38">
        <v>15011760</v>
      </c>
      <c r="N38">
        <v>701</v>
      </c>
      <c r="O38">
        <v>309</v>
      </c>
      <c r="P38">
        <v>337</v>
      </c>
      <c r="Q38">
        <v>1386205</v>
      </c>
      <c r="R38">
        <v>162</v>
      </c>
      <c r="S38">
        <v>95439</v>
      </c>
      <c r="T38">
        <v>108374</v>
      </c>
      <c r="U38">
        <v>29396131</v>
      </c>
      <c r="V38">
        <v>106533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B4A0E-740F-4EEB-85A8-065A07C822E5}">
  <dimension ref="A1:CV40"/>
  <sheetViews>
    <sheetView workbookViewId="0">
      <selection activeCell="C9" sqref="C9"/>
    </sheetView>
  </sheetViews>
  <sheetFormatPr defaultColWidth="15.625" defaultRowHeight="18.75" x14ac:dyDescent="0.4"/>
  <sheetData>
    <row r="1" spans="1:100" x14ac:dyDescent="0.4">
      <c r="A1" s="1" t="s">
        <v>66</v>
      </c>
      <c r="B1" s="1"/>
    </row>
    <row r="2" spans="1:100" x14ac:dyDescent="0.4">
      <c r="A2" s="4" t="str">
        <f>HYPERLINK("#'目次(Contents)'!A3","目次に戻る(Return to Contents)")</f>
        <v>目次に戻る(Return to Contents)</v>
      </c>
      <c r="B2" s="1"/>
    </row>
    <row r="3" spans="1:100" x14ac:dyDescent="0.4">
      <c r="A3" s="1"/>
      <c r="B3" s="2" t="s">
        <v>0</v>
      </c>
      <c r="C3" t="s">
        <v>2829</v>
      </c>
      <c r="D3" t="s">
        <v>2829</v>
      </c>
      <c r="E3" t="s">
        <v>2829</v>
      </c>
      <c r="F3" t="s">
        <v>2829</v>
      </c>
      <c r="G3" t="s">
        <v>2829</v>
      </c>
      <c r="H3" t="s">
        <v>2837</v>
      </c>
      <c r="I3" t="s">
        <v>2837</v>
      </c>
      <c r="J3" t="s">
        <v>2837</v>
      </c>
      <c r="K3" t="s">
        <v>2837</v>
      </c>
      <c r="L3" t="s">
        <v>2837</v>
      </c>
      <c r="M3" t="s">
        <v>2839</v>
      </c>
      <c r="N3" t="s">
        <v>2839</v>
      </c>
      <c r="O3" t="s">
        <v>2839</v>
      </c>
      <c r="P3" t="s">
        <v>2839</v>
      </c>
      <c r="Q3" t="s">
        <v>2841</v>
      </c>
      <c r="R3" t="s">
        <v>2841</v>
      </c>
      <c r="S3" t="s">
        <v>2841</v>
      </c>
      <c r="T3" t="s">
        <v>2841</v>
      </c>
      <c r="U3" t="s">
        <v>2843</v>
      </c>
      <c r="V3" t="s">
        <v>2843</v>
      </c>
      <c r="W3" t="s">
        <v>2843</v>
      </c>
      <c r="X3" t="s">
        <v>2843</v>
      </c>
      <c r="Y3" t="s">
        <v>2843</v>
      </c>
      <c r="Z3" t="s">
        <v>2847</v>
      </c>
      <c r="AA3" t="s">
        <v>2847</v>
      </c>
      <c r="AB3" t="s">
        <v>2847</v>
      </c>
      <c r="AC3" t="s">
        <v>2847</v>
      </c>
      <c r="AD3" t="s">
        <v>2849</v>
      </c>
      <c r="AE3" t="s">
        <v>2849</v>
      </c>
      <c r="AF3" t="s">
        <v>2849</v>
      </c>
      <c r="AG3" t="s">
        <v>2849</v>
      </c>
      <c r="AH3" t="s">
        <v>2851</v>
      </c>
      <c r="AI3" t="s">
        <v>2851</v>
      </c>
      <c r="AJ3" t="s">
        <v>2851</v>
      </c>
      <c r="AK3" t="s">
        <v>2851</v>
      </c>
      <c r="AL3" t="s">
        <v>2851</v>
      </c>
      <c r="AM3" t="s">
        <v>2855</v>
      </c>
      <c r="AN3" t="s">
        <v>2855</v>
      </c>
      <c r="AO3" t="s">
        <v>2855</v>
      </c>
      <c r="AP3" t="s">
        <v>2855</v>
      </c>
      <c r="AQ3" t="s">
        <v>2855</v>
      </c>
      <c r="AR3" t="s">
        <v>2857</v>
      </c>
      <c r="AS3" t="s">
        <v>2857</v>
      </c>
      <c r="AT3" t="s">
        <v>2857</v>
      </c>
      <c r="AU3" t="s">
        <v>2857</v>
      </c>
      <c r="AV3" t="s">
        <v>2857</v>
      </c>
      <c r="AW3" t="s">
        <v>2859</v>
      </c>
      <c r="AX3" t="s">
        <v>2859</v>
      </c>
      <c r="AY3" t="s">
        <v>2859</v>
      </c>
      <c r="AZ3" t="s">
        <v>2859</v>
      </c>
      <c r="BA3" t="s">
        <v>2861</v>
      </c>
      <c r="BB3" t="s">
        <v>2861</v>
      </c>
      <c r="BC3" t="s">
        <v>2861</v>
      </c>
      <c r="BD3" t="s">
        <v>2861</v>
      </c>
      <c r="BE3" t="s">
        <v>2863</v>
      </c>
      <c r="BF3" t="s">
        <v>2863</v>
      </c>
      <c r="BG3" t="s">
        <v>2863</v>
      </c>
      <c r="BH3" t="s">
        <v>2863</v>
      </c>
      <c r="BI3" t="s">
        <v>2865</v>
      </c>
      <c r="BJ3" t="s">
        <v>2865</v>
      </c>
      <c r="BK3" t="s">
        <v>2865</v>
      </c>
      <c r="BL3" t="s">
        <v>2865</v>
      </c>
      <c r="BM3" t="s">
        <v>2867</v>
      </c>
      <c r="BN3" t="s">
        <v>2867</v>
      </c>
      <c r="BO3" t="s">
        <v>2867</v>
      </c>
      <c r="BP3" t="s">
        <v>2867</v>
      </c>
      <c r="BQ3" t="s">
        <v>2869</v>
      </c>
      <c r="BR3" t="s">
        <v>2869</v>
      </c>
      <c r="BS3" t="s">
        <v>2869</v>
      </c>
      <c r="BT3" t="s">
        <v>2869</v>
      </c>
      <c r="BU3" t="s">
        <v>2871</v>
      </c>
      <c r="BV3" t="s">
        <v>2871</v>
      </c>
      <c r="BW3" t="s">
        <v>2871</v>
      </c>
      <c r="BX3" t="s">
        <v>2871</v>
      </c>
      <c r="BY3" t="s">
        <v>2873</v>
      </c>
      <c r="BZ3" t="s">
        <v>2873</v>
      </c>
      <c r="CA3" t="s">
        <v>2873</v>
      </c>
      <c r="CB3" t="s">
        <v>2873</v>
      </c>
      <c r="CC3" t="s">
        <v>2875</v>
      </c>
      <c r="CD3" t="s">
        <v>2875</v>
      </c>
      <c r="CE3" t="s">
        <v>2875</v>
      </c>
      <c r="CF3" t="s">
        <v>2875</v>
      </c>
      <c r="CG3" t="s">
        <v>2877</v>
      </c>
      <c r="CH3" t="s">
        <v>2877</v>
      </c>
      <c r="CI3" t="s">
        <v>2877</v>
      </c>
      <c r="CJ3" t="s">
        <v>2877</v>
      </c>
      <c r="CK3" t="s">
        <v>2879</v>
      </c>
      <c r="CL3" t="s">
        <v>2879</v>
      </c>
      <c r="CM3" t="s">
        <v>2879</v>
      </c>
      <c r="CN3" t="s">
        <v>2879</v>
      </c>
      <c r="CO3" t="s">
        <v>2881</v>
      </c>
      <c r="CP3" t="s">
        <v>2881</v>
      </c>
      <c r="CQ3" t="s">
        <v>2881</v>
      </c>
      <c r="CR3" t="s">
        <v>2881</v>
      </c>
      <c r="CS3" t="s">
        <v>2883</v>
      </c>
      <c r="CT3" t="s">
        <v>2883</v>
      </c>
      <c r="CU3" t="s">
        <v>2883</v>
      </c>
      <c r="CV3" t="s">
        <v>2883</v>
      </c>
    </row>
    <row r="4" spans="1:100" x14ac:dyDescent="0.4">
      <c r="A4" s="1"/>
      <c r="B4" s="2" t="s">
        <v>1</v>
      </c>
      <c r="C4" t="s">
        <v>2831</v>
      </c>
      <c r="D4" t="s">
        <v>2831</v>
      </c>
      <c r="E4" t="s">
        <v>2831</v>
      </c>
      <c r="F4" t="s">
        <v>2831</v>
      </c>
      <c r="G4" t="s">
        <v>2831</v>
      </c>
      <c r="H4" t="s">
        <v>2838</v>
      </c>
      <c r="I4" t="s">
        <v>2838</v>
      </c>
      <c r="J4" t="s">
        <v>2838</v>
      </c>
      <c r="K4" t="s">
        <v>2838</v>
      </c>
      <c r="L4" t="s">
        <v>2838</v>
      </c>
      <c r="M4" t="s">
        <v>2840</v>
      </c>
      <c r="N4" t="s">
        <v>2840</v>
      </c>
      <c r="O4" t="s">
        <v>2840</v>
      </c>
      <c r="P4" t="s">
        <v>2840</v>
      </c>
      <c r="Q4" t="s">
        <v>2842</v>
      </c>
      <c r="R4" t="s">
        <v>2842</v>
      </c>
      <c r="S4" t="s">
        <v>2842</v>
      </c>
      <c r="T4" t="s">
        <v>2842</v>
      </c>
      <c r="U4" t="s">
        <v>2845</v>
      </c>
      <c r="V4" t="s">
        <v>2845</v>
      </c>
      <c r="W4" t="s">
        <v>2845</v>
      </c>
      <c r="X4" t="s">
        <v>2845</v>
      </c>
      <c r="Y4" t="s">
        <v>2845</v>
      </c>
      <c r="Z4" t="s">
        <v>2848</v>
      </c>
      <c r="AA4" t="s">
        <v>2848</v>
      </c>
      <c r="AB4" t="s">
        <v>2848</v>
      </c>
      <c r="AC4" t="s">
        <v>2848</v>
      </c>
      <c r="AD4" t="s">
        <v>2850</v>
      </c>
      <c r="AE4" t="s">
        <v>2850</v>
      </c>
      <c r="AF4" t="s">
        <v>2850</v>
      </c>
      <c r="AG4" t="s">
        <v>2850</v>
      </c>
      <c r="AH4" t="s">
        <v>2853</v>
      </c>
      <c r="AI4" t="s">
        <v>2853</v>
      </c>
      <c r="AJ4" t="s">
        <v>2853</v>
      </c>
      <c r="AK4" t="s">
        <v>2853</v>
      </c>
      <c r="AL4" t="s">
        <v>2853</v>
      </c>
      <c r="AM4" t="s">
        <v>2856</v>
      </c>
      <c r="AN4" t="s">
        <v>2856</v>
      </c>
      <c r="AO4" t="s">
        <v>2856</v>
      </c>
      <c r="AP4" t="s">
        <v>2856</v>
      </c>
      <c r="AQ4" t="s">
        <v>2856</v>
      </c>
      <c r="AR4" t="s">
        <v>2858</v>
      </c>
      <c r="AS4" t="s">
        <v>2858</v>
      </c>
      <c r="AT4" t="s">
        <v>2858</v>
      </c>
      <c r="AU4" t="s">
        <v>2858</v>
      </c>
      <c r="AV4" t="s">
        <v>2858</v>
      </c>
      <c r="AW4" t="s">
        <v>2860</v>
      </c>
      <c r="AX4" t="s">
        <v>2860</v>
      </c>
      <c r="AY4" t="s">
        <v>2860</v>
      </c>
      <c r="AZ4" t="s">
        <v>2860</v>
      </c>
      <c r="BA4" t="s">
        <v>2862</v>
      </c>
      <c r="BB4" t="s">
        <v>2862</v>
      </c>
      <c r="BC4" t="s">
        <v>2862</v>
      </c>
      <c r="BD4" t="s">
        <v>2862</v>
      </c>
      <c r="BE4" t="s">
        <v>2864</v>
      </c>
      <c r="BF4" t="s">
        <v>2864</v>
      </c>
      <c r="BG4" t="s">
        <v>2864</v>
      </c>
      <c r="BH4" t="s">
        <v>2864</v>
      </c>
      <c r="BI4" t="s">
        <v>2866</v>
      </c>
      <c r="BJ4" t="s">
        <v>2866</v>
      </c>
      <c r="BK4" t="s">
        <v>2866</v>
      </c>
      <c r="BL4" t="s">
        <v>2866</v>
      </c>
      <c r="BM4" t="s">
        <v>2868</v>
      </c>
      <c r="BN4" t="s">
        <v>2868</v>
      </c>
      <c r="BO4" t="s">
        <v>2868</v>
      </c>
      <c r="BP4" t="s">
        <v>2868</v>
      </c>
      <c r="BQ4" t="s">
        <v>2870</v>
      </c>
      <c r="BR4" t="s">
        <v>2870</v>
      </c>
      <c r="BS4" t="s">
        <v>2870</v>
      </c>
      <c r="BT4" t="s">
        <v>2870</v>
      </c>
      <c r="BU4" t="s">
        <v>2872</v>
      </c>
      <c r="BV4" t="s">
        <v>2872</v>
      </c>
      <c r="BW4" t="s">
        <v>2872</v>
      </c>
      <c r="BX4" t="s">
        <v>2872</v>
      </c>
      <c r="BY4" t="s">
        <v>2874</v>
      </c>
      <c r="BZ4" t="s">
        <v>2874</v>
      </c>
      <c r="CA4" t="s">
        <v>2874</v>
      </c>
      <c r="CB4" t="s">
        <v>2874</v>
      </c>
      <c r="CC4" t="s">
        <v>2876</v>
      </c>
      <c r="CD4" t="s">
        <v>2876</v>
      </c>
      <c r="CE4" t="s">
        <v>2876</v>
      </c>
      <c r="CF4" t="s">
        <v>2876</v>
      </c>
      <c r="CG4" t="s">
        <v>2878</v>
      </c>
      <c r="CH4" t="s">
        <v>2878</v>
      </c>
      <c r="CI4" t="s">
        <v>2878</v>
      </c>
      <c r="CJ4" t="s">
        <v>2878</v>
      </c>
      <c r="CK4" t="s">
        <v>2880</v>
      </c>
      <c r="CL4" t="s">
        <v>2880</v>
      </c>
      <c r="CM4" t="s">
        <v>2880</v>
      </c>
      <c r="CN4" t="s">
        <v>2880</v>
      </c>
      <c r="CO4" t="s">
        <v>2882</v>
      </c>
      <c r="CP4" t="s">
        <v>2882</v>
      </c>
      <c r="CQ4" t="s">
        <v>2882</v>
      </c>
      <c r="CR4" t="s">
        <v>2882</v>
      </c>
      <c r="CS4" t="s">
        <v>2884</v>
      </c>
      <c r="CT4" t="s">
        <v>2884</v>
      </c>
      <c r="CU4" t="s">
        <v>2884</v>
      </c>
      <c r="CV4" t="s">
        <v>2884</v>
      </c>
    </row>
    <row r="5" spans="1:100" x14ac:dyDescent="0.4">
      <c r="A5" s="1"/>
      <c r="B5" s="2" t="s">
        <v>2</v>
      </c>
      <c r="C5" t="s">
        <v>69</v>
      </c>
      <c r="D5" t="s">
        <v>2833</v>
      </c>
      <c r="E5" t="s">
        <v>74</v>
      </c>
      <c r="F5" t="s">
        <v>263</v>
      </c>
      <c r="G5" t="s">
        <v>76</v>
      </c>
      <c r="H5" t="s">
        <v>69</v>
      </c>
      <c r="I5" t="s">
        <v>2833</v>
      </c>
      <c r="J5" t="s">
        <v>74</v>
      </c>
      <c r="K5" t="s">
        <v>263</v>
      </c>
      <c r="L5" t="s">
        <v>76</v>
      </c>
      <c r="M5" t="s">
        <v>69</v>
      </c>
      <c r="N5" t="s">
        <v>74</v>
      </c>
      <c r="O5" t="s">
        <v>263</v>
      </c>
      <c r="P5" t="s">
        <v>76</v>
      </c>
      <c r="Q5" t="s">
        <v>69</v>
      </c>
      <c r="R5" t="s">
        <v>74</v>
      </c>
      <c r="S5" t="s">
        <v>263</v>
      </c>
      <c r="T5" t="s">
        <v>76</v>
      </c>
      <c r="U5" t="s">
        <v>69</v>
      </c>
      <c r="V5" t="s">
        <v>2833</v>
      </c>
      <c r="W5" t="s">
        <v>74</v>
      </c>
      <c r="X5" t="s">
        <v>263</v>
      </c>
      <c r="Y5" t="s">
        <v>76</v>
      </c>
      <c r="Z5" t="s">
        <v>2833</v>
      </c>
      <c r="AA5" t="s">
        <v>74</v>
      </c>
      <c r="AB5" t="s">
        <v>263</v>
      </c>
      <c r="AC5" t="s">
        <v>76</v>
      </c>
      <c r="AD5" t="s">
        <v>2833</v>
      </c>
      <c r="AE5" t="s">
        <v>74</v>
      </c>
      <c r="AF5" t="s">
        <v>263</v>
      </c>
      <c r="AG5" t="s">
        <v>76</v>
      </c>
      <c r="AH5" t="s">
        <v>69</v>
      </c>
      <c r="AI5" t="s">
        <v>2833</v>
      </c>
      <c r="AJ5" t="s">
        <v>74</v>
      </c>
      <c r="AK5" t="s">
        <v>263</v>
      </c>
      <c r="AL5" t="s">
        <v>76</v>
      </c>
      <c r="AM5" t="s">
        <v>69</v>
      </c>
      <c r="AN5" t="s">
        <v>2833</v>
      </c>
      <c r="AO5" t="s">
        <v>74</v>
      </c>
      <c r="AP5" t="s">
        <v>263</v>
      </c>
      <c r="AQ5" t="s">
        <v>76</v>
      </c>
      <c r="AR5" t="s">
        <v>69</v>
      </c>
      <c r="AS5" t="s">
        <v>2833</v>
      </c>
      <c r="AT5" t="s">
        <v>74</v>
      </c>
      <c r="AU5" t="s">
        <v>263</v>
      </c>
      <c r="AV5" t="s">
        <v>76</v>
      </c>
      <c r="AW5" t="s">
        <v>2833</v>
      </c>
      <c r="AX5" t="s">
        <v>74</v>
      </c>
      <c r="AY5" t="s">
        <v>263</v>
      </c>
      <c r="AZ5" t="s">
        <v>76</v>
      </c>
      <c r="BA5" t="s">
        <v>2833</v>
      </c>
      <c r="BB5" t="s">
        <v>74</v>
      </c>
      <c r="BC5" t="s">
        <v>263</v>
      </c>
      <c r="BD5" t="s">
        <v>76</v>
      </c>
      <c r="BE5" t="s">
        <v>2833</v>
      </c>
      <c r="BF5" t="s">
        <v>74</v>
      </c>
      <c r="BG5" t="s">
        <v>263</v>
      </c>
      <c r="BH5" t="s">
        <v>76</v>
      </c>
      <c r="BI5" t="s">
        <v>2833</v>
      </c>
      <c r="BJ5" t="s">
        <v>74</v>
      </c>
      <c r="BK5" t="s">
        <v>263</v>
      </c>
      <c r="BL5" t="s">
        <v>76</v>
      </c>
      <c r="BM5" t="s">
        <v>2833</v>
      </c>
      <c r="BN5" t="s">
        <v>74</v>
      </c>
      <c r="BO5" t="s">
        <v>263</v>
      </c>
      <c r="BP5" t="s">
        <v>76</v>
      </c>
      <c r="BQ5" t="s">
        <v>2833</v>
      </c>
      <c r="BR5" t="s">
        <v>74</v>
      </c>
      <c r="BS5" t="s">
        <v>263</v>
      </c>
      <c r="BT5" t="s">
        <v>76</v>
      </c>
      <c r="BU5" t="s">
        <v>2833</v>
      </c>
      <c r="BV5" t="s">
        <v>74</v>
      </c>
      <c r="BW5" t="s">
        <v>263</v>
      </c>
      <c r="BX5" t="s">
        <v>76</v>
      </c>
      <c r="BY5" t="s">
        <v>2833</v>
      </c>
      <c r="BZ5" t="s">
        <v>74</v>
      </c>
      <c r="CA5" t="s">
        <v>263</v>
      </c>
      <c r="CB5" t="s">
        <v>76</v>
      </c>
      <c r="CC5" t="s">
        <v>2833</v>
      </c>
      <c r="CD5" t="s">
        <v>74</v>
      </c>
      <c r="CE5" t="s">
        <v>263</v>
      </c>
      <c r="CF5" t="s">
        <v>76</v>
      </c>
      <c r="CG5" t="s">
        <v>2833</v>
      </c>
      <c r="CH5" t="s">
        <v>74</v>
      </c>
      <c r="CI5" t="s">
        <v>263</v>
      </c>
      <c r="CJ5" t="s">
        <v>76</v>
      </c>
      <c r="CK5" t="s">
        <v>2833</v>
      </c>
      <c r="CL5" t="s">
        <v>74</v>
      </c>
      <c r="CM5" t="s">
        <v>263</v>
      </c>
      <c r="CN5" t="s">
        <v>76</v>
      </c>
      <c r="CO5" t="s">
        <v>2833</v>
      </c>
      <c r="CP5" t="s">
        <v>74</v>
      </c>
      <c r="CQ5" t="s">
        <v>263</v>
      </c>
      <c r="CR5" t="s">
        <v>76</v>
      </c>
      <c r="CS5" t="s">
        <v>69</v>
      </c>
      <c r="CT5" t="s">
        <v>74</v>
      </c>
      <c r="CU5" t="s">
        <v>263</v>
      </c>
      <c r="CV5" t="s">
        <v>76</v>
      </c>
    </row>
    <row r="6" spans="1:100" x14ac:dyDescent="0.4">
      <c r="A6" s="1"/>
      <c r="B6" s="2" t="s">
        <v>3</v>
      </c>
      <c r="C6" t="s">
        <v>72</v>
      </c>
      <c r="D6" t="s">
        <v>2835</v>
      </c>
      <c r="E6" t="s">
        <v>75</v>
      </c>
      <c r="F6" t="s">
        <v>264</v>
      </c>
      <c r="G6" t="s">
        <v>77</v>
      </c>
      <c r="H6" t="s">
        <v>72</v>
      </c>
      <c r="I6" t="s">
        <v>2835</v>
      </c>
      <c r="J6" t="s">
        <v>75</v>
      </c>
      <c r="K6" t="s">
        <v>264</v>
      </c>
      <c r="L6" t="s">
        <v>77</v>
      </c>
      <c r="M6" t="s">
        <v>72</v>
      </c>
      <c r="N6" t="s">
        <v>75</v>
      </c>
      <c r="O6" t="s">
        <v>264</v>
      </c>
      <c r="P6" t="s">
        <v>77</v>
      </c>
      <c r="Q6" t="s">
        <v>72</v>
      </c>
      <c r="R6" t="s">
        <v>75</v>
      </c>
      <c r="S6" t="s">
        <v>264</v>
      </c>
      <c r="T6" t="s">
        <v>77</v>
      </c>
      <c r="U6" t="s">
        <v>72</v>
      </c>
      <c r="V6" t="s">
        <v>2835</v>
      </c>
      <c r="W6" t="s">
        <v>75</v>
      </c>
      <c r="X6" t="s">
        <v>264</v>
      </c>
      <c r="Y6" t="s">
        <v>77</v>
      </c>
      <c r="Z6" t="s">
        <v>2835</v>
      </c>
      <c r="AA6" t="s">
        <v>75</v>
      </c>
      <c r="AB6" t="s">
        <v>264</v>
      </c>
      <c r="AC6" t="s">
        <v>77</v>
      </c>
      <c r="AD6" t="s">
        <v>2835</v>
      </c>
      <c r="AE6" t="s">
        <v>75</v>
      </c>
      <c r="AF6" t="s">
        <v>264</v>
      </c>
      <c r="AG6" t="s">
        <v>77</v>
      </c>
      <c r="AH6" t="s">
        <v>72</v>
      </c>
      <c r="AI6" t="s">
        <v>2835</v>
      </c>
      <c r="AJ6" t="s">
        <v>75</v>
      </c>
      <c r="AK6" t="s">
        <v>264</v>
      </c>
      <c r="AL6" t="s">
        <v>77</v>
      </c>
      <c r="AM6" t="s">
        <v>72</v>
      </c>
      <c r="AN6" t="s">
        <v>2835</v>
      </c>
      <c r="AO6" t="s">
        <v>75</v>
      </c>
      <c r="AP6" t="s">
        <v>264</v>
      </c>
      <c r="AQ6" t="s">
        <v>77</v>
      </c>
      <c r="AR6" t="s">
        <v>72</v>
      </c>
      <c r="AS6" t="s">
        <v>2835</v>
      </c>
      <c r="AT6" t="s">
        <v>75</v>
      </c>
      <c r="AU6" t="s">
        <v>264</v>
      </c>
      <c r="AV6" t="s">
        <v>77</v>
      </c>
      <c r="AW6" t="s">
        <v>2835</v>
      </c>
      <c r="AX6" t="s">
        <v>75</v>
      </c>
      <c r="AY6" t="s">
        <v>264</v>
      </c>
      <c r="AZ6" t="s">
        <v>77</v>
      </c>
      <c r="BA6" t="s">
        <v>2835</v>
      </c>
      <c r="BB6" t="s">
        <v>75</v>
      </c>
      <c r="BC6" t="s">
        <v>264</v>
      </c>
      <c r="BD6" t="s">
        <v>77</v>
      </c>
      <c r="BE6" t="s">
        <v>2835</v>
      </c>
      <c r="BF6" t="s">
        <v>75</v>
      </c>
      <c r="BG6" t="s">
        <v>264</v>
      </c>
      <c r="BH6" t="s">
        <v>77</v>
      </c>
      <c r="BI6" t="s">
        <v>2835</v>
      </c>
      <c r="BJ6" t="s">
        <v>75</v>
      </c>
      <c r="BK6" t="s">
        <v>264</v>
      </c>
      <c r="BL6" t="s">
        <v>77</v>
      </c>
      <c r="BM6" t="s">
        <v>2835</v>
      </c>
      <c r="BN6" t="s">
        <v>75</v>
      </c>
      <c r="BO6" t="s">
        <v>264</v>
      </c>
      <c r="BP6" t="s">
        <v>77</v>
      </c>
      <c r="BQ6" t="s">
        <v>2835</v>
      </c>
      <c r="BR6" t="s">
        <v>75</v>
      </c>
      <c r="BS6" t="s">
        <v>264</v>
      </c>
      <c r="BT6" t="s">
        <v>77</v>
      </c>
      <c r="BU6" t="s">
        <v>2835</v>
      </c>
      <c r="BV6" t="s">
        <v>75</v>
      </c>
      <c r="BW6" t="s">
        <v>264</v>
      </c>
      <c r="BX6" t="s">
        <v>77</v>
      </c>
      <c r="BY6" t="s">
        <v>2835</v>
      </c>
      <c r="BZ6" t="s">
        <v>75</v>
      </c>
      <c r="CA6" t="s">
        <v>264</v>
      </c>
      <c r="CB6" t="s">
        <v>77</v>
      </c>
      <c r="CC6" t="s">
        <v>2835</v>
      </c>
      <c r="CD6" t="s">
        <v>75</v>
      </c>
      <c r="CE6" t="s">
        <v>264</v>
      </c>
      <c r="CF6" t="s">
        <v>77</v>
      </c>
      <c r="CG6" t="s">
        <v>2835</v>
      </c>
      <c r="CH6" t="s">
        <v>75</v>
      </c>
      <c r="CI6" t="s">
        <v>264</v>
      </c>
      <c r="CJ6" t="s">
        <v>77</v>
      </c>
      <c r="CK6" t="s">
        <v>2835</v>
      </c>
      <c r="CL6" t="s">
        <v>75</v>
      </c>
      <c r="CM6" t="s">
        <v>264</v>
      </c>
      <c r="CN6" t="s">
        <v>77</v>
      </c>
      <c r="CO6" t="s">
        <v>2835</v>
      </c>
      <c r="CP6" t="s">
        <v>75</v>
      </c>
      <c r="CQ6" t="s">
        <v>264</v>
      </c>
      <c r="CR6" t="s">
        <v>77</v>
      </c>
      <c r="CS6" t="s">
        <v>72</v>
      </c>
      <c r="CT6" t="s">
        <v>75</v>
      </c>
      <c r="CU6" t="s">
        <v>264</v>
      </c>
      <c r="CV6" t="s">
        <v>77</v>
      </c>
    </row>
    <row r="7" spans="1:100" x14ac:dyDescent="0.4">
      <c r="A7" s="1"/>
      <c r="B7" s="2" t="s">
        <v>4</v>
      </c>
      <c r="C7" t="s">
        <v>2830</v>
      </c>
      <c r="D7" t="s">
        <v>2834</v>
      </c>
      <c r="E7" t="s">
        <v>2830</v>
      </c>
      <c r="F7" t="s">
        <v>341</v>
      </c>
      <c r="G7" t="s">
        <v>2830</v>
      </c>
      <c r="H7" t="s">
        <v>2830</v>
      </c>
      <c r="I7" t="s">
        <v>2834</v>
      </c>
      <c r="J7" t="s">
        <v>2830</v>
      </c>
      <c r="K7" t="s">
        <v>341</v>
      </c>
      <c r="L7" t="s">
        <v>2830</v>
      </c>
      <c r="M7" t="s">
        <v>2830</v>
      </c>
      <c r="N7" t="s">
        <v>2830</v>
      </c>
      <c r="O7" t="s">
        <v>341</v>
      </c>
      <c r="P7" t="s">
        <v>2830</v>
      </c>
      <c r="Q7" t="s">
        <v>2830</v>
      </c>
      <c r="R7" t="s">
        <v>2830</v>
      </c>
      <c r="S7" t="s">
        <v>341</v>
      </c>
      <c r="T7" t="s">
        <v>2830</v>
      </c>
      <c r="U7" t="s">
        <v>2844</v>
      </c>
      <c r="V7" t="s">
        <v>2834</v>
      </c>
      <c r="W7" t="s">
        <v>2844</v>
      </c>
      <c r="X7" t="s">
        <v>341</v>
      </c>
      <c r="Y7" t="s">
        <v>2844</v>
      </c>
      <c r="Z7" t="s">
        <v>2834</v>
      </c>
      <c r="AA7" t="s">
        <v>2834</v>
      </c>
      <c r="AB7" t="s">
        <v>341</v>
      </c>
      <c r="AC7" t="s">
        <v>2834</v>
      </c>
      <c r="AD7" t="s">
        <v>2834</v>
      </c>
      <c r="AE7" t="s">
        <v>2834</v>
      </c>
      <c r="AF7" t="s">
        <v>341</v>
      </c>
      <c r="AG7" t="s">
        <v>2834</v>
      </c>
      <c r="AH7" t="s">
        <v>2852</v>
      </c>
      <c r="AI7" t="s">
        <v>2834</v>
      </c>
      <c r="AJ7" t="s">
        <v>2852</v>
      </c>
      <c r="AK7" t="s">
        <v>341</v>
      </c>
      <c r="AL7" t="s">
        <v>2852</v>
      </c>
      <c r="AM7" t="s">
        <v>2852</v>
      </c>
      <c r="AN7" t="s">
        <v>2834</v>
      </c>
      <c r="AO7" t="s">
        <v>2852</v>
      </c>
      <c r="AP7" t="s">
        <v>341</v>
      </c>
      <c r="AQ7" t="s">
        <v>2852</v>
      </c>
      <c r="AR7" t="s">
        <v>2852</v>
      </c>
      <c r="AS7" t="s">
        <v>2834</v>
      </c>
      <c r="AT7" t="s">
        <v>2852</v>
      </c>
      <c r="AU7" t="s">
        <v>341</v>
      </c>
      <c r="AV7" t="s">
        <v>2852</v>
      </c>
      <c r="AW7" t="s">
        <v>2834</v>
      </c>
      <c r="AX7" t="s">
        <v>2834</v>
      </c>
      <c r="AY7" t="s">
        <v>341</v>
      </c>
      <c r="AZ7" t="s">
        <v>2834</v>
      </c>
      <c r="BA7" t="s">
        <v>2834</v>
      </c>
      <c r="BB7" t="s">
        <v>2834</v>
      </c>
      <c r="BC7" t="s">
        <v>341</v>
      </c>
      <c r="BD7" t="s">
        <v>2834</v>
      </c>
      <c r="BE7" t="s">
        <v>2834</v>
      </c>
      <c r="BF7" t="s">
        <v>2834</v>
      </c>
      <c r="BG7" t="s">
        <v>341</v>
      </c>
      <c r="BH7" t="s">
        <v>2834</v>
      </c>
      <c r="BI7" t="s">
        <v>2834</v>
      </c>
      <c r="BJ7" t="s">
        <v>2834</v>
      </c>
      <c r="BK7" t="s">
        <v>341</v>
      </c>
      <c r="BL7" t="s">
        <v>2834</v>
      </c>
      <c r="BM7" t="s">
        <v>2834</v>
      </c>
      <c r="BN7" t="s">
        <v>2834</v>
      </c>
      <c r="BO7" t="s">
        <v>341</v>
      </c>
      <c r="BP7" t="s">
        <v>2834</v>
      </c>
      <c r="BQ7" t="s">
        <v>2834</v>
      </c>
      <c r="BR7" t="s">
        <v>2834</v>
      </c>
      <c r="BS7" t="s">
        <v>341</v>
      </c>
      <c r="BT7" t="s">
        <v>2834</v>
      </c>
      <c r="BU7" t="s">
        <v>2834</v>
      </c>
      <c r="BV7" t="s">
        <v>2834</v>
      </c>
      <c r="BW7" t="s">
        <v>341</v>
      </c>
      <c r="BX7" t="s">
        <v>2834</v>
      </c>
      <c r="BY7" t="s">
        <v>2834</v>
      </c>
      <c r="BZ7" t="s">
        <v>2834</v>
      </c>
      <c r="CA7" t="s">
        <v>341</v>
      </c>
      <c r="CB7" t="s">
        <v>2834</v>
      </c>
      <c r="CC7" t="s">
        <v>2834</v>
      </c>
      <c r="CD7" t="s">
        <v>2834</v>
      </c>
      <c r="CE7" t="s">
        <v>341</v>
      </c>
      <c r="CF7" t="s">
        <v>2834</v>
      </c>
      <c r="CG7" t="s">
        <v>2834</v>
      </c>
      <c r="CH7" t="s">
        <v>2834</v>
      </c>
      <c r="CI7" t="s">
        <v>341</v>
      </c>
      <c r="CJ7" t="s">
        <v>2834</v>
      </c>
      <c r="CK7" t="s">
        <v>2834</v>
      </c>
      <c r="CL7" t="s">
        <v>2834</v>
      </c>
      <c r="CM7" t="s">
        <v>341</v>
      </c>
      <c r="CN7" t="s">
        <v>2834</v>
      </c>
      <c r="CO7" t="s">
        <v>2834</v>
      </c>
      <c r="CP7" t="s">
        <v>2834</v>
      </c>
      <c r="CQ7" t="s">
        <v>341</v>
      </c>
      <c r="CR7" t="s">
        <v>2834</v>
      </c>
      <c r="CS7" t="s">
        <v>70</v>
      </c>
      <c r="CT7" t="s">
        <v>70</v>
      </c>
      <c r="CU7" t="s">
        <v>341</v>
      </c>
      <c r="CV7" t="s">
        <v>70</v>
      </c>
    </row>
    <row r="8" spans="1:100" x14ac:dyDescent="0.4">
      <c r="A8" s="1" t="s">
        <v>67</v>
      </c>
      <c r="B8" s="2" t="s">
        <v>5</v>
      </c>
      <c r="C8" t="s">
        <v>2832</v>
      </c>
      <c r="D8" t="s">
        <v>2836</v>
      </c>
      <c r="E8" t="s">
        <v>2832</v>
      </c>
      <c r="F8" t="s">
        <v>342</v>
      </c>
      <c r="G8" t="s">
        <v>2832</v>
      </c>
      <c r="H8" t="s">
        <v>2832</v>
      </c>
      <c r="I8" t="s">
        <v>2836</v>
      </c>
      <c r="J8" t="s">
        <v>2832</v>
      </c>
      <c r="K8" t="s">
        <v>342</v>
      </c>
      <c r="L8" t="s">
        <v>2832</v>
      </c>
      <c r="M8" t="s">
        <v>2832</v>
      </c>
      <c r="N8" t="s">
        <v>2832</v>
      </c>
      <c r="O8" t="s">
        <v>342</v>
      </c>
      <c r="P8" t="s">
        <v>2832</v>
      </c>
      <c r="Q8" t="s">
        <v>2832</v>
      </c>
      <c r="R8" t="s">
        <v>2832</v>
      </c>
      <c r="S8" t="s">
        <v>342</v>
      </c>
      <c r="T8" t="s">
        <v>2832</v>
      </c>
      <c r="U8" t="s">
        <v>2846</v>
      </c>
      <c r="V8" t="s">
        <v>2836</v>
      </c>
      <c r="W8" t="s">
        <v>2846</v>
      </c>
      <c r="X8" t="s">
        <v>342</v>
      </c>
      <c r="Y8" t="s">
        <v>2846</v>
      </c>
      <c r="Z8" t="s">
        <v>2836</v>
      </c>
      <c r="AA8" t="s">
        <v>2836</v>
      </c>
      <c r="AB8" t="s">
        <v>342</v>
      </c>
      <c r="AC8" t="s">
        <v>2836</v>
      </c>
      <c r="AD8" t="s">
        <v>2836</v>
      </c>
      <c r="AE8" t="s">
        <v>2836</v>
      </c>
      <c r="AF8" t="s">
        <v>342</v>
      </c>
      <c r="AG8" t="s">
        <v>2836</v>
      </c>
      <c r="AH8" t="s">
        <v>2854</v>
      </c>
      <c r="AI8" t="s">
        <v>2836</v>
      </c>
      <c r="AJ8" t="s">
        <v>2854</v>
      </c>
      <c r="AK8" t="s">
        <v>342</v>
      </c>
      <c r="AL8" t="s">
        <v>2854</v>
      </c>
      <c r="AM8" t="s">
        <v>2854</v>
      </c>
      <c r="AN8" t="s">
        <v>2836</v>
      </c>
      <c r="AO8" t="s">
        <v>2854</v>
      </c>
      <c r="AP8" t="s">
        <v>342</v>
      </c>
      <c r="AQ8" t="s">
        <v>2854</v>
      </c>
      <c r="AR8" t="s">
        <v>2854</v>
      </c>
      <c r="AS8" t="s">
        <v>2836</v>
      </c>
      <c r="AT8" t="s">
        <v>2854</v>
      </c>
      <c r="AU8" t="s">
        <v>342</v>
      </c>
      <c r="AV8" t="s">
        <v>2854</v>
      </c>
      <c r="AW8" t="s">
        <v>2836</v>
      </c>
      <c r="AX8" t="s">
        <v>2836</v>
      </c>
      <c r="AY8" t="s">
        <v>342</v>
      </c>
      <c r="AZ8" t="s">
        <v>2836</v>
      </c>
      <c r="BA8" t="s">
        <v>2836</v>
      </c>
      <c r="BB8" t="s">
        <v>2836</v>
      </c>
      <c r="BC8" t="s">
        <v>342</v>
      </c>
      <c r="BD8" t="s">
        <v>2836</v>
      </c>
      <c r="BE8" t="s">
        <v>2836</v>
      </c>
      <c r="BF8" t="s">
        <v>2836</v>
      </c>
      <c r="BG8" t="s">
        <v>342</v>
      </c>
      <c r="BH8" t="s">
        <v>2836</v>
      </c>
      <c r="BI8" t="s">
        <v>2836</v>
      </c>
      <c r="BJ8" t="s">
        <v>2836</v>
      </c>
      <c r="BK8" t="s">
        <v>342</v>
      </c>
      <c r="BL8" t="s">
        <v>2836</v>
      </c>
      <c r="BM8" t="s">
        <v>2836</v>
      </c>
      <c r="BN8" t="s">
        <v>2836</v>
      </c>
      <c r="BO8" t="s">
        <v>342</v>
      </c>
      <c r="BP8" t="s">
        <v>2836</v>
      </c>
      <c r="BQ8" t="s">
        <v>2836</v>
      </c>
      <c r="BR8" t="s">
        <v>2836</v>
      </c>
      <c r="BS8" t="s">
        <v>342</v>
      </c>
      <c r="BT8" t="s">
        <v>2836</v>
      </c>
      <c r="BU8" t="s">
        <v>2836</v>
      </c>
      <c r="BV8" t="s">
        <v>2836</v>
      </c>
      <c r="BW8" t="s">
        <v>342</v>
      </c>
      <c r="BX8" t="s">
        <v>2836</v>
      </c>
      <c r="BY8" t="s">
        <v>2836</v>
      </c>
      <c r="BZ8" t="s">
        <v>2836</v>
      </c>
      <c r="CA8" t="s">
        <v>342</v>
      </c>
      <c r="CB8" t="s">
        <v>2836</v>
      </c>
      <c r="CC8" t="s">
        <v>2836</v>
      </c>
      <c r="CD8" t="s">
        <v>2836</v>
      </c>
      <c r="CE8" t="s">
        <v>342</v>
      </c>
      <c r="CF8" t="s">
        <v>2836</v>
      </c>
      <c r="CG8" t="s">
        <v>2836</v>
      </c>
      <c r="CH8" t="s">
        <v>2836</v>
      </c>
      <c r="CI8" t="s">
        <v>342</v>
      </c>
      <c r="CJ8" t="s">
        <v>2836</v>
      </c>
      <c r="CK8" t="s">
        <v>2836</v>
      </c>
      <c r="CL8" t="s">
        <v>2836</v>
      </c>
      <c r="CM8" t="s">
        <v>342</v>
      </c>
      <c r="CN8" t="s">
        <v>2836</v>
      </c>
      <c r="CO8" t="s">
        <v>2836</v>
      </c>
      <c r="CP8" t="s">
        <v>2836</v>
      </c>
      <c r="CQ8" t="s">
        <v>342</v>
      </c>
      <c r="CR8" t="s">
        <v>2836</v>
      </c>
      <c r="CS8" t="s">
        <v>70</v>
      </c>
      <c r="CT8" t="s">
        <v>70</v>
      </c>
      <c r="CU8" t="s">
        <v>342</v>
      </c>
      <c r="CV8" t="s">
        <v>70</v>
      </c>
    </row>
    <row r="9" spans="1:100" x14ac:dyDescent="0.4">
      <c r="A9" s="1" t="s">
        <v>6</v>
      </c>
      <c r="B9" s="3" t="s">
        <v>7</v>
      </c>
      <c r="C9">
        <v>1520</v>
      </c>
      <c r="D9">
        <v>985</v>
      </c>
      <c r="E9">
        <v>12776</v>
      </c>
      <c r="F9">
        <v>26483038</v>
      </c>
      <c r="G9">
        <v>5094</v>
      </c>
      <c r="H9">
        <v>297</v>
      </c>
      <c r="I9">
        <v>232</v>
      </c>
      <c r="J9">
        <v>857</v>
      </c>
      <c r="K9">
        <v>2582991</v>
      </c>
      <c r="L9">
        <v>300</v>
      </c>
      <c r="M9">
        <v>9446</v>
      </c>
      <c r="N9">
        <v>9895</v>
      </c>
      <c r="O9">
        <v>10655760</v>
      </c>
      <c r="P9">
        <v>4139</v>
      </c>
      <c r="Q9">
        <v>2135</v>
      </c>
      <c r="R9">
        <v>1998</v>
      </c>
      <c r="S9">
        <v>6255489</v>
      </c>
      <c r="T9">
        <v>510</v>
      </c>
      <c r="U9">
        <v>1403002</v>
      </c>
      <c r="V9">
        <v>10971</v>
      </c>
      <c r="W9">
        <v>1676973</v>
      </c>
      <c r="X9">
        <v>15967902</v>
      </c>
      <c r="Y9">
        <v>244061</v>
      </c>
      <c r="Z9">
        <v>2010</v>
      </c>
      <c r="AA9">
        <v>2255</v>
      </c>
      <c r="AB9">
        <v>19990619</v>
      </c>
      <c r="AC9">
        <v>123</v>
      </c>
      <c r="AD9">
        <v>6062</v>
      </c>
      <c r="AE9">
        <v>9198</v>
      </c>
      <c r="AF9">
        <v>35492216</v>
      </c>
      <c r="AG9">
        <v>3116</v>
      </c>
      <c r="AH9">
        <v>41348</v>
      </c>
      <c r="AI9">
        <v>4716</v>
      </c>
      <c r="AJ9">
        <v>41160</v>
      </c>
      <c r="AK9">
        <v>18880350</v>
      </c>
      <c r="AL9">
        <v>2024</v>
      </c>
      <c r="AM9">
        <v>227861</v>
      </c>
      <c r="AN9">
        <v>22661</v>
      </c>
      <c r="AO9">
        <v>227134</v>
      </c>
      <c r="AP9">
        <v>103237744</v>
      </c>
      <c r="AQ9">
        <v>6820</v>
      </c>
      <c r="AR9">
        <v>23685</v>
      </c>
      <c r="AS9">
        <v>5004</v>
      </c>
      <c r="AT9">
        <v>23883</v>
      </c>
      <c r="AU9">
        <v>15920950</v>
      </c>
      <c r="AV9">
        <v>2263</v>
      </c>
      <c r="AW9">
        <v>28821</v>
      </c>
      <c r="AX9">
        <v>32410</v>
      </c>
      <c r="AY9">
        <v>143822424</v>
      </c>
      <c r="AZ9">
        <v>789</v>
      </c>
      <c r="BA9">
        <v>2353</v>
      </c>
      <c r="BB9">
        <v>2089</v>
      </c>
      <c r="BC9">
        <v>6978998</v>
      </c>
      <c r="BD9">
        <v>536</v>
      </c>
      <c r="BE9">
        <v>4445</v>
      </c>
      <c r="BF9">
        <v>5193</v>
      </c>
      <c r="BG9">
        <v>28201497</v>
      </c>
      <c r="BH9">
        <v>438</v>
      </c>
      <c r="BI9">
        <v>27406</v>
      </c>
      <c r="BJ9">
        <v>35575</v>
      </c>
      <c r="BK9">
        <v>278351806</v>
      </c>
      <c r="BL9">
        <v>1391</v>
      </c>
      <c r="BM9">
        <v>8308</v>
      </c>
      <c r="BN9">
        <v>10083</v>
      </c>
      <c r="BO9">
        <v>111597701</v>
      </c>
      <c r="BP9">
        <v>488</v>
      </c>
      <c r="BQ9">
        <v>31164</v>
      </c>
      <c r="BR9">
        <v>30642</v>
      </c>
      <c r="BS9">
        <v>62510570</v>
      </c>
      <c r="BT9">
        <v>778</v>
      </c>
      <c r="BU9">
        <v>19824</v>
      </c>
      <c r="BV9">
        <v>20007</v>
      </c>
      <c r="BW9">
        <v>24577335</v>
      </c>
      <c r="BX9">
        <v>1103</v>
      </c>
      <c r="BY9">
        <v>47590</v>
      </c>
      <c r="BZ9">
        <v>51478</v>
      </c>
      <c r="CA9">
        <v>151982034</v>
      </c>
      <c r="CB9">
        <v>2814</v>
      </c>
      <c r="CC9">
        <v>9494</v>
      </c>
      <c r="CD9">
        <v>9486</v>
      </c>
      <c r="CE9">
        <v>4823902</v>
      </c>
      <c r="CF9">
        <v>44</v>
      </c>
      <c r="CG9">
        <v>5550</v>
      </c>
      <c r="CH9">
        <v>5649</v>
      </c>
      <c r="CI9">
        <v>44019473</v>
      </c>
      <c r="CJ9">
        <v>534</v>
      </c>
      <c r="CK9">
        <v>2660</v>
      </c>
      <c r="CL9">
        <v>2674</v>
      </c>
      <c r="CM9">
        <v>13278197</v>
      </c>
      <c r="CN9">
        <v>225</v>
      </c>
      <c r="CO9">
        <v>7742</v>
      </c>
      <c r="CP9">
        <v>10198</v>
      </c>
      <c r="CQ9">
        <v>27679567</v>
      </c>
      <c r="CR9">
        <v>1167</v>
      </c>
      <c r="CS9">
        <v>15380</v>
      </c>
      <c r="CT9">
        <v>15140</v>
      </c>
      <c r="CU9">
        <v>2524435</v>
      </c>
      <c r="CV9">
        <v>1619</v>
      </c>
    </row>
    <row r="10" spans="1:100" x14ac:dyDescent="0.4">
      <c r="A10" s="1" t="s">
        <v>8</v>
      </c>
      <c r="B10" s="3" t="s">
        <v>9</v>
      </c>
      <c r="C10">
        <v>1248</v>
      </c>
      <c r="D10">
        <v>684</v>
      </c>
      <c r="E10">
        <v>12475</v>
      </c>
      <c r="F10">
        <v>27873391</v>
      </c>
      <c r="G10">
        <v>5469</v>
      </c>
      <c r="H10">
        <v>300</v>
      </c>
      <c r="I10">
        <v>232</v>
      </c>
      <c r="J10">
        <v>708</v>
      </c>
      <c r="K10">
        <v>2219706</v>
      </c>
      <c r="L10">
        <v>270</v>
      </c>
      <c r="M10">
        <v>9497</v>
      </c>
      <c r="N10">
        <v>9145</v>
      </c>
      <c r="O10">
        <v>10250285</v>
      </c>
      <c r="P10">
        <v>4552</v>
      </c>
      <c r="Q10">
        <v>2096</v>
      </c>
      <c r="R10">
        <v>1977</v>
      </c>
      <c r="S10">
        <v>6451929</v>
      </c>
      <c r="T10">
        <v>504</v>
      </c>
      <c r="U10">
        <v>1293359</v>
      </c>
      <c r="V10">
        <v>10057</v>
      </c>
      <c r="W10">
        <v>1811027</v>
      </c>
      <c r="X10">
        <v>18625089</v>
      </c>
      <c r="Y10">
        <v>220782</v>
      </c>
      <c r="Z10">
        <v>2010</v>
      </c>
      <c r="AA10">
        <v>2268</v>
      </c>
      <c r="AB10">
        <v>20514806</v>
      </c>
      <c r="AC10">
        <v>145</v>
      </c>
      <c r="AD10">
        <v>5921</v>
      </c>
      <c r="AE10">
        <v>8945</v>
      </c>
      <c r="AF10">
        <v>35445834</v>
      </c>
      <c r="AG10">
        <v>3342</v>
      </c>
      <c r="AH10">
        <v>44274</v>
      </c>
      <c r="AI10">
        <v>5101</v>
      </c>
      <c r="AJ10">
        <v>42756</v>
      </c>
      <c r="AK10">
        <v>20497249</v>
      </c>
      <c r="AL10">
        <v>3543</v>
      </c>
      <c r="AM10">
        <v>244521</v>
      </c>
      <c r="AN10">
        <v>22507</v>
      </c>
      <c r="AO10">
        <v>243612</v>
      </c>
      <c r="AP10">
        <v>101550715</v>
      </c>
      <c r="AQ10">
        <v>7847</v>
      </c>
      <c r="AR10">
        <v>23919</v>
      </c>
      <c r="AS10">
        <v>5107</v>
      </c>
      <c r="AT10">
        <v>24081</v>
      </c>
      <c r="AU10">
        <v>16595727</v>
      </c>
      <c r="AV10">
        <v>2128</v>
      </c>
      <c r="AW10">
        <v>26956</v>
      </c>
      <c r="AX10">
        <v>30633</v>
      </c>
      <c r="AY10">
        <v>146219605</v>
      </c>
      <c r="AZ10">
        <v>767</v>
      </c>
      <c r="BA10">
        <v>2327</v>
      </c>
      <c r="BB10">
        <v>2710</v>
      </c>
      <c r="BC10">
        <v>8242439</v>
      </c>
      <c r="BD10">
        <v>493</v>
      </c>
      <c r="BE10">
        <v>4527</v>
      </c>
      <c r="BF10">
        <v>5291</v>
      </c>
      <c r="BG10">
        <v>29860325</v>
      </c>
      <c r="BH10">
        <v>442</v>
      </c>
      <c r="BI10">
        <v>25784</v>
      </c>
      <c r="BJ10">
        <v>33893</v>
      </c>
      <c r="BK10">
        <v>280429977</v>
      </c>
      <c r="BL10">
        <v>1273</v>
      </c>
      <c r="BM10">
        <v>7370</v>
      </c>
      <c r="BN10">
        <v>9106</v>
      </c>
      <c r="BO10">
        <v>106748439</v>
      </c>
      <c r="BP10">
        <v>301</v>
      </c>
      <c r="BQ10">
        <v>30049</v>
      </c>
      <c r="BR10">
        <v>30650</v>
      </c>
      <c r="BS10">
        <v>63026868</v>
      </c>
      <c r="BT10">
        <v>798</v>
      </c>
      <c r="BU10">
        <v>18678</v>
      </c>
      <c r="BV10">
        <v>18921</v>
      </c>
      <c r="BW10">
        <v>26263861</v>
      </c>
      <c r="BX10">
        <v>1174</v>
      </c>
      <c r="BY10">
        <v>47090</v>
      </c>
      <c r="BZ10">
        <v>50415</v>
      </c>
      <c r="CA10">
        <v>158682425</v>
      </c>
      <c r="CB10">
        <v>3364</v>
      </c>
      <c r="CC10">
        <v>9904</v>
      </c>
      <c r="CD10">
        <v>10104</v>
      </c>
      <c r="CE10">
        <v>5362047</v>
      </c>
      <c r="CF10">
        <v>25</v>
      </c>
      <c r="CG10">
        <v>6165</v>
      </c>
      <c r="CH10">
        <v>6306</v>
      </c>
      <c r="CI10">
        <v>49355876</v>
      </c>
      <c r="CJ10">
        <v>498</v>
      </c>
      <c r="CK10">
        <v>2710</v>
      </c>
      <c r="CL10">
        <v>2685</v>
      </c>
      <c r="CM10">
        <v>13661978</v>
      </c>
      <c r="CN10">
        <v>263</v>
      </c>
      <c r="CO10">
        <v>7917</v>
      </c>
      <c r="CP10">
        <v>10262</v>
      </c>
      <c r="CQ10">
        <v>30055836</v>
      </c>
      <c r="CR10">
        <v>1217</v>
      </c>
      <c r="CS10">
        <v>14785</v>
      </c>
      <c r="CT10">
        <v>14353</v>
      </c>
      <c r="CU10">
        <v>2487735</v>
      </c>
      <c r="CV10">
        <v>1931</v>
      </c>
    </row>
    <row r="11" spans="1:100" x14ac:dyDescent="0.4">
      <c r="A11" s="1" t="s">
        <v>10</v>
      </c>
      <c r="B11" s="3" t="s">
        <v>11</v>
      </c>
      <c r="C11">
        <v>1190</v>
      </c>
      <c r="D11">
        <v>621</v>
      </c>
      <c r="E11">
        <v>11442</v>
      </c>
      <c r="F11">
        <v>27215308</v>
      </c>
      <c r="G11">
        <v>5393</v>
      </c>
      <c r="H11">
        <v>279</v>
      </c>
      <c r="I11">
        <v>229</v>
      </c>
      <c r="J11">
        <v>626</v>
      </c>
      <c r="K11">
        <v>2180372</v>
      </c>
      <c r="L11">
        <v>244</v>
      </c>
      <c r="M11">
        <v>8861</v>
      </c>
      <c r="N11">
        <v>8336</v>
      </c>
      <c r="O11">
        <v>9777659</v>
      </c>
      <c r="P11">
        <v>5133</v>
      </c>
      <c r="Q11">
        <v>2055</v>
      </c>
      <c r="R11">
        <v>1928</v>
      </c>
      <c r="S11">
        <v>7239238</v>
      </c>
      <c r="T11">
        <v>467</v>
      </c>
      <c r="U11">
        <v>1210173</v>
      </c>
      <c r="V11">
        <v>9502</v>
      </c>
      <c r="W11">
        <v>1614933</v>
      </c>
      <c r="X11">
        <v>19629781</v>
      </c>
      <c r="Y11">
        <v>200546</v>
      </c>
      <c r="Z11">
        <v>1771</v>
      </c>
      <c r="AA11">
        <v>2092</v>
      </c>
      <c r="AB11">
        <v>18789177</v>
      </c>
      <c r="AC11">
        <v>132</v>
      </c>
      <c r="AD11">
        <v>5156</v>
      </c>
      <c r="AE11">
        <v>8122</v>
      </c>
      <c r="AF11">
        <v>31373777</v>
      </c>
      <c r="AG11">
        <v>3560</v>
      </c>
      <c r="AH11">
        <v>39782</v>
      </c>
      <c r="AI11">
        <v>4663</v>
      </c>
      <c r="AJ11">
        <v>39416</v>
      </c>
      <c r="AK11">
        <v>18661554</v>
      </c>
      <c r="AL11">
        <v>3911</v>
      </c>
      <c r="AM11">
        <v>287259</v>
      </c>
      <c r="AN11">
        <v>24139</v>
      </c>
      <c r="AO11">
        <v>286944</v>
      </c>
      <c r="AP11">
        <v>105208686</v>
      </c>
      <c r="AQ11">
        <v>8290</v>
      </c>
      <c r="AR11">
        <v>23152</v>
      </c>
      <c r="AS11">
        <v>5089</v>
      </c>
      <c r="AT11">
        <v>23049</v>
      </c>
      <c r="AU11">
        <v>18383345</v>
      </c>
      <c r="AV11">
        <v>2340</v>
      </c>
      <c r="AW11">
        <v>30670</v>
      </c>
      <c r="AX11">
        <v>34084</v>
      </c>
      <c r="AY11">
        <v>183758795</v>
      </c>
      <c r="AZ11">
        <v>861</v>
      </c>
      <c r="BA11">
        <v>2016</v>
      </c>
      <c r="BB11">
        <v>2030</v>
      </c>
      <c r="BC11">
        <v>6690894</v>
      </c>
      <c r="BD11">
        <v>506</v>
      </c>
      <c r="BE11">
        <v>4355</v>
      </c>
      <c r="BF11">
        <v>5017</v>
      </c>
      <c r="BG11">
        <v>28358107</v>
      </c>
      <c r="BH11">
        <v>436</v>
      </c>
      <c r="BI11">
        <v>24473</v>
      </c>
      <c r="BJ11">
        <v>32195</v>
      </c>
      <c r="BK11">
        <v>278906107</v>
      </c>
      <c r="BL11">
        <v>1393</v>
      </c>
      <c r="BM11">
        <v>7147</v>
      </c>
      <c r="BN11">
        <v>8618</v>
      </c>
      <c r="BO11">
        <v>110107633</v>
      </c>
      <c r="BP11">
        <v>460</v>
      </c>
      <c r="BQ11">
        <v>32588</v>
      </c>
      <c r="BR11">
        <v>33827</v>
      </c>
      <c r="BS11">
        <v>70105568</v>
      </c>
      <c r="BT11">
        <v>890</v>
      </c>
      <c r="BU11">
        <v>19209</v>
      </c>
      <c r="BV11">
        <v>19327</v>
      </c>
      <c r="BW11">
        <v>27851901</v>
      </c>
      <c r="BX11">
        <v>1255</v>
      </c>
      <c r="BY11">
        <v>48411</v>
      </c>
      <c r="BZ11">
        <v>52544</v>
      </c>
      <c r="CA11">
        <v>167296558</v>
      </c>
      <c r="CB11">
        <v>3567</v>
      </c>
      <c r="CC11">
        <v>9081</v>
      </c>
      <c r="CD11">
        <v>11121</v>
      </c>
      <c r="CE11">
        <v>6306179</v>
      </c>
      <c r="CF11">
        <v>29</v>
      </c>
      <c r="CG11">
        <v>6261</v>
      </c>
      <c r="CH11">
        <v>6398</v>
      </c>
      <c r="CI11">
        <v>53418135</v>
      </c>
      <c r="CJ11">
        <v>489</v>
      </c>
      <c r="CK11">
        <v>2764</v>
      </c>
      <c r="CL11">
        <v>2851</v>
      </c>
      <c r="CM11">
        <v>14781779</v>
      </c>
      <c r="CN11">
        <v>188</v>
      </c>
      <c r="CO11">
        <v>7565</v>
      </c>
      <c r="CP11">
        <v>9705</v>
      </c>
      <c r="CQ11">
        <v>33060645</v>
      </c>
      <c r="CR11">
        <v>1240</v>
      </c>
      <c r="CS11">
        <v>14539</v>
      </c>
      <c r="CT11">
        <v>14681</v>
      </c>
      <c r="CU11">
        <v>2678508</v>
      </c>
      <c r="CV11">
        <v>1673</v>
      </c>
    </row>
    <row r="12" spans="1:100" x14ac:dyDescent="0.4">
      <c r="A12" s="1" t="s">
        <v>12</v>
      </c>
      <c r="B12" s="3" t="s">
        <v>13</v>
      </c>
      <c r="C12">
        <v>1163</v>
      </c>
      <c r="D12">
        <v>587</v>
      </c>
      <c r="E12">
        <v>11204</v>
      </c>
      <c r="F12">
        <v>27490227</v>
      </c>
      <c r="G12">
        <v>4881</v>
      </c>
      <c r="H12">
        <v>258</v>
      </c>
      <c r="I12">
        <v>206</v>
      </c>
      <c r="J12">
        <v>552</v>
      </c>
      <c r="K12">
        <v>2354933</v>
      </c>
      <c r="L12">
        <v>253</v>
      </c>
      <c r="M12">
        <v>7086</v>
      </c>
      <c r="N12">
        <v>7884</v>
      </c>
      <c r="O12">
        <v>9715812</v>
      </c>
      <c r="P12">
        <v>4386</v>
      </c>
      <c r="Q12">
        <v>1894</v>
      </c>
      <c r="R12">
        <v>1817</v>
      </c>
      <c r="S12">
        <v>6926369</v>
      </c>
      <c r="T12">
        <v>346</v>
      </c>
      <c r="U12">
        <v>981460</v>
      </c>
      <c r="V12">
        <v>7227</v>
      </c>
      <c r="W12">
        <v>1414077</v>
      </c>
      <c r="X12">
        <v>19367478</v>
      </c>
      <c r="Y12">
        <v>179284</v>
      </c>
      <c r="Z12">
        <v>1897</v>
      </c>
      <c r="AA12">
        <v>2235</v>
      </c>
      <c r="AB12">
        <v>19899795</v>
      </c>
      <c r="AC12">
        <v>124</v>
      </c>
      <c r="AD12">
        <v>5306</v>
      </c>
      <c r="AE12">
        <v>8182</v>
      </c>
      <c r="AF12">
        <v>32805264</v>
      </c>
      <c r="AG12">
        <v>3773</v>
      </c>
      <c r="AH12">
        <v>34328</v>
      </c>
      <c r="AI12">
        <v>4448</v>
      </c>
      <c r="AJ12">
        <v>36265</v>
      </c>
      <c r="AK12">
        <v>18053332</v>
      </c>
      <c r="AL12">
        <v>2774</v>
      </c>
      <c r="AM12">
        <v>244282</v>
      </c>
      <c r="AN12">
        <v>22239</v>
      </c>
      <c r="AO12">
        <v>246863</v>
      </c>
      <c r="AP12">
        <v>100869209</v>
      </c>
      <c r="AQ12">
        <v>5837</v>
      </c>
      <c r="AR12">
        <v>21021</v>
      </c>
      <c r="AS12">
        <v>5215</v>
      </c>
      <c r="AT12">
        <v>21052</v>
      </c>
      <c r="AU12">
        <v>17003538</v>
      </c>
      <c r="AV12">
        <v>2375</v>
      </c>
      <c r="AW12">
        <v>29268</v>
      </c>
      <c r="AX12">
        <v>32498</v>
      </c>
      <c r="AY12">
        <v>189345624</v>
      </c>
      <c r="AZ12">
        <v>951</v>
      </c>
      <c r="BA12">
        <v>2244</v>
      </c>
      <c r="BB12">
        <v>2345</v>
      </c>
      <c r="BC12">
        <v>7320915</v>
      </c>
      <c r="BD12">
        <v>428</v>
      </c>
      <c r="BE12">
        <v>4333</v>
      </c>
      <c r="BF12">
        <v>5027</v>
      </c>
      <c r="BG12">
        <v>30380101</v>
      </c>
      <c r="BH12">
        <v>474</v>
      </c>
      <c r="BI12">
        <v>23696</v>
      </c>
      <c r="BJ12">
        <v>31068</v>
      </c>
      <c r="BK12">
        <v>271962057</v>
      </c>
      <c r="BL12">
        <v>1574</v>
      </c>
      <c r="BM12">
        <v>6851</v>
      </c>
      <c r="BN12">
        <v>8522</v>
      </c>
      <c r="BO12">
        <v>108584501</v>
      </c>
      <c r="BP12">
        <v>713</v>
      </c>
      <c r="BQ12">
        <v>32100</v>
      </c>
      <c r="BR12">
        <v>32509</v>
      </c>
      <c r="BS12">
        <v>72208850</v>
      </c>
      <c r="BT12">
        <v>746</v>
      </c>
      <c r="BU12">
        <v>18661</v>
      </c>
      <c r="BV12">
        <v>18739</v>
      </c>
      <c r="BW12">
        <v>27134519</v>
      </c>
      <c r="BX12">
        <v>1363</v>
      </c>
      <c r="BY12">
        <v>43475</v>
      </c>
      <c r="BZ12">
        <v>48203</v>
      </c>
      <c r="CA12">
        <v>159927879</v>
      </c>
      <c r="CB12">
        <v>2838</v>
      </c>
      <c r="CC12">
        <v>8722</v>
      </c>
      <c r="CD12">
        <v>10765</v>
      </c>
      <c r="CE12">
        <v>6377653</v>
      </c>
      <c r="CF12">
        <v>33</v>
      </c>
      <c r="CG12">
        <v>5908</v>
      </c>
      <c r="CH12">
        <v>6003</v>
      </c>
      <c r="CI12">
        <v>51965141</v>
      </c>
      <c r="CJ12">
        <v>529</v>
      </c>
      <c r="CK12">
        <v>2838</v>
      </c>
      <c r="CL12">
        <v>2772</v>
      </c>
      <c r="CM12">
        <v>14337438</v>
      </c>
      <c r="CN12">
        <v>265</v>
      </c>
      <c r="CO12">
        <v>7163</v>
      </c>
      <c r="CP12">
        <v>9066</v>
      </c>
      <c r="CQ12">
        <v>31798401</v>
      </c>
      <c r="CR12">
        <v>1349</v>
      </c>
      <c r="CS12">
        <v>14746</v>
      </c>
      <c r="CT12">
        <v>14130</v>
      </c>
      <c r="CU12">
        <v>2587722</v>
      </c>
      <c r="CV12">
        <v>1906</v>
      </c>
    </row>
    <row r="13" spans="1:100" x14ac:dyDescent="0.4">
      <c r="A13" s="1" t="s">
        <v>14</v>
      </c>
      <c r="B13" s="3" t="s">
        <v>15</v>
      </c>
      <c r="C13">
        <v>1090</v>
      </c>
      <c r="D13">
        <v>525</v>
      </c>
      <c r="E13">
        <v>11173</v>
      </c>
      <c r="F13">
        <v>28670722</v>
      </c>
      <c r="G13">
        <v>5497</v>
      </c>
      <c r="H13">
        <v>224</v>
      </c>
      <c r="I13">
        <v>189</v>
      </c>
      <c r="J13">
        <v>484</v>
      </c>
      <c r="K13">
        <v>2144032</v>
      </c>
      <c r="L13">
        <v>240</v>
      </c>
      <c r="M13">
        <v>6821</v>
      </c>
      <c r="N13">
        <v>7284</v>
      </c>
      <c r="O13">
        <v>9215771</v>
      </c>
      <c r="P13">
        <v>3944</v>
      </c>
      <c r="Q13">
        <v>1822</v>
      </c>
      <c r="R13">
        <v>1704</v>
      </c>
      <c r="S13">
        <v>6479860</v>
      </c>
      <c r="T13">
        <v>264</v>
      </c>
      <c r="U13">
        <v>873457</v>
      </c>
      <c r="V13">
        <v>6121</v>
      </c>
      <c r="W13">
        <v>1245073</v>
      </c>
      <c r="X13">
        <v>18002927</v>
      </c>
      <c r="Y13">
        <v>176007</v>
      </c>
      <c r="Z13">
        <v>1937</v>
      </c>
      <c r="AA13">
        <v>2225</v>
      </c>
      <c r="AB13">
        <v>20190143</v>
      </c>
      <c r="AC13">
        <v>133</v>
      </c>
      <c r="AD13">
        <v>5467</v>
      </c>
      <c r="AE13">
        <v>8272</v>
      </c>
      <c r="AF13">
        <v>33790818</v>
      </c>
      <c r="AG13">
        <v>3942</v>
      </c>
      <c r="AH13">
        <v>35097</v>
      </c>
      <c r="AI13">
        <v>4566</v>
      </c>
      <c r="AJ13">
        <v>36873</v>
      </c>
      <c r="AK13">
        <v>18677756</v>
      </c>
      <c r="AL13">
        <v>2779</v>
      </c>
      <c r="AM13">
        <v>230535</v>
      </c>
      <c r="AN13">
        <v>23586</v>
      </c>
      <c r="AO13">
        <v>230332</v>
      </c>
      <c r="AP13">
        <v>106452512</v>
      </c>
      <c r="AQ13">
        <v>6185</v>
      </c>
      <c r="AR13">
        <v>19709</v>
      </c>
      <c r="AS13">
        <v>4921</v>
      </c>
      <c r="AT13">
        <v>19913</v>
      </c>
      <c r="AU13">
        <v>17033198</v>
      </c>
      <c r="AV13">
        <v>2182</v>
      </c>
      <c r="AW13">
        <v>29422</v>
      </c>
      <c r="AX13">
        <v>31110</v>
      </c>
      <c r="AY13">
        <v>179697920</v>
      </c>
      <c r="AZ13">
        <v>1029</v>
      </c>
      <c r="BA13">
        <v>2319</v>
      </c>
      <c r="BB13">
        <v>2099</v>
      </c>
      <c r="BC13">
        <v>6446559</v>
      </c>
      <c r="BD13">
        <v>671</v>
      </c>
      <c r="BE13">
        <v>4067</v>
      </c>
      <c r="BF13">
        <v>4808</v>
      </c>
      <c r="BG13">
        <v>29419549</v>
      </c>
      <c r="BH13">
        <v>461</v>
      </c>
      <c r="BI13">
        <v>23673</v>
      </c>
      <c r="BJ13">
        <v>31390</v>
      </c>
      <c r="BK13">
        <v>281359427</v>
      </c>
      <c r="BL13">
        <v>1818</v>
      </c>
      <c r="BM13">
        <v>6850</v>
      </c>
      <c r="BN13">
        <v>8827</v>
      </c>
      <c r="BO13">
        <v>115295110</v>
      </c>
      <c r="BP13">
        <v>687</v>
      </c>
      <c r="BQ13">
        <v>34250</v>
      </c>
      <c r="BR13">
        <v>34686</v>
      </c>
      <c r="BS13">
        <v>79028898</v>
      </c>
      <c r="BT13">
        <v>814</v>
      </c>
      <c r="BU13">
        <v>18367</v>
      </c>
      <c r="BV13">
        <v>18275</v>
      </c>
      <c r="BW13">
        <v>27046103</v>
      </c>
      <c r="BX13">
        <v>1430</v>
      </c>
      <c r="BY13">
        <v>44567</v>
      </c>
      <c r="BZ13">
        <v>48615</v>
      </c>
      <c r="CA13">
        <v>168881258</v>
      </c>
      <c r="CB13">
        <v>2891</v>
      </c>
      <c r="CC13">
        <v>9007</v>
      </c>
      <c r="CD13">
        <v>11070</v>
      </c>
      <c r="CE13">
        <v>6759511</v>
      </c>
      <c r="CF13">
        <v>40</v>
      </c>
      <c r="CG13">
        <v>5580</v>
      </c>
      <c r="CH13">
        <v>5736</v>
      </c>
      <c r="CI13">
        <v>48042445</v>
      </c>
      <c r="CJ13">
        <v>481</v>
      </c>
      <c r="CK13">
        <v>2829</v>
      </c>
      <c r="CL13">
        <v>2899</v>
      </c>
      <c r="CM13">
        <v>17693496</v>
      </c>
      <c r="CN13">
        <v>207</v>
      </c>
      <c r="CO13">
        <v>6908</v>
      </c>
      <c r="CP13">
        <v>8629</v>
      </c>
      <c r="CQ13">
        <v>31883867</v>
      </c>
      <c r="CR13">
        <v>1482</v>
      </c>
      <c r="CS13">
        <v>13922</v>
      </c>
      <c r="CT13">
        <v>13665</v>
      </c>
      <c r="CU13">
        <v>2557136</v>
      </c>
      <c r="CV13">
        <v>1811</v>
      </c>
    </row>
    <row r="14" spans="1:100" x14ac:dyDescent="0.4">
      <c r="A14" s="1" t="s">
        <v>16</v>
      </c>
      <c r="B14" s="1" t="s">
        <v>17</v>
      </c>
      <c r="C14">
        <v>108</v>
      </c>
      <c r="D14">
        <v>56</v>
      </c>
      <c r="E14">
        <v>1669</v>
      </c>
      <c r="F14">
        <v>3784215</v>
      </c>
      <c r="G14">
        <v>4190</v>
      </c>
      <c r="H14">
        <v>20</v>
      </c>
      <c r="I14">
        <v>18</v>
      </c>
      <c r="J14">
        <v>43</v>
      </c>
      <c r="K14">
        <v>192885</v>
      </c>
      <c r="L14">
        <v>249</v>
      </c>
      <c r="M14">
        <v>652</v>
      </c>
      <c r="N14">
        <v>1201</v>
      </c>
      <c r="O14">
        <v>1298639</v>
      </c>
      <c r="P14">
        <v>4291</v>
      </c>
      <c r="Q14">
        <v>162</v>
      </c>
      <c r="R14">
        <v>220</v>
      </c>
      <c r="S14">
        <v>750589</v>
      </c>
      <c r="T14">
        <v>320</v>
      </c>
      <c r="U14">
        <v>104980</v>
      </c>
      <c r="V14">
        <v>812</v>
      </c>
      <c r="W14">
        <v>120294</v>
      </c>
      <c r="X14">
        <v>1718832</v>
      </c>
      <c r="Y14">
        <v>284173</v>
      </c>
      <c r="Z14">
        <v>156</v>
      </c>
      <c r="AA14">
        <v>176</v>
      </c>
      <c r="AB14">
        <v>1655700</v>
      </c>
      <c r="AC14">
        <v>150</v>
      </c>
      <c r="AD14">
        <v>491</v>
      </c>
      <c r="AE14">
        <v>703</v>
      </c>
      <c r="AF14">
        <v>2798175</v>
      </c>
      <c r="AG14">
        <v>3738</v>
      </c>
      <c r="AH14">
        <v>3095</v>
      </c>
      <c r="AI14">
        <v>371</v>
      </c>
      <c r="AJ14">
        <v>3149</v>
      </c>
      <c r="AK14">
        <v>1502745</v>
      </c>
      <c r="AL14">
        <v>2901</v>
      </c>
      <c r="AM14">
        <v>23759</v>
      </c>
      <c r="AN14">
        <v>1965</v>
      </c>
      <c r="AO14">
        <v>23642</v>
      </c>
      <c r="AP14">
        <v>8732836</v>
      </c>
      <c r="AQ14">
        <v>9509</v>
      </c>
      <c r="AR14">
        <v>1918</v>
      </c>
      <c r="AS14">
        <v>445</v>
      </c>
      <c r="AT14">
        <v>1865</v>
      </c>
      <c r="AU14">
        <v>1441124</v>
      </c>
      <c r="AV14">
        <v>2543</v>
      </c>
      <c r="AW14">
        <v>2387</v>
      </c>
      <c r="AX14">
        <v>2673</v>
      </c>
      <c r="AY14">
        <v>16104521</v>
      </c>
      <c r="AZ14">
        <v>900</v>
      </c>
      <c r="BA14">
        <v>151</v>
      </c>
      <c r="BB14">
        <v>146</v>
      </c>
      <c r="BC14">
        <v>621309</v>
      </c>
      <c r="BD14">
        <v>408</v>
      </c>
      <c r="BE14">
        <v>377</v>
      </c>
      <c r="BF14">
        <v>430</v>
      </c>
      <c r="BG14">
        <v>2548826</v>
      </c>
      <c r="BH14">
        <v>443</v>
      </c>
      <c r="BI14">
        <v>1919</v>
      </c>
      <c r="BJ14">
        <v>2513</v>
      </c>
      <c r="BK14">
        <v>22344728</v>
      </c>
      <c r="BL14">
        <v>1384</v>
      </c>
      <c r="BM14">
        <v>544</v>
      </c>
      <c r="BN14">
        <v>677</v>
      </c>
      <c r="BO14">
        <v>8698102</v>
      </c>
      <c r="BP14">
        <v>566</v>
      </c>
      <c r="BQ14">
        <v>2485</v>
      </c>
      <c r="BR14">
        <v>2567</v>
      </c>
      <c r="BS14">
        <v>5762492</v>
      </c>
      <c r="BT14">
        <v>663</v>
      </c>
      <c r="BU14">
        <v>1562</v>
      </c>
      <c r="BV14">
        <v>1567</v>
      </c>
      <c r="BW14">
        <v>2286878</v>
      </c>
      <c r="BX14">
        <v>1275</v>
      </c>
      <c r="BY14">
        <v>3774</v>
      </c>
      <c r="BZ14">
        <v>4101</v>
      </c>
      <c r="CA14">
        <v>13683226</v>
      </c>
      <c r="CB14">
        <v>3313</v>
      </c>
      <c r="CC14">
        <v>783</v>
      </c>
      <c r="CD14">
        <v>927</v>
      </c>
      <c r="CE14">
        <v>542102</v>
      </c>
      <c r="CF14">
        <v>96</v>
      </c>
      <c r="CG14">
        <v>536</v>
      </c>
      <c r="CH14">
        <v>533</v>
      </c>
      <c r="CI14">
        <v>4515286</v>
      </c>
      <c r="CJ14">
        <v>496</v>
      </c>
      <c r="CK14">
        <v>257</v>
      </c>
      <c r="CL14">
        <v>256</v>
      </c>
      <c r="CM14">
        <v>1457191</v>
      </c>
      <c r="CN14">
        <v>248</v>
      </c>
      <c r="CO14">
        <v>668</v>
      </c>
      <c r="CP14">
        <v>886</v>
      </c>
      <c r="CQ14">
        <v>2640905</v>
      </c>
      <c r="CR14">
        <v>1177</v>
      </c>
      <c r="CS14">
        <v>1277</v>
      </c>
      <c r="CT14">
        <v>1256</v>
      </c>
      <c r="CU14">
        <v>222246</v>
      </c>
      <c r="CV14">
        <v>1798</v>
      </c>
    </row>
    <row r="15" spans="1:100" x14ac:dyDescent="0.4">
      <c r="A15" s="1" t="s">
        <v>18</v>
      </c>
      <c r="B15" s="1" t="s">
        <v>19</v>
      </c>
      <c r="C15">
        <v>104</v>
      </c>
      <c r="D15">
        <v>49</v>
      </c>
      <c r="E15">
        <v>874</v>
      </c>
      <c r="F15">
        <v>2115618</v>
      </c>
      <c r="G15">
        <v>3774</v>
      </c>
      <c r="H15">
        <v>22</v>
      </c>
      <c r="I15">
        <v>18</v>
      </c>
      <c r="J15">
        <v>48</v>
      </c>
      <c r="K15">
        <v>197281</v>
      </c>
      <c r="L15">
        <v>255</v>
      </c>
      <c r="M15">
        <v>663</v>
      </c>
      <c r="N15">
        <v>901</v>
      </c>
      <c r="O15">
        <v>1080812</v>
      </c>
      <c r="P15">
        <v>4040</v>
      </c>
      <c r="Q15">
        <v>168</v>
      </c>
      <c r="R15">
        <v>156</v>
      </c>
      <c r="S15">
        <v>601863</v>
      </c>
      <c r="T15">
        <v>327</v>
      </c>
      <c r="U15">
        <v>103965</v>
      </c>
      <c r="V15">
        <v>820</v>
      </c>
      <c r="W15">
        <v>137661</v>
      </c>
      <c r="X15">
        <v>1970053</v>
      </c>
      <c r="Y15">
        <v>272466</v>
      </c>
      <c r="Z15">
        <v>157</v>
      </c>
      <c r="AA15">
        <v>209</v>
      </c>
      <c r="AB15">
        <v>1646307</v>
      </c>
      <c r="AC15">
        <v>124</v>
      </c>
      <c r="AD15">
        <v>448</v>
      </c>
      <c r="AE15">
        <v>670</v>
      </c>
      <c r="AF15">
        <v>2773112</v>
      </c>
      <c r="AG15">
        <v>3756</v>
      </c>
      <c r="AH15">
        <v>2987</v>
      </c>
      <c r="AI15">
        <v>379</v>
      </c>
      <c r="AJ15">
        <v>3240</v>
      </c>
      <c r="AK15">
        <v>1517734</v>
      </c>
      <c r="AL15">
        <v>2738</v>
      </c>
      <c r="AM15">
        <v>24731</v>
      </c>
      <c r="AN15">
        <v>1902</v>
      </c>
      <c r="AO15">
        <v>24121</v>
      </c>
      <c r="AP15">
        <v>8442712</v>
      </c>
      <c r="AQ15">
        <v>10127</v>
      </c>
      <c r="AR15">
        <v>1908</v>
      </c>
      <c r="AS15">
        <v>436</v>
      </c>
      <c r="AT15">
        <v>1824</v>
      </c>
      <c r="AU15">
        <v>1104900</v>
      </c>
      <c r="AV15">
        <v>2590</v>
      </c>
      <c r="AW15">
        <v>2420</v>
      </c>
      <c r="AX15">
        <v>2734</v>
      </c>
      <c r="AY15">
        <v>15881839</v>
      </c>
      <c r="AZ15">
        <v>852</v>
      </c>
      <c r="BA15">
        <v>163</v>
      </c>
      <c r="BB15">
        <v>149</v>
      </c>
      <c r="BC15">
        <v>409429</v>
      </c>
      <c r="BD15">
        <v>424</v>
      </c>
      <c r="BE15">
        <v>380</v>
      </c>
      <c r="BF15">
        <v>408</v>
      </c>
      <c r="BG15">
        <v>2431589</v>
      </c>
      <c r="BH15">
        <v>465</v>
      </c>
      <c r="BI15">
        <v>2037</v>
      </c>
      <c r="BJ15">
        <v>2680</v>
      </c>
      <c r="BK15">
        <v>23076788</v>
      </c>
      <c r="BL15">
        <v>1397</v>
      </c>
      <c r="BM15">
        <v>570</v>
      </c>
      <c r="BN15">
        <v>724</v>
      </c>
      <c r="BO15">
        <v>9214970</v>
      </c>
      <c r="BP15">
        <v>586</v>
      </c>
      <c r="BQ15">
        <v>2433</v>
      </c>
      <c r="BR15">
        <v>2491</v>
      </c>
      <c r="BS15">
        <v>5740571</v>
      </c>
      <c r="BT15">
        <v>637</v>
      </c>
      <c r="BU15">
        <v>1579</v>
      </c>
      <c r="BV15">
        <v>1515</v>
      </c>
      <c r="BW15">
        <v>2089309</v>
      </c>
      <c r="BX15">
        <v>1353</v>
      </c>
      <c r="BY15">
        <v>3774</v>
      </c>
      <c r="BZ15">
        <v>3975</v>
      </c>
      <c r="CA15">
        <v>13331325</v>
      </c>
      <c r="CB15">
        <v>3424</v>
      </c>
      <c r="CC15">
        <v>771</v>
      </c>
      <c r="CD15">
        <v>955</v>
      </c>
      <c r="CE15">
        <v>589367</v>
      </c>
      <c r="CF15">
        <v>84</v>
      </c>
      <c r="CG15">
        <v>499</v>
      </c>
      <c r="CH15">
        <v>502</v>
      </c>
      <c r="CI15">
        <v>4603345</v>
      </c>
      <c r="CJ15">
        <v>504</v>
      </c>
      <c r="CK15">
        <v>250</v>
      </c>
      <c r="CL15">
        <v>249</v>
      </c>
      <c r="CM15">
        <v>1353693</v>
      </c>
      <c r="CN15">
        <v>250</v>
      </c>
      <c r="CO15">
        <v>581</v>
      </c>
      <c r="CP15">
        <v>775</v>
      </c>
      <c r="CQ15">
        <v>2512470</v>
      </c>
      <c r="CR15">
        <v>1166</v>
      </c>
      <c r="CS15">
        <v>1346</v>
      </c>
      <c r="CT15">
        <v>1309</v>
      </c>
      <c r="CU15">
        <v>233840</v>
      </c>
      <c r="CV15">
        <v>1798</v>
      </c>
    </row>
    <row r="16" spans="1:100" x14ac:dyDescent="0.4">
      <c r="A16" s="1" t="s">
        <v>20</v>
      </c>
      <c r="B16" s="1" t="s">
        <v>21</v>
      </c>
      <c r="C16">
        <v>105</v>
      </c>
      <c r="D16">
        <v>60</v>
      </c>
      <c r="E16">
        <v>609</v>
      </c>
      <c r="F16">
        <v>1647546</v>
      </c>
      <c r="G16">
        <v>3831</v>
      </c>
      <c r="H16">
        <v>23</v>
      </c>
      <c r="I16">
        <v>16</v>
      </c>
      <c r="J16">
        <v>41</v>
      </c>
      <c r="K16">
        <v>166414</v>
      </c>
      <c r="L16">
        <v>270</v>
      </c>
      <c r="M16">
        <v>618</v>
      </c>
      <c r="N16">
        <v>348</v>
      </c>
      <c r="O16">
        <v>548401</v>
      </c>
      <c r="P16">
        <v>4310</v>
      </c>
      <c r="Q16">
        <v>146</v>
      </c>
      <c r="R16">
        <v>134</v>
      </c>
      <c r="S16">
        <v>476570</v>
      </c>
      <c r="T16">
        <v>319</v>
      </c>
      <c r="U16">
        <v>93817</v>
      </c>
      <c r="V16">
        <v>718</v>
      </c>
      <c r="W16">
        <v>117333</v>
      </c>
      <c r="X16">
        <v>1485460</v>
      </c>
      <c r="Y16">
        <v>277718</v>
      </c>
      <c r="Z16">
        <v>160</v>
      </c>
      <c r="AA16">
        <v>191</v>
      </c>
      <c r="AB16">
        <v>1615834</v>
      </c>
      <c r="AC16">
        <v>123</v>
      </c>
      <c r="AD16">
        <v>426</v>
      </c>
      <c r="AE16">
        <v>714</v>
      </c>
      <c r="AF16">
        <v>2750382</v>
      </c>
      <c r="AG16">
        <v>3692</v>
      </c>
      <c r="AH16">
        <v>2649</v>
      </c>
      <c r="AI16">
        <v>360</v>
      </c>
      <c r="AJ16">
        <v>3027</v>
      </c>
      <c r="AK16">
        <v>1503099</v>
      </c>
      <c r="AL16">
        <v>2521</v>
      </c>
      <c r="AM16">
        <v>23143</v>
      </c>
      <c r="AN16">
        <v>1861</v>
      </c>
      <c r="AO16">
        <v>23901</v>
      </c>
      <c r="AP16">
        <v>8323651</v>
      </c>
      <c r="AQ16">
        <v>9379</v>
      </c>
      <c r="AR16">
        <v>1783</v>
      </c>
      <c r="AS16">
        <v>431</v>
      </c>
      <c r="AT16">
        <v>1637</v>
      </c>
      <c r="AU16">
        <v>1034178</v>
      </c>
      <c r="AV16">
        <v>2744</v>
      </c>
      <c r="AW16">
        <v>2276</v>
      </c>
      <c r="AX16">
        <v>2561</v>
      </c>
      <c r="AY16">
        <v>14899481</v>
      </c>
      <c r="AZ16">
        <v>841</v>
      </c>
      <c r="BA16">
        <v>159</v>
      </c>
      <c r="BB16">
        <v>109</v>
      </c>
      <c r="BC16">
        <v>462139</v>
      </c>
      <c r="BD16">
        <v>476</v>
      </c>
      <c r="BE16">
        <v>352</v>
      </c>
      <c r="BF16">
        <v>385</v>
      </c>
      <c r="BG16">
        <v>2461557</v>
      </c>
      <c r="BH16">
        <v>490</v>
      </c>
      <c r="BI16">
        <v>1967</v>
      </c>
      <c r="BJ16">
        <v>2604</v>
      </c>
      <c r="BK16">
        <v>22345880</v>
      </c>
      <c r="BL16">
        <v>1366</v>
      </c>
      <c r="BM16">
        <v>565</v>
      </c>
      <c r="BN16">
        <v>709</v>
      </c>
      <c r="BO16">
        <v>9040189</v>
      </c>
      <c r="BP16">
        <v>601</v>
      </c>
      <c r="BQ16">
        <v>2657</v>
      </c>
      <c r="BR16">
        <v>2634</v>
      </c>
      <c r="BS16">
        <v>5918572</v>
      </c>
      <c r="BT16">
        <v>704</v>
      </c>
      <c r="BU16">
        <v>1574</v>
      </c>
      <c r="BV16">
        <v>1496</v>
      </c>
      <c r="BW16">
        <v>2141248</v>
      </c>
      <c r="BX16">
        <v>1445</v>
      </c>
      <c r="BY16">
        <v>3499</v>
      </c>
      <c r="BZ16">
        <v>3989</v>
      </c>
      <c r="CA16">
        <v>13132581</v>
      </c>
      <c r="CB16">
        <v>3265</v>
      </c>
      <c r="CC16">
        <v>587</v>
      </c>
      <c r="CD16">
        <v>766</v>
      </c>
      <c r="CE16">
        <v>440709</v>
      </c>
      <c r="CF16">
        <v>66</v>
      </c>
      <c r="CG16">
        <v>498</v>
      </c>
      <c r="CH16">
        <v>533</v>
      </c>
      <c r="CI16">
        <v>4567222</v>
      </c>
      <c r="CJ16">
        <v>481</v>
      </c>
      <c r="CK16">
        <v>225</v>
      </c>
      <c r="CL16">
        <v>228</v>
      </c>
      <c r="CM16">
        <v>1281909</v>
      </c>
      <c r="CN16">
        <v>248</v>
      </c>
      <c r="CO16">
        <v>596</v>
      </c>
      <c r="CP16">
        <v>711</v>
      </c>
      <c r="CQ16">
        <v>2526211</v>
      </c>
      <c r="CR16">
        <v>1201</v>
      </c>
      <c r="CS16">
        <v>1237</v>
      </c>
      <c r="CT16">
        <v>1108</v>
      </c>
      <c r="CU16">
        <v>200372</v>
      </c>
      <c r="CV16">
        <v>1900</v>
      </c>
    </row>
    <row r="17" spans="1:100" x14ac:dyDescent="0.4">
      <c r="A17" s="1" t="s">
        <v>22</v>
      </c>
      <c r="B17" s="1" t="s">
        <v>23</v>
      </c>
      <c r="C17">
        <v>94</v>
      </c>
      <c r="D17">
        <v>42</v>
      </c>
      <c r="E17">
        <v>736</v>
      </c>
      <c r="F17">
        <v>1887153</v>
      </c>
      <c r="G17">
        <v>3830</v>
      </c>
      <c r="H17">
        <v>24</v>
      </c>
      <c r="I17">
        <v>17</v>
      </c>
      <c r="J17">
        <v>39</v>
      </c>
      <c r="K17">
        <v>153754</v>
      </c>
      <c r="L17">
        <v>284</v>
      </c>
      <c r="M17">
        <v>551</v>
      </c>
      <c r="N17">
        <v>408</v>
      </c>
      <c r="O17">
        <v>568525</v>
      </c>
      <c r="P17">
        <v>4453</v>
      </c>
      <c r="Q17">
        <v>158</v>
      </c>
      <c r="R17">
        <v>145</v>
      </c>
      <c r="S17">
        <v>552570</v>
      </c>
      <c r="T17">
        <v>314</v>
      </c>
      <c r="U17">
        <v>89973</v>
      </c>
      <c r="V17">
        <v>637</v>
      </c>
      <c r="W17">
        <v>178332</v>
      </c>
      <c r="X17">
        <v>2341148</v>
      </c>
      <c r="Y17">
        <v>244113</v>
      </c>
      <c r="Z17">
        <v>156</v>
      </c>
      <c r="AA17">
        <v>167</v>
      </c>
      <c r="AB17">
        <v>1707941</v>
      </c>
      <c r="AC17">
        <v>139</v>
      </c>
      <c r="AD17">
        <v>473</v>
      </c>
      <c r="AE17">
        <v>701</v>
      </c>
      <c r="AF17">
        <v>2780151</v>
      </c>
      <c r="AG17">
        <v>3716</v>
      </c>
      <c r="AH17">
        <v>3062</v>
      </c>
      <c r="AI17">
        <v>395</v>
      </c>
      <c r="AJ17">
        <v>2986</v>
      </c>
      <c r="AK17">
        <v>1493009</v>
      </c>
      <c r="AL17">
        <v>2809</v>
      </c>
      <c r="AM17">
        <v>17783</v>
      </c>
      <c r="AN17">
        <v>1795</v>
      </c>
      <c r="AO17">
        <v>20794</v>
      </c>
      <c r="AP17">
        <v>8311524</v>
      </c>
      <c r="AQ17">
        <v>6377</v>
      </c>
      <c r="AR17">
        <v>1753</v>
      </c>
      <c r="AS17">
        <v>443</v>
      </c>
      <c r="AT17">
        <v>1717</v>
      </c>
      <c r="AU17">
        <v>1317007</v>
      </c>
      <c r="AV17">
        <v>2786</v>
      </c>
      <c r="AW17">
        <v>2401</v>
      </c>
      <c r="AX17">
        <v>2667</v>
      </c>
      <c r="AY17">
        <v>15777490</v>
      </c>
      <c r="AZ17">
        <v>841</v>
      </c>
      <c r="BA17">
        <v>348</v>
      </c>
      <c r="BB17">
        <v>162</v>
      </c>
      <c r="BC17">
        <v>443504</v>
      </c>
      <c r="BD17">
        <v>664</v>
      </c>
      <c r="BE17">
        <v>363</v>
      </c>
      <c r="BF17">
        <v>442</v>
      </c>
      <c r="BG17">
        <v>2651182</v>
      </c>
      <c r="BH17">
        <v>473</v>
      </c>
      <c r="BI17">
        <v>1999</v>
      </c>
      <c r="BJ17">
        <v>2614</v>
      </c>
      <c r="BK17">
        <v>22691485</v>
      </c>
      <c r="BL17">
        <v>1374</v>
      </c>
      <c r="BM17">
        <v>581</v>
      </c>
      <c r="BN17">
        <v>725</v>
      </c>
      <c r="BO17">
        <v>9141449</v>
      </c>
      <c r="BP17">
        <v>621</v>
      </c>
      <c r="BQ17">
        <v>2871</v>
      </c>
      <c r="BR17">
        <v>2854</v>
      </c>
      <c r="BS17">
        <v>6216505</v>
      </c>
      <c r="BT17">
        <v>754</v>
      </c>
      <c r="BU17">
        <v>1554</v>
      </c>
      <c r="BV17">
        <v>1542</v>
      </c>
      <c r="BW17">
        <v>2243778</v>
      </c>
      <c r="BX17">
        <v>1472</v>
      </c>
      <c r="BY17">
        <v>3808</v>
      </c>
      <c r="BZ17">
        <v>4131</v>
      </c>
      <c r="CA17">
        <v>13718118</v>
      </c>
      <c r="CB17">
        <v>3282</v>
      </c>
      <c r="CC17">
        <v>688</v>
      </c>
      <c r="CD17">
        <v>828</v>
      </c>
      <c r="CE17">
        <v>480933</v>
      </c>
      <c r="CF17">
        <v>76</v>
      </c>
      <c r="CG17">
        <v>493</v>
      </c>
      <c r="CH17">
        <v>509</v>
      </c>
      <c r="CI17">
        <v>4462865</v>
      </c>
      <c r="CJ17">
        <v>477</v>
      </c>
      <c r="CK17">
        <v>245</v>
      </c>
      <c r="CL17">
        <v>246</v>
      </c>
      <c r="CM17">
        <v>1113887</v>
      </c>
      <c r="CN17">
        <v>248</v>
      </c>
      <c r="CO17">
        <v>570</v>
      </c>
      <c r="CP17">
        <v>693</v>
      </c>
      <c r="CQ17">
        <v>2597134</v>
      </c>
      <c r="CR17">
        <v>1271</v>
      </c>
      <c r="CS17">
        <v>1116</v>
      </c>
      <c r="CT17">
        <v>1079</v>
      </c>
      <c r="CU17">
        <v>197839</v>
      </c>
      <c r="CV17">
        <v>1915</v>
      </c>
    </row>
    <row r="18" spans="1:100" x14ac:dyDescent="0.4">
      <c r="A18" s="1" t="s">
        <v>24</v>
      </c>
      <c r="B18" s="1" t="s">
        <v>25</v>
      </c>
      <c r="C18">
        <v>101</v>
      </c>
      <c r="D18">
        <v>54</v>
      </c>
      <c r="E18">
        <v>744</v>
      </c>
      <c r="F18">
        <v>1828077</v>
      </c>
      <c r="G18">
        <v>4258</v>
      </c>
      <c r="H18">
        <v>21</v>
      </c>
      <c r="I18">
        <v>17</v>
      </c>
      <c r="J18">
        <v>46</v>
      </c>
      <c r="K18">
        <v>206269</v>
      </c>
      <c r="L18">
        <v>273</v>
      </c>
      <c r="M18">
        <v>610</v>
      </c>
      <c r="N18">
        <v>417</v>
      </c>
      <c r="O18">
        <v>582758</v>
      </c>
      <c r="P18">
        <v>4668</v>
      </c>
      <c r="Q18">
        <v>166</v>
      </c>
      <c r="R18">
        <v>155</v>
      </c>
      <c r="S18">
        <v>648905</v>
      </c>
      <c r="T18">
        <v>315</v>
      </c>
      <c r="U18">
        <v>75356</v>
      </c>
      <c r="V18">
        <v>542</v>
      </c>
      <c r="W18">
        <v>80997</v>
      </c>
      <c r="X18">
        <v>1185050</v>
      </c>
      <c r="Y18">
        <v>265409</v>
      </c>
      <c r="Z18">
        <v>175</v>
      </c>
      <c r="AA18">
        <v>218</v>
      </c>
      <c r="AB18">
        <v>1880099</v>
      </c>
      <c r="AC18">
        <v>125</v>
      </c>
      <c r="AD18">
        <v>474</v>
      </c>
      <c r="AE18">
        <v>795</v>
      </c>
      <c r="AF18">
        <v>3111272</v>
      </c>
      <c r="AG18">
        <v>3690</v>
      </c>
      <c r="AH18">
        <v>3172</v>
      </c>
      <c r="AI18">
        <v>429</v>
      </c>
      <c r="AJ18">
        <v>3199</v>
      </c>
      <c r="AK18">
        <v>1753597</v>
      </c>
      <c r="AL18">
        <v>2967</v>
      </c>
      <c r="AM18">
        <v>20363</v>
      </c>
      <c r="AN18">
        <v>2065</v>
      </c>
      <c r="AO18">
        <v>20449</v>
      </c>
      <c r="AP18">
        <v>9363865</v>
      </c>
      <c r="AQ18">
        <v>6303</v>
      </c>
      <c r="AR18">
        <v>1844</v>
      </c>
      <c r="AS18">
        <v>462</v>
      </c>
      <c r="AT18">
        <v>1874</v>
      </c>
      <c r="AU18">
        <v>1106398</v>
      </c>
      <c r="AV18">
        <v>2753</v>
      </c>
      <c r="AW18">
        <v>2789</v>
      </c>
      <c r="AX18">
        <v>3114</v>
      </c>
      <c r="AY18">
        <v>17801682</v>
      </c>
      <c r="AZ18">
        <v>838</v>
      </c>
      <c r="BA18">
        <v>153</v>
      </c>
      <c r="BB18">
        <v>117</v>
      </c>
      <c r="BC18">
        <v>320844</v>
      </c>
      <c r="BD18">
        <v>702</v>
      </c>
      <c r="BE18">
        <v>399</v>
      </c>
      <c r="BF18">
        <v>480</v>
      </c>
      <c r="BG18">
        <v>2946154</v>
      </c>
      <c r="BH18">
        <v>450</v>
      </c>
      <c r="BI18">
        <v>2211</v>
      </c>
      <c r="BJ18">
        <v>2783</v>
      </c>
      <c r="BK18">
        <v>25342262</v>
      </c>
      <c r="BL18">
        <v>1514</v>
      </c>
      <c r="BM18">
        <v>655</v>
      </c>
      <c r="BN18">
        <v>805</v>
      </c>
      <c r="BO18">
        <v>10335084</v>
      </c>
      <c r="BP18">
        <v>655</v>
      </c>
      <c r="BQ18">
        <v>3178</v>
      </c>
      <c r="BR18">
        <v>3198</v>
      </c>
      <c r="BS18">
        <v>6862141</v>
      </c>
      <c r="BT18">
        <v>774</v>
      </c>
      <c r="BU18">
        <v>1695</v>
      </c>
      <c r="BV18">
        <v>1716</v>
      </c>
      <c r="BW18">
        <v>2432568</v>
      </c>
      <c r="BX18">
        <v>1466</v>
      </c>
      <c r="BY18">
        <v>3986</v>
      </c>
      <c r="BZ18">
        <v>4393</v>
      </c>
      <c r="CA18">
        <v>14277262</v>
      </c>
      <c r="CB18">
        <v>3215</v>
      </c>
      <c r="CC18">
        <v>882</v>
      </c>
      <c r="CD18">
        <v>1059</v>
      </c>
      <c r="CE18">
        <v>637621</v>
      </c>
      <c r="CF18">
        <v>60</v>
      </c>
      <c r="CG18">
        <v>577</v>
      </c>
      <c r="CH18">
        <v>556</v>
      </c>
      <c r="CI18">
        <v>4796035</v>
      </c>
      <c r="CJ18">
        <v>509</v>
      </c>
      <c r="CK18">
        <v>262</v>
      </c>
      <c r="CL18">
        <v>230</v>
      </c>
      <c r="CM18">
        <v>1244190</v>
      </c>
      <c r="CN18">
        <v>281</v>
      </c>
      <c r="CO18">
        <v>613</v>
      </c>
      <c r="CP18">
        <v>759</v>
      </c>
      <c r="CQ18">
        <v>2838685</v>
      </c>
      <c r="CR18">
        <v>1325</v>
      </c>
      <c r="CS18">
        <v>1295</v>
      </c>
      <c r="CT18">
        <v>1313</v>
      </c>
      <c r="CU18">
        <v>240874</v>
      </c>
      <c r="CV18">
        <v>1862</v>
      </c>
    </row>
    <row r="19" spans="1:100" x14ac:dyDescent="0.4">
      <c r="A19" s="1" t="s">
        <v>26</v>
      </c>
      <c r="B19" s="1" t="s">
        <v>27</v>
      </c>
      <c r="C19">
        <v>82</v>
      </c>
      <c r="D19">
        <v>44</v>
      </c>
      <c r="E19">
        <v>842</v>
      </c>
      <c r="F19">
        <v>2030723</v>
      </c>
      <c r="G19">
        <v>4363</v>
      </c>
      <c r="H19">
        <v>19</v>
      </c>
      <c r="I19">
        <v>17</v>
      </c>
      <c r="J19">
        <v>33</v>
      </c>
      <c r="K19">
        <v>143355</v>
      </c>
      <c r="L19">
        <v>305</v>
      </c>
      <c r="M19">
        <v>342</v>
      </c>
      <c r="N19">
        <v>708</v>
      </c>
      <c r="O19">
        <v>778848</v>
      </c>
      <c r="P19">
        <v>4302</v>
      </c>
      <c r="Q19">
        <v>144</v>
      </c>
      <c r="R19">
        <v>129</v>
      </c>
      <c r="S19">
        <v>565998</v>
      </c>
      <c r="T19">
        <v>309</v>
      </c>
      <c r="U19">
        <v>60115</v>
      </c>
      <c r="V19">
        <v>431</v>
      </c>
      <c r="W19">
        <v>79670</v>
      </c>
      <c r="X19">
        <v>1052738</v>
      </c>
      <c r="Y19">
        <v>269955</v>
      </c>
      <c r="Z19">
        <v>140</v>
      </c>
      <c r="AA19">
        <v>162</v>
      </c>
      <c r="AB19">
        <v>1466579</v>
      </c>
      <c r="AC19">
        <v>127</v>
      </c>
      <c r="AD19">
        <v>349</v>
      </c>
      <c r="AE19">
        <v>567</v>
      </c>
      <c r="AF19">
        <v>2346519</v>
      </c>
      <c r="AG19">
        <v>3719</v>
      </c>
      <c r="AH19">
        <v>2297</v>
      </c>
      <c r="AI19">
        <v>305</v>
      </c>
      <c r="AJ19">
        <v>2444</v>
      </c>
      <c r="AK19">
        <v>1164496</v>
      </c>
      <c r="AL19">
        <v>2970</v>
      </c>
      <c r="AM19">
        <v>15011</v>
      </c>
      <c r="AN19">
        <v>1512</v>
      </c>
      <c r="AO19">
        <v>15205</v>
      </c>
      <c r="AP19">
        <v>7039933</v>
      </c>
      <c r="AQ19">
        <v>6118</v>
      </c>
      <c r="AR19">
        <v>1439</v>
      </c>
      <c r="AS19">
        <v>376</v>
      </c>
      <c r="AT19">
        <v>1494</v>
      </c>
      <c r="AU19">
        <v>1188869</v>
      </c>
      <c r="AV19">
        <v>2696</v>
      </c>
      <c r="AW19">
        <v>2054</v>
      </c>
      <c r="AX19">
        <v>2280</v>
      </c>
      <c r="AY19">
        <v>13078519</v>
      </c>
      <c r="AZ19">
        <v>852</v>
      </c>
      <c r="BA19">
        <v>175</v>
      </c>
      <c r="BB19">
        <v>178</v>
      </c>
      <c r="BC19">
        <v>560231</v>
      </c>
      <c r="BD19">
        <v>701</v>
      </c>
      <c r="BE19">
        <v>312</v>
      </c>
      <c r="BF19">
        <v>385</v>
      </c>
      <c r="BG19">
        <v>2405193</v>
      </c>
      <c r="BH19">
        <v>435</v>
      </c>
      <c r="BI19">
        <v>1761</v>
      </c>
      <c r="BJ19">
        <v>2367</v>
      </c>
      <c r="BK19">
        <v>20014771</v>
      </c>
      <c r="BL19">
        <v>1460</v>
      </c>
      <c r="BM19">
        <v>497</v>
      </c>
      <c r="BN19">
        <v>617</v>
      </c>
      <c r="BO19">
        <v>7985802</v>
      </c>
      <c r="BP19">
        <v>687</v>
      </c>
      <c r="BQ19">
        <v>2236</v>
      </c>
      <c r="BR19">
        <v>2279</v>
      </c>
      <c r="BS19">
        <v>4967745</v>
      </c>
      <c r="BT19">
        <v>769</v>
      </c>
      <c r="BU19">
        <v>1333</v>
      </c>
      <c r="BV19">
        <v>1373</v>
      </c>
      <c r="BW19">
        <v>2016825</v>
      </c>
      <c r="BX19">
        <v>1440</v>
      </c>
      <c r="BY19">
        <v>2992</v>
      </c>
      <c r="BZ19">
        <v>3385</v>
      </c>
      <c r="CA19">
        <v>11632147</v>
      </c>
      <c r="CB19">
        <v>3112</v>
      </c>
      <c r="CC19">
        <v>659</v>
      </c>
      <c r="CD19">
        <v>778</v>
      </c>
      <c r="CE19">
        <v>473596</v>
      </c>
      <c r="CF19">
        <v>78</v>
      </c>
      <c r="CG19">
        <v>462</v>
      </c>
      <c r="CH19">
        <v>461</v>
      </c>
      <c r="CI19">
        <v>3980485</v>
      </c>
      <c r="CJ19">
        <v>524</v>
      </c>
      <c r="CK19">
        <v>199</v>
      </c>
      <c r="CL19">
        <v>179</v>
      </c>
      <c r="CM19">
        <v>942746</v>
      </c>
      <c r="CN19">
        <v>302</v>
      </c>
      <c r="CO19">
        <v>510</v>
      </c>
      <c r="CP19">
        <v>699</v>
      </c>
      <c r="CQ19">
        <v>2348952</v>
      </c>
      <c r="CR19">
        <v>1311</v>
      </c>
      <c r="CS19">
        <v>1069</v>
      </c>
      <c r="CT19">
        <v>1050</v>
      </c>
      <c r="CU19">
        <v>191771</v>
      </c>
      <c r="CV19">
        <v>1880</v>
      </c>
    </row>
    <row r="20" spans="1:100" x14ac:dyDescent="0.4">
      <c r="A20" s="1" t="s">
        <v>28</v>
      </c>
      <c r="B20" s="1" t="s">
        <v>29</v>
      </c>
      <c r="C20">
        <v>94</v>
      </c>
      <c r="D20">
        <v>50</v>
      </c>
      <c r="E20">
        <v>816</v>
      </c>
      <c r="F20">
        <v>2189996</v>
      </c>
      <c r="G20">
        <v>4286</v>
      </c>
      <c r="H20">
        <v>21</v>
      </c>
      <c r="I20">
        <v>20</v>
      </c>
      <c r="J20">
        <v>47</v>
      </c>
      <c r="K20">
        <v>207657</v>
      </c>
      <c r="L20">
        <v>298</v>
      </c>
      <c r="M20">
        <v>554</v>
      </c>
      <c r="N20">
        <v>601</v>
      </c>
      <c r="O20">
        <v>740954</v>
      </c>
      <c r="P20">
        <v>4255</v>
      </c>
      <c r="Q20">
        <v>147</v>
      </c>
      <c r="R20">
        <v>129</v>
      </c>
      <c r="S20">
        <v>557121</v>
      </c>
      <c r="T20">
        <v>303</v>
      </c>
      <c r="U20">
        <v>66861</v>
      </c>
      <c r="V20">
        <v>481</v>
      </c>
      <c r="W20">
        <v>104651</v>
      </c>
      <c r="X20">
        <v>1480875</v>
      </c>
      <c r="Y20">
        <v>280101</v>
      </c>
      <c r="Z20">
        <v>176</v>
      </c>
      <c r="AA20">
        <v>187</v>
      </c>
      <c r="AB20">
        <v>1738783</v>
      </c>
      <c r="AC20">
        <v>144</v>
      </c>
      <c r="AD20">
        <v>468</v>
      </c>
      <c r="AE20">
        <v>701</v>
      </c>
      <c r="AF20">
        <v>2828940</v>
      </c>
      <c r="AG20">
        <v>3734</v>
      </c>
      <c r="AH20">
        <v>2869</v>
      </c>
      <c r="AI20">
        <v>360</v>
      </c>
      <c r="AJ20">
        <v>2963</v>
      </c>
      <c r="AK20">
        <v>1494790</v>
      </c>
      <c r="AL20">
        <v>2971</v>
      </c>
      <c r="AM20">
        <v>18634</v>
      </c>
      <c r="AN20">
        <v>1864</v>
      </c>
      <c r="AO20">
        <v>19028</v>
      </c>
      <c r="AP20">
        <v>8706748</v>
      </c>
      <c r="AQ20">
        <v>5733</v>
      </c>
      <c r="AR20">
        <v>1621</v>
      </c>
      <c r="AS20">
        <v>404</v>
      </c>
      <c r="AT20">
        <v>1860</v>
      </c>
      <c r="AU20">
        <v>1661525</v>
      </c>
      <c r="AV20">
        <v>2457</v>
      </c>
      <c r="AW20">
        <v>2453</v>
      </c>
      <c r="AX20">
        <v>2703</v>
      </c>
      <c r="AY20">
        <v>16005282</v>
      </c>
      <c r="AZ20">
        <v>879</v>
      </c>
      <c r="BA20">
        <v>176</v>
      </c>
      <c r="BB20">
        <v>212</v>
      </c>
      <c r="BC20">
        <v>625091</v>
      </c>
      <c r="BD20">
        <v>668</v>
      </c>
      <c r="BE20">
        <v>368</v>
      </c>
      <c r="BF20">
        <v>437</v>
      </c>
      <c r="BG20">
        <v>2768514</v>
      </c>
      <c r="BH20">
        <v>465</v>
      </c>
      <c r="BI20">
        <v>2076</v>
      </c>
      <c r="BJ20">
        <v>2743</v>
      </c>
      <c r="BK20">
        <v>23562723</v>
      </c>
      <c r="BL20">
        <v>1463</v>
      </c>
      <c r="BM20">
        <v>607</v>
      </c>
      <c r="BN20">
        <v>760</v>
      </c>
      <c r="BO20">
        <v>9503638</v>
      </c>
      <c r="BP20">
        <v>695</v>
      </c>
      <c r="BQ20">
        <v>2820</v>
      </c>
      <c r="BR20">
        <v>2890</v>
      </c>
      <c r="BS20">
        <v>6414708</v>
      </c>
      <c r="BT20">
        <v>741</v>
      </c>
      <c r="BU20">
        <v>1635</v>
      </c>
      <c r="BV20">
        <v>1662</v>
      </c>
      <c r="BW20">
        <v>2399173</v>
      </c>
      <c r="BX20">
        <v>1431</v>
      </c>
      <c r="BY20">
        <v>3625</v>
      </c>
      <c r="BZ20">
        <v>4061</v>
      </c>
      <c r="CA20">
        <v>13314628</v>
      </c>
      <c r="CB20">
        <v>3015</v>
      </c>
      <c r="CC20">
        <v>802</v>
      </c>
      <c r="CD20">
        <v>967</v>
      </c>
      <c r="CE20">
        <v>585773</v>
      </c>
      <c r="CF20">
        <v>88</v>
      </c>
      <c r="CG20">
        <v>483</v>
      </c>
      <c r="CH20">
        <v>467</v>
      </c>
      <c r="CI20">
        <v>4068118</v>
      </c>
      <c r="CJ20">
        <v>554</v>
      </c>
      <c r="CK20">
        <v>241</v>
      </c>
      <c r="CL20">
        <v>232</v>
      </c>
      <c r="CM20">
        <v>1115713</v>
      </c>
      <c r="CN20">
        <v>312</v>
      </c>
      <c r="CO20">
        <v>574</v>
      </c>
      <c r="CP20">
        <v>702</v>
      </c>
      <c r="CQ20">
        <v>2694748</v>
      </c>
      <c r="CR20">
        <v>1344</v>
      </c>
      <c r="CS20">
        <v>1097</v>
      </c>
      <c r="CT20">
        <v>1205</v>
      </c>
      <c r="CU20">
        <v>226247</v>
      </c>
      <c r="CV20">
        <v>1742</v>
      </c>
    </row>
    <row r="21" spans="1:100" x14ac:dyDescent="0.4">
      <c r="A21" s="1" t="s">
        <v>30</v>
      </c>
      <c r="B21" s="1" t="s">
        <v>31</v>
      </c>
      <c r="C21">
        <v>102</v>
      </c>
      <c r="D21">
        <v>43</v>
      </c>
      <c r="E21">
        <v>757</v>
      </c>
      <c r="F21">
        <v>2069978</v>
      </c>
      <c r="G21">
        <v>4558</v>
      </c>
      <c r="H21">
        <v>19</v>
      </c>
      <c r="I21">
        <v>16</v>
      </c>
      <c r="J21">
        <v>66</v>
      </c>
      <c r="K21">
        <v>255226</v>
      </c>
      <c r="L21">
        <v>280</v>
      </c>
      <c r="M21">
        <v>637</v>
      </c>
      <c r="N21">
        <v>493</v>
      </c>
      <c r="O21">
        <v>746252</v>
      </c>
      <c r="P21">
        <v>4399</v>
      </c>
      <c r="Q21">
        <v>165</v>
      </c>
      <c r="R21">
        <v>138</v>
      </c>
      <c r="S21">
        <v>579393</v>
      </c>
      <c r="T21">
        <v>320</v>
      </c>
      <c r="U21">
        <v>74003</v>
      </c>
      <c r="V21">
        <v>509</v>
      </c>
      <c r="W21">
        <v>150042</v>
      </c>
      <c r="X21">
        <v>2096579</v>
      </c>
      <c r="Y21">
        <v>225391</v>
      </c>
      <c r="Z21">
        <v>188</v>
      </c>
      <c r="AA21">
        <v>218</v>
      </c>
      <c r="AB21">
        <v>1826034</v>
      </c>
      <c r="AC21">
        <v>147</v>
      </c>
      <c r="AD21">
        <v>477</v>
      </c>
      <c r="AE21">
        <v>737</v>
      </c>
      <c r="AF21">
        <v>2955996</v>
      </c>
      <c r="AG21">
        <v>3743</v>
      </c>
      <c r="AH21">
        <v>3105</v>
      </c>
      <c r="AI21">
        <v>398</v>
      </c>
      <c r="AJ21">
        <v>3394</v>
      </c>
      <c r="AK21">
        <v>1653493</v>
      </c>
      <c r="AL21">
        <v>2857</v>
      </c>
      <c r="AM21">
        <v>20175</v>
      </c>
      <c r="AN21">
        <v>2068</v>
      </c>
      <c r="AO21">
        <v>20281</v>
      </c>
      <c r="AP21">
        <v>9402591</v>
      </c>
      <c r="AQ21">
        <v>5638</v>
      </c>
      <c r="AR21">
        <v>1832</v>
      </c>
      <c r="AS21">
        <v>471</v>
      </c>
      <c r="AT21">
        <v>1807</v>
      </c>
      <c r="AU21">
        <v>1788962</v>
      </c>
      <c r="AV21">
        <v>2480</v>
      </c>
      <c r="AW21">
        <v>2809</v>
      </c>
      <c r="AX21">
        <v>3117</v>
      </c>
      <c r="AY21">
        <v>18131432</v>
      </c>
      <c r="AZ21">
        <v>879</v>
      </c>
      <c r="BA21">
        <v>178</v>
      </c>
      <c r="BB21">
        <v>212</v>
      </c>
      <c r="BC21">
        <v>659996</v>
      </c>
      <c r="BD21">
        <v>636</v>
      </c>
      <c r="BE21">
        <v>392</v>
      </c>
      <c r="BF21">
        <v>441</v>
      </c>
      <c r="BG21">
        <v>2651230</v>
      </c>
      <c r="BH21">
        <v>473</v>
      </c>
      <c r="BI21">
        <v>2072</v>
      </c>
      <c r="BJ21">
        <v>2681</v>
      </c>
      <c r="BK21">
        <v>24514026</v>
      </c>
      <c r="BL21">
        <v>1515</v>
      </c>
      <c r="BM21">
        <v>610</v>
      </c>
      <c r="BN21">
        <v>748</v>
      </c>
      <c r="BO21">
        <v>9801960</v>
      </c>
      <c r="BP21">
        <v>713</v>
      </c>
      <c r="BQ21">
        <v>3118</v>
      </c>
      <c r="BR21">
        <v>3148</v>
      </c>
      <c r="BS21">
        <v>6978283</v>
      </c>
      <c r="BT21">
        <v>737</v>
      </c>
      <c r="BU21">
        <v>1652</v>
      </c>
      <c r="BV21">
        <v>1708</v>
      </c>
      <c r="BW21">
        <v>2603719</v>
      </c>
      <c r="BX21">
        <v>1394</v>
      </c>
      <c r="BY21">
        <v>3849</v>
      </c>
      <c r="BZ21">
        <v>4277</v>
      </c>
      <c r="CA21">
        <v>14425737</v>
      </c>
      <c r="CB21">
        <v>2992</v>
      </c>
      <c r="CC21">
        <v>843</v>
      </c>
      <c r="CD21">
        <v>1093</v>
      </c>
      <c r="CE21">
        <v>642731</v>
      </c>
      <c r="CF21">
        <v>39</v>
      </c>
      <c r="CG21">
        <v>477</v>
      </c>
      <c r="CH21">
        <v>470</v>
      </c>
      <c r="CI21">
        <v>4219774</v>
      </c>
      <c r="CJ21">
        <v>573</v>
      </c>
      <c r="CK21">
        <v>251</v>
      </c>
      <c r="CL21">
        <v>253</v>
      </c>
      <c r="CM21">
        <v>1064689</v>
      </c>
      <c r="CN21">
        <v>311</v>
      </c>
      <c r="CO21">
        <v>614</v>
      </c>
      <c r="CP21">
        <v>794</v>
      </c>
      <c r="CQ21">
        <v>3147509</v>
      </c>
      <c r="CR21">
        <v>1351</v>
      </c>
      <c r="CS21">
        <v>1383</v>
      </c>
      <c r="CT21">
        <v>1265</v>
      </c>
      <c r="CU21">
        <v>234875</v>
      </c>
      <c r="CV21">
        <v>1832</v>
      </c>
    </row>
    <row r="22" spans="1:100" x14ac:dyDescent="0.4">
      <c r="A22" s="1" t="s">
        <v>32</v>
      </c>
      <c r="B22" s="1" t="s">
        <v>33</v>
      </c>
      <c r="C22">
        <v>98</v>
      </c>
      <c r="D22">
        <v>51</v>
      </c>
      <c r="E22">
        <v>817</v>
      </c>
      <c r="F22">
        <v>2106919</v>
      </c>
      <c r="G22">
        <v>4862</v>
      </c>
      <c r="H22">
        <v>22</v>
      </c>
      <c r="I22">
        <v>17</v>
      </c>
      <c r="J22">
        <v>63</v>
      </c>
      <c r="K22">
        <v>265406</v>
      </c>
      <c r="L22">
        <v>264</v>
      </c>
      <c r="M22">
        <v>567</v>
      </c>
      <c r="N22">
        <v>464</v>
      </c>
      <c r="O22">
        <v>677313</v>
      </c>
      <c r="P22">
        <v>4536</v>
      </c>
      <c r="Q22">
        <v>174</v>
      </c>
      <c r="R22">
        <v>133</v>
      </c>
      <c r="S22">
        <v>521909</v>
      </c>
      <c r="T22">
        <v>341</v>
      </c>
      <c r="U22">
        <v>77177</v>
      </c>
      <c r="V22">
        <v>536</v>
      </c>
      <c r="W22">
        <v>109254</v>
      </c>
      <c r="X22">
        <v>1518878</v>
      </c>
      <c r="Y22">
        <v>238778</v>
      </c>
      <c r="Z22">
        <v>157</v>
      </c>
      <c r="AA22">
        <v>186</v>
      </c>
      <c r="AB22">
        <v>1711703</v>
      </c>
      <c r="AC22">
        <v>146</v>
      </c>
      <c r="AD22">
        <v>451</v>
      </c>
      <c r="AE22">
        <v>633</v>
      </c>
      <c r="AF22">
        <v>2593865</v>
      </c>
      <c r="AG22">
        <v>3811</v>
      </c>
      <c r="AH22">
        <v>2943</v>
      </c>
      <c r="AI22">
        <v>390</v>
      </c>
      <c r="AJ22">
        <v>2972</v>
      </c>
      <c r="AK22">
        <v>1504365</v>
      </c>
      <c r="AL22">
        <v>3008</v>
      </c>
      <c r="AM22">
        <v>19189</v>
      </c>
      <c r="AN22">
        <v>1901</v>
      </c>
      <c r="AO22">
        <v>18493</v>
      </c>
      <c r="AP22">
        <v>8680155</v>
      </c>
      <c r="AQ22">
        <v>6347</v>
      </c>
      <c r="AR22">
        <v>1798</v>
      </c>
      <c r="AS22">
        <v>434</v>
      </c>
      <c r="AT22">
        <v>1820</v>
      </c>
      <c r="AU22">
        <v>1921747</v>
      </c>
      <c r="AV22">
        <v>2457</v>
      </c>
      <c r="AW22">
        <v>2602</v>
      </c>
      <c r="AX22">
        <v>2882</v>
      </c>
      <c r="AY22">
        <v>16644970</v>
      </c>
      <c r="AZ22">
        <v>910</v>
      </c>
      <c r="BA22">
        <v>221</v>
      </c>
      <c r="BB22">
        <v>194</v>
      </c>
      <c r="BC22">
        <v>811675</v>
      </c>
      <c r="BD22">
        <v>664</v>
      </c>
      <c r="BE22">
        <v>368</v>
      </c>
      <c r="BF22">
        <v>446</v>
      </c>
      <c r="BG22">
        <v>2596100</v>
      </c>
      <c r="BH22">
        <v>461</v>
      </c>
      <c r="BI22">
        <v>1976</v>
      </c>
      <c r="BJ22">
        <v>2610</v>
      </c>
      <c r="BK22">
        <v>23036907</v>
      </c>
      <c r="BL22">
        <v>1536</v>
      </c>
      <c r="BM22">
        <v>561</v>
      </c>
      <c r="BN22">
        <v>730</v>
      </c>
      <c r="BO22">
        <v>9020235</v>
      </c>
      <c r="BP22">
        <v>719</v>
      </c>
      <c r="BQ22">
        <v>2951</v>
      </c>
      <c r="BR22">
        <v>2987</v>
      </c>
      <c r="BS22">
        <v>6638363</v>
      </c>
      <c r="BT22">
        <v>750</v>
      </c>
      <c r="BU22">
        <v>1584</v>
      </c>
      <c r="BV22">
        <v>1597</v>
      </c>
      <c r="BW22">
        <v>2368012</v>
      </c>
      <c r="BX22">
        <v>1398</v>
      </c>
      <c r="BY22">
        <v>3563</v>
      </c>
      <c r="BZ22">
        <v>3994</v>
      </c>
      <c r="CA22">
        <v>13394312</v>
      </c>
      <c r="CB22">
        <v>2959</v>
      </c>
      <c r="CC22">
        <v>787</v>
      </c>
      <c r="CD22">
        <v>987</v>
      </c>
      <c r="CE22">
        <v>576076</v>
      </c>
      <c r="CF22">
        <v>44</v>
      </c>
      <c r="CG22">
        <v>458</v>
      </c>
      <c r="CH22">
        <v>499</v>
      </c>
      <c r="CI22">
        <v>3954453</v>
      </c>
      <c r="CJ22">
        <v>540</v>
      </c>
      <c r="CK22">
        <v>246</v>
      </c>
      <c r="CL22">
        <v>240</v>
      </c>
      <c r="CM22">
        <v>1117136</v>
      </c>
      <c r="CN22">
        <v>318</v>
      </c>
      <c r="CO22">
        <v>613</v>
      </c>
      <c r="CP22">
        <v>757</v>
      </c>
      <c r="CQ22">
        <v>2933061</v>
      </c>
      <c r="CR22">
        <v>1348</v>
      </c>
      <c r="CS22">
        <v>1196</v>
      </c>
      <c r="CT22">
        <v>1184</v>
      </c>
      <c r="CU22">
        <v>220251</v>
      </c>
      <c r="CV22">
        <v>1816</v>
      </c>
    </row>
    <row r="23" spans="1:100" x14ac:dyDescent="0.4">
      <c r="A23" s="1" t="s">
        <v>34</v>
      </c>
      <c r="B23" s="1" t="s">
        <v>35</v>
      </c>
      <c r="C23">
        <v>84</v>
      </c>
      <c r="D23">
        <v>40</v>
      </c>
      <c r="E23">
        <v>1040</v>
      </c>
      <c r="F23">
        <v>2521113</v>
      </c>
      <c r="G23">
        <v>4881</v>
      </c>
      <c r="H23">
        <v>27</v>
      </c>
      <c r="I23">
        <v>15</v>
      </c>
      <c r="J23">
        <v>53</v>
      </c>
      <c r="K23">
        <v>241045</v>
      </c>
      <c r="L23">
        <v>253</v>
      </c>
      <c r="M23">
        <v>551</v>
      </c>
      <c r="N23">
        <v>702</v>
      </c>
      <c r="O23">
        <v>828201</v>
      </c>
      <c r="P23">
        <v>4386</v>
      </c>
      <c r="Q23">
        <v>172</v>
      </c>
      <c r="R23">
        <v>146</v>
      </c>
      <c r="S23">
        <v>602908</v>
      </c>
      <c r="T23">
        <v>346</v>
      </c>
      <c r="U23">
        <v>77392</v>
      </c>
      <c r="V23">
        <v>544</v>
      </c>
      <c r="W23">
        <v>183443</v>
      </c>
      <c r="X23">
        <v>2540553</v>
      </c>
      <c r="Y23">
        <v>179284</v>
      </c>
      <c r="Z23">
        <v>144</v>
      </c>
      <c r="AA23">
        <v>191</v>
      </c>
      <c r="AB23">
        <v>1604716</v>
      </c>
      <c r="AC23">
        <v>124</v>
      </c>
      <c r="AD23">
        <v>452</v>
      </c>
      <c r="AE23">
        <v>702</v>
      </c>
      <c r="AF23">
        <v>2853269</v>
      </c>
      <c r="AG23">
        <v>3773</v>
      </c>
      <c r="AH23">
        <v>2660</v>
      </c>
      <c r="AI23">
        <v>339</v>
      </c>
      <c r="AJ23">
        <v>2992</v>
      </c>
      <c r="AK23">
        <v>1503293</v>
      </c>
      <c r="AL23">
        <v>2774</v>
      </c>
      <c r="AM23">
        <v>18049</v>
      </c>
      <c r="AN23">
        <v>1799</v>
      </c>
      <c r="AO23">
        <v>18573</v>
      </c>
      <c r="AP23">
        <v>8378363</v>
      </c>
      <c r="AQ23">
        <v>5837</v>
      </c>
      <c r="AR23">
        <v>1712</v>
      </c>
      <c r="AS23">
        <v>421</v>
      </c>
      <c r="AT23">
        <v>1791</v>
      </c>
      <c r="AU23">
        <v>1633085</v>
      </c>
      <c r="AV23">
        <v>2375</v>
      </c>
      <c r="AW23">
        <v>2388</v>
      </c>
      <c r="AX23">
        <v>2586</v>
      </c>
      <c r="AY23">
        <v>15464831</v>
      </c>
      <c r="AZ23">
        <v>951</v>
      </c>
      <c r="BA23">
        <v>204</v>
      </c>
      <c r="BB23">
        <v>441</v>
      </c>
      <c r="BC23">
        <v>1191291</v>
      </c>
      <c r="BD23">
        <v>428</v>
      </c>
      <c r="BE23">
        <v>345</v>
      </c>
      <c r="BF23">
        <v>391</v>
      </c>
      <c r="BG23">
        <v>2333850</v>
      </c>
      <c r="BH23">
        <v>474</v>
      </c>
      <c r="BI23">
        <v>1886</v>
      </c>
      <c r="BJ23">
        <v>2481</v>
      </c>
      <c r="BK23">
        <v>22362913</v>
      </c>
      <c r="BL23">
        <v>1574</v>
      </c>
      <c r="BM23">
        <v>531</v>
      </c>
      <c r="BN23">
        <v>721</v>
      </c>
      <c r="BO23">
        <v>9012391</v>
      </c>
      <c r="BP23">
        <v>713</v>
      </c>
      <c r="BQ23">
        <v>2727</v>
      </c>
      <c r="BR23">
        <v>2771</v>
      </c>
      <c r="BS23">
        <v>6159316</v>
      </c>
      <c r="BT23">
        <v>746</v>
      </c>
      <c r="BU23">
        <v>1464</v>
      </c>
      <c r="BV23">
        <v>1513</v>
      </c>
      <c r="BW23">
        <v>2231355</v>
      </c>
      <c r="BX23">
        <v>1363</v>
      </c>
      <c r="BY23">
        <v>3333</v>
      </c>
      <c r="BZ23">
        <v>3810</v>
      </c>
      <c r="CA23">
        <v>13473914</v>
      </c>
      <c r="CB23">
        <v>2838</v>
      </c>
      <c r="CC23">
        <v>618</v>
      </c>
      <c r="CD23">
        <v>823</v>
      </c>
      <c r="CE23">
        <v>470501</v>
      </c>
      <c r="CF23">
        <v>33</v>
      </c>
      <c r="CG23">
        <v>423</v>
      </c>
      <c r="CH23">
        <v>443</v>
      </c>
      <c r="CI23">
        <v>4197176</v>
      </c>
      <c r="CJ23">
        <v>529</v>
      </c>
      <c r="CK23">
        <v>219</v>
      </c>
      <c r="CL23">
        <v>273</v>
      </c>
      <c r="CM23">
        <v>1351519</v>
      </c>
      <c r="CN23">
        <v>265</v>
      </c>
      <c r="CO23">
        <v>594</v>
      </c>
      <c r="CP23">
        <v>764</v>
      </c>
      <c r="CQ23">
        <v>2683887</v>
      </c>
      <c r="CR23">
        <v>1349</v>
      </c>
      <c r="CS23">
        <v>1171</v>
      </c>
      <c r="CT23">
        <v>1055</v>
      </c>
      <c r="CU23">
        <v>199870</v>
      </c>
      <c r="CV23">
        <v>1906</v>
      </c>
    </row>
    <row r="24" spans="1:100" x14ac:dyDescent="0.4">
      <c r="A24" s="1" t="s">
        <v>36</v>
      </c>
      <c r="B24" s="1" t="s">
        <v>37</v>
      </c>
      <c r="C24">
        <v>83</v>
      </c>
      <c r="D24">
        <v>41</v>
      </c>
      <c r="E24">
        <v>1085</v>
      </c>
      <c r="F24">
        <v>2600406</v>
      </c>
      <c r="G24">
        <v>5218</v>
      </c>
      <c r="H24">
        <v>17</v>
      </c>
      <c r="I24">
        <v>15</v>
      </c>
      <c r="J24">
        <v>26</v>
      </c>
      <c r="K24">
        <v>119604</v>
      </c>
      <c r="L24">
        <v>263</v>
      </c>
      <c r="M24">
        <v>563</v>
      </c>
      <c r="N24">
        <v>772</v>
      </c>
      <c r="O24">
        <v>903331</v>
      </c>
      <c r="P24">
        <v>4177</v>
      </c>
      <c r="Q24">
        <v>160</v>
      </c>
      <c r="R24">
        <v>179</v>
      </c>
      <c r="S24">
        <v>608851</v>
      </c>
      <c r="T24">
        <v>326</v>
      </c>
      <c r="U24">
        <v>50757</v>
      </c>
      <c r="V24">
        <v>348</v>
      </c>
      <c r="W24">
        <v>53193</v>
      </c>
      <c r="X24">
        <v>795559</v>
      </c>
      <c r="Y24">
        <v>189938</v>
      </c>
      <c r="Z24">
        <v>148</v>
      </c>
      <c r="AA24">
        <v>154</v>
      </c>
      <c r="AB24">
        <v>1531455</v>
      </c>
      <c r="AC24">
        <v>141</v>
      </c>
      <c r="AD24">
        <v>424</v>
      </c>
      <c r="AE24">
        <v>653</v>
      </c>
      <c r="AF24">
        <v>2517229</v>
      </c>
      <c r="AG24">
        <v>3865</v>
      </c>
      <c r="AH24">
        <v>2670</v>
      </c>
      <c r="AI24">
        <v>360</v>
      </c>
      <c r="AJ24">
        <v>2778</v>
      </c>
      <c r="AK24">
        <v>1441953</v>
      </c>
      <c r="AL24">
        <v>2803</v>
      </c>
      <c r="AM24">
        <v>18758</v>
      </c>
      <c r="AN24">
        <v>1903</v>
      </c>
      <c r="AO24">
        <v>18640</v>
      </c>
      <c r="AP24">
        <v>8708527</v>
      </c>
      <c r="AQ24">
        <v>5967</v>
      </c>
      <c r="AR24">
        <v>1529</v>
      </c>
      <c r="AS24">
        <v>398</v>
      </c>
      <c r="AT24">
        <v>1616</v>
      </c>
      <c r="AU24">
        <v>1360459</v>
      </c>
      <c r="AV24">
        <v>2287</v>
      </c>
      <c r="AW24">
        <v>2407</v>
      </c>
      <c r="AX24">
        <v>2702</v>
      </c>
      <c r="AY24">
        <v>16011440</v>
      </c>
      <c r="AZ24">
        <v>980</v>
      </c>
      <c r="BA24">
        <v>173</v>
      </c>
      <c r="BB24">
        <v>117</v>
      </c>
      <c r="BC24">
        <v>351156</v>
      </c>
      <c r="BD24">
        <v>486</v>
      </c>
      <c r="BE24">
        <v>320</v>
      </c>
      <c r="BF24">
        <v>365</v>
      </c>
      <c r="BG24">
        <v>2270983</v>
      </c>
      <c r="BH24">
        <v>487</v>
      </c>
      <c r="BI24">
        <v>1905</v>
      </c>
      <c r="BJ24">
        <v>2513</v>
      </c>
      <c r="BK24">
        <v>22623529</v>
      </c>
      <c r="BL24">
        <v>1641</v>
      </c>
      <c r="BM24">
        <v>562</v>
      </c>
      <c r="BN24">
        <v>719</v>
      </c>
      <c r="BO24">
        <v>8997066</v>
      </c>
      <c r="BP24">
        <v>776</v>
      </c>
      <c r="BQ24">
        <v>2772</v>
      </c>
      <c r="BR24">
        <v>2796</v>
      </c>
      <c r="BS24">
        <v>6491047</v>
      </c>
      <c r="BT24">
        <v>735</v>
      </c>
      <c r="BU24">
        <v>1494</v>
      </c>
      <c r="BV24">
        <v>1542</v>
      </c>
      <c r="BW24">
        <v>2183203</v>
      </c>
      <c r="BX24">
        <v>1332</v>
      </c>
      <c r="BY24">
        <v>3489</v>
      </c>
      <c r="BZ24">
        <v>3869</v>
      </c>
      <c r="CA24">
        <v>12724854</v>
      </c>
      <c r="CB24">
        <v>2821</v>
      </c>
      <c r="CC24">
        <v>603</v>
      </c>
      <c r="CD24">
        <v>729</v>
      </c>
      <c r="CE24">
        <v>430599</v>
      </c>
      <c r="CF24">
        <v>45</v>
      </c>
      <c r="CG24">
        <v>427</v>
      </c>
      <c r="CH24">
        <v>471</v>
      </c>
      <c r="CI24">
        <v>4032014</v>
      </c>
      <c r="CJ24">
        <v>497</v>
      </c>
      <c r="CK24">
        <v>220</v>
      </c>
      <c r="CL24">
        <v>214</v>
      </c>
      <c r="CM24">
        <v>1874090</v>
      </c>
      <c r="CN24">
        <v>272</v>
      </c>
      <c r="CO24">
        <v>621</v>
      </c>
      <c r="CP24">
        <v>722</v>
      </c>
      <c r="CQ24">
        <v>2725997</v>
      </c>
      <c r="CR24">
        <v>1437</v>
      </c>
      <c r="CS24">
        <v>914</v>
      </c>
      <c r="CT24">
        <v>1039</v>
      </c>
      <c r="CU24">
        <v>193981</v>
      </c>
      <c r="CV24">
        <v>1754</v>
      </c>
    </row>
    <row r="25" spans="1:100" x14ac:dyDescent="0.4">
      <c r="A25" s="1" t="s">
        <v>38</v>
      </c>
      <c r="B25" s="1" t="s">
        <v>39</v>
      </c>
      <c r="C25">
        <v>85</v>
      </c>
      <c r="D25">
        <v>45</v>
      </c>
      <c r="E25">
        <v>1226</v>
      </c>
      <c r="F25">
        <v>2935712</v>
      </c>
      <c r="G25">
        <v>4908</v>
      </c>
      <c r="H25">
        <v>20</v>
      </c>
      <c r="I25">
        <v>16</v>
      </c>
      <c r="J25">
        <v>33</v>
      </c>
      <c r="K25">
        <v>170396</v>
      </c>
      <c r="L25">
        <v>263</v>
      </c>
      <c r="M25">
        <v>563</v>
      </c>
      <c r="N25">
        <v>754</v>
      </c>
      <c r="O25">
        <v>913188</v>
      </c>
      <c r="P25">
        <v>3986</v>
      </c>
      <c r="Q25">
        <v>151</v>
      </c>
      <c r="R25">
        <v>162</v>
      </c>
      <c r="S25">
        <v>579484</v>
      </c>
      <c r="T25">
        <v>301</v>
      </c>
      <c r="U25">
        <v>68168</v>
      </c>
      <c r="V25">
        <v>481</v>
      </c>
      <c r="W25">
        <v>64652</v>
      </c>
      <c r="X25">
        <v>1174779</v>
      </c>
      <c r="Y25">
        <v>213618</v>
      </c>
      <c r="Z25">
        <v>161</v>
      </c>
      <c r="AA25">
        <v>179</v>
      </c>
      <c r="AB25">
        <v>1670844</v>
      </c>
      <c r="AC25">
        <v>148</v>
      </c>
      <c r="AD25">
        <v>466</v>
      </c>
      <c r="AE25">
        <v>662</v>
      </c>
      <c r="AF25">
        <v>2641396</v>
      </c>
      <c r="AG25">
        <v>3889</v>
      </c>
      <c r="AH25">
        <v>2775</v>
      </c>
      <c r="AI25">
        <v>365</v>
      </c>
      <c r="AJ25">
        <v>2772</v>
      </c>
      <c r="AK25">
        <v>1391598</v>
      </c>
      <c r="AL25">
        <v>2878</v>
      </c>
      <c r="AM25">
        <v>18948</v>
      </c>
      <c r="AN25">
        <v>1944</v>
      </c>
      <c r="AO25">
        <v>18680</v>
      </c>
      <c r="AP25">
        <v>8789756</v>
      </c>
      <c r="AQ25">
        <v>6245</v>
      </c>
      <c r="AR25">
        <v>1624</v>
      </c>
      <c r="AS25">
        <v>405</v>
      </c>
      <c r="AT25">
        <v>1680</v>
      </c>
      <c r="AU25">
        <v>1260161</v>
      </c>
      <c r="AV25">
        <v>2232</v>
      </c>
      <c r="AW25">
        <v>2537</v>
      </c>
      <c r="AX25">
        <v>2794</v>
      </c>
      <c r="AY25">
        <v>16208087</v>
      </c>
      <c r="AZ25">
        <v>1032</v>
      </c>
      <c r="BA25">
        <v>199</v>
      </c>
      <c r="BB25">
        <v>248</v>
      </c>
      <c r="BC25">
        <v>858424</v>
      </c>
      <c r="BD25">
        <v>439</v>
      </c>
      <c r="BE25">
        <v>342</v>
      </c>
      <c r="BF25">
        <v>395</v>
      </c>
      <c r="BG25">
        <v>2234839</v>
      </c>
      <c r="BH25">
        <v>478</v>
      </c>
      <c r="BI25">
        <v>1970</v>
      </c>
      <c r="BJ25">
        <v>2548</v>
      </c>
      <c r="BK25">
        <v>22676912</v>
      </c>
      <c r="BL25">
        <v>1693</v>
      </c>
      <c r="BM25">
        <v>572</v>
      </c>
      <c r="BN25">
        <v>697</v>
      </c>
      <c r="BO25">
        <v>8950574</v>
      </c>
      <c r="BP25">
        <v>801</v>
      </c>
      <c r="BQ25">
        <v>2816</v>
      </c>
      <c r="BR25">
        <v>2879</v>
      </c>
      <c r="BS25">
        <v>6466514</v>
      </c>
      <c r="BT25">
        <v>705</v>
      </c>
      <c r="BU25">
        <v>1498</v>
      </c>
      <c r="BV25">
        <v>1519</v>
      </c>
      <c r="BW25">
        <v>2243651</v>
      </c>
      <c r="BX25">
        <v>1328</v>
      </c>
      <c r="BY25">
        <v>3668</v>
      </c>
      <c r="BZ25">
        <v>3952</v>
      </c>
      <c r="CA25">
        <v>13317858</v>
      </c>
      <c r="CB25">
        <v>2879</v>
      </c>
      <c r="CC25">
        <v>733</v>
      </c>
      <c r="CD25">
        <v>856</v>
      </c>
      <c r="CE25">
        <v>526627</v>
      </c>
      <c r="CF25">
        <v>60</v>
      </c>
      <c r="CG25">
        <v>418</v>
      </c>
      <c r="CH25">
        <v>418</v>
      </c>
      <c r="CI25">
        <v>3932266</v>
      </c>
      <c r="CJ25">
        <v>505</v>
      </c>
      <c r="CK25">
        <v>239</v>
      </c>
      <c r="CL25">
        <v>242</v>
      </c>
      <c r="CM25">
        <v>1645479</v>
      </c>
      <c r="CN25">
        <v>270</v>
      </c>
      <c r="CO25">
        <v>600</v>
      </c>
      <c r="CP25">
        <v>784</v>
      </c>
      <c r="CQ25">
        <v>2709711</v>
      </c>
      <c r="CR25">
        <v>1364</v>
      </c>
      <c r="CS25">
        <v>1093</v>
      </c>
      <c r="CT25">
        <v>1095</v>
      </c>
      <c r="CU25">
        <v>204222</v>
      </c>
      <c r="CV25">
        <v>1734</v>
      </c>
    </row>
    <row r="26" spans="1:100" x14ac:dyDescent="0.4">
      <c r="A26" s="1" t="s">
        <v>40</v>
      </c>
      <c r="B26" s="1" t="s">
        <v>41</v>
      </c>
      <c r="C26">
        <v>101</v>
      </c>
      <c r="D26">
        <v>42</v>
      </c>
      <c r="E26">
        <v>1706</v>
      </c>
      <c r="F26">
        <v>4165276</v>
      </c>
      <c r="G26">
        <v>4025</v>
      </c>
      <c r="H26">
        <v>20</v>
      </c>
      <c r="I26">
        <v>21</v>
      </c>
      <c r="J26">
        <v>39</v>
      </c>
      <c r="K26">
        <v>182205</v>
      </c>
      <c r="L26">
        <v>268</v>
      </c>
      <c r="M26">
        <v>615</v>
      </c>
      <c r="N26">
        <v>1206</v>
      </c>
      <c r="O26">
        <v>1364679</v>
      </c>
      <c r="P26">
        <v>3395</v>
      </c>
      <c r="Q26">
        <v>161</v>
      </c>
      <c r="R26">
        <v>230</v>
      </c>
      <c r="S26">
        <v>766418</v>
      </c>
      <c r="T26">
        <v>216</v>
      </c>
      <c r="U26">
        <v>77330</v>
      </c>
      <c r="V26">
        <v>531</v>
      </c>
      <c r="W26">
        <v>101916</v>
      </c>
      <c r="X26">
        <v>1668663</v>
      </c>
      <c r="Y26">
        <v>234863</v>
      </c>
      <c r="Z26">
        <v>154</v>
      </c>
      <c r="AA26">
        <v>187</v>
      </c>
      <c r="AB26">
        <v>1786043</v>
      </c>
      <c r="AC26">
        <v>145</v>
      </c>
      <c r="AD26">
        <v>495</v>
      </c>
      <c r="AE26">
        <v>745</v>
      </c>
      <c r="AF26">
        <v>3096881</v>
      </c>
      <c r="AG26">
        <v>3900</v>
      </c>
      <c r="AH26">
        <v>2989</v>
      </c>
      <c r="AI26">
        <v>369</v>
      </c>
      <c r="AJ26">
        <v>3139</v>
      </c>
      <c r="AK26">
        <v>1546790</v>
      </c>
      <c r="AL26">
        <v>2827</v>
      </c>
      <c r="AM26">
        <v>19806</v>
      </c>
      <c r="AN26">
        <v>2047</v>
      </c>
      <c r="AO26">
        <v>19891</v>
      </c>
      <c r="AP26">
        <v>9341275</v>
      </c>
      <c r="AQ26">
        <v>6174</v>
      </c>
      <c r="AR26">
        <v>1776</v>
      </c>
      <c r="AS26">
        <v>428</v>
      </c>
      <c r="AT26">
        <v>1724</v>
      </c>
      <c r="AU26">
        <v>1474473</v>
      </c>
      <c r="AV26">
        <v>2294</v>
      </c>
      <c r="AW26">
        <v>2573</v>
      </c>
      <c r="AX26">
        <v>2865</v>
      </c>
      <c r="AY26">
        <v>17249192</v>
      </c>
      <c r="AZ26">
        <v>1058</v>
      </c>
      <c r="BA26">
        <v>268</v>
      </c>
      <c r="BB26">
        <v>192</v>
      </c>
      <c r="BC26">
        <v>570617</v>
      </c>
      <c r="BD26">
        <v>517</v>
      </c>
      <c r="BE26">
        <v>361</v>
      </c>
      <c r="BF26">
        <v>472</v>
      </c>
      <c r="BG26">
        <v>2657587</v>
      </c>
      <c r="BH26">
        <v>436</v>
      </c>
      <c r="BI26">
        <v>1969</v>
      </c>
      <c r="BJ26">
        <v>2605</v>
      </c>
      <c r="BK26">
        <v>23481754</v>
      </c>
      <c r="BL26">
        <v>1727</v>
      </c>
      <c r="BM26">
        <v>574</v>
      </c>
      <c r="BN26">
        <v>740</v>
      </c>
      <c r="BO26">
        <v>9405398</v>
      </c>
      <c r="BP26">
        <v>807</v>
      </c>
      <c r="BQ26">
        <v>2819</v>
      </c>
      <c r="BR26">
        <v>2849</v>
      </c>
      <c r="BS26">
        <v>6469191</v>
      </c>
      <c r="BT26">
        <v>765</v>
      </c>
      <c r="BU26">
        <v>1552</v>
      </c>
      <c r="BV26">
        <v>1566</v>
      </c>
      <c r="BW26">
        <v>2436231</v>
      </c>
      <c r="BX26">
        <v>1335</v>
      </c>
      <c r="BY26">
        <v>3893</v>
      </c>
      <c r="BZ26">
        <v>4231</v>
      </c>
      <c r="CA26">
        <v>14689019</v>
      </c>
      <c r="CB26">
        <v>2916</v>
      </c>
      <c r="CC26">
        <v>853</v>
      </c>
      <c r="CD26">
        <v>1007</v>
      </c>
      <c r="CE26">
        <v>621346</v>
      </c>
      <c r="CF26">
        <v>76</v>
      </c>
      <c r="CG26">
        <v>453</v>
      </c>
      <c r="CH26">
        <v>465</v>
      </c>
      <c r="CI26">
        <v>4174559</v>
      </c>
      <c r="CJ26">
        <v>500</v>
      </c>
      <c r="CK26">
        <v>265</v>
      </c>
      <c r="CL26">
        <v>288</v>
      </c>
      <c r="CM26">
        <v>1678357</v>
      </c>
      <c r="CN26">
        <v>248</v>
      </c>
      <c r="CO26">
        <v>608</v>
      </c>
      <c r="CP26">
        <v>787</v>
      </c>
      <c r="CQ26">
        <v>2674191</v>
      </c>
      <c r="CR26">
        <v>1326</v>
      </c>
      <c r="CS26">
        <v>1264</v>
      </c>
      <c r="CT26">
        <v>1137</v>
      </c>
      <c r="CU26">
        <v>208485</v>
      </c>
      <c r="CV26">
        <v>1824</v>
      </c>
    </row>
    <row r="27" spans="1:100" x14ac:dyDescent="0.4">
      <c r="A27" s="1" t="s">
        <v>42</v>
      </c>
      <c r="B27" s="1" t="s">
        <v>43</v>
      </c>
      <c r="C27">
        <v>97</v>
      </c>
      <c r="D27">
        <v>43</v>
      </c>
      <c r="E27">
        <v>951</v>
      </c>
      <c r="F27">
        <v>2450513</v>
      </c>
      <c r="G27">
        <v>3650</v>
      </c>
      <c r="H27">
        <v>19</v>
      </c>
      <c r="I27">
        <v>15</v>
      </c>
      <c r="J27">
        <v>38</v>
      </c>
      <c r="K27">
        <v>167274</v>
      </c>
      <c r="L27">
        <v>261</v>
      </c>
      <c r="M27">
        <v>608</v>
      </c>
      <c r="N27">
        <v>723</v>
      </c>
      <c r="O27">
        <v>928456</v>
      </c>
      <c r="P27">
        <v>3280</v>
      </c>
      <c r="Q27">
        <v>170</v>
      </c>
      <c r="R27">
        <v>152</v>
      </c>
      <c r="S27">
        <v>640241</v>
      </c>
      <c r="T27">
        <v>215</v>
      </c>
      <c r="U27">
        <v>72551</v>
      </c>
      <c r="V27">
        <v>520</v>
      </c>
      <c r="W27">
        <v>118405</v>
      </c>
      <c r="X27">
        <v>1691218</v>
      </c>
      <c r="Y27">
        <v>233954</v>
      </c>
      <c r="Z27">
        <v>161</v>
      </c>
      <c r="AA27">
        <v>174</v>
      </c>
      <c r="AB27">
        <v>1636834</v>
      </c>
      <c r="AC27">
        <v>157</v>
      </c>
      <c r="AD27">
        <v>434</v>
      </c>
      <c r="AE27">
        <v>688</v>
      </c>
      <c r="AF27">
        <v>2721588</v>
      </c>
      <c r="AG27">
        <v>3850</v>
      </c>
      <c r="AH27">
        <v>2923</v>
      </c>
      <c r="AI27">
        <v>384</v>
      </c>
      <c r="AJ27">
        <v>3098</v>
      </c>
      <c r="AK27">
        <v>1497915</v>
      </c>
      <c r="AL27">
        <v>2746</v>
      </c>
      <c r="AM27">
        <v>18730</v>
      </c>
      <c r="AN27">
        <v>1897</v>
      </c>
      <c r="AO27">
        <v>18233</v>
      </c>
      <c r="AP27">
        <v>8373354</v>
      </c>
      <c r="AQ27">
        <v>6681</v>
      </c>
      <c r="AR27">
        <v>1796</v>
      </c>
      <c r="AS27">
        <v>407</v>
      </c>
      <c r="AT27">
        <v>1770</v>
      </c>
      <c r="AU27">
        <v>1312052</v>
      </c>
      <c r="AV27">
        <v>2323</v>
      </c>
      <c r="AW27">
        <v>2339</v>
      </c>
      <c r="AX27">
        <v>2639</v>
      </c>
      <c r="AY27">
        <v>16037701</v>
      </c>
      <c r="AZ27">
        <v>1030</v>
      </c>
      <c r="BA27">
        <v>86</v>
      </c>
      <c r="BB27">
        <v>205</v>
      </c>
      <c r="BC27">
        <v>571162</v>
      </c>
      <c r="BD27">
        <v>399</v>
      </c>
      <c r="BE27">
        <v>357</v>
      </c>
      <c r="BF27">
        <v>419</v>
      </c>
      <c r="BG27">
        <v>2407995</v>
      </c>
      <c r="BH27">
        <v>442</v>
      </c>
      <c r="BI27">
        <v>1902</v>
      </c>
      <c r="BJ27">
        <v>2537</v>
      </c>
      <c r="BK27">
        <v>23559303</v>
      </c>
      <c r="BL27">
        <v>1714</v>
      </c>
      <c r="BM27">
        <v>564</v>
      </c>
      <c r="BN27">
        <v>730</v>
      </c>
      <c r="BO27">
        <v>9676356</v>
      </c>
      <c r="BP27">
        <v>788</v>
      </c>
      <c r="BQ27">
        <v>2677</v>
      </c>
      <c r="BR27">
        <v>2706</v>
      </c>
      <c r="BS27">
        <v>6026184</v>
      </c>
      <c r="BT27">
        <v>756</v>
      </c>
      <c r="BU27">
        <v>1515</v>
      </c>
      <c r="BV27">
        <v>1499</v>
      </c>
      <c r="BW27">
        <v>2256111</v>
      </c>
      <c r="BX27">
        <v>1364</v>
      </c>
      <c r="BY27">
        <v>3616</v>
      </c>
      <c r="BZ27">
        <v>3904</v>
      </c>
      <c r="CA27">
        <v>13546724</v>
      </c>
      <c r="CB27">
        <v>2956</v>
      </c>
      <c r="CC27">
        <v>847</v>
      </c>
      <c r="CD27">
        <v>959</v>
      </c>
      <c r="CE27">
        <v>593444</v>
      </c>
      <c r="CF27">
        <v>73</v>
      </c>
      <c r="CG27">
        <v>472</v>
      </c>
      <c r="CH27">
        <v>434</v>
      </c>
      <c r="CI27">
        <v>3912245</v>
      </c>
      <c r="CJ27">
        <v>542</v>
      </c>
      <c r="CK27">
        <v>257</v>
      </c>
      <c r="CL27">
        <v>259</v>
      </c>
      <c r="CM27">
        <v>1577737</v>
      </c>
      <c r="CN27">
        <v>247</v>
      </c>
      <c r="CO27">
        <v>598</v>
      </c>
      <c r="CP27">
        <v>760</v>
      </c>
      <c r="CQ27">
        <v>2654831</v>
      </c>
      <c r="CR27">
        <v>1312</v>
      </c>
      <c r="CS27">
        <v>1250</v>
      </c>
      <c r="CT27">
        <v>1325</v>
      </c>
      <c r="CU27">
        <v>243571</v>
      </c>
      <c r="CV27">
        <v>1724</v>
      </c>
    </row>
    <row r="28" spans="1:100" x14ac:dyDescent="0.4">
      <c r="A28" s="1" t="s">
        <v>44</v>
      </c>
      <c r="B28" s="1" t="s">
        <v>45</v>
      </c>
      <c r="C28">
        <v>83</v>
      </c>
      <c r="D28">
        <v>43</v>
      </c>
      <c r="E28">
        <v>685</v>
      </c>
      <c r="F28">
        <v>1833074</v>
      </c>
      <c r="G28">
        <v>3741</v>
      </c>
      <c r="H28">
        <v>20</v>
      </c>
      <c r="I28">
        <v>17</v>
      </c>
      <c r="J28">
        <v>39</v>
      </c>
      <c r="K28">
        <v>187716</v>
      </c>
      <c r="L28">
        <v>267</v>
      </c>
      <c r="M28">
        <v>575</v>
      </c>
      <c r="N28">
        <v>311</v>
      </c>
      <c r="O28">
        <v>486945</v>
      </c>
      <c r="P28">
        <v>3546</v>
      </c>
      <c r="Q28">
        <v>154</v>
      </c>
      <c r="R28">
        <v>145</v>
      </c>
      <c r="S28">
        <v>535246</v>
      </c>
      <c r="T28">
        <v>203</v>
      </c>
      <c r="U28">
        <v>66359</v>
      </c>
      <c r="V28">
        <v>479</v>
      </c>
      <c r="W28">
        <v>94286</v>
      </c>
      <c r="X28">
        <v>1299635</v>
      </c>
      <c r="Y28">
        <v>262642</v>
      </c>
      <c r="Z28">
        <v>162</v>
      </c>
      <c r="AA28">
        <v>225</v>
      </c>
      <c r="AB28">
        <v>1625320</v>
      </c>
      <c r="AC28">
        <v>118</v>
      </c>
      <c r="AD28">
        <v>428</v>
      </c>
      <c r="AE28">
        <v>698</v>
      </c>
      <c r="AF28">
        <v>2961847</v>
      </c>
      <c r="AG28">
        <v>3819</v>
      </c>
      <c r="AH28">
        <v>2654</v>
      </c>
      <c r="AI28">
        <v>362</v>
      </c>
      <c r="AJ28">
        <v>2882</v>
      </c>
      <c r="AK28">
        <v>1500653</v>
      </c>
      <c r="AL28">
        <v>2726</v>
      </c>
      <c r="AM28">
        <v>17324</v>
      </c>
      <c r="AN28">
        <v>1812</v>
      </c>
      <c r="AO28">
        <v>17791</v>
      </c>
      <c r="AP28">
        <v>8199319</v>
      </c>
      <c r="AQ28">
        <v>6224</v>
      </c>
      <c r="AR28">
        <v>1625</v>
      </c>
      <c r="AS28">
        <v>403</v>
      </c>
      <c r="AT28">
        <v>1616</v>
      </c>
      <c r="AU28">
        <v>1564874</v>
      </c>
      <c r="AV28">
        <v>2333</v>
      </c>
      <c r="AW28">
        <v>2276</v>
      </c>
      <c r="AX28">
        <v>2360</v>
      </c>
      <c r="AY28">
        <v>13273471</v>
      </c>
      <c r="AZ28">
        <v>1001</v>
      </c>
      <c r="BA28">
        <v>105</v>
      </c>
      <c r="BB28">
        <v>117</v>
      </c>
      <c r="BC28">
        <v>333105</v>
      </c>
      <c r="BD28">
        <v>390</v>
      </c>
      <c r="BE28">
        <v>350</v>
      </c>
      <c r="BF28">
        <v>376</v>
      </c>
      <c r="BG28">
        <v>2407898</v>
      </c>
      <c r="BH28">
        <v>475</v>
      </c>
      <c r="BI28">
        <v>1820</v>
      </c>
      <c r="BJ28">
        <v>2515</v>
      </c>
      <c r="BK28">
        <v>22493606</v>
      </c>
      <c r="BL28">
        <v>1671</v>
      </c>
      <c r="BM28">
        <v>533</v>
      </c>
      <c r="BN28">
        <v>703</v>
      </c>
      <c r="BO28">
        <v>9310278</v>
      </c>
      <c r="BP28">
        <v>788</v>
      </c>
      <c r="BQ28">
        <v>2682</v>
      </c>
      <c r="BR28">
        <v>2718</v>
      </c>
      <c r="BS28">
        <v>6020754</v>
      </c>
      <c r="BT28">
        <v>765</v>
      </c>
      <c r="BU28">
        <v>1502</v>
      </c>
      <c r="BV28">
        <v>1499</v>
      </c>
      <c r="BW28">
        <v>2211155</v>
      </c>
      <c r="BX28">
        <v>1396</v>
      </c>
      <c r="BY28">
        <v>3421</v>
      </c>
      <c r="BZ28">
        <v>3774</v>
      </c>
      <c r="CA28">
        <v>12927105</v>
      </c>
      <c r="CB28">
        <v>2927</v>
      </c>
      <c r="CC28">
        <v>639</v>
      </c>
      <c r="CD28">
        <v>883</v>
      </c>
      <c r="CE28">
        <v>515978</v>
      </c>
      <c r="CF28">
        <v>62</v>
      </c>
      <c r="CG28">
        <v>431</v>
      </c>
      <c r="CH28">
        <v>439</v>
      </c>
      <c r="CI28">
        <v>4005911</v>
      </c>
      <c r="CJ28">
        <v>544</v>
      </c>
      <c r="CK28">
        <v>222</v>
      </c>
      <c r="CL28">
        <v>227</v>
      </c>
      <c r="CM28">
        <v>1411326</v>
      </c>
      <c r="CN28">
        <v>243</v>
      </c>
      <c r="CO28">
        <v>544</v>
      </c>
      <c r="CP28">
        <v>654</v>
      </c>
      <c r="CQ28">
        <v>2448916</v>
      </c>
      <c r="CR28">
        <v>1380</v>
      </c>
      <c r="CS28">
        <v>1067</v>
      </c>
      <c r="CT28">
        <v>1034</v>
      </c>
      <c r="CU28">
        <v>190448</v>
      </c>
      <c r="CV28">
        <v>1732</v>
      </c>
    </row>
    <row r="29" spans="1:100" x14ac:dyDescent="0.4">
      <c r="A29" s="1" t="s">
        <v>46</v>
      </c>
      <c r="B29" s="1" t="s">
        <v>47</v>
      </c>
      <c r="C29">
        <v>96</v>
      </c>
      <c r="D29">
        <v>50</v>
      </c>
      <c r="E29">
        <v>809</v>
      </c>
      <c r="F29">
        <v>2117815</v>
      </c>
      <c r="G29">
        <v>3751</v>
      </c>
      <c r="H29">
        <v>20</v>
      </c>
      <c r="I29">
        <v>16</v>
      </c>
      <c r="J29">
        <v>35</v>
      </c>
      <c r="K29">
        <v>174793</v>
      </c>
      <c r="L29">
        <v>289</v>
      </c>
      <c r="M29">
        <v>486</v>
      </c>
      <c r="N29">
        <v>437</v>
      </c>
      <c r="O29">
        <v>610211</v>
      </c>
      <c r="P29">
        <v>3595</v>
      </c>
      <c r="Q29">
        <v>148</v>
      </c>
      <c r="R29">
        <v>109</v>
      </c>
      <c r="S29">
        <v>436905</v>
      </c>
      <c r="T29">
        <v>225</v>
      </c>
      <c r="U29">
        <v>68768</v>
      </c>
      <c r="V29">
        <v>469</v>
      </c>
      <c r="W29">
        <v>153943</v>
      </c>
      <c r="X29">
        <v>2037102</v>
      </c>
      <c r="Y29">
        <v>219095</v>
      </c>
      <c r="Z29">
        <v>188</v>
      </c>
      <c r="AA29">
        <v>217</v>
      </c>
      <c r="AB29">
        <v>1911598</v>
      </c>
      <c r="AC29">
        <v>117</v>
      </c>
      <c r="AD29">
        <v>500</v>
      </c>
      <c r="AE29">
        <v>711</v>
      </c>
      <c r="AF29">
        <v>2918523</v>
      </c>
      <c r="AG29">
        <v>3888</v>
      </c>
      <c r="AH29">
        <v>3050</v>
      </c>
      <c r="AI29">
        <v>405</v>
      </c>
      <c r="AJ29">
        <v>3335</v>
      </c>
      <c r="AK29">
        <v>1618480</v>
      </c>
      <c r="AL29">
        <v>2619</v>
      </c>
      <c r="AM29">
        <v>19596</v>
      </c>
      <c r="AN29">
        <v>2022</v>
      </c>
      <c r="AO29">
        <v>19757</v>
      </c>
      <c r="AP29">
        <v>8950207</v>
      </c>
      <c r="AQ29">
        <v>6076</v>
      </c>
      <c r="AR29">
        <v>1670</v>
      </c>
      <c r="AS29">
        <v>413</v>
      </c>
      <c r="AT29">
        <v>1678</v>
      </c>
      <c r="AU29">
        <v>1644806</v>
      </c>
      <c r="AV29">
        <v>2322</v>
      </c>
      <c r="AW29">
        <v>2523</v>
      </c>
      <c r="AX29">
        <v>2565</v>
      </c>
      <c r="AY29">
        <v>14709276</v>
      </c>
      <c r="AZ29">
        <v>1031</v>
      </c>
      <c r="BA29">
        <v>206</v>
      </c>
      <c r="BB29">
        <v>137</v>
      </c>
      <c r="BC29">
        <v>543452</v>
      </c>
      <c r="BD29">
        <v>460</v>
      </c>
      <c r="BE29">
        <v>367</v>
      </c>
      <c r="BF29">
        <v>445</v>
      </c>
      <c r="BG29">
        <v>2692410</v>
      </c>
      <c r="BH29">
        <v>458</v>
      </c>
      <c r="BI29">
        <v>1985</v>
      </c>
      <c r="BJ29">
        <v>2664</v>
      </c>
      <c r="BK29">
        <v>24311772</v>
      </c>
      <c r="BL29">
        <v>1658</v>
      </c>
      <c r="BM29">
        <v>601</v>
      </c>
      <c r="BN29">
        <v>762</v>
      </c>
      <c r="BO29">
        <v>10151555</v>
      </c>
      <c r="BP29">
        <v>771</v>
      </c>
      <c r="BQ29">
        <v>3043</v>
      </c>
      <c r="BR29">
        <v>3050</v>
      </c>
      <c r="BS29">
        <v>6582105</v>
      </c>
      <c r="BT29">
        <v>802</v>
      </c>
      <c r="BU29">
        <v>1614</v>
      </c>
      <c r="BV29">
        <v>1601</v>
      </c>
      <c r="BW29">
        <v>2350549</v>
      </c>
      <c r="BX29">
        <v>1423</v>
      </c>
      <c r="BY29">
        <v>3865</v>
      </c>
      <c r="BZ29">
        <v>4126</v>
      </c>
      <c r="CA29">
        <v>14132522</v>
      </c>
      <c r="CB29">
        <v>3009</v>
      </c>
      <c r="CC29">
        <v>771</v>
      </c>
      <c r="CD29">
        <v>959</v>
      </c>
      <c r="CE29">
        <v>578845</v>
      </c>
      <c r="CF29">
        <v>77</v>
      </c>
      <c r="CG29">
        <v>452</v>
      </c>
      <c r="CH29">
        <v>477</v>
      </c>
      <c r="CI29">
        <v>4105862</v>
      </c>
      <c r="CJ29">
        <v>531</v>
      </c>
      <c r="CK29">
        <v>253</v>
      </c>
      <c r="CL29">
        <v>235</v>
      </c>
      <c r="CM29">
        <v>1261452</v>
      </c>
      <c r="CN29">
        <v>262</v>
      </c>
      <c r="CO29">
        <v>578</v>
      </c>
      <c r="CP29">
        <v>690</v>
      </c>
      <c r="CQ29">
        <v>2677579</v>
      </c>
      <c r="CR29">
        <v>1426</v>
      </c>
      <c r="CS29">
        <v>1105</v>
      </c>
      <c r="CT29">
        <v>1153</v>
      </c>
      <c r="CU29">
        <v>211583</v>
      </c>
      <c r="CV29">
        <v>1657</v>
      </c>
    </row>
    <row r="30" spans="1:100" x14ac:dyDescent="0.4">
      <c r="A30" s="1" t="s">
        <v>48</v>
      </c>
      <c r="B30" s="1" t="s">
        <v>49</v>
      </c>
      <c r="C30">
        <v>91</v>
      </c>
      <c r="D30">
        <v>36</v>
      </c>
      <c r="E30">
        <v>688</v>
      </c>
      <c r="F30">
        <v>1809907</v>
      </c>
      <c r="G30">
        <v>4475</v>
      </c>
      <c r="H30">
        <v>18</v>
      </c>
      <c r="I30">
        <v>13</v>
      </c>
      <c r="J30">
        <v>36</v>
      </c>
      <c r="K30">
        <v>165336</v>
      </c>
      <c r="L30">
        <v>286</v>
      </c>
      <c r="M30">
        <v>645</v>
      </c>
      <c r="N30">
        <v>408</v>
      </c>
      <c r="O30">
        <v>535912</v>
      </c>
      <c r="P30">
        <v>3840</v>
      </c>
      <c r="Q30">
        <v>161</v>
      </c>
      <c r="R30">
        <v>134</v>
      </c>
      <c r="S30">
        <v>542383</v>
      </c>
      <c r="T30">
        <v>233</v>
      </c>
      <c r="U30">
        <v>85917</v>
      </c>
      <c r="V30">
        <v>602</v>
      </c>
      <c r="W30">
        <v>78076</v>
      </c>
      <c r="X30">
        <v>1102383</v>
      </c>
      <c r="Y30">
        <v>250818</v>
      </c>
      <c r="Z30">
        <v>179</v>
      </c>
      <c r="AA30">
        <v>200</v>
      </c>
      <c r="AB30">
        <v>1900571</v>
      </c>
      <c r="AC30">
        <v>122</v>
      </c>
      <c r="AD30">
        <v>476</v>
      </c>
      <c r="AE30">
        <v>778</v>
      </c>
      <c r="AF30">
        <v>3177048</v>
      </c>
      <c r="AG30">
        <v>3874</v>
      </c>
      <c r="AH30">
        <v>3220</v>
      </c>
      <c r="AI30">
        <v>430</v>
      </c>
      <c r="AJ30">
        <v>3214</v>
      </c>
      <c r="AK30">
        <v>1639255</v>
      </c>
      <c r="AL30">
        <v>2766</v>
      </c>
      <c r="AM30">
        <v>21177</v>
      </c>
      <c r="AN30">
        <v>2173</v>
      </c>
      <c r="AO30">
        <v>21128</v>
      </c>
      <c r="AP30">
        <v>9704661</v>
      </c>
      <c r="AQ30">
        <v>6138</v>
      </c>
      <c r="AR30">
        <v>1755</v>
      </c>
      <c r="AS30">
        <v>436</v>
      </c>
      <c r="AT30">
        <v>1714</v>
      </c>
      <c r="AU30">
        <v>1347809</v>
      </c>
      <c r="AV30">
        <v>2360</v>
      </c>
      <c r="AW30">
        <v>2753</v>
      </c>
      <c r="AX30">
        <v>2812</v>
      </c>
      <c r="AY30">
        <v>15716565</v>
      </c>
      <c r="AZ30">
        <v>1052</v>
      </c>
      <c r="BA30">
        <v>174</v>
      </c>
      <c r="BB30">
        <v>147</v>
      </c>
      <c r="BC30">
        <v>468492</v>
      </c>
      <c r="BD30">
        <v>489</v>
      </c>
      <c r="BE30">
        <v>361</v>
      </c>
      <c r="BF30">
        <v>430</v>
      </c>
      <c r="BG30">
        <v>2840615</v>
      </c>
      <c r="BH30">
        <v>458</v>
      </c>
      <c r="BI30">
        <v>2207</v>
      </c>
      <c r="BJ30">
        <v>2905</v>
      </c>
      <c r="BK30">
        <v>26187063</v>
      </c>
      <c r="BL30">
        <v>1701</v>
      </c>
      <c r="BM30">
        <v>648</v>
      </c>
      <c r="BN30">
        <v>831</v>
      </c>
      <c r="BO30">
        <v>10936828</v>
      </c>
      <c r="BP30">
        <v>755</v>
      </c>
      <c r="BQ30">
        <v>3129</v>
      </c>
      <c r="BR30">
        <v>3128</v>
      </c>
      <c r="BS30">
        <v>7188750</v>
      </c>
      <c r="BT30">
        <v>833</v>
      </c>
      <c r="BU30">
        <v>1721</v>
      </c>
      <c r="BV30">
        <v>1735</v>
      </c>
      <c r="BW30">
        <v>2458632</v>
      </c>
      <c r="BX30">
        <v>1424</v>
      </c>
      <c r="BY30">
        <v>4074</v>
      </c>
      <c r="BZ30">
        <v>4443</v>
      </c>
      <c r="CA30">
        <v>14766180</v>
      </c>
      <c r="CB30">
        <v>3010</v>
      </c>
      <c r="CC30">
        <v>957</v>
      </c>
      <c r="CD30">
        <v>1177</v>
      </c>
      <c r="CE30">
        <v>735256</v>
      </c>
      <c r="CF30">
        <v>43</v>
      </c>
      <c r="CG30">
        <v>480</v>
      </c>
      <c r="CH30">
        <v>535</v>
      </c>
      <c r="CI30">
        <v>3986327</v>
      </c>
      <c r="CJ30">
        <v>480</v>
      </c>
      <c r="CK30">
        <v>223</v>
      </c>
      <c r="CL30">
        <v>237</v>
      </c>
      <c r="CM30">
        <v>1440541</v>
      </c>
      <c r="CN30">
        <v>249</v>
      </c>
      <c r="CO30">
        <v>580</v>
      </c>
      <c r="CP30">
        <v>736</v>
      </c>
      <c r="CQ30">
        <v>2890821</v>
      </c>
      <c r="CR30">
        <v>1446</v>
      </c>
      <c r="CS30">
        <v>1253</v>
      </c>
      <c r="CT30">
        <v>1253</v>
      </c>
      <c r="CU30">
        <v>229387</v>
      </c>
      <c r="CV30">
        <v>1618</v>
      </c>
    </row>
    <row r="31" spans="1:100" x14ac:dyDescent="0.4">
      <c r="A31" s="1" t="s">
        <v>50</v>
      </c>
      <c r="B31" s="1" t="s">
        <v>51</v>
      </c>
      <c r="C31">
        <v>78</v>
      </c>
      <c r="D31">
        <v>35</v>
      </c>
      <c r="E31">
        <v>749</v>
      </c>
      <c r="F31">
        <v>2007988</v>
      </c>
      <c r="G31">
        <v>4556</v>
      </c>
      <c r="H31">
        <v>18</v>
      </c>
      <c r="I31">
        <v>15</v>
      </c>
      <c r="J31">
        <v>35</v>
      </c>
      <c r="K31">
        <v>132679</v>
      </c>
      <c r="L31">
        <v>279</v>
      </c>
      <c r="M31">
        <v>497</v>
      </c>
      <c r="N31">
        <v>636</v>
      </c>
      <c r="O31">
        <v>695061</v>
      </c>
      <c r="P31">
        <v>3701</v>
      </c>
      <c r="Q31">
        <v>135</v>
      </c>
      <c r="R31">
        <v>118</v>
      </c>
      <c r="S31">
        <v>434379</v>
      </c>
      <c r="T31">
        <v>231</v>
      </c>
      <c r="U31">
        <v>62494</v>
      </c>
      <c r="V31">
        <v>443</v>
      </c>
      <c r="W31">
        <v>80741</v>
      </c>
      <c r="X31">
        <v>1152510</v>
      </c>
      <c r="Y31">
        <v>251758</v>
      </c>
      <c r="Z31">
        <v>123</v>
      </c>
      <c r="AA31">
        <v>163</v>
      </c>
      <c r="AB31">
        <v>1515747</v>
      </c>
      <c r="AC31">
        <v>100</v>
      </c>
      <c r="AD31">
        <v>356</v>
      </c>
      <c r="AE31">
        <v>585</v>
      </c>
      <c r="AF31">
        <v>2490313</v>
      </c>
      <c r="AG31">
        <v>3849</v>
      </c>
      <c r="AH31">
        <v>2429</v>
      </c>
      <c r="AI31">
        <v>322</v>
      </c>
      <c r="AJ31">
        <v>2639</v>
      </c>
      <c r="AK31">
        <v>1237816</v>
      </c>
      <c r="AL31">
        <v>2743</v>
      </c>
      <c r="AM31">
        <v>15257</v>
      </c>
      <c r="AN31">
        <v>1516</v>
      </c>
      <c r="AO31">
        <v>15859</v>
      </c>
      <c r="AP31">
        <v>7018631</v>
      </c>
      <c r="AQ31">
        <v>5546</v>
      </c>
      <c r="AR31">
        <v>1310</v>
      </c>
      <c r="AS31">
        <v>363</v>
      </c>
      <c r="AT31">
        <v>1390</v>
      </c>
      <c r="AU31">
        <v>979026</v>
      </c>
      <c r="AV31">
        <v>2280</v>
      </c>
      <c r="AW31">
        <v>1945</v>
      </c>
      <c r="AX31">
        <v>2009</v>
      </c>
      <c r="AY31">
        <v>11391386</v>
      </c>
      <c r="AZ31">
        <v>1041</v>
      </c>
      <c r="BA31">
        <v>124</v>
      </c>
      <c r="BB31">
        <v>161</v>
      </c>
      <c r="BC31">
        <v>387728</v>
      </c>
      <c r="BD31">
        <v>454</v>
      </c>
      <c r="BE31">
        <v>273</v>
      </c>
      <c r="BF31">
        <v>325</v>
      </c>
      <c r="BG31">
        <v>2210522</v>
      </c>
      <c r="BH31">
        <v>453</v>
      </c>
      <c r="BI31">
        <v>1686</v>
      </c>
      <c r="BJ31">
        <v>2208</v>
      </c>
      <c r="BK31">
        <v>19522505</v>
      </c>
      <c r="BL31">
        <v>1717</v>
      </c>
      <c r="BM31">
        <v>463</v>
      </c>
      <c r="BN31">
        <v>599</v>
      </c>
      <c r="BO31">
        <v>7994626</v>
      </c>
      <c r="BP31">
        <v>748</v>
      </c>
      <c r="BQ31">
        <v>2192</v>
      </c>
      <c r="BR31">
        <v>2231</v>
      </c>
      <c r="BS31">
        <v>5051027</v>
      </c>
      <c r="BT31">
        <v>845</v>
      </c>
      <c r="BU31">
        <v>1206</v>
      </c>
      <c r="BV31">
        <v>1223</v>
      </c>
      <c r="BW31">
        <v>1866039</v>
      </c>
      <c r="BX31">
        <v>1420</v>
      </c>
      <c r="BY31">
        <v>3007</v>
      </c>
      <c r="BZ31">
        <v>3304</v>
      </c>
      <c r="CA31">
        <v>12230102</v>
      </c>
      <c r="CB31">
        <v>2964</v>
      </c>
      <c r="CC31">
        <v>476</v>
      </c>
      <c r="CD31">
        <v>594</v>
      </c>
      <c r="CE31">
        <v>367769</v>
      </c>
      <c r="CF31">
        <v>58</v>
      </c>
      <c r="CG31">
        <v>397</v>
      </c>
      <c r="CH31">
        <v>443</v>
      </c>
      <c r="CI31">
        <v>3575009</v>
      </c>
      <c r="CJ31">
        <v>446</v>
      </c>
      <c r="CK31">
        <v>170</v>
      </c>
      <c r="CL31">
        <v>158</v>
      </c>
      <c r="CM31">
        <v>965680</v>
      </c>
      <c r="CN31">
        <v>262</v>
      </c>
      <c r="CO31">
        <v>526</v>
      </c>
      <c r="CP31">
        <v>668</v>
      </c>
      <c r="CQ31">
        <v>2254187</v>
      </c>
      <c r="CR31">
        <v>1450</v>
      </c>
      <c r="CS31">
        <v>850</v>
      </c>
      <c r="CT31">
        <v>895</v>
      </c>
      <c r="CU31">
        <v>167282</v>
      </c>
      <c r="CV31">
        <v>1561</v>
      </c>
    </row>
    <row r="32" spans="1:100" x14ac:dyDescent="0.4">
      <c r="A32" s="1" t="s">
        <v>52</v>
      </c>
      <c r="B32" s="1" t="s">
        <v>53</v>
      </c>
      <c r="C32">
        <v>90</v>
      </c>
      <c r="D32">
        <v>49</v>
      </c>
      <c r="E32">
        <v>849</v>
      </c>
      <c r="F32">
        <v>2242374</v>
      </c>
      <c r="G32">
        <v>4675</v>
      </c>
      <c r="H32">
        <v>19</v>
      </c>
      <c r="I32">
        <v>16</v>
      </c>
      <c r="J32">
        <v>45</v>
      </c>
      <c r="K32">
        <v>172913</v>
      </c>
      <c r="L32">
        <v>291</v>
      </c>
      <c r="M32">
        <v>546</v>
      </c>
      <c r="N32">
        <v>577</v>
      </c>
      <c r="O32">
        <v>750845</v>
      </c>
      <c r="P32">
        <v>3674</v>
      </c>
      <c r="Q32">
        <v>150</v>
      </c>
      <c r="R32">
        <v>109</v>
      </c>
      <c r="S32">
        <v>456990</v>
      </c>
      <c r="T32">
        <v>253</v>
      </c>
      <c r="U32">
        <v>93300</v>
      </c>
      <c r="V32">
        <v>680</v>
      </c>
      <c r="W32">
        <v>94351</v>
      </c>
      <c r="X32">
        <v>1549718</v>
      </c>
      <c r="Y32">
        <v>279025</v>
      </c>
      <c r="Z32">
        <v>161</v>
      </c>
      <c r="AA32">
        <v>162</v>
      </c>
      <c r="AB32">
        <v>1630285</v>
      </c>
      <c r="AC32">
        <v>124</v>
      </c>
      <c r="AD32">
        <v>486</v>
      </c>
      <c r="AE32">
        <v>698</v>
      </c>
      <c r="AF32">
        <v>2759365</v>
      </c>
      <c r="AG32">
        <v>3879</v>
      </c>
      <c r="AH32">
        <v>3132</v>
      </c>
      <c r="AI32">
        <v>396</v>
      </c>
      <c r="AJ32">
        <v>3137</v>
      </c>
      <c r="AK32">
        <v>1564405</v>
      </c>
      <c r="AL32">
        <v>2894</v>
      </c>
      <c r="AM32">
        <v>20771</v>
      </c>
      <c r="AN32">
        <v>2138</v>
      </c>
      <c r="AO32">
        <v>20201</v>
      </c>
      <c r="AP32">
        <v>9504458</v>
      </c>
      <c r="AQ32">
        <v>6129</v>
      </c>
      <c r="AR32">
        <v>1687</v>
      </c>
      <c r="AS32">
        <v>440</v>
      </c>
      <c r="AT32">
        <v>1673</v>
      </c>
      <c r="AU32">
        <v>1091016</v>
      </c>
      <c r="AV32">
        <v>2290</v>
      </c>
      <c r="AW32">
        <v>2564</v>
      </c>
      <c r="AX32">
        <v>2639</v>
      </c>
      <c r="AY32">
        <v>15391051</v>
      </c>
      <c r="AZ32">
        <v>1049</v>
      </c>
      <c r="BA32">
        <v>208</v>
      </c>
      <c r="BB32">
        <v>108</v>
      </c>
      <c r="BC32">
        <v>307604</v>
      </c>
      <c r="BD32">
        <v>557</v>
      </c>
      <c r="BE32">
        <v>357</v>
      </c>
      <c r="BF32">
        <v>448</v>
      </c>
      <c r="BG32">
        <v>2683567</v>
      </c>
      <c r="BH32">
        <v>431</v>
      </c>
      <c r="BI32">
        <v>2080</v>
      </c>
      <c r="BJ32">
        <v>2744</v>
      </c>
      <c r="BK32">
        <v>24831240</v>
      </c>
      <c r="BL32">
        <v>1748</v>
      </c>
      <c r="BM32">
        <v>613</v>
      </c>
      <c r="BN32">
        <v>805</v>
      </c>
      <c r="BO32">
        <v>10538316</v>
      </c>
      <c r="BP32">
        <v>724</v>
      </c>
      <c r="BQ32">
        <v>3017</v>
      </c>
      <c r="BR32">
        <v>3088</v>
      </c>
      <c r="BS32">
        <v>6912892</v>
      </c>
      <c r="BT32">
        <v>821</v>
      </c>
      <c r="BU32">
        <v>1611</v>
      </c>
      <c r="BV32">
        <v>1619</v>
      </c>
      <c r="BW32">
        <v>2384340</v>
      </c>
      <c r="BX32">
        <v>1427</v>
      </c>
      <c r="BY32">
        <v>3977</v>
      </c>
      <c r="BZ32">
        <v>4370</v>
      </c>
      <c r="CA32">
        <v>15690940</v>
      </c>
      <c r="CB32">
        <v>2949</v>
      </c>
      <c r="CC32">
        <v>805</v>
      </c>
      <c r="CD32">
        <v>944</v>
      </c>
      <c r="CE32">
        <v>573726</v>
      </c>
      <c r="CF32">
        <v>96</v>
      </c>
      <c r="CG32">
        <v>529</v>
      </c>
      <c r="CH32">
        <v>498</v>
      </c>
      <c r="CI32">
        <v>4066240</v>
      </c>
      <c r="CJ32">
        <v>485</v>
      </c>
      <c r="CK32">
        <v>250</v>
      </c>
      <c r="CL32">
        <v>221</v>
      </c>
      <c r="CM32">
        <v>1358440</v>
      </c>
      <c r="CN32">
        <v>292</v>
      </c>
      <c r="CO32">
        <v>523</v>
      </c>
      <c r="CP32">
        <v>667</v>
      </c>
      <c r="CQ32">
        <v>2783233</v>
      </c>
      <c r="CR32">
        <v>1430</v>
      </c>
      <c r="CS32">
        <v>1406</v>
      </c>
      <c r="CT32">
        <v>1167</v>
      </c>
      <c r="CU32">
        <v>223011</v>
      </c>
      <c r="CV32">
        <v>1769</v>
      </c>
    </row>
    <row r="33" spans="1:100" x14ac:dyDescent="0.4">
      <c r="A33" s="1" t="s">
        <v>54</v>
      </c>
      <c r="B33" s="1" t="s">
        <v>55</v>
      </c>
      <c r="C33">
        <v>102</v>
      </c>
      <c r="D33">
        <v>52</v>
      </c>
      <c r="E33">
        <v>717</v>
      </c>
      <c r="F33">
        <v>2034473</v>
      </c>
      <c r="G33">
        <v>4991</v>
      </c>
      <c r="H33">
        <v>18</v>
      </c>
      <c r="I33">
        <v>17</v>
      </c>
      <c r="J33">
        <v>65</v>
      </c>
      <c r="K33">
        <v>235918</v>
      </c>
      <c r="L33">
        <v>273</v>
      </c>
      <c r="M33">
        <v>628</v>
      </c>
      <c r="N33">
        <v>433</v>
      </c>
      <c r="O33">
        <v>684458</v>
      </c>
      <c r="P33">
        <v>3870</v>
      </c>
      <c r="Q33">
        <v>148</v>
      </c>
      <c r="R33">
        <v>126</v>
      </c>
      <c r="S33">
        <v>528127</v>
      </c>
      <c r="T33">
        <v>262</v>
      </c>
      <c r="U33">
        <v>96659</v>
      </c>
      <c r="V33">
        <v>681</v>
      </c>
      <c r="W33">
        <v>129406</v>
      </c>
      <c r="X33">
        <v>1834062</v>
      </c>
      <c r="Y33">
        <v>269053</v>
      </c>
      <c r="Z33">
        <v>170</v>
      </c>
      <c r="AA33">
        <v>192</v>
      </c>
      <c r="AB33">
        <v>1751682</v>
      </c>
      <c r="AC33">
        <v>129</v>
      </c>
      <c r="AD33">
        <v>472</v>
      </c>
      <c r="AE33">
        <v>709</v>
      </c>
      <c r="AF33">
        <v>3000937</v>
      </c>
      <c r="AG33">
        <v>3903</v>
      </c>
      <c r="AH33">
        <v>3237</v>
      </c>
      <c r="AI33">
        <v>432</v>
      </c>
      <c r="AJ33">
        <v>3481</v>
      </c>
      <c r="AK33">
        <v>1887452</v>
      </c>
      <c r="AL33">
        <v>2858</v>
      </c>
      <c r="AM33">
        <v>21996</v>
      </c>
      <c r="AN33">
        <v>2252</v>
      </c>
      <c r="AO33">
        <v>21545</v>
      </c>
      <c r="AP33">
        <v>9866878</v>
      </c>
      <c r="AQ33">
        <v>6594</v>
      </c>
      <c r="AR33">
        <v>1811</v>
      </c>
      <c r="AS33">
        <v>450</v>
      </c>
      <c r="AT33">
        <v>1768</v>
      </c>
      <c r="AU33">
        <v>1376088</v>
      </c>
      <c r="AV33">
        <v>2337</v>
      </c>
      <c r="AW33">
        <v>2797</v>
      </c>
      <c r="AX33">
        <v>2913</v>
      </c>
      <c r="AY33">
        <v>16411630</v>
      </c>
      <c r="AZ33">
        <v>1028</v>
      </c>
      <c r="BA33">
        <v>217</v>
      </c>
      <c r="BB33">
        <v>194</v>
      </c>
      <c r="BC33">
        <v>550137</v>
      </c>
      <c r="BD33">
        <v>582</v>
      </c>
      <c r="BE33">
        <v>363</v>
      </c>
      <c r="BF33">
        <v>413</v>
      </c>
      <c r="BG33">
        <v>2569088</v>
      </c>
      <c r="BH33">
        <v>443</v>
      </c>
      <c r="BI33">
        <v>2141</v>
      </c>
      <c r="BJ33">
        <v>2839</v>
      </c>
      <c r="BK33">
        <v>25567402</v>
      </c>
      <c r="BL33">
        <v>1760</v>
      </c>
      <c r="BM33">
        <v>612</v>
      </c>
      <c r="BN33">
        <v>799</v>
      </c>
      <c r="BO33">
        <v>10552767</v>
      </c>
      <c r="BP33">
        <v>713</v>
      </c>
      <c r="BQ33">
        <v>3296</v>
      </c>
      <c r="BR33">
        <v>3317</v>
      </c>
      <c r="BS33">
        <v>7551369</v>
      </c>
      <c r="BT33">
        <v>839</v>
      </c>
      <c r="BU33">
        <v>1632</v>
      </c>
      <c r="BV33">
        <v>1567</v>
      </c>
      <c r="BW33">
        <v>2342795</v>
      </c>
      <c r="BX33">
        <v>1430</v>
      </c>
      <c r="BY33">
        <v>4218</v>
      </c>
      <c r="BZ33">
        <v>4543</v>
      </c>
      <c r="CA33">
        <v>15881979</v>
      </c>
      <c r="CB33">
        <v>2984</v>
      </c>
      <c r="CC33">
        <v>819</v>
      </c>
      <c r="CD33">
        <v>1098</v>
      </c>
      <c r="CE33">
        <v>672663</v>
      </c>
      <c r="CF33">
        <v>41</v>
      </c>
      <c r="CG33">
        <v>531</v>
      </c>
      <c r="CH33">
        <v>538</v>
      </c>
      <c r="CI33">
        <v>4465734</v>
      </c>
      <c r="CJ33">
        <v>487</v>
      </c>
      <c r="CK33">
        <v>258</v>
      </c>
      <c r="CL33">
        <v>253</v>
      </c>
      <c r="CM33">
        <v>1394617</v>
      </c>
      <c r="CN33">
        <v>298</v>
      </c>
      <c r="CO33">
        <v>588</v>
      </c>
      <c r="CP33">
        <v>715</v>
      </c>
      <c r="CQ33">
        <v>2905278</v>
      </c>
      <c r="CR33">
        <v>1449</v>
      </c>
      <c r="CS33">
        <v>1397</v>
      </c>
      <c r="CT33">
        <v>1317</v>
      </c>
      <c r="CU33">
        <v>249863</v>
      </c>
      <c r="CV33">
        <v>1806</v>
      </c>
    </row>
    <row r="34" spans="1:100" x14ac:dyDescent="0.4">
      <c r="A34" s="1" t="s">
        <v>56</v>
      </c>
      <c r="B34" s="1" t="s">
        <v>57</v>
      </c>
      <c r="C34">
        <v>89</v>
      </c>
      <c r="D34">
        <v>42</v>
      </c>
      <c r="E34">
        <v>786</v>
      </c>
      <c r="F34">
        <v>2106251</v>
      </c>
      <c r="G34">
        <v>5426</v>
      </c>
      <c r="H34">
        <v>17</v>
      </c>
      <c r="I34">
        <v>15</v>
      </c>
      <c r="J34">
        <v>53</v>
      </c>
      <c r="K34">
        <v>240645</v>
      </c>
      <c r="L34">
        <v>246</v>
      </c>
      <c r="M34">
        <v>526</v>
      </c>
      <c r="N34">
        <v>444</v>
      </c>
      <c r="O34">
        <v>607483</v>
      </c>
      <c r="P34">
        <v>3952</v>
      </c>
      <c r="Q34">
        <v>139</v>
      </c>
      <c r="R34">
        <v>114</v>
      </c>
      <c r="S34">
        <v>453556</v>
      </c>
      <c r="T34">
        <v>265</v>
      </c>
      <c r="U34">
        <v>64561</v>
      </c>
      <c r="V34">
        <v>430</v>
      </c>
      <c r="W34">
        <v>114114</v>
      </c>
      <c r="X34">
        <v>1429391</v>
      </c>
      <c r="Y34">
        <v>247990</v>
      </c>
      <c r="Z34">
        <v>169</v>
      </c>
      <c r="AA34">
        <v>193</v>
      </c>
      <c r="AB34">
        <v>1610965</v>
      </c>
      <c r="AC34">
        <v>126</v>
      </c>
      <c r="AD34">
        <v>466</v>
      </c>
      <c r="AE34">
        <v>664</v>
      </c>
      <c r="AF34">
        <v>2732759</v>
      </c>
      <c r="AG34">
        <v>3938</v>
      </c>
      <c r="AH34">
        <v>3053</v>
      </c>
      <c r="AI34">
        <v>380</v>
      </c>
      <c r="AJ34">
        <v>2981</v>
      </c>
      <c r="AK34">
        <v>1619313</v>
      </c>
      <c r="AL34">
        <v>3003</v>
      </c>
      <c r="AM34">
        <v>19322</v>
      </c>
      <c r="AN34">
        <v>1939</v>
      </c>
      <c r="AO34">
        <v>19341</v>
      </c>
      <c r="AP34">
        <v>8900495</v>
      </c>
      <c r="AQ34">
        <v>6588</v>
      </c>
      <c r="AR34">
        <v>1529</v>
      </c>
      <c r="AS34">
        <v>382</v>
      </c>
      <c r="AT34">
        <v>1646</v>
      </c>
      <c r="AU34">
        <v>1624042</v>
      </c>
      <c r="AV34">
        <v>2220</v>
      </c>
      <c r="AW34">
        <v>2411</v>
      </c>
      <c r="AX34">
        <v>2451</v>
      </c>
      <c r="AY34">
        <v>13645093</v>
      </c>
      <c r="AZ34">
        <v>1047</v>
      </c>
      <c r="BA34">
        <v>242</v>
      </c>
      <c r="BB34">
        <v>217</v>
      </c>
      <c r="BC34">
        <v>677044</v>
      </c>
      <c r="BD34">
        <v>608</v>
      </c>
      <c r="BE34">
        <v>298</v>
      </c>
      <c r="BF34">
        <v>341</v>
      </c>
      <c r="BG34">
        <v>2201003</v>
      </c>
      <c r="BH34">
        <v>459</v>
      </c>
      <c r="BI34">
        <v>2006</v>
      </c>
      <c r="BJ34">
        <v>2674</v>
      </c>
      <c r="BK34">
        <v>22572851</v>
      </c>
      <c r="BL34">
        <v>1778</v>
      </c>
      <c r="BM34">
        <v>543</v>
      </c>
      <c r="BN34">
        <v>703</v>
      </c>
      <c r="BO34">
        <v>9281238</v>
      </c>
      <c r="BP34">
        <v>717</v>
      </c>
      <c r="BQ34">
        <v>2891</v>
      </c>
      <c r="BR34">
        <v>2970</v>
      </c>
      <c r="BS34">
        <v>7212760</v>
      </c>
      <c r="BT34">
        <v>805</v>
      </c>
      <c r="BU34">
        <v>1525</v>
      </c>
      <c r="BV34">
        <v>1458</v>
      </c>
      <c r="BW34">
        <v>2111334</v>
      </c>
      <c r="BX34">
        <v>1441</v>
      </c>
      <c r="BY34">
        <v>3723</v>
      </c>
      <c r="BZ34">
        <v>3999</v>
      </c>
      <c r="CA34">
        <v>14159839</v>
      </c>
      <c r="CB34">
        <v>3022</v>
      </c>
      <c r="CC34">
        <v>786</v>
      </c>
      <c r="CD34">
        <v>925</v>
      </c>
      <c r="CE34">
        <v>561362</v>
      </c>
      <c r="CF34">
        <v>93</v>
      </c>
      <c r="CG34">
        <v>490</v>
      </c>
      <c r="CH34">
        <v>519</v>
      </c>
      <c r="CI34">
        <v>3964693</v>
      </c>
      <c r="CJ34">
        <v>468</v>
      </c>
      <c r="CK34">
        <v>245</v>
      </c>
      <c r="CL34">
        <v>298</v>
      </c>
      <c r="CM34">
        <v>1433445</v>
      </c>
      <c r="CN34">
        <v>246</v>
      </c>
      <c r="CO34">
        <v>596</v>
      </c>
      <c r="CP34">
        <v>744</v>
      </c>
      <c r="CQ34">
        <v>2579532</v>
      </c>
      <c r="CR34">
        <v>1454</v>
      </c>
      <c r="CS34">
        <v>1161</v>
      </c>
      <c r="CT34">
        <v>1108</v>
      </c>
      <c r="CU34">
        <v>214282</v>
      </c>
      <c r="CV34">
        <v>1822</v>
      </c>
    </row>
    <row r="35" spans="1:100" x14ac:dyDescent="0.4">
      <c r="A35" s="1" t="s">
        <v>58</v>
      </c>
      <c r="B35" s="1" t="s">
        <v>59</v>
      </c>
      <c r="C35">
        <v>95</v>
      </c>
      <c r="D35">
        <v>47</v>
      </c>
      <c r="E35">
        <v>922</v>
      </c>
      <c r="F35">
        <v>2366933</v>
      </c>
      <c r="G35">
        <v>5497</v>
      </c>
      <c r="H35">
        <v>18</v>
      </c>
      <c r="I35">
        <v>13</v>
      </c>
      <c r="J35">
        <v>40</v>
      </c>
      <c r="K35">
        <v>194553</v>
      </c>
      <c r="L35">
        <v>240</v>
      </c>
      <c r="M35">
        <v>569</v>
      </c>
      <c r="N35">
        <v>583</v>
      </c>
      <c r="O35">
        <v>735202</v>
      </c>
      <c r="P35">
        <v>3944</v>
      </c>
      <c r="Q35">
        <v>145</v>
      </c>
      <c r="R35">
        <v>126</v>
      </c>
      <c r="S35">
        <v>497280</v>
      </c>
      <c r="T35">
        <v>264</v>
      </c>
      <c r="U35">
        <v>66593</v>
      </c>
      <c r="V35">
        <v>457</v>
      </c>
      <c r="W35">
        <v>161990</v>
      </c>
      <c r="X35">
        <v>2267907</v>
      </c>
      <c r="Y35">
        <v>176007</v>
      </c>
      <c r="Z35">
        <v>161</v>
      </c>
      <c r="AA35">
        <v>179</v>
      </c>
      <c r="AB35">
        <v>1618799</v>
      </c>
      <c r="AC35">
        <v>133</v>
      </c>
      <c r="AD35">
        <v>464</v>
      </c>
      <c r="AE35">
        <v>681</v>
      </c>
      <c r="AF35">
        <v>2772932</v>
      </c>
      <c r="AG35">
        <v>3942</v>
      </c>
      <c r="AH35">
        <v>2965</v>
      </c>
      <c r="AI35">
        <v>361</v>
      </c>
      <c r="AJ35">
        <v>3417</v>
      </c>
      <c r="AK35">
        <v>1732126</v>
      </c>
      <c r="AL35">
        <v>2779</v>
      </c>
      <c r="AM35">
        <v>18850</v>
      </c>
      <c r="AN35">
        <v>1943</v>
      </c>
      <c r="AO35">
        <v>19266</v>
      </c>
      <c r="AP35">
        <v>9094951</v>
      </c>
      <c r="AQ35">
        <v>6185</v>
      </c>
      <c r="AR35">
        <v>1597</v>
      </c>
      <c r="AS35">
        <v>396</v>
      </c>
      <c r="AT35">
        <v>1638</v>
      </c>
      <c r="AU35">
        <v>1998392</v>
      </c>
      <c r="AV35">
        <v>2182</v>
      </c>
      <c r="AW35">
        <v>2297</v>
      </c>
      <c r="AX35">
        <v>2361</v>
      </c>
      <c r="AY35">
        <v>13653028</v>
      </c>
      <c r="AZ35">
        <v>1029</v>
      </c>
      <c r="BA35">
        <v>317</v>
      </c>
      <c r="BB35">
        <v>256</v>
      </c>
      <c r="BC35">
        <v>827638</v>
      </c>
      <c r="BD35">
        <v>671</v>
      </c>
      <c r="BE35">
        <v>318</v>
      </c>
      <c r="BF35">
        <v>379</v>
      </c>
      <c r="BG35">
        <v>2243042</v>
      </c>
      <c r="BH35">
        <v>461</v>
      </c>
      <c r="BI35">
        <v>2002</v>
      </c>
      <c r="BJ35">
        <v>2638</v>
      </c>
      <c r="BK35">
        <v>23531490</v>
      </c>
      <c r="BL35">
        <v>1818</v>
      </c>
      <c r="BM35">
        <v>565</v>
      </c>
      <c r="BN35">
        <v>739</v>
      </c>
      <c r="BO35">
        <v>9500108</v>
      </c>
      <c r="BP35">
        <v>687</v>
      </c>
      <c r="BQ35">
        <v>2916</v>
      </c>
      <c r="BR35">
        <v>2954</v>
      </c>
      <c r="BS35">
        <v>7056305</v>
      </c>
      <c r="BT35">
        <v>814</v>
      </c>
      <c r="BU35">
        <v>1497</v>
      </c>
      <c r="BV35">
        <v>1447</v>
      </c>
      <c r="BW35">
        <v>2202063</v>
      </c>
      <c r="BX35">
        <v>1430</v>
      </c>
      <c r="BY35">
        <v>3616</v>
      </c>
      <c r="BZ35">
        <v>4100</v>
      </c>
      <c r="CA35">
        <v>14814136</v>
      </c>
      <c r="CB35">
        <v>2891</v>
      </c>
      <c r="CC35">
        <v>718</v>
      </c>
      <c r="CD35">
        <v>939</v>
      </c>
      <c r="CE35">
        <v>581896</v>
      </c>
      <c r="CF35">
        <v>40</v>
      </c>
      <c r="CG35">
        <v>500</v>
      </c>
      <c r="CH35">
        <v>499</v>
      </c>
      <c r="CI35">
        <v>3821585</v>
      </c>
      <c r="CJ35">
        <v>481</v>
      </c>
      <c r="CK35">
        <v>227</v>
      </c>
      <c r="CL35">
        <v>267</v>
      </c>
      <c r="CM35">
        <v>1652332</v>
      </c>
      <c r="CN35">
        <v>207</v>
      </c>
      <c r="CO35">
        <v>546</v>
      </c>
      <c r="CP35">
        <v>702</v>
      </c>
      <c r="CQ35">
        <v>2579591</v>
      </c>
      <c r="CR35">
        <v>1482</v>
      </c>
      <c r="CS35">
        <v>1162</v>
      </c>
      <c r="CT35">
        <v>1142</v>
      </c>
      <c r="CU35">
        <v>221021</v>
      </c>
      <c r="CV35">
        <v>1811</v>
      </c>
    </row>
    <row r="36" spans="1:100" x14ac:dyDescent="0.4">
      <c r="A36" s="1" t="s">
        <v>60</v>
      </c>
      <c r="B36" s="1" t="s">
        <v>61</v>
      </c>
      <c r="C36">
        <v>82</v>
      </c>
      <c r="D36">
        <v>49</v>
      </c>
      <c r="E36">
        <v>962</v>
      </c>
      <c r="F36">
        <v>2386504</v>
      </c>
      <c r="G36">
        <v>5623</v>
      </c>
      <c r="H36">
        <v>14</v>
      </c>
      <c r="I36">
        <v>12</v>
      </c>
      <c r="J36">
        <v>34</v>
      </c>
      <c r="K36">
        <v>168621</v>
      </c>
      <c r="L36">
        <v>236</v>
      </c>
      <c r="M36">
        <v>550</v>
      </c>
      <c r="N36">
        <v>665</v>
      </c>
      <c r="O36">
        <v>816240</v>
      </c>
      <c r="P36">
        <v>3831</v>
      </c>
      <c r="Q36">
        <v>136</v>
      </c>
      <c r="R36">
        <v>145</v>
      </c>
      <c r="S36">
        <v>495631</v>
      </c>
      <c r="T36">
        <v>245</v>
      </c>
      <c r="U36">
        <v>63136</v>
      </c>
      <c r="V36">
        <v>452</v>
      </c>
      <c r="W36">
        <v>50217</v>
      </c>
      <c r="X36">
        <v>718916</v>
      </c>
      <c r="Y36">
        <v>205276</v>
      </c>
      <c r="Z36">
        <v>147</v>
      </c>
      <c r="AA36">
        <v>175</v>
      </c>
      <c r="AB36">
        <v>1596536</v>
      </c>
      <c r="AC36">
        <v>127</v>
      </c>
      <c r="AD36">
        <v>408</v>
      </c>
      <c r="AE36">
        <v>644</v>
      </c>
      <c r="AF36">
        <v>2680295</v>
      </c>
      <c r="AG36">
        <v>4023</v>
      </c>
      <c r="AH36">
        <v>2753</v>
      </c>
      <c r="AI36">
        <v>359</v>
      </c>
      <c r="AJ36">
        <v>2687</v>
      </c>
      <c r="AK36">
        <v>1546237</v>
      </c>
      <c r="AL36">
        <v>2989</v>
      </c>
      <c r="AM36">
        <v>18836</v>
      </c>
      <c r="AN36">
        <v>1903</v>
      </c>
      <c r="AO36">
        <v>18948</v>
      </c>
      <c r="AP36">
        <v>8900857</v>
      </c>
      <c r="AQ36">
        <v>6087</v>
      </c>
      <c r="AR36">
        <v>1466</v>
      </c>
      <c r="AS36">
        <v>384</v>
      </c>
      <c r="AT36">
        <v>1585</v>
      </c>
      <c r="AU36">
        <v>1015027</v>
      </c>
      <c r="AV36">
        <v>2060</v>
      </c>
      <c r="AW36">
        <v>2259</v>
      </c>
      <c r="AX36">
        <v>2327</v>
      </c>
      <c r="AY36">
        <v>13242485</v>
      </c>
      <c r="AZ36">
        <v>1013</v>
      </c>
      <c r="BA36">
        <v>159</v>
      </c>
      <c r="BB36">
        <v>166</v>
      </c>
      <c r="BC36">
        <v>553422</v>
      </c>
      <c r="BD36">
        <v>665</v>
      </c>
      <c r="BE36">
        <v>306</v>
      </c>
      <c r="BF36">
        <v>355</v>
      </c>
      <c r="BG36">
        <v>2240508</v>
      </c>
      <c r="BH36">
        <v>469</v>
      </c>
      <c r="BI36">
        <v>1850</v>
      </c>
      <c r="BJ36">
        <v>2502</v>
      </c>
      <c r="BK36">
        <v>22180780</v>
      </c>
      <c r="BL36">
        <v>1778</v>
      </c>
      <c r="BM36">
        <v>520</v>
      </c>
      <c r="BN36">
        <v>680</v>
      </c>
      <c r="BO36">
        <v>9141247</v>
      </c>
      <c r="BP36">
        <v>687</v>
      </c>
      <c r="BQ36">
        <v>2782</v>
      </c>
      <c r="BR36">
        <v>2839</v>
      </c>
      <c r="BS36">
        <v>6934317</v>
      </c>
      <c r="BT36">
        <v>814</v>
      </c>
      <c r="BU36">
        <v>1452</v>
      </c>
      <c r="BV36">
        <v>1398</v>
      </c>
      <c r="BW36">
        <v>2140866</v>
      </c>
      <c r="BX36">
        <v>1427</v>
      </c>
      <c r="BY36">
        <v>3459</v>
      </c>
      <c r="BZ36">
        <v>3944</v>
      </c>
      <c r="CA36">
        <v>14069703</v>
      </c>
      <c r="CB36">
        <v>2735</v>
      </c>
      <c r="CC36">
        <v>657</v>
      </c>
      <c r="CD36">
        <v>644</v>
      </c>
      <c r="CE36">
        <v>424977</v>
      </c>
      <c r="CF36">
        <v>52</v>
      </c>
      <c r="CG36">
        <v>503</v>
      </c>
      <c r="CH36">
        <v>516</v>
      </c>
      <c r="CI36">
        <v>3808396</v>
      </c>
      <c r="CJ36">
        <v>478</v>
      </c>
      <c r="CK36">
        <v>231</v>
      </c>
      <c r="CL36">
        <v>155</v>
      </c>
      <c r="CM36">
        <v>1609913</v>
      </c>
      <c r="CN36">
        <v>284</v>
      </c>
      <c r="CO36">
        <v>584</v>
      </c>
      <c r="CP36">
        <v>717</v>
      </c>
      <c r="CQ36">
        <v>2641727</v>
      </c>
      <c r="CR36">
        <v>1453</v>
      </c>
      <c r="CS36">
        <v>1179</v>
      </c>
      <c r="CT36">
        <v>1047</v>
      </c>
      <c r="CU36">
        <v>206582</v>
      </c>
      <c r="CV36">
        <v>1912</v>
      </c>
    </row>
    <row r="37" spans="1:100" x14ac:dyDescent="0.4">
      <c r="A37" s="1" t="s">
        <v>62</v>
      </c>
      <c r="B37" s="1" t="s">
        <v>63</v>
      </c>
      <c r="C37">
        <v>83</v>
      </c>
      <c r="D37">
        <v>36</v>
      </c>
      <c r="E37">
        <v>1184</v>
      </c>
      <c r="F37">
        <v>2864078</v>
      </c>
      <c r="G37">
        <v>5368</v>
      </c>
      <c r="H37">
        <v>15</v>
      </c>
      <c r="I37">
        <v>16</v>
      </c>
      <c r="J37">
        <v>29</v>
      </c>
      <c r="K37">
        <v>155275</v>
      </c>
      <c r="L37">
        <v>233</v>
      </c>
      <c r="M37">
        <v>472</v>
      </c>
      <c r="N37">
        <v>740</v>
      </c>
      <c r="O37">
        <v>929108</v>
      </c>
      <c r="P37">
        <v>3562</v>
      </c>
      <c r="Q37">
        <v>128</v>
      </c>
      <c r="R37">
        <v>158</v>
      </c>
      <c r="S37">
        <v>510104</v>
      </c>
      <c r="T37">
        <v>208</v>
      </c>
      <c r="U37">
        <v>69023</v>
      </c>
      <c r="V37">
        <v>475</v>
      </c>
      <c r="W37">
        <v>65175</v>
      </c>
      <c r="X37">
        <v>940776</v>
      </c>
      <c r="Y37">
        <v>219003</v>
      </c>
      <c r="Z37">
        <v>169</v>
      </c>
      <c r="AA37">
        <v>186</v>
      </c>
      <c r="AB37">
        <v>1780282</v>
      </c>
      <c r="AC37">
        <v>129</v>
      </c>
      <c r="AD37">
        <v>475</v>
      </c>
      <c r="AE37">
        <v>686</v>
      </c>
      <c r="AF37">
        <v>2884039</v>
      </c>
      <c r="AG37">
        <v>4056</v>
      </c>
      <c r="AH37">
        <v>2890</v>
      </c>
      <c r="AI37">
        <v>376</v>
      </c>
      <c r="AJ37">
        <v>3045</v>
      </c>
      <c r="AK37">
        <v>1544137</v>
      </c>
      <c r="AL37">
        <v>2976</v>
      </c>
      <c r="AM37">
        <v>20233</v>
      </c>
      <c r="AN37">
        <v>2062</v>
      </c>
      <c r="AO37">
        <v>20655</v>
      </c>
      <c r="AP37">
        <v>9546418</v>
      </c>
      <c r="AQ37">
        <v>5678</v>
      </c>
      <c r="AR37">
        <v>1553</v>
      </c>
      <c r="AS37">
        <v>394</v>
      </c>
      <c r="AT37">
        <v>1539</v>
      </c>
      <c r="AU37">
        <v>1048559</v>
      </c>
      <c r="AV37">
        <v>2076</v>
      </c>
      <c r="AW37">
        <v>2402</v>
      </c>
      <c r="AX37">
        <v>2460</v>
      </c>
      <c r="AY37">
        <v>14205609</v>
      </c>
      <c r="AZ37">
        <v>997</v>
      </c>
      <c r="BA37">
        <v>199</v>
      </c>
      <c r="BB37">
        <v>336</v>
      </c>
      <c r="BC37">
        <v>1037808</v>
      </c>
      <c r="BD37">
        <v>530</v>
      </c>
      <c r="BE37">
        <v>321</v>
      </c>
      <c r="BF37">
        <v>383</v>
      </c>
      <c r="BG37">
        <v>2356734</v>
      </c>
      <c r="BH37">
        <v>470</v>
      </c>
      <c r="BI37">
        <v>1879</v>
      </c>
      <c r="BJ37">
        <v>2557</v>
      </c>
      <c r="BK37">
        <v>22679717</v>
      </c>
      <c r="BL37">
        <v>1740</v>
      </c>
      <c r="BM37">
        <v>543</v>
      </c>
      <c r="BN37">
        <v>695</v>
      </c>
      <c r="BO37">
        <v>9244037</v>
      </c>
      <c r="BP37">
        <v>670</v>
      </c>
      <c r="BQ37">
        <v>2887</v>
      </c>
      <c r="BR37">
        <v>3023</v>
      </c>
      <c r="BS37">
        <v>7083788</v>
      </c>
      <c r="BT37">
        <v>728</v>
      </c>
      <c r="BU37">
        <v>1482</v>
      </c>
      <c r="BV37">
        <v>1436</v>
      </c>
      <c r="BW37">
        <v>2172760</v>
      </c>
      <c r="BX37">
        <v>1413</v>
      </c>
      <c r="BY37">
        <v>3665</v>
      </c>
      <c r="BZ37">
        <v>4037</v>
      </c>
      <c r="CA37">
        <v>14518827</v>
      </c>
      <c r="CB37">
        <v>2684</v>
      </c>
      <c r="CC37">
        <v>773</v>
      </c>
      <c r="CD37">
        <v>757</v>
      </c>
      <c r="CE37">
        <v>515173</v>
      </c>
      <c r="CF37">
        <v>68</v>
      </c>
      <c r="CG37">
        <v>490</v>
      </c>
      <c r="CH37">
        <v>453</v>
      </c>
      <c r="CI37">
        <v>3606876</v>
      </c>
      <c r="CJ37">
        <v>524</v>
      </c>
      <c r="CK37">
        <v>233</v>
      </c>
      <c r="CL37">
        <v>218</v>
      </c>
      <c r="CM37">
        <v>1715030</v>
      </c>
      <c r="CN37">
        <v>300</v>
      </c>
      <c r="CO37">
        <v>586</v>
      </c>
      <c r="CP37">
        <v>701</v>
      </c>
      <c r="CQ37">
        <v>2688869</v>
      </c>
      <c r="CR37">
        <v>1470</v>
      </c>
      <c r="CS37">
        <v>1248</v>
      </c>
      <c r="CT37">
        <v>1142</v>
      </c>
      <c r="CU37">
        <v>222527</v>
      </c>
      <c r="CV37">
        <v>2004</v>
      </c>
    </row>
    <row r="38" spans="1:100" x14ac:dyDescent="0.4">
      <c r="A38" s="1" t="s">
        <v>64</v>
      </c>
      <c r="B38" s="1" t="s">
        <v>65</v>
      </c>
      <c r="C38">
        <v>85</v>
      </c>
      <c r="D38">
        <v>44</v>
      </c>
      <c r="E38">
        <v>1665</v>
      </c>
      <c r="F38">
        <v>4171029</v>
      </c>
      <c r="G38">
        <v>4330</v>
      </c>
      <c r="H38">
        <v>17</v>
      </c>
      <c r="I38">
        <v>16</v>
      </c>
      <c r="J38">
        <v>34</v>
      </c>
      <c r="K38">
        <v>173564</v>
      </c>
      <c r="L38">
        <v>223</v>
      </c>
      <c r="M38">
        <v>512</v>
      </c>
      <c r="N38">
        <v>1058</v>
      </c>
      <c r="O38">
        <v>1158728</v>
      </c>
      <c r="P38">
        <v>3016</v>
      </c>
      <c r="Q38">
        <v>159</v>
      </c>
      <c r="R38">
        <v>175</v>
      </c>
      <c r="S38">
        <v>747600</v>
      </c>
      <c r="T38">
        <v>174</v>
      </c>
      <c r="U38">
        <v>88200</v>
      </c>
      <c r="V38">
        <v>625</v>
      </c>
      <c r="W38">
        <v>79124</v>
      </c>
      <c r="X38">
        <v>1369902</v>
      </c>
      <c r="Y38">
        <v>266282</v>
      </c>
      <c r="Z38">
        <v>189</v>
      </c>
      <c r="AA38">
        <v>225</v>
      </c>
      <c r="AB38">
        <v>2099436</v>
      </c>
      <c r="AC38">
        <v>116</v>
      </c>
      <c r="AD38">
        <v>555</v>
      </c>
      <c r="AE38">
        <v>796</v>
      </c>
      <c r="AF38">
        <v>3301077</v>
      </c>
      <c r="AG38">
        <v>4079</v>
      </c>
      <c r="AH38">
        <v>3119</v>
      </c>
      <c r="AI38">
        <v>392</v>
      </c>
      <c r="AJ38">
        <v>3207</v>
      </c>
      <c r="AK38">
        <v>1688168</v>
      </c>
      <c r="AL38">
        <v>3003</v>
      </c>
      <c r="AM38">
        <v>22082</v>
      </c>
      <c r="AN38">
        <v>2309</v>
      </c>
      <c r="AO38">
        <v>21927</v>
      </c>
      <c r="AP38">
        <v>10474961</v>
      </c>
      <c r="AQ38">
        <v>5846</v>
      </c>
      <c r="AR38">
        <v>1733</v>
      </c>
      <c r="AS38">
        <v>448</v>
      </c>
      <c r="AT38">
        <v>1714</v>
      </c>
      <c r="AU38">
        <v>1941841</v>
      </c>
      <c r="AV38">
        <v>2099</v>
      </c>
      <c r="AW38">
        <v>2638</v>
      </c>
      <c r="AX38">
        <v>2737</v>
      </c>
      <c r="AY38">
        <v>15608173</v>
      </c>
      <c r="AZ38">
        <v>1052</v>
      </c>
      <c r="BA38">
        <v>102</v>
      </c>
      <c r="BB38">
        <v>288</v>
      </c>
      <c r="BC38">
        <v>884830</v>
      </c>
      <c r="BD38">
        <v>346</v>
      </c>
      <c r="BE38">
        <v>348</v>
      </c>
      <c r="BF38">
        <v>389</v>
      </c>
      <c r="BG38">
        <v>2616662</v>
      </c>
      <c r="BH38">
        <v>482</v>
      </c>
      <c r="BI38">
        <v>2004</v>
      </c>
      <c r="BJ38">
        <v>2754</v>
      </c>
      <c r="BK38">
        <v>25535911</v>
      </c>
      <c r="BL38">
        <v>1687</v>
      </c>
      <c r="BM38">
        <v>605</v>
      </c>
      <c r="BN38">
        <v>785</v>
      </c>
      <c r="BO38">
        <v>10428373</v>
      </c>
      <c r="BP38">
        <v>640</v>
      </c>
      <c r="BQ38">
        <v>3124</v>
      </c>
      <c r="BR38">
        <v>3181</v>
      </c>
      <c r="BS38">
        <v>7459354</v>
      </c>
      <c r="BT38">
        <v>718</v>
      </c>
      <c r="BU38">
        <v>1601</v>
      </c>
      <c r="BV38">
        <v>1570</v>
      </c>
      <c r="BW38">
        <v>2447711</v>
      </c>
      <c r="BX38">
        <v>1372</v>
      </c>
      <c r="BY38">
        <v>3976</v>
      </c>
      <c r="BZ38">
        <v>4311</v>
      </c>
      <c r="CA38">
        <v>15528952</v>
      </c>
      <c r="CB38">
        <v>2692</v>
      </c>
      <c r="CC38">
        <v>931</v>
      </c>
      <c r="CD38">
        <v>923</v>
      </c>
      <c r="CE38">
        <v>623789</v>
      </c>
      <c r="CF38">
        <v>75</v>
      </c>
      <c r="CG38">
        <v>517</v>
      </c>
      <c r="CH38">
        <v>494</v>
      </c>
      <c r="CI38">
        <v>4052201</v>
      </c>
      <c r="CJ38">
        <v>557</v>
      </c>
      <c r="CK38">
        <v>259</v>
      </c>
      <c r="CL38">
        <v>302</v>
      </c>
      <c r="CM38">
        <v>1908708</v>
      </c>
      <c r="CN38">
        <v>258</v>
      </c>
      <c r="CO38">
        <v>576</v>
      </c>
      <c r="CP38">
        <v>779</v>
      </c>
      <c r="CQ38">
        <v>2946697</v>
      </c>
      <c r="CR38">
        <v>1339</v>
      </c>
      <c r="CS38">
        <v>965</v>
      </c>
      <c r="CT38">
        <v>1195</v>
      </c>
      <c r="CU38">
        <v>236409</v>
      </c>
      <c r="CV38">
        <v>1742</v>
      </c>
    </row>
    <row r="39" spans="1:100" x14ac:dyDescent="0.4">
      <c r="A39" s="1"/>
      <c r="B39" s="1"/>
    </row>
    <row r="40" spans="1:100" x14ac:dyDescent="0.4">
      <c r="A40" s="1"/>
      <c r="B40" s="1"/>
    </row>
  </sheetData>
  <phoneticPr fontId="2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53AEE-89A3-453C-8295-1D96A35C5FE8}">
  <dimension ref="A1:DR40"/>
  <sheetViews>
    <sheetView workbookViewId="0">
      <selection activeCell="C9" sqref="C9"/>
    </sheetView>
  </sheetViews>
  <sheetFormatPr defaultColWidth="15.625" defaultRowHeight="18.75" x14ac:dyDescent="0.4"/>
  <sheetData>
    <row r="1" spans="1:122" x14ac:dyDescent="0.4">
      <c r="A1" s="1" t="s">
        <v>66</v>
      </c>
      <c r="B1" s="1"/>
    </row>
    <row r="2" spans="1:122" x14ac:dyDescent="0.4">
      <c r="A2" s="4" t="str">
        <f>HYPERLINK("#'目次(Contents)'!A3","目次に戻る(Return to Contents)")</f>
        <v>目次に戻る(Return to Contents)</v>
      </c>
      <c r="B2" s="1"/>
    </row>
    <row r="3" spans="1:122" x14ac:dyDescent="0.4">
      <c r="A3" s="1"/>
      <c r="B3" s="2" t="s">
        <v>0</v>
      </c>
      <c r="C3" t="s">
        <v>2885</v>
      </c>
      <c r="D3" t="s">
        <v>2885</v>
      </c>
      <c r="E3" t="s">
        <v>2885</v>
      </c>
      <c r="F3" t="s">
        <v>2885</v>
      </c>
      <c r="G3" t="s">
        <v>2887</v>
      </c>
      <c r="H3" t="s">
        <v>2887</v>
      </c>
      <c r="I3" t="s">
        <v>2887</v>
      </c>
      <c r="J3" t="s">
        <v>2887</v>
      </c>
      <c r="K3" t="s">
        <v>2889</v>
      </c>
      <c r="L3" t="s">
        <v>2889</v>
      </c>
      <c r="M3" t="s">
        <v>2889</v>
      </c>
      <c r="N3" t="s">
        <v>2889</v>
      </c>
      <c r="O3" t="s">
        <v>2891</v>
      </c>
      <c r="P3" t="s">
        <v>2891</v>
      </c>
      <c r="Q3" t="s">
        <v>2891</v>
      </c>
      <c r="R3" t="s">
        <v>2891</v>
      </c>
      <c r="S3" t="s">
        <v>2893</v>
      </c>
      <c r="T3" t="s">
        <v>2893</v>
      </c>
      <c r="U3" t="s">
        <v>2893</v>
      </c>
      <c r="V3" t="s">
        <v>2893</v>
      </c>
      <c r="W3" t="s">
        <v>2895</v>
      </c>
      <c r="X3" t="s">
        <v>2895</v>
      </c>
      <c r="Y3" t="s">
        <v>2895</v>
      </c>
      <c r="Z3" t="s">
        <v>2895</v>
      </c>
      <c r="AA3" t="s">
        <v>2897</v>
      </c>
      <c r="AB3" t="s">
        <v>2897</v>
      </c>
      <c r="AC3" t="s">
        <v>2897</v>
      </c>
      <c r="AD3" t="s">
        <v>2897</v>
      </c>
      <c r="AE3" t="s">
        <v>2899</v>
      </c>
      <c r="AF3" t="s">
        <v>2899</v>
      </c>
      <c r="AG3" t="s">
        <v>2899</v>
      </c>
      <c r="AH3" t="s">
        <v>2899</v>
      </c>
      <c r="AI3" t="s">
        <v>2901</v>
      </c>
      <c r="AJ3" t="s">
        <v>2901</v>
      </c>
      <c r="AK3" t="s">
        <v>2901</v>
      </c>
      <c r="AL3" t="s">
        <v>2901</v>
      </c>
      <c r="AM3" t="s">
        <v>2903</v>
      </c>
      <c r="AN3" t="s">
        <v>2903</v>
      </c>
      <c r="AO3" t="s">
        <v>2903</v>
      </c>
      <c r="AP3" t="s">
        <v>2903</v>
      </c>
      <c r="AQ3" t="s">
        <v>2905</v>
      </c>
      <c r="AR3" t="s">
        <v>2905</v>
      </c>
      <c r="AS3" t="s">
        <v>2905</v>
      </c>
      <c r="AT3" t="s">
        <v>2905</v>
      </c>
      <c r="AU3" t="s">
        <v>2907</v>
      </c>
      <c r="AV3" t="s">
        <v>2907</v>
      </c>
      <c r="AW3" t="s">
        <v>2907</v>
      </c>
      <c r="AX3" t="s">
        <v>2907</v>
      </c>
      <c r="AY3" t="s">
        <v>2909</v>
      </c>
      <c r="AZ3" t="s">
        <v>2909</v>
      </c>
      <c r="BA3" t="s">
        <v>2909</v>
      </c>
      <c r="BB3" t="s">
        <v>2909</v>
      </c>
      <c r="BC3" t="s">
        <v>2911</v>
      </c>
      <c r="BD3" t="s">
        <v>2911</v>
      </c>
      <c r="BE3" t="s">
        <v>2911</v>
      </c>
      <c r="BF3" t="s">
        <v>2911</v>
      </c>
      <c r="BG3" t="s">
        <v>2913</v>
      </c>
      <c r="BH3" t="s">
        <v>2913</v>
      </c>
      <c r="BI3" t="s">
        <v>2913</v>
      </c>
      <c r="BJ3" t="s">
        <v>2913</v>
      </c>
      <c r="BK3" t="s">
        <v>2915</v>
      </c>
      <c r="BL3" t="s">
        <v>2915</v>
      </c>
      <c r="BM3" t="s">
        <v>2915</v>
      </c>
      <c r="BN3" t="s">
        <v>2915</v>
      </c>
      <c r="BO3" t="s">
        <v>2917</v>
      </c>
      <c r="BP3" t="s">
        <v>2917</v>
      </c>
      <c r="BQ3" t="s">
        <v>2917</v>
      </c>
      <c r="BR3" t="s">
        <v>2917</v>
      </c>
      <c r="BS3" t="s">
        <v>2919</v>
      </c>
      <c r="BT3" t="s">
        <v>2919</v>
      </c>
      <c r="BU3" t="s">
        <v>2919</v>
      </c>
      <c r="BV3" t="s">
        <v>2919</v>
      </c>
      <c r="BW3" t="s">
        <v>2921</v>
      </c>
      <c r="BX3" t="s">
        <v>2921</v>
      </c>
      <c r="BY3" t="s">
        <v>2921</v>
      </c>
      <c r="BZ3" t="s">
        <v>2921</v>
      </c>
      <c r="CA3" t="s">
        <v>2923</v>
      </c>
      <c r="CB3" t="s">
        <v>2923</v>
      </c>
      <c r="CC3" t="s">
        <v>2923</v>
      </c>
      <c r="CD3" t="s">
        <v>2923</v>
      </c>
      <c r="CE3" t="s">
        <v>2925</v>
      </c>
      <c r="CF3" t="s">
        <v>2925</v>
      </c>
      <c r="CG3" t="s">
        <v>2925</v>
      </c>
      <c r="CH3" t="s">
        <v>2925</v>
      </c>
      <c r="CI3" t="s">
        <v>2927</v>
      </c>
      <c r="CJ3" t="s">
        <v>2927</v>
      </c>
      <c r="CK3" t="s">
        <v>2927</v>
      </c>
      <c r="CL3" t="s">
        <v>2927</v>
      </c>
      <c r="CM3" t="s">
        <v>2929</v>
      </c>
      <c r="CN3" t="s">
        <v>2929</v>
      </c>
      <c r="CO3" t="s">
        <v>2929</v>
      </c>
      <c r="CP3" t="s">
        <v>2929</v>
      </c>
      <c r="CQ3" t="s">
        <v>2931</v>
      </c>
      <c r="CR3" t="s">
        <v>2931</v>
      </c>
      <c r="CS3" t="s">
        <v>2931</v>
      </c>
      <c r="CT3" t="s">
        <v>2931</v>
      </c>
      <c r="CU3" t="s">
        <v>2933</v>
      </c>
      <c r="CV3" t="s">
        <v>2933</v>
      </c>
      <c r="CW3" t="s">
        <v>2933</v>
      </c>
      <c r="CX3" t="s">
        <v>2933</v>
      </c>
      <c r="CY3" t="s">
        <v>2935</v>
      </c>
      <c r="CZ3" t="s">
        <v>2935</v>
      </c>
      <c r="DA3" t="s">
        <v>2935</v>
      </c>
      <c r="DB3" t="s">
        <v>2935</v>
      </c>
      <c r="DC3" t="s">
        <v>2937</v>
      </c>
      <c r="DD3" t="s">
        <v>2937</v>
      </c>
      <c r="DE3" t="s">
        <v>2937</v>
      </c>
      <c r="DF3" t="s">
        <v>2937</v>
      </c>
      <c r="DG3" t="s">
        <v>2939</v>
      </c>
      <c r="DH3" t="s">
        <v>2939</v>
      </c>
      <c r="DI3" t="s">
        <v>2939</v>
      </c>
      <c r="DJ3" t="s">
        <v>2939</v>
      </c>
      <c r="DK3" t="s">
        <v>2941</v>
      </c>
      <c r="DL3" t="s">
        <v>2941</v>
      </c>
      <c r="DM3" t="s">
        <v>2941</v>
      </c>
      <c r="DN3" t="s">
        <v>2941</v>
      </c>
      <c r="DO3" t="s">
        <v>2943</v>
      </c>
      <c r="DP3" t="s">
        <v>2943</v>
      </c>
      <c r="DQ3" t="s">
        <v>2943</v>
      </c>
      <c r="DR3" t="s">
        <v>2943</v>
      </c>
    </row>
    <row r="4" spans="1:122" x14ac:dyDescent="0.4">
      <c r="A4" s="1"/>
      <c r="B4" s="2" t="s">
        <v>1</v>
      </c>
      <c r="C4" t="s">
        <v>2886</v>
      </c>
      <c r="D4" t="s">
        <v>2886</v>
      </c>
      <c r="E4" t="s">
        <v>2886</v>
      </c>
      <c r="F4" t="s">
        <v>2886</v>
      </c>
      <c r="G4" t="s">
        <v>2888</v>
      </c>
      <c r="H4" t="s">
        <v>2888</v>
      </c>
      <c r="I4" t="s">
        <v>2888</v>
      </c>
      <c r="J4" t="s">
        <v>2888</v>
      </c>
      <c r="K4" t="s">
        <v>2890</v>
      </c>
      <c r="L4" t="s">
        <v>2890</v>
      </c>
      <c r="M4" t="s">
        <v>2890</v>
      </c>
      <c r="N4" t="s">
        <v>2890</v>
      </c>
      <c r="O4" t="s">
        <v>2892</v>
      </c>
      <c r="P4" t="s">
        <v>2892</v>
      </c>
      <c r="Q4" t="s">
        <v>2892</v>
      </c>
      <c r="R4" t="s">
        <v>2892</v>
      </c>
      <c r="S4" t="s">
        <v>2894</v>
      </c>
      <c r="T4" t="s">
        <v>2894</v>
      </c>
      <c r="U4" t="s">
        <v>2894</v>
      </c>
      <c r="V4" t="s">
        <v>2894</v>
      </c>
      <c r="W4" t="s">
        <v>2896</v>
      </c>
      <c r="X4" t="s">
        <v>2896</v>
      </c>
      <c r="Y4" t="s">
        <v>2896</v>
      </c>
      <c r="Z4" t="s">
        <v>2896</v>
      </c>
      <c r="AA4" t="s">
        <v>2898</v>
      </c>
      <c r="AB4" t="s">
        <v>2898</v>
      </c>
      <c r="AC4" t="s">
        <v>2898</v>
      </c>
      <c r="AD4" t="s">
        <v>2898</v>
      </c>
      <c r="AE4" t="s">
        <v>2900</v>
      </c>
      <c r="AF4" t="s">
        <v>2900</v>
      </c>
      <c r="AG4" t="s">
        <v>2900</v>
      </c>
      <c r="AH4" t="s">
        <v>2900</v>
      </c>
      <c r="AI4" t="s">
        <v>2902</v>
      </c>
      <c r="AJ4" t="s">
        <v>2902</v>
      </c>
      <c r="AK4" t="s">
        <v>2902</v>
      </c>
      <c r="AL4" t="s">
        <v>2902</v>
      </c>
      <c r="AM4" t="s">
        <v>2904</v>
      </c>
      <c r="AN4" t="s">
        <v>2904</v>
      </c>
      <c r="AO4" t="s">
        <v>2904</v>
      </c>
      <c r="AP4" t="s">
        <v>2904</v>
      </c>
      <c r="AQ4" t="s">
        <v>2906</v>
      </c>
      <c r="AR4" t="s">
        <v>2906</v>
      </c>
      <c r="AS4" t="s">
        <v>2906</v>
      </c>
      <c r="AT4" t="s">
        <v>2906</v>
      </c>
      <c r="AU4" t="s">
        <v>2908</v>
      </c>
      <c r="AV4" t="s">
        <v>2908</v>
      </c>
      <c r="AW4" t="s">
        <v>2908</v>
      </c>
      <c r="AX4" t="s">
        <v>2908</v>
      </c>
      <c r="AY4" t="s">
        <v>2910</v>
      </c>
      <c r="AZ4" t="s">
        <v>2910</v>
      </c>
      <c r="BA4" t="s">
        <v>2910</v>
      </c>
      <c r="BB4" t="s">
        <v>2910</v>
      </c>
      <c r="BC4" t="s">
        <v>2912</v>
      </c>
      <c r="BD4" t="s">
        <v>2912</v>
      </c>
      <c r="BE4" t="s">
        <v>2912</v>
      </c>
      <c r="BF4" t="s">
        <v>2912</v>
      </c>
      <c r="BG4" t="s">
        <v>2914</v>
      </c>
      <c r="BH4" t="s">
        <v>2914</v>
      </c>
      <c r="BI4" t="s">
        <v>2914</v>
      </c>
      <c r="BJ4" t="s">
        <v>2914</v>
      </c>
      <c r="BK4" t="s">
        <v>2916</v>
      </c>
      <c r="BL4" t="s">
        <v>2916</v>
      </c>
      <c r="BM4" t="s">
        <v>2916</v>
      </c>
      <c r="BN4" t="s">
        <v>2916</v>
      </c>
      <c r="BO4" t="s">
        <v>2918</v>
      </c>
      <c r="BP4" t="s">
        <v>2918</v>
      </c>
      <c r="BQ4" t="s">
        <v>2918</v>
      </c>
      <c r="BR4" t="s">
        <v>2918</v>
      </c>
      <c r="BS4" t="s">
        <v>2920</v>
      </c>
      <c r="BT4" t="s">
        <v>2920</v>
      </c>
      <c r="BU4" t="s">
        <v>2920</v>
      </c>
      <c r="BV4" t="s">
        <v>2920</v>
      </c>
      <c r="BW4" t="s">
        <v>2922</v>
      </c>
      <c r="BX4" t="s">
        <v>2922</v>
      </c>
      <c r="BY4" t="s">
        <v>2922</v>
      </c>
      <c r="BZ4" t="s">
        <v>2922</v>
      </c>
      <c r="CA4" t="s">
        <v>2924</v>
      </c>
      <c r="CB4" t="s">
        <v>2924</v>
      </c>
      <c r="CC4" t="s">
        <v>2924</v>
      </c>
      <c r="CD4" t="s">
        <v>2924</v>
      </c>
      <c r="CE4" t="s">
        <v>2926</v>
      </c>
      <c r="CF4" t="s">
        <v>2926</v>
      </c>
      <c r="CG4" t="s">
        <v>2926</v>
      </c>
      <c r="CH4" t="s">
        <v>2926</v>
      </c>
      <c r="CI4" t="s">
        <v>2928</v>
      </c>
      <c r="CJ4" t="s">
        <v>2928</v>
      </c>
      <c r="CK4" t="s">
        <v>2928</v>
      </c>
      <c r="CL4" t="s">
        <v>2928</v>
      </c>
      <c r="CM4" t="s">
        <v>2930</v>
      </c>
      <c r="CN4" t="s">
        <v>2930</v>
      </c>
      <c r="CO4" t="s">
        <v>2930</v>
      </c>
      <c r="CP4" t="s">
        <v>2930</v>
      </c>
      <c r="CQ4" t="s">
        <v>2932</v>
      </c>
      <c r="CR4" t="s">
        <v>2932</v>
      </c>
      <c r="CS4" t="s">
        <v>2932</v>
      </c>
      <c r="CT4" t="s">
        <v>2932</v>
      </c>
      <c r="CU4" t="s">
        <v>2934</v>
      </c>
      <c r="CV4" t="s">
        <v>2934</v>
      </c>
      <c r="CW4" t="s">
        <v>2934</v>
      </c>
      <c r="CX4" t="s">
        <v>2934</v>
      </c>
      <c r="CY4" t="s">
        <v>2936</v>
      </c>
      <c r="CZ4" t="s">
        <v>2936</v>
      </c>
      <c r="DA4" t="s">
        <v>2936</v>
      </c>
      <c r="DB4" t="s">
        <v>2936</v>
      </c>
      <c r="DC4" t="s">
        <v>2938</v>
      </c>
      <c r="DD4" t="s">
        <v>2938</v>
      </c>
      <c r="DE4" t="s">
        <v>2938</v>
      </c>
      <c r="DF4" t="s">
        <v>2938</v>
      </c>
      <c r="DG4" t="s">
        <v>2940</v>
      </c>
      <c r="DH4" t="s">
        <v>2940</v>
      </c>
      <c r="DI4" t="s">
        <v>2940</v>
      </c>
      <c r="DJ4" t="s">
        <v>2940</v>
      </c>
      <c r="DK4" t="s">
        <v>2942</v>
      </c>
      <c r="DL4" t="s">
        <v>2942</v>
      </c>
      <c r="DM4" t="s">
        <v>2942</v>
      </c>
      <c r="DN4" t="s">
        <v>2942</v>
      </c>
      <c r="DO4" t="s">
        <v>2944</v>
      </c>
      <c r="DP4" t="s">
        <v>2944</v>
      </c>
      <c r="DQ4" t="s">
        <v>2944</v>
      </c>
      <c r="DR4" t="s">
        <v>2944</v>
      </c>
    </row>
    <row r="5" spans="1:1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</row>
    <row r="6" spans="1:1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</row>
    <row r="7" spans="1:12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502</v>
      </c>
      <c r="DL7" t="s">
        <v>502</v>
      </c>
      <c r="DM7" t="s">
        <v>341</v>
      </c>
      <c r="DN7" t="s">
        <v>502</v>
      </c>
      <c r="DO7" t="s">
        <v>502</v>
      </c>
      <c r="DP7" t="s">
        <v>502</v>
      </c>
      <c r="DQ7" t="s">
        <v>341</v>
      </c>
      <c r="DR7" t="s">
        <v>502</v>
      </c>
    </row>
    <row r="8" spans="1:12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253</v>
      </c>
      <c r="DL8" t="s">
        <v>253</v>
      </c>
      <c r="DM8" t="s">
        <v>342</v>
      </c>
      <c r="DN8" t="s">
        <v>253</v>
      </c>
      <c r="DO8" t="s">
        <v>253</v>
      </c>
      <c r="DP8" t="s">
        <v>253</v>
      </c>
      <c r="DQ8" t="s">
        <v>342</v>
      </c>
      <c r="DR8" t="s">
        <v>253</v>
      </c>
    </row>
    <row r="9" spans="1:122" x14ac:dyDescent="0.4">
      <c r="A9" s="1" t="s">
        <v>6</v>
      </c>
      <c r="B9" s="3" t="s">
        <v>7</v>
      </c>
      <c r="C9">
        <v>81106</v>
      </c>
      <c r="D9">
        <v>80836</v>
      </c>
      <c r="E9">
        <v>32677122</v>
      </c>
      <c r="F9">
        <v>15484</v>
      </c>
      <c r="G9">
        <v>1125724</v>
      </c>
      <c r="H9">
        <v>1132911</v>
      </c>
      <c r="I9">
        <v>440525776</v>
      </c>
      <c r="J9">
        <v>117896</v>
      </c>
      <c r="K9">
        <v>123716</v>
      </c>
      <c r="L9">
        <v>133242</v>
      </c>
      <c r="M9">
        <v>99864214</v>
      </c>
      <c r="N9">
        <v>21880</v>
      </c>
      <c r="O9">
        <v>270945</v>
      </c>
      <c r="P9">
        <v>236611</v>
      </c>
      <c r="Q9">
        <v>291760147</v>
      </c>
      <c r="R9">
        <v>20466</v>
      </c>
      <c r="S9">
        <v>632371</v>
      </c>
      <c r="T9">
        <v>725884</v>
      </c>
      <c r="U9">
        <v>360156673</v>
      </c>
      <c r="V9">
        <v>70133</v>
      </c>
      <c r="W9">
        <v>218777</v>
      </c>
      <c r="X9">
        <v>191323</v>
      </c>
      <c r="Y9">
        <v>82568938</v>
      </c>
      <c r="Z9">
        <v>23266</v>
      </c>
      <c r="AA9">
        <v>78559</v>
      </c>
      <c r="AB9">
        <v>75221</v>
      </c>
      <c r="AC9">
        <v>48983246</v>
      </c>
      <c r="AD9">
        <v>4087</v>
      </c>
      <c r="AE9">
        <v>18185</v>
      </c>
      <c r="AF9">
        <v>16566</v>
      </c>
      <c r="AG9">
        <v>9113437</v>
      </c>
      <c r="AH9">
        <v>3636</v>
      </c>
      <c r="AI9">
        <v>54599</v>
      </c>
      <c r="AJ9">
        <v>54486</v>
      </c>
      <c r="AK9">
        <v>87243333</v>
      </c>
      <c r="AL9">
        <v>2942</v>
      </c>
      <c r="AM9">
        <v>363333</v>
      </c>
      <c r="AN9">
        <v>340365</v>
      </c>
      <c r="AO9">
        <v>89665423</v>
      </c>
      <c r="AP9">
        <v>27251</v>
      </c>
      <c r="AQ9">
        <v>51809</v>
      </c>
      <c r="AR9">
        <v>50191</v>
      </c>
      <c r="AS9">
        <v>36471497</v>
      </c>
      <c r="AT9">
        <v>4923</v>
      </c>
      <c r="AU9">
        <v>515861</v>
      </c>
      <c r="AV9">
        <v>568530</v>
      </c>
      <c r="AW9">
        <v>896003887</v>
      </c>
      <c r="AX9">
        <v>11432</v>
      </c>
      <c r="AY9">
        <v>108340</v>
      </c>
      <c r="AZ9">
        <v>111743</v>
      </c>
      <c r="BA9">
        <v>217292032</v>
      </c>
      <c r="BB9">
        <v>2790</v>
      </c>
      <c r="BC9">
        <v>47021</v>
      </c>
      <c r="BD9">
        <v>59491</v>
      </c>
      <c r="BE9">
        <v>149010423</v>
      </c>
      <c r="BF9">
        <v>2380</v>
      </c>
      <c r="BG9">
        <v>307297</v>
      </c>
      <c r="BH9">
        <v>311957</v>
      </c>
      <c r="BI9">
        <v>323026677</v>
      </c>
      <c r="BJ9">
        <v>29076</v>
      </c>
      <c r="BK9">
        <v>464988</v>
      </c>
      <c r="BL9">
        <v>522903</v>
      </c>
      <c r="BM9">
        <v>293075087</v>
      </c>
      <c r="BN9">
        <v>41848</v>
      </c>
      <c r="BO9">
        <v>384781</v>
      </c>
      <c r="BP9">
        <v>391286</v>
      </c>
      <c r="BQ9">
        <v>160937466</v>
      </c>
      <c r="BR9">
        <v>3684</v>
      </c>
      <c r="BS9">
        <v>23649</v>
      </c>
      <c r="BT9">
        <v>25685</v>
      </c>
      <c r="BU9">
        <v>30475650</v>
      </c>
      <c r="BV9">
        <v>1573</v>
      </c>
      <c r="BW9">
        <v>129111</v>
      </c>
      <c r="BX9">
        <v>126519</v>
      </c>
      <c r="BY9">
        <v>41465164</v>
      </c>
      <c r="BZ9">
        <v>12037</v>
      </c>
      <c r="CA9">
        <v>99931</v>
      </c>
      <c r="CB9">
        <v>100709</v>
      </c>
      <c r="CC9">
        <v>74077959</v>
      </c>
      <c r="CD9">
        <v>6840</v>
      </c>
      <c r="CE9">
        <v>85773</v>
      </c>
      <c r="CF9">
        <v>67456</v>
      </c>
      <c r="CG9">
        <v>43091988</v>
      </c>
      <c r="CH9">
        <v>6854</v>
      </c>
      <c r="CI9">
        <v>34832</v>
      </c>
      <c r="CJ9">
        <v>37582</v>
      </c>
      <c r="CK9">
        <v>32765341</v>
      </c>
      <c r="CL9">
        <v>3256</v>
      </c>
      <c r="CM9">
        <v>124798</v>
      </c>
      <c r="CN9">
        <v>153654</v>
      </c>
      <c r="CO9">
        <v>95502942</v>
      </c>
      <c r="CP9">
        <v>14095</v>
      </c>
      <c r="CQ9">
        <v>66720</v>
      </c>
      <c r="CR9">
        <v>66765</v>
      </c>
      <c r="CS9">
        <v>84063403</v>
      </c>
      <c r="CT9">
        <v>5304</v>
      </c>
      <c r="CU9">
        <v>21010</v>
      </c>
      <c r="CV9">
        <v>26329</v>
      </c>
      <c r="CW9">
        <v>23791859</v>
      </c>
      <c r="CX9">
        <v>4458</v>
      </c>
      <c r="CY9">
        <v>41353</v>
      </c>
      <c r="CZ9">
        <v>41211</v>
      </c>
      <c r="DA9">
        <v>29038386</v>
      </c>
      <c r="DB9">
        <v>3923</v>
      </c>
      <c r="DC9">
        <v>4812</v>
      </c>
      <c r="DD9">
        <v>6072</v>
      </c>
      <c r="DE9">
        <v>19982495</v>
      </c>
      <c r="DF9">
        <v>53</v>
      </c>
      <c r="DG9">
        <v>205664</v>
      </c>
      <c r="DH9">
        <v>232967</v>
      </c>
      <c r="DI9">
        <v>231846266</v>
      </c>
      <c r="DJ9">
        <v>20616</v>
      </c>
      <c r="DK9">
        <v>1124846</v>
      </c>
      <c r="DL9">
        <v>1125875</v>
      </c>
      <c r="DM9">
        <v>12446018</v>
      </c>
      <c r="DN9">
        <v>56215</v>
      </c>
      <c r="DO9">
        <v>94684</v>
      </c>
      <c r="DP9">
        <v>95822</v>
      </c>
      <c r="DQ9">
        <v>9616141</v>
      </c>
      <c r="DR9">
        <v>4926</v>
      </c>
    </row>
    <row r="10" spans="1:122" x14ac:dyDescent="0.4">
      <c r="A10" s="1" t="s">
        <v>8</v>
      </c>
      <c r="B10" s="3" t="s">
        <v>9</v>
      </c>
      <c r="C10">
        <v>79460</v>
      </c>
      <c r="D10">
        <v>78821</v>
      </c>
      <c r="E10">
        <v>34127656</v>
      </c>
      <c r="F10">
        <v>15676</v>
      </c>
      <c r="G10">
        <v>1105239</v>
      </c>
      <c r="H10">
        <v>1092400</v>
      </c>
      <c r="I10">
        <v>480521260</v>
      </c>
      <c r="J10">
        <v>129230</v>
      </c>
      <c r="K10">
        <v>123126</v>
      </c>
      <c r="L10">
        <v>130855</v>
      </c>
      <c r="M10">
        <v>102673484</v>
      </c>
      <c r="N10">
        <v>23996</v>
      </c>
      <c r="O10">
        <v>263315</v>
      </c>
      <c r="P10">
        <v>229913</v>
      </c>
      <c r="Q10">
        <v>257446804</v>
      </c>
      <c r="R10">
        <v>24549</v>
      </c>
      <c r="S10">
        <v>591171</v>
      </c>
      <c r="T10">
        <v>692246</v>
      </c>
      <c r="U10">
        <v>364292272</v>
      </c>
      <c r="V10">
        <v>80878</v>
      </c>
      <c r="W10">
        <v>210464</v>
      </c>
      <c r="X10">
        <v>187212</v>
      </c>
      <c r="Y10">
        <v>88540063</v>
      </c>
      <c r="Z10">
        <v>22122</v>
      </c>
      <c r="AA10">
        <v>72962</v>
      </c>
      <c r="AB10">
        <v>69622</v>
      </c>
      <c r="AC10">
        <v>47784840</v>
      </c>
      <c r="AD10">
        <v>4058</v>
      </c>
      <c r="AE10">
        <v>14878</v>
      </c>
      <c r="AF10">
        <v>14661</v>
      </c>
      <c r="AG10">
        <v>8581729</v>
      </c>
      <c r="AH10">
        <v>2839</v>
      </c>
      <c r="AI10">
        <v>52129</v>
      </c>
      <c r="AJ10">
        <v>52605</v>
      </c>
      <c r="AK10">
        <v>88231348</v>
      </c>
      <c r="AL10">
        <v>2759</v>
      </c>
      <c r="AM10">
        <v>343988</v>
      </c>
      <c r="AN10">
        <v>325412</v>
      </c>
      <c r="AO10">
        <v>106185635</v>
      </c>
      <c r="AP10">
        <v>26520</v>
      </c>
      <c r="AQ10">
        <v>53105</v>
      </c>
      <c r="AR10">
        <v>53024</v>
      </c>
      <c r="AS10">
        <v>44566216</v>
      </c>
      <c r="AT10">
        <v>5247</v>
      </c>
      <c r="AU10">
        <v>507478</v>
      </c>
      <c r="AV10">
        <v>557215</v>
      </c>
      <c r="AW10">
        <v>918618168</v>
      </c>
      <c r="AX10">
        <v>14858</v>
      </c>
      <c r="AY10">
        <v>104375</v>
      </c>
      <c r="AZ10">
        <v>110894</v>
      </c>
      <c r="BA10">
        <v>229231851</v>
      </c>
      <c r="BB10">
        <v>2715</v>
      </c>
      <c r="BC10">
        <v>46521</v>
      </c>
      <c r="BD10">
        <v>57900</v>
      </c>
      <c r="BE10">
        <v>154647639</v>
      </c>
      <c r="BF10">
        <v>2467</v>
      </c>
      <c r="BG10">
        <v>299116</v>
      </c>
      <c r="BH10">
        <v>305593</v>
      </c>
      <c r="BI10">
        <v>318520678</v>
      </c>
      <c r="BJ10">
        <v>28830</v>
      </c>
      <c r="BK10">
        <v>487906</v>
      </c>
      <c r="BL10">
        <v>510015</v>
      </c>
      <c r="BM10">
        <v>291475251</v>
      </c>
      <c r="BN10">
        <v>44815</v>
      </c>
      <c r="BO10">
        <v>377322</v>
      </c>
      <c r="BP10">
        <v>385231</v>
      </c>
      <c r="BQ10">
        <v>179287260</v>
      </c>
      <c r="BR10">
        <v>25513</v>
      </c>
      <c r="BS10">
        <v>24207</v>
      </c>
      <c r="BT10">
        <v>24102</v>
      </c>
      <c r="BU10">
        <v>32006172</v>
      </c>
      <c r="BV10">
        <v>1686</v>
      </c>
      <c r="BW10">
        <v>131490</v>
      </c>
      <c r="BX10">
        <v>129168</v>
      </c>
      <c r="BY10">
        <v>45340745</v>
      </c>
      <c r="BZ10">
        <v>12947</v>
      </c>
      <c r="CA10">
        <v>97376</v>
      </c>
      <c r="CB10">
        <v>98302</v>
      </c>
      <c r="CC10">
        <v>77882750</v>
      </c>
      <c r="CD10">
        <v>6428</v>
      </c>
      <c r="CE10">
        <v>83887</v>
      </c>
      <c r="CF10">
        <v>65286</v>
      </c>
      <c r="CG10">
        <v>43794294</v>
      </c>
      <c r="CH10">
        <v>6799</v>
      </c>
      <c r="CI10">
        <v>33541</v>
      </c>
      <c r="CJ10">
        <v>35933</v>
      </c>
      <c r="CK10">
        <v>35064792</v>
      </c>
      <c r="CL10">
        <v>3691</v>
      </c>
      <c r="CM10">
        <v>122770</v>
      </c>
      <c r="CN10">
        <v>151030</v>
      </c>
      <c r="CO10">
        <v>99746928</v>
      </c>
      <c r="CP10">
        <v>14179</v>
      </c>
      <c r="CQ10">
        <v>68089</v>
      </c>
      <c r="CR10">
        <v>68296</v>
      </c>
      <c r="CS10">
        <v>87776033</v>
      </c>
      <c r="CT10">
        <v>4916</v>
      </c>
      <c r="CU10">
        <v>20862</v>
      </c>
      <c r="CV10">
        <v>25034</v>
      </c>
      <c r="CW10">
        <v>25068484</v>
      </c>
      <c r="CX10">
        <v>4746</v>
      </c>
      <c r="CY10">
        <v>42449</v>
      </c>
      <c r="CZ10">
        <v>41831</v>
      </c>
      <c r="DA10">
        <v>29861720</v>
      </c>
      <c r="DB10">
        <v>4405</v>
      </c>
      <c r="DC10">
        <v>4776</v>
      </c>
      <c r="DD10">
        <v>4642</v>
      </c>
      <c r="DE10">
        <v>16235252</v>
      </c>
      <c r="DF10">
        <v>20</v>
      </c>
      <c r="DG10">
        <v>206108</v>
      </c>
      <c r="DH10">
        <v>232945</v>
      </c>
      <c r="DI10">
        <v>235627400</v>
      </c>
      <c r="DJ10">
        <v>21917</v>
      </c>
      <c r="DK10">
        <v>1120070</v>
      </c>
      <c r="DL10">
        <v>1122637</v>
      </c>
      <c r="DM10">
        <v>12656466</v>
      </c>
      <c r="DN10">
        <v>58810</v>
      </c>
      <c r="DO10">
        <v>95004</v>
      </c>
      <c r="DP10">
        <v>96719</v>
      </c>
      <c r="DQ10">
        <v>9639272</v>
      </c>
      <c r="DR10">
        <v>4656</v>
      </c>
    </row>
    <row r="11" spans="1:122" x14ac:dyDescent="0.4">
      <c r="A11" s="1" t="s">
        <v>10</v>
      </c>
      <c r="B11" s="3" t="s">
        <v>11</v>
      </c>
      <c r="C11">
        <v>69085</v>
      </c>
      <c r="D11">
        <v>69429</v>
      </c>
      <c r="E11">
        <v>33382799</v>
      </c>
      <c r="F11">
        <v>15268</v>
      </c>
      <c r="G11">
        <v>1006003</v>
      </c>
      <c r="H11">
        <v>1005565</v>
      </c>
      <c r="I11">
        <v>483538362</v>
      </c>
      <c r="J11">
        <v>126549</v>
      </c>
      <c r="K11">
        <v>111004</v>
      </c>
      <c r="L11">
        <v>121077</v>
      </c>
      <c r="M11">
        <v>103499798</v>
      </c>
      <c r="N11">
        <v>23631</v>
      </c>
      <c r="O11">
        <v>223551</v>
      </c>
      <c r="P11">
        <v>196816</v>
      </c>
      <c r="Q11">
        <v>266947606</v>
      </c>
      <c r="R11">
        <v>23458</v>
      </c>
      <c r="S11">
        <v>545314</v>
      </c>
      <c r="T11">
        <v>653335</v>
      </c>
      <c r="U11">
        <v>367100471</v>
      </c>
      <c r="V11">
        <v>58192</v>
      </c>
      <c r="W11">
        <v>192159</v>
      </c>
      <c r="X11">
        <v>170346</v>
      </c>
      <c r="Y11">
        <v>87178619</v>
      </c>
      <c r="Z11">
        <v>21471</v>
      </c>
      <c r="AA11">
        <v>65434</v>
      </c>
      <c r="AB11">
        <v>62097</v>
      </c>
      <c r="AC11">
        <v>46368408</v>
      </c>
      <c r="AD11">
        <v>4010</v>
      </c>
      <c r="AE11">
        <v>12920</v>
      </c>
      <c r="AF11">
        <v>11971</v>
      </c>
      <c r="AG11">
        <v>7499586</v>
      </c>
      <c r="AH11">
        <v>2959</v>
      </c>
      <c r="AI11">
        <v>55047</v>
      </c>
      <c r="AJ11">
        <v>55317</v>
      </c>
      <c r="AK11">
        <v>95965761</v>
      </c>
      <c r="AL11">
        <v>2710</v>
      </c>
      <c r="AM11">
        <v>322054</v>
      </c>
      <c r="AN11">
        <v>308255</v>
      </c>
      <c r="AO11">
        <v>110684051</v>
      </c>
      <c r="AP11">
        <v>24827</v>
      </c>
      <c r="AQ11">
        <v>50155</v>
      </c>
      <c r="AR11">
        <v>49390</v>
      </c>
      <c r="AS11">
        <v>44123046</v>
      </c>
      <c r="AT11">
        <v>5973</v>
      </c>
      <c r="AU11">
        <v>572692</v>
      </c>
      <c r="AV11">
        <v>640281</v>
      </c>
      <c r="AW11">
        <v>1082098550</v>
      </c>
      <c r="AX11">
        <v>16421</v>
      </c>
      <c r="AY11">
        <v>97177</v>
      </c>
      <c r="AZ11">
        <v>103926</v>
      </c>
      <c r="BA11">
        <v>222891612</v>
      </c>
      <c r="BB11">
        <v>2581</v>
      </c>
      <c r="BC11">
        <v>42082</v>
      </c>
      <c r="BD11">
        <v>52426</v>
      </c>
      <c r="BE11">
        <v>170724823</v>
      </c>
      <c r="BF11">
        <v>1999</v>
      </c>
      <c r="BG11">
        <v>276070</v>
      </c>
      <c r="BH11">
        <v>282209</v>
      </c>
      <c r="BI11">
        <v>323295302</v>
      </c>
      <c r="BJ11">
        <v>23412</v>
      </c>
      <c r="BK11">
        <v>536232</v>
      </c>
      <c r="BL11">
        <v>534883</v>
      </c>
      <c r="BM11">
        <v>293777566</v>
      </c>
      <c r="BN11">
        <v>42612</v>
      </c>
      <c r="BO11">
        <v>312572</v>
      </c>
      <c r="BP11">
        <v>317038</v>
      </c>
      <c r="BQ11">
        <v>154894300</v>
      </c>
      <c r="BR11">
        <v>23632</v>
      </c>
      <c r="BS11">
        <v>20225</v>
      </c>
      <c r="BT11">
        <v>19938</v>
      </c>
      <c r="BU11">
        <v>29600240</v>
      </c>
      <c r="BV11">
        <v>1586</v>
      </c>
      <c r="BW11">
        <v>130326</v>
      </c>
      <c r="BX11">
        <v>129679</v>
      </c>
      <c r="BY11">
        <v>48342914</v>
      </c>
      <c r="BZ11">
        <v>11393</v>
      </c>
      <c r="CA11">
        <v>97710</v>
      </c>
      <c r="CB11">
        <v>98326</v>
      </c>
      <c r="CC11">
        <v>84839711</v>
      </c>
      <c r="CD11">
        <v>6287</v>
      </c>
      <c r="CE11">
        <v>79072</v>
      </c>
      <c r="CF11">
        <v>61941</v>
      </c>
      <c r="CG11">
        <v>44915633</v>
      </c>
      <c r="CH11">
        <v>6399</v>
      </c>
      <c r="CI11">
        <v>31191</v>
      </c>
      <c r="CJ11">
        <v>33498</v>
      </c>
      <c r="CK11">
        <v>34505342</v>
      </c>
      <c r="CL11">
        <v>3493</v>
      </c>
      <c r="CM11">
        <v>120325</v>
      </c>
      <c r="CN11">
        <v>149305</v>
      </c>
      <c r="CO11">
        <v>102674835</v>
      </c>
      <c r="CP11">
        <v>14794</v>
      </c>
      <c r="CQ11">
        <v>65575</v>
      </c>
      <c r="CR11">
        <v>64902</v>
      </c>
      <c r="CS11">
        <v>88091895</v>
      </c>
      <c r="CT11">
        <v>5360</v>
      </c>
      <c r="CU11">
        <v>20873</v>
      </c>
      <c r="CV11">
        <v>25177</v>
      </c>
      <c r="CW11">
        <v>26488892</v>
      </c>
      <c r="CX11">
        <v>4582</v>
      </c>
      <c r="CY11">
        <v>42718</v>
      </c>
      <c r="CZ11">
        <v>42253</v>
      </c>
      <c r="DA11">
        <v>30216844</v>
      </c>
      <c r="DB11">
        <v>4650</v>
      </c>
      <c r="DC11">
        <v>4608</v>
      </c>
      <c r="DD11">
        <v>4578</v>
      </c>
      <c r="DE11">
        <v>17140996</v>
      </c>
      <c r="DF11">
        <v>17</v>
      </c>
      <c r="DG11">
        <v>193399</v>
      </c>
      <c r="DH11">
        <v>220250</v>
      </c>
      <c r="DI11">
        <v>229668732</v>
      </c>
      <c r="DJ11">
        <v>19757</v>
      </c>
      <c r="DK11">
        <v>1071034</v>
      </c>
      <c r="DL11">
        <v>1078870</v>
      </c>
      <c r="DM11">
        <v>12805234</v>
      </c>
      <c r="DN11">
        <v>56390</v>
      </c>
      <c r="DO11">
        <v>87063</v>
      </c>
      <c r="DP11">
        <v>88476</v>
      </c>
      <c r="DQ11">
        <v>9644525</v>
      </c>
      <c r="DR11">
        <v>4475</v>
      </c>
    </row>
    <row r="12" spans="1:122" x14ac:dyDescent="0.4">
      <c r="A12" s="1" t="s">
        <v>12</v>
      </c>
      <c r="B12" s="3" t="s">
        <v>13</v>
      </c>
      <c r="C12">
        <v>67007</v>
      </c>
      <c r="D12">
        <v>68966</v>
      </c>
      <c r="E12">
        <v>34102469</v>
      </c>
      <c r="F12">
        <v>13248</v>
      </c>
      <c r="G12">
        <v>1017603</v>
      </c>
      <c r="H12">
        <v>1010498</v>
      </c>
      <c r="I12">
        <v>504939915</v>
      </c>
      <c r="J12">
        <v>131004</v>
      </c>
      <c r="K12">
        <v>104753</v>
      </c>
      <c r="L12">
        <v>114313</v>
      </c>
      <c r="M12">
        <v>98152639</v>
      </c>
      <c r="N12">
        <v>23360</v>
      </c>
      <c r="O12">
        <v>242365</v>
      </c>
      <c r="P12">
        <v>212730</v>
      </c>
      <c r="Q12">
        <v>290673947</v>
      </c>
      <c r="R12">
        <v>22781</v>
      </c>
      <c r="S12">
        <v>565173</v>
      </c>
      <c r="T12">
        <v>670982</v>
      </c>
      <c r="U12">
        <v>391062500</v>
      </c>
      <c r="V12">
        <v>62943</v>
      </c>
      <c r="W12">
        <v>187395</v>
      </c>
      <c r="X12">
        <v>166508</v>
      </c>
      <c r="Y12">
        <v>89663048</v>
      </c>
      <c r="Z12">
        <v>20832</v>
      </c>
      <c r="AA12">
        <v>65721</v>
      </c>
      <c r="AB12">
        <v>61878</v>
      </c>
      <c r="AC12">
        <v>48416486</v>
      </c>
      <c r="AD12">
        <v>3666</v>
      </c>
      <c r="AE12">
        <v>12293</v>
      </c>
      <c r="AF12">
        <v>11944</v>
      </c>
      <c r="AG12">
        <v>7987625</v>
      </c>
      <c r="AH12">
        <v>2644</v>
      </c>
      <c r="AI12">
        <v>54782</v>
      </c>
      <c r="AJ12">
        <v>54724</v>
      </c>
      <c r="AK12">
        <v>95693430</v>
      </c>
      <c r="AL12">
        <v>2926</v>
      </c>
      <c r="AM12">
        <v>343057</v>
      </c>
      <c r="AN12">
        <v>319562</v>
      </c>
      <c r="AO12">
        <v>116194163</v>
      </c>
      <c r="AP12">
        <v>23014</v>
      </c>
      <c r="AQ12">
        <v>48050</v>
      </c>
      <c r="AR12">
        <v>47938</v>
      </c>
      <c r="AS12">
        <v>43823749</v>
      </c>
      <c r="AT12">
        <v>6184</v>
      </c>
      <c r="AU12">
        <v>536821</v>
      </c>
      <c r="AV12">
        <v>605530</v>
      </c>
      <c r="AW12">
        <v>1056069069</v>
      </c>
      <c r="AX12">
        <v>13368</v>
      </c>
      <c r="AY12">
        <v>94917</v>
      </c>
      <c r="AZ12">
        <v>101416</v>
      </c>
      <c r="BA12">
        <v>203184579</v>
      </c>
      <c r="BB12">
        <v>2666</v>
      </c>
      <c r="BC12">
        <v>40975</v>
      </c>
      <c r="BD12">
        <v>50555</v>
      </c>
      <c r="BE12">
        <v>160506145</v>
      </c>
      <c r="BF12">
        <v>2034</v>
      </c>
      <c r="BG12">
        <v>274391</v>
      </c>
      <c r="BH12">
        <v>281777</v>
      </c>
      <c r="BI12">
        <v>325550713</v>
      </c>
      <c r="BJ12">
        <v>22758</v>
      </c>
      <c r="BK12">
        <v>565138</v>
      </c>
      <c r="BL12">
        <v>561387</v>
      </c>
      <c r="BM12">
        <v>293109619</v>
      </c>
      <c r="BN12">
        <v>41958</v>
      </c>
      <c r="BO12">
        <v>315406</v>
      </c>
      <c r="BP12">
        <v>319657</v>
      </c>
      <c r="BQ12">
        <v>153888126</v>
      </c>
      <c r="BR12">
        <v>23565</v>
      </c>
      <c r="BS12">
        <v>20456</v>
      </c>
      <c r="BT12">
        <v>19822</v>
      </c>
      <c r="BU12">
        <v>30430950</v>
      </c>
      <c r="BV12">
        <v>1961</v>
      </c>
      <c r="BW12">
        <v>129773</v>
      </c>
      <c r="BX12">
        <v>127657</v>
      </c>
      <c r="BY12">
        <v>48306238</v>
      </c>
      <c r="BZ12">
        <v>11809</v>
      </c>
      <c r="CA12">
        <v>90471</v>
      </c>
      <c r="CB12">
        <v>92847</v>
      </c>
      <c r="CC12">
        <v>81017525</v>
      </c>
      <c r="CD12">
        <v>6012</v>
      </c>
      <c r="CE12">
        <v>78272</v>
      </c>
      <c r="CF12">
        <v>62031</v>
      </c>
      <c r="CG12">
        <v>46629554</v>
      </c>
      <c r="CH12">
        <v>6194</v>
      </c>
      <c r="CI12">
        <v>31150</v>
      </c>
      <c r="CJ12">
        <v>33682</v>
      </c>
      <c r="CK12">
        <v>35033121</v>
      </c>
      <c r="CL12">
        <v>1916</v>
      </c>
      <c r="CM12">
        <v>119812</v>
      </c>
      <c r="CN12">
        <v>147776</v>
      </c>
      <c r="CO12">
        <v>104840133</v>
      </c>
      <c r="CP12">
        <v>14483</v>
      </c>
      <c r="CQ12">
        <v>61068</v>
      </c>
      <c r="CR12">
        <v>61374</v>
      </c>
      <c r="CS12">
        <v>87746484</v>
      </c>
      <c r="CT12">
        <v>4829</v>
      </c>
      <c r="CU12">
        <v>20468</v>
      </c>
      <c r="CV12">
        <v>25974</v>
      </c>
      <c r="CW12">
        <v>27963413</v>
      </c>
      <c r="CX12">
        <v>5221</v>
      </c>
      <c r="CY12">
        <v>40900</v>
      </c>
      <c r="CZ12">
        <v>40861</v>
      </c>
      <c r="DA12">
        <v>29566671</v>
      </c>
      <c r="DB12">
        <v>4171</v>
      </c>
      <c r="DC12">
        <v>4310</v>
      </c>
      <c r="DD12">
        <v>4297</v>
      </c>
      <c r="DE12">
        <v>17049763</v>
      </c>
      <c r="DF12">
        <v>26</v>
      </c>
      <c r="DG12">
        <v>193293</v>
      </c>
      <c r="DH12">
        <v>219486</v>
      </c>
      <c r="DI12">
        <v>234870550</v>
      </c>
      <c r="DJ12">
        <v>19835</v>
      </c>
      <c r="DK12">
        <v>1022866</v>
      </c>
      <c r="DL12">
        <v>1028044</v>
      </c>
      <c r="DM12">
        <v>12455113</v>
      </c>
      <c r="DN12">
        <v>56537</v>
      </c>
      <c r="DO12">
        <v>82481</v>
      </c>
      <c r="DP12">
        <v>84204</v>
      </c>
      <c r="DQ12">
        <v>9520789</v>
      </c>
      <c r="DR12">
        <v>3977</v>
      </c>
    </row>
    <row r="13" spans="1:122" x14ac:dyDescent="0.4">
      <c r="A13" s="1" t="s">
        <v>14</v>
      </c>
      <c r="B13" s="3" t="s">
        <v>15</v>
      </c>
      <c r="C13">
        <v>70945</v>
      </c>
      <c r="D13">
        <v>70028</v>
      </c>
      <c r="E13">
        <v>36150792</v>
      </c>
      <c r="F13">
        <v>16642</v>
      </c>
      <c r="G13">
        <v>1011413</v>
      </c>
      <c r="H13">
        <v>991347</v>
      </c>
      <c r="I13">
        <v>512866350</v>
      </c>
      <c r="J13">
        <v>139905</v>
      </c>
      <c r="K13">
        <v>102611</v>
      </c>
      <c r="L13">
        <v>111746</v>
      </c>
      <c r="M13">
        <v>98241259</v>
      </c>
      <c r="N13">
        <v>24373</v>
      </c>
      <c r="O13">
        <v>255230</v>
      </c>
      <c r="P13">
        <v>220498</v>
      </c>
      <c r="Q13">
        <v>300472970</v>
      </c>
      <c r="R13">
        <v>25357</v>
      </c>
      <c r="S13">
        <v>560051</v>
      </c>
      <c r="T13">
        <v>664992</v>
      </c>
      <c r="U13">
        <v>373918785</v>
      </c>
      <c r="V13">
        <v>64955</v>
      </c>
      <c r="W13">
        <v>208268</v>
      </c>
      <c r="X13">
        <v>186387</v>
      </c>
      <c r="Y13">
        <v>92901923</v>
      </c>
      <c r="Z13">
        <v>21259</v>
      </c>
      <c r="AA13">
        <v>62816</v>
      </c>
      <c r="AB13">
        <v>58089</v>
      </c>
      <c r="AC13">
        <v>48722993</v>
      </c>
      <c r="AD13">
        <v>8831</v>
      </c>
      <c r="AE13">
        <v>10368</v>
      </c>
      <c r="AF13">
        <v>9862</v>
      </c>
      <c r="AG13">
        <v>6435359</v>
      </c>
      <c r="AH13">
        <v>3113</v>
      </c>
      <c r="AI13">
        <v>50871</v>
      </c>
      <c r="AJ13">
        <v>51253</v>
      </c>
      <c r="AK13">
        <v>92054054</v>
      </c>
      <c r="AL13">
        <v>2696</v>
      </c>
      <c r="AM13">
        <v>310062</v>
      </c>
      <c r="AN13">
        <v>289768</v>
      </c>
      <c r="AO13">
        <v>109226530</v>
      </c>
      <c r="AP13">
        <v>20729</v>
      </c>
      <c r="AQ13">
        <v>43440</v>
      </c>
      <c r="AR13">
        <v>43934</v>
      </c>
      <c r="AS13">
        <v>46006830</v>
      </c>
      <c r="AT13">
        <v>6058</v>
      </c>
      <c r="AU13">
        <v>533063</v>
      </c>
      <c r="AV13">
        <v>597562</v>
      </c>
      <c r="AW13">
        <v>1054597351</v>
      </c>
      <c r="AX13">
        <v>13101</v>
      </c>
      <c r="AY13">
        <v>94663</v>
      </c>
      <c r="AZ13">
        <v>101741</v>
      </c>
      <c r="BA13">
        <v>209691682</v>
      </c>
      <c r="BB13">
        <v>2810</v>
      </c>
      <c r="BC13">
        <v>41551</v>
      </c>
      <c r="BD13">
        <v>52041</v>
      </c>
      <c r="BE13">
        <v>162717339</v>
      </c>
      <c r="BF13">
        <v>2119</v>
      </c>
      <c r="BG13">
        <v>270080</v>
      </c>
      <c r="BH13">
        <v>276221</v>
      </c>
      <c r="BI13">
        <v>323685768</v>
      </c>
      <c r="BJ13">
        <v>24135</v>
      </c>
      <c r="BK13">
        <v>670409</v>
      </c>
      <c r="BL13">
        <v>667481</v>
      </c>
      <c r="BM13">
        <v>326386661</v>
      </c>
      <c r="BN13">
        <v>57926</v>
      </c>
      <c r="BO13">
        <v>340870</v>
      </c>
      <c r="BP13">
        <v>344347</v>
      </c>
      <c r="BQ13">
        <v>164664818</v>
      </c>
      <c r="BR13">
        <v>23297</v>
      </c>
      <c r="BS13">
        <v>18236</v>
      </c>
      <c r="BT13">
        <v>18680</v>
      </c>
      <c r="BU13">
        <v>31000361</v>
      </c>
      <c r="BV13">
        <v>2228</v>
      </c>
      <c r="BW13">
        <v>154653</v>
      </c>
      <c r="BX13">
        <v>153943</v>
      </c>
      <c r="BY13">
        <v>56747878</v>
      </c>
      <c r="BZ13">
        <v>13631</v>
      </c>
      <c r="CA13">
        <v>87985</v>
      </c>
      <c r="CB13">
        <v>90218</v>
      </c>
      <c r="CC13">
        <v>81613619</v>
      </c>
      <c r="CD13">
        <v>7741</v>
      </c>
      <c r="CE13">
        <v>79491</v>
      </c>
      <c r="CF13">
        <v>63210</v>
      </c>
      <c r="CG13">
        <v>48939924</v>
      </c>
      <c r="CH13">
        <v>6296</v>
      </c>
      <c r="CI13">
        <v>27911</v>
      </c>
      <c r="CJ13">
        <v>30418</v>
      </c>
      <c r="CK13">
        <v>33000254</v>
      </c>
      <c r="CL13">
        <v>1853</v>
      </c>
      <c r="CM13">
        <v>115365</v>
      </c>
      <c r="CN13">
        <v>144593</v>
      </c>
      <c r="CO13">
        <v>104859841</v>
      </c>
      <c r="CP13">
        <v>14338</v>
      </c>
      <c r="CQ13">
        <v>60846</v>
      </c>
      <c r="CR13">
        <v>62151</v>
      </c>
      <c r="CS13">
        <v>89670369</v>
      </c>
      <c r="CT13">
        <v>3558</v>
      </c>
      <c r="CU13">
        <v>18362</v>
      </c>
      <c r="CV13">
        <v>24485</v>
      </c>
      <c r="CW13">
        <v>27880175</v>
      </c>
      <c r="CX13">
        <v>4305</v>
      </c>
      <c r="CY13">
        <v>43611</v>
      </c>
      <c r="CZ13">
        <v>43052</v>
      </c>
      <c r="DA13">
        <v>31854059</v>
      </c>
      <c r="DB13">
        <v>4556</v>
      </c>
      <c r="DC13">
        <v>3922</v>
      </c>
      <c r="DD13">
        <v>3921</v>
      </c>
      <c r="DE13">
        <v>16878453</v>
      </c>
      <c r="DF13">
        <v>19</v>
      </c>
      <c r="DG13">
        <v>194947</v>
      </c>
      <c r="DH13">
        <v>220281</v>
      </c>
      <c r="DI13">
        <v>238818607</v>
      </c>
      <c r="DJ13">
        <v>20665</v>
      </c>
      <c r="DK13">
        <v>1004474</v>
      </c>
      <c r="DL13">
        <v>1015145</v>
      </c>
      <c r="DM13">
        <v>12477167</v>
      </c>
      <c r="DN13">
        <v>51363</v>
      </c>
      <c r="DO13">
        <v>79163</v>
      </c>
      <c r="DP13">
        <v>80584</v>
      </c>
      <c r="DQ13">
        <v>9031733</v>
      </c>
      <c r="DR13">
        <v>3787</v>
      </c>
    </row>
    <row r="14" spans="1:122" x14ac:dyDescent="0.4">
      <c r="A14" s="1" t="s">
        <v>16</v>
      </c>
      <c r="B14" s="1" t="s">
        <v>17</v>
      </c>
      <c r="C14">
        <v>4942</v>
      </c>
      <c r="D14">
        <v>7344</v>
      </c>
      <c r="E14">
        <v>3788021</v>
      </c>
      <c r="F14">
        <v>12530</v>
      </c>
      <c r="G14">
        <v>83479</v>
      </c>
      <c r="H14">
        <v>85194</v>
      </c>
      <c r="I14">
        <v>41199104</v>
      </c>
      <c r="J14">
        <v>130176</v>
      </c>
      <c r="K14">
        <v>9145</v>
      </c>
      <c r="L14">
        <v>9601</v>
      </c>
      <c r="M14">
        <v>8017770</v>
      </c>
      <c r="N14">
        <v>23350</v>
      </c>
      <c r="O14">
        <v>19783</v>
      </c>
      <c r="P14">
        <v>18206</v>
      </c>
      <c r="Q14">
        <v>25911656</v>
      </c>
      <c r="R14">
        <v>23646</v>
      </c>
      <c r="S14">
        <v>44689</v>
      </c>
      <c r="T14">
        <v>53347</v>
      </c>
      <c r="U14">
        <v>29533748</v>
      </c>
      <c r="V14">
        <v>60452</v>
      </c>
      <c r="W14">
        <v>14632</v>
      </c>
      <c r="X14">
        <v>14095</v>
      </c>
      <c r="Y14">
        <v>7204741</v>
      </c>
      <c r="Z14">
        <v>20172</v>
      </c>
      <c r="AA14">
        <v>5242</v>
      </c>
      <c r="AB14">
        <v>5003</v>
      </c>
      <c r="AC14">
        <v>4032137</v>
      </c>
      <c r="AD14">
        <v>3990</v>
      </c>
      <c r="AE14">
        <v>803</v>
      </c>
      <c r="AF14">
        <v>1021</v>
      </c>
      <c r="AG14">
        <v>711288</v>
      </c>
      <c r="AH14">
        <v>2691</v>
      </c>
      <c r="AI14">
        <v>4786</v>
      </c>
      <c r="AJ14">
        <v>4770</v>
      </c>
      <c r="AK14">
        <v>8293554</v>
      </c>
      <c r="AL14">
        <v>2935</v>
      </c>
      <c r="AM14">
        <v>26951</v>
      </c>
      <c r="AN14">
        <v>24941</v>
      </c>
      <c r="AO14">
        <v>9274760</v>
      </c>
      <c r="AP14">
        <v>25477</v>
      </c>
      <c r="AQ14">
        <v>4091</v>
      </c>
      <c r="AR14">
        <v>3940</v>
      </c>
      <c r="AS14">
        <v>3614370</v>
      </c>
      <c r="AT14">
        <v>6327</v>
      </c>
      <c r="AU14">
        <v>46199</v>
      </c>
      <c r="AV14">
        <v>52034</v>
      </c>
      <c r="AW14">
        <v>91245338</v>
      </c>
      <c r="AX14">
        <v>16473</v>
      </c>
      <c r="AY14">
        <v>7831</v>
      </c>
      <c r="AZ14">
        <v>8341</v>
      </c>
      <c r="BA14">
        <v>16725462</v>
      </c>
      <c r="BB14">
        <v>2490</v>
      </c>
      <c r="BC14">
        <v>3368</v>
      </c>
      <c r="BD14">
        <v>4303</v>
      </c>
      <c r="BE14">
        <v>13259078</v>
      </c>
      <c r="BF14">
        <v>2029</v>
      </c>
      <c r="BG14">
        <v>24100</v>
      </c>
      <c r="BH14">
        <v>25292</v>
      </c>
      <c r="BI14">
        <v>28733299</v>
      </c>
      <c r="BJ14">
        <v>23718</v>
      </c>
      <c r="BK14">
        <v>46759</v>
      </c>
      <c r="BL14">
        <v>46897</v>
      </c>
      <c r="BM14">
        <v>24469287</v>
      </c>
      <c r="BN14">
        <v>44655</v>
      </c>
      <c r="BO14">
        <v>29271</v>
      </c>
      <c r="BP14">
        <v>30062</v>
      </c>
      <c r="BQ14">
        <v>13931663</v>
      </c>
      <c r="BR14">
        <v>27097</v>
      </c>
      <c r="BS14">
        <v>1476</v>
      </c>
      <c r="BT14">
        <v>1691</v>
      </c>
      <c r="BU14">
        <v>2535283</v>
      </c>
      <c r="BV14">
        <v>1374</v>
      </c>
      <c r="BW14">
        <v>10983</v>
      </c>
      <c r="BX14">
        <v>11123</v>
      </c>
      <c r="BY14">
        <v>4111196</v>
      </c>
      <c r="BZ14">
        <v>11928</v>
      </c>
      <c r="CA14">
        <v>7879</v>
      </c>
      <c r="CB14">
        <v>7857</v>
      </c>
      <c r="CC14">
        <v>6765224</v>
      </c>
      <c r="CD14">
        <v>7023</v>
      </c>
      <c r="CE14">
        <v>6084</v>
      </c>
      <c r="CF14">
        <v>4914</v>
      </c>
      <c r="CG14">
        <v>3568608</v>
      </c>
      <c r="CH14">
        <v>7084</v>
      </c>
      <c r="CI14">
        <v>2378</v>
      </c>
      <c r="CJ14">
        <v>2678</v>
      </c>
      <c r="CK14">
        <v>2812746</v>
      </c>
      <c r="CL14">
        <v>1818</v>
      </c>
      <c r="CM14">
        <v>10436</v>
      </c>
      <c r="CN14">
        <v>12127</v>
      </c>
      <c r="CO14">
        <v>8512323</v>
      </c>
      <c r="CP14">
        <v>15074</v>
      </c>
      <c r="CQ14">
        <v>5423</v>
      </c>
      <c r="CR14">
        <v>5104</v>
      </c>
      <c r="CS14">
        <v>7705705</v>
      </c>
      <c r="CT14">
        <v>5764</v>
      </c>
      <c r="CU14">
        <v>1615</v>
      </c>
      <c r="CV14">
        <v>2462</v>
      </c>
      <c r="CW14">
        <v>2571250</v>
      </c>
      <c r="CX14">
        <v>4028</v>
      </c>
      <c r="CY14">
        <v>3375</v>
      </c>
      <c r="CZ14">
        <v>3318</v>
      </c>
      <c r="DA14">
        <v>2399661</v>
      </c>
      <c r="DB14">
        <v>4892</v>
      </c>
      <c r="DC14">
        <v>335</v>
      </c>
      <c r="DD14">
        <v>338</v>
      </c>
      <c r="DE14">
        <v>1326272</v>
      </c>
      <c r="DF14">
        <v>14</v>
      </c>
      <c r="DG14">
        <v>16423</v>
      </c>
      <c r="DH14">
        <v>18550</v>
      </c>
      <c r="DI14">
        <v>19773844</v>
      </c>
      <c r="DJ14">
        <v>20746</v>
      </c>
      <c r="DK14">
        <v>97722</v>
      </c>
      <c r="DL14">
        <v>91541</v>
      </c>
      <c r="DM14">
        <v>1025495</v>
      </c>
      <c r="DN14">
        <v>61148</v>
      </c>
      <c r="DO14">
        <v>6283</v>
      </c>
      <c r="DP14">
        <v>6118</v>
      </c>
      <c r="DQ14">
        <v>660072</v>
      </c>
      <c r="DR14">
        <v>4885</v>
      </c>
    </row>
    <row r="15" spans="1:122" x14ac:dyDescent="0.4">
      <c r="A15" s="1" t="s">
        <v>18</v>
      </c>
      <c r="B15" s="1" t="s">
        <v>19</v>
      </c>
      <c r="C15">
        <v>5654</v>
      </c>
      <c r="D15">
        <v>6026</v>
      </c>
      <c r="E15">
        <v>2863316</v>
      </c>
      <c r="F15">
        <v>12201</v>
      </c>
      <c r="G15">
        <v>83050</v>
      </c>
      <c r="H15">
        <v>88560</v>
      </c>
      <c r="I15">
        <v>44060926</v>
      </c>
      <c r="J15">
        <v>124557</v>
      </c>
      <c r="K15">
        <v>8472</v>
      </c>
      <c r="L15">
        <v>10239</v>
      </c>
      <c r="M15">
        <v>8405522</v>
      </c>
      <c r="N15">
        <v>22443</v>
      </c>
      <c r="O15">
        <v>21252</v>
      </c>
      <c r="P15">
        <v>19414</v>
      </c>
      <c r="Q15">
        <v>25898460</v>
      </c>
      <c r="R15">
        <v>22954</v>
      </c>
      <c r="S15">
        <v>49783</v>
      </c>
      <c r="T15">
        <v>58684</v>
      </c>
      <c r="U15">
        <v>33153291</v>
      </c>
      <c r="V15">
        <v>62263</v>
      </c>
      <c r="W15">
        <v>16576</v>
      </c>
      <c r="X15">
        <v>14668</v>
      </c>
      <c r="Y15">
        <v>7906280</v>
      </c>
      <c r="Z15">
        <v>20171</v>
      </c>
      <c r="AA15">
        <v>5188</v>
      </c>
      <c r="AB15">
        <v>4872</v>
      </c>
      <c r="AC15">
        <v>3915726</v>
      </c>
      <c r="AD15">
        <v>3983</v>
      </c>
      <c r="AE15">
        <v>982</v>
      </c>
      <c r="AF15">
        <v>1209</v>
      </c>
      <c r="AG15">
        <v>818240</v>
      </c>
      <c r="AH15">
        <v>2400</v>
      </c>
      <c r="AI15">
        <v>4722</v>
      </c>
      <c r="AJ15">
        <v>4735</v>
      </c>
      <c r="AK15">
        <v>8278010</v>
      </c>
      <c r="AL15">
        <v>2928</v>
      </c>
      <c r="AM15">
        <v>27729</v>
      </c>
      <c r="AN15">
        <v>26395</v>
      </c>
      <c r="AO15">
        <v>9376133</v>
      </c>
      <c r="AP15">
        <v>24647</v>
      </c>
      <c r="AQ15">
        <v>4019</v>
      </c>
      <c r="AR15">
        <v>4084</v>
      </c>
      <c r="AS15">
        <v>3773809</v>
      </c>
      <c r="AT15">
        <v>6297</v>
      </c>
      <c r="AU15">
        <v>43460</v>
      </c>
      <c r="AV15">
        <v>48638</v>
      </c>
      <c r="AW15">
        <v>83437483</v>
      </c>
      <c r="AX15">
        <v>16883</v>
      </c>
      <c r="AY15">
        <v>8235</v>
      </c>
      <c r="AZ15">
        <v>8795</v>
      </c>
      <c r="BA15">
        <v>17529426</v>
      </c>
      <c r="BB15">
        <v>2599</v>
      </c>
      <c r="BC15">
        <v>3442</v>
      </c>
      <c r="BD15">
        <v>4251</v>
      </c>
      <c r="BE15">
        <v>13142350</v>
      </c>
      <c r="BF15">
        <v>2026</v>
      </c>
      <c r="BG15">
        <v>24767</v>
      </c>
      <c r="BH15">
        <v>26213</v>
      </c>
      <c r="BI15">
        <v>29155010</v>
      </c>
      <c r="BJ15">
        <v>23031</v>
      </c>
      <c r="BK15">
        <v>50313</v>
      </c>
      <c r="BL15">
        <v>49834</v>
      </c>
      <c r="BM15">
        <v>26123884</v>
      </c>
      <c r="BN15">
        <v>44621</v>
      </c>
      <c r="BO15">
        <v>28775</v>
      </c>
      <c r="BP15">
        <v>29260</v>
      </c>
      <c r="BQ15">
        <v>13053277</v>
      </c>
      <c r="BR15">
        <v>27089</v>
      </c>
      <c r="BS15">
        <v>1693</v>
      </c>
      <c r="BT15">
        <v>1565</v>
      </c>
      <c r="BU15">
        <v>2389199</v>
      </c>
      <c r="BV15">
        <v>1442</v>
      </c>
      <c r="BW15">
        <v>11196</v>
      </c>
      <c r="BX15">
        <v>11182</v>
      </c>
      <c r="BY15">
        <v>4133034</v>
      </c>
      <c r="BZ15">
        <v>11766</v>
      </c>
      <c r="CA15">
        <v>7816</v>
      </c>
      <c r="CB15">
        <v>7939</v>
      </c>
      <c r="CC15">
        <v>6771051</v>
      </c>
      <c r="CD15">
        <v>6942</v>
      </c>
      <c r="CE15">
        <v>5900</v>
      </c>
      <c r="CF15">
        <v>4989</v>
      </c>
      <c r="CG15">
        <v>3809668</v>
      </c>
      <c r="CH15">
        <v>6909</v>
      </c>
      <c r="CI15">
        <v>2690</v>
      </c>
      <c r="CJ15">
        <v>2857</v>
      </c>
      <c r="CK15">
        <v>2909951</v>
      </c>
      <c r="CL15">
        <v>1898</v>
      </c>
      <c r="CM15">
        <v>10485</v>
      </c>
      <c r="CN15">
        <v>12697</v>
      </c>
      <c r="CO15">
        <v>8855055</v>
      </c>
      <c r="CP15">
        <v>14900</v>
      </c>
      <c r="CQ15">
        <v>4782</v>
      </c>
      <c r="CR15">
        <v>4937</v>
      </c>
      <c r="CS15">
        <v>7694648</v>
      </c>
      <c r="CT15">
        <v>5575</v>
      </c>
      <c r="CU15">
        <v>1548</v>
      </c>
      <c r="CV15">
        <v>2050</v>
      </c>
      <c r="CW15">
        <v>2167648</v>
      </c>
      <c r="CX15">
        <v>4001</v>
      </c>
      <c r="CY15">
        <v>3644</v>
      </c>
      <c r="CZ15">
        <v>3686</v>
      </c>
      <c r="DA15">
        <v>2740654</v>
      </c>
      <c r="DB15">
        <v>4840</v>
      </c>
      <c r="DC15">
        <v>380</v>
      </c>
      <c r="DD15">
        <v>382</v>
      </c>
      <c r="DE15">
        <v>1448034</v>
      </c>
      <c r="DF15">
        <v>19</v>
      </c>
      <c r="DG15">
        <v>16489</v>
      </c>
      <c r="DH15">
        <v>19014</v>
      </c>
      <c r="DI15">
        <v>20673845</v>
      </c>
      <c r="DJ15">
        <v>20574</v>
      </c>
      <c r="DK15">
        <v>87385</v>
      </c>
      <c r="DL15">
        <v>87796</v>
      </c>
      <c r="DM15">
        <v>1007864</v>
      </c>
      <c r="DN15">
        <v>61126</v>
      </c>
      <c r="DO15">
        <v>6892</v>
      </c>
      <c r="DP15">
        <v>7055</v>
      </c>
      <c r="DQ15">
        <v>736061</v>
      </c>
      <c r="DR15">
        <v>4814</v>
      </c>
    </row>
    <row r="16" spans="1:122" x14ac:dyDescent="0.4">
      <c r="A16" s="1" t="s">
        <v>20</v>
      </c>
      <c r="B16" s="1" t="s">
        <v>21</v>
      </c>
      <c r="C16">
        <v>5365</v>
      </c>
      <c r="D16">
        <v>4236</v>
      </c>
      <c r="E16">
        <v>1942053</v>
      </c>
      <c r="F16">
        <v>13344</v>
      </c>
      <c r="G16">
        <v>82550</v>
      </c>
      <c r="H16">
        <v>82361</v>
      </c>
      <c r="I16">
        <v>40646730</v>
      </c>
      <c r="J16">
        <v>124545</v>
      </c>
      <c r="K16">
        <v>8186</v>
      </c>
      <c r="L16">
        <v>9210</v>
      </c>
      <c r="M16">
        <v>8019583</v>
      </c>
      <c r="N16">
        <v>22194</v>
      </c>
      <c r="O16">
        <v>20372</v>
      </c>
      <c r="P16">
        <v>17782</v>
      </c>
      <c r="Q16">
        <v>25497760</v>
      </c>
      <c r="R16">
        <v>23140</v>
      </c>
      <c r="S16">
        <v>46217</v>
      </c>
      <c r="T16">
        <v>54972</v>
      </c>
      <c r="U16">
        <v>30813930</v>
      </c>
      <c r="V16">
        <v>61310</v>
      </c>
      <c r="W16">
        <v>14588</v>
      </c>
      <c r="X16">
        <v>13198</v>
      </c>
      <c r="Y16">
        <v>6998534</v>
      </c>
      <c r="Z16">
        <v>19890</v>
      </c>
      <c r="AA16">
        <v>5135</v>
      </c>
      <c r="AB16">
        <v>4885</v>
      </c>
      <c r="AC16">
        <v>3859695</v>
      </c>
      <c r="AD16">
        <v>3791</v>
      </c>
      <c r="AE16">
        <v>1152</v>
      </c>
      <c r="AF16">
        <v>1397</v>
      </c>
      <c r="AG16">
        <v>872136</v>
      </c>
      <c r="AH16">
        <v>2046</v>
      </c>
      <c r="AI16">
        <v>4232</v>
      </c>
      <c r="AJ16">
        <v>4283</v>
      </c>
      <c r="AK16">
        <v>7351106</v>
      </c>
      <c r="AL16">
        <v>2887</v>
      </c>
      <c r="AM16">
        <v>26274</v>
      </c>
      <c r="AN16">
        <v>25617</v>
      </c>
      <c r="AO16">
        <v>9038292</v>
      </c>
      <c r="AP16">
        <v>23247</v>
      </c>
      <c r="AQ16">
        <v>3477</v>
      </c>
      <c r="AR16">
        <v>3611</v>
      </c>
      <c r="AS16">
        <v>3339253</v>
      </c>
      <c r="AT16">
        <v>6156</v>
      </c>
      <c r="AU16">
        <v>42731</v>
      </c>
      <c r="AV16">
        <v>48688</v>
      </c>
      <c r="AW16">
        <v>84413272</v>
      </c>
      <c r="AX16">
        <v>12733</v>
      </c>
      <c r="AY16">
        <v>7509</v>
      </c>
      <c r="AZ16">
        <v>8216</v>
      </c>
      <c r="BA16">
        <v>16607520</v>
      </c>
      <c r="BB16">
        <v>2452</v>
      </c>
      <c r="BC16">
        <v>3208</v>
      </c>
      <c r="BD16">
        <v>4029</v>
      </c>
      <c r="BE16">
        <v>13283215</v>
      </c>
      <c r="BF16">
        <v>1973</v>
      </c>
      <c r="BG16">
        <v>22239</v>
      </c>
      <c r="BH16">
        <v>22984</v>
      </c>
      <c r="BI16">
        <v>26169379</v>
      </c>
      <c r="BJ16">
        <v>22964</v>
      </c>
      <c r="BK16">
        <v>49694</v>
      </c>
      <c r="BL16">
        <v>50074</v>
      </c>
      <c r="BM16">
        <v>25403024</v>
      </c>
      <c r="BN16">
        <v>43120</v>
      </c>
      <c r="BO16">
        <v>24583</v>
      </c>
      <c r="BP16">
        <v>26488</v>
      </c>
      <c r="BQ16">
        <v>12424175</v>
      </c>
      <c r="BR16">
        <v>25396</v>
      </c>
      <c r="BS16">
        <v>1700</v>
      </c>
      <c r="BT16">
        <v>1651</v>
      </c>
      <c r="BU16">
        <v>2561227</v>
      </c>
      <c r="BV16">
        <v>1465</v>
      </c>
      <c r="BW16">
        <v>9744</v>
      </c>
      <c r="BX16">
        <v>9855</v>
      </c>
      <c r="BY16">
        <v>3732772</v>
      </c>
      <c r="BZ16">
        <v>11487</v>
      </c>
      <c r="CA16">
        <v>6952</v>
      </c>
      <c r="CB16">
        <v>7202</v>
      </c>
      <c r="CC16">
        <v>6032432</v>
      </c>
      <c r="CD16">
        <v>6741</v>
      </c>
      <c r="CE16">
        <v>6165</v>
      </c>
      <c r="CF16">
        <v>5062</v>
      </c>
      <c r="CG16">
        <v>3728693</v>
      </c>
      <c r="CH16">
        <v>6553</v>
      </c>
      <c r="CI16">
        <v>2637</v>
      </c>
      <c r="CJ16">
        <v>2806</v>
      </c>
      <c r="CK16">
        <v>2877350</v>
      </c>
      <c r="CL16">
        <v>1949</v>
      </c>
      <c r="CM16">
        <v>9393</v>
      </c>
      <c r="CN16">
        <v>12151</v>
      </c>
      <c r="CO16">
        <v>8378597</v>
      </c>
      <c r="CP16">
        <v>14504</v>
      </c>
      <c r="CQ16">
        <v>4684</v>
      </c>
      <c r="CR16">
        <v>5118</v>
      </c>
      <c r="CS16">
        <v>7335035</v>
      </c>
      <c r="CT16">
        <v>5104</v>
      </c>
      <c r="CU16">
        <v>1745</v>
      </c>
      <c r="CV16">
        <v>1952</v>
      </c>
      <c r="CW16">
        <v>2060418</v>
      </c>
      <c r="CX16">
        <v>4227</v>
      </c>
      <c r="CY16">
        <v>3307</v>
      </c>
      <c r="CZ16">
        <v>3322</v>
      </c>
      <c r="DA16">
        <v>2485329</v>
      </c>
      <c r="DB16">
        <v>4829</v>
      </c>
      <c r="DC16">
        <v>341</v>
      </c>
      <c r="DD16">
        <v>341</v>
      </c>
      <c r="DE16">
        <v>1313662</v>
      </c>
      <c r="DF16">
        <v>17</v>
      </c>
      <c r="DG16">
        <v>16447</v>
      </c>
      <c r="DH16">
        <v>18553</v>
      </c>
      <c r="DI16">
        <v>19479463</v>
      </c>
      <c r="DJ16">
        <v>20940</v>
      </c>
      <c r="DK16">
        <v>80800</v>
      </c>
      <c r="DL16">
        <v>83797</v>
      </c>
      <c r="DM16">
        <v>1007015</v>
      </c>
      <c r="DN16">
        <v>58605</v>
      </c>
      <c r="DO16">
        <v>6215</v>
      </c>
      <c r="DP16">
        <v>6613</v>
      </c>
      <c r="DQ16">
        <v>715278</v>
      </c>
      <c r="DR16">
        <v>4561</v>
      </c>
    </row>
    <row r="17" spans="1:122" x14ac:dyDescent="0.4">
      <c r="A17" s="1" t="s">
        <v>22</v>
      </c>
      <c r="B17" s="1" t="s">
        <v>23</v>
      </c>
      <c r="C17">
        <v>5431</v>
      </c>
      <c r="D17">
        <v>5178</v>
      </c>
      <c r="E17">
        <v>2413011</v>
      </c>
      <c r="F17">
        <v>13639</v>
      </c>
      <c r="G17">
        <v>89631</v>
      </c>
      <c r="H17">
        <v>83387</v>
      </c>
      <c r="I17">
        <v>41703548</v>
      </c>
      <c r="J17">
        <v>130309</v>
      </c>
      <c r="K17">
        <v>9201</v>
      </c>
      <c r="L17">
        <v>9523</v>
      </c>
      <c r="M17">
        <v>8059572</v>
      </c>
      <c r="N17">
        <v>22830</v>
      </c>
      <c r="O17">
        <v>19237</v>
      </c>
      <c r="P17">
        <v>16858</v>
      </c>
      <c r="Q17">
        <v>25270098</v>
      </c>
      <c r="R17">
        <v>22900</v>
      </c>
      <c r="S17">
        <v>50166</v>
      </c>
      <c r="T17">
        <v>57925</v>
      </c>
      <c r="U17">
        <v>32582492</v>
      </c>
      <c r="V17">
        <v>64119</v>
      </c>
      <c r="W17">
        <v>16274</v>
      </c>
      <c r="X17">
        <v>13303</v>
      </c>
      <c r="Y17">
        <v>6988261</v>
      </c>
      <c r="Z17">
        <v>21084</v>
      </c>
      <c r="AA17">
        <v>5722</v>
      </c>
      <c r="AB17">
        <v>5120</v>
      </c>
      <c r="AC17">
        <v>3978759</v>
      </c>
      <c r="AD17">
        <v>3796</v>
      </c>
      <c r="AE17">
        <v>1450</v>
      </c>
      <c r="AF17">
        <v>1117</v>
      </c>
      <c r="AG17">
        <v>748944</v>
      </c>
      <c r="AH17">
        <v>2288</v>
      </c>
      <c r="AI17">
        <v>4452</v>
      </c>
      <c r="AJ17">
        <v>4386</v>
      </c>
      <c r="AK17">
        <v>7535631</v>
      </c>
      <c r="AL17">
        <v>2942</v>
      </c>
      <c r="AM17">
        <v>30622</v>
      </c>
      <c r="AN17">
        <v>27012</v>
      </c>
      <c r="AO17">
        <v>9642518</v>
      </c>
      <c r="AP17">
        <v>24003</v>
      </c>
      <c r="AQ17">
        <v>4202</v>
      </c>
      <c r="AR17">
        <v>4103</v>
      </c>
      <c r="AS17">
        <v>3646358</v>
      </c>
      <c r="AT17">
        <v>6242</v>
      </c>
      <c r="AU17">
        <v>45398</v>
      </c>
      <c r="AV17">
        <v>50892</v>
      </c>
      <c r="AW17">
        <v>88186378</v>
      </c>
      <c r="AX17">
        <v>12998</v>
      </c>
      <c r="AY17">
        <v>8022</v>
      </c>
      <c r="AZ17">
        <v>8562</v>
      </c>
      <c r="BA17">
        <v>16925437</v>
      </c>
      <c r="BB17">
        <v>2466</v>
      </c>
      <c r="BC17">
        <v>3401</v>
      </c>
      <c r="BD17">
        <v>4205</v>
      </c>
      <c r="BE17">
        <v>13373354</v>
      </c>
      <c r="BF17">
        <v>1931</v>
      </c>
      <c r="BG17">
        <v>23203</v>
      </c>
      <c r="BH17">
        <v>22787</v>
      </c>
      <c r="BI17">
        <v>26600943</v>
      </c>
      <c r="BJ17">
        <v>23599</v>
      </c>
      <c r="BK17">
        <v>50318</v>
      </c>
      <c r="BL17">
        <v>50729</v>
      </c>
      <c r="BM17">
        <v>26125615</v>
      </c>
      <c r="BN17">
        <v>42874</v>
      </c>
      <c r="BO17">
        <v>28341</v>
      </c>
      <c r="BP17">
        <v>25678</v>
      </c>
      <c r="BQ17">
        <v>12368261</v>
      </c>
      <c r="BR17">
        <v>28472</v>
      </c>
      <c r="BS17">
        <v>1877</v>
      </c>
      <c r="BT17">
        <v>1708</v>
      </c>
      <c r="BU17">
        <v>2593389</v>
      </c>
      <c r="BV17">
        <v>1577</v>
      </c>
      <c r="BW17">
        <v>11517</v>
      </c>
      <c r="BX17">
        <v>11259</v>
      </c>
      <c r="BY17">
        <v>3990970</v>
      </c>
      <c r="BZ17">
        <v>11581</v>
      </c>
      <c r="CA17">
        <v>7876</v>
      </c>
      <c r="CB17">
        <v>7754</v>
      </c>
      <c r="CC17">
        <v>6753106</v>
      </c>
      <c r="CD17">
        <v>6925</v>
      </c>
      <c r="CE17">
        <v>6547</v>
      </c>
      <c r="CF17">
        <v>4935</v>
      </c>
      <c r="CG17">
        <v>3711187</v>
      </c>
      <c r="CH17">
        <v>6921</v>
      </c>
      <c r="CI17">
        <v>2610</v>
      </c>
      <c r="CJ17">
        <v>2848</v>
      </c>
      <c r="CK17">
        <v>3022826</v>
      </c>
      <c r="CL17">
        <v>1880</v>
      </c>
      <c r="CM17">
        <v>9690</v>
      </c>
      <c r="CN17">
        <v>11886</v>
      </c>
      <c r="CO17">
        <v>8438222</v>
      </c>
      <c r="CP17">
        <v>15006</v>
      </c>
      <c r="CQ17">
        <v>5200</v>
      </c>
      <c r="CR17">
        <v>5290</v>
      </c>
      <c r="CS17">
        <v>7068467</v>
      </c>
      <c r="CT17">
        <v>5011</v>
      </c>
      <c r="CU17">
        <v>1712</v>
      </c>
      <c r="CV17">
        <v>2195</v>
      </c>
      <c r="CW17">
        <v>2378677</v>
      </c>
      <c r="CX17">
        <v>4516</v>
      </c>
      <c r="CY17">
        <v>3336</v>
      </c>
      <c r="CZ17">
        <v>3326</v>
      </c>
      <c r="DA17">
        <v>2400092</v>
      </c>
      <c r="DB17">
        <v>4830</v>
      </c>
      <c r="DC17">
        <v>328</v>
      </c>
      <c r="DD17">
        <v>328</v>
      </c>
      <c r="DE17">
        <v>1272160</v>
      </c>
      <c r="DF17">
        <v>19</v>
      </c>
      <c r="DG17">
        <v>16800</v>
      </c>
      <c r="DH17">
        <v>19293</v>
      </c>
      <c r="DI17">
        <v>19736006</v>
      </c>
      <c r="DJ17">
        <v>20869</v>
      </c>
      <c r="DK17">
        <v>84271</v>
      </c>
      <c r="DL17">
        <v>82948</v>
      </c>
      <c r="DM17">
        <v>995277</v>
      </c>
      <c r="DN17">
        <v>60344</v>
      </c>
      <c r="DO17">
        <v>7740</v>
      </c>
      <c r="DP17">
        <v>8223</v>
      </c>
      <c r="DQ17">
        <v>813850</v>
      </c>
      <c r="DR17">
        <v>4166</v>
      </c>
    </row>
    <row r="18" spans="1:122" x14ac:dyDescent="0.4">
      <c r="A18" s="1" t="s">
        <v>24</v>
      </c>
      <c r="B18" s="1" t="s">
        <v>25</v>
      </c>
      <c r="C18">
        <v>6298</v>
      </c>
      <c r="D18">
        <v>5909</v>
      </c>
      <c r="E18">
        <v>2937534</v>
      </c>
      <c r="F18">
        <v>14040</v>
      </c>
      <c r="G18">
        <v>92127</v>
      </c>
      <c r="H18">
        <v>90858</v>
      </c>
      <c r="I18">
        <v>45459884</v>
      </c>
      <c r="J18">
        <v>131037</v>
      </c>
      <c r="K18">
        <v>9611</v>
      </c>
      <c r="L18">
        <v>10052</v>
      </c>
      <c r="M18">
        <v>8984273</v>
      </c>
      <c r="N18">
        <v>23238</v>
      </c>
      <c r="O18">
        <v>23337</v>
      </c>
      <c r="P18">
        <v>20581</v>
      </c>
      <c r="Q18">
        <v>27131185</v>
      </c>
      <c r="R18">
        <v>23294</v>
      </c>
      <c r="S18">
        <v>52633</v>
      </c>
      <c r="T18">
        <v>63188</v>
      </c>
      <c r="U18">
        <v>38514755</v>
      </c>
      <c r="V18">
        <v>64407</v>
      </c>
      <c r="W18">
        <v>16813</v>
      </c>
      <c r="X18">
        <v>15297</v>
      </c>
      <c r="Y18">
        <v>8283749</v>
      </c>
      <c r="Z18">
        <v>20539</v>
      </c>
      <c r="AA18">
        <v>5750</v>
      </c>
      <c r="AB18">
        <v>5270</v>
      </c>
      <c r="AC18">
        <v>4230428</v>
      </c>
      <c r="AD18">
        <v>3766</v>
      </c>
      <c r="AE18">
        <v>1685</v>
      </c>
      <c r="AF18">
        <v>1123</v>
      </c>
      <c r="AG18">
        <v>753672</v>
      </c>
      <c r="AH18">
        <v>2729</v>
      </c>
      <c r="AI18">
        <v>5025</v>
      </c>
      <c r="AJ18">
        <v>4918</v>
      </c>
      <c r="AK18">
        <v>8448523</v>
      </c>
      <c r="AL18">
        <v>3119</v>
      </c>
      <c r="AM18">
        <v>30575</v>
      </c>
      <c r="AN18">
        <v>27347</v>
      </c>
      <c r="AO18">
        <v>9803935</v>
      </c>
      <c r="AP18">
        <v>24835</v>
      </c>
      <c r="AQ18">
        <v>4203</v>
      </c>
      <c r="AR18">
        <v>4155</v>
      </c>
      <c r="AS18">
        <v>3838933</v>
      </c>
      <c r="AT18">
        <v>6286</v>
      </c>
      <c r="AU18">
        <v>50115</v>
      </c>
      <c r="AV18">
        <v>57160</v>
      </c>
      <c r="AW18">
        <v>98855789</v>
      </c>
      <c r="AX18">
        <v>12784</v>
      </c>
      <c r="AY18">
        <v>8635</v>
      </c>
      <c r="AZ18">
        <v>9099</v>
      </c>
      <c r="BA18">
        <v>18168336</v>
      </c>
      <c r="BB18">
        <v>2483</v>
      </c>
      <c r="BC18">
        <v>3712</v>
      </c>
      <c r="BD18">
        <v>4661</v>
      </c>
      <c r="BE18">
        <v>14484079</v>
      </c>
      <c r="BF18">
        <v>1948</v>
      </c>
      <c r="BG18">
        <v>23938</v>
      </c>
      <c r="BH18">
        <v>24638</v>
      </c>
      <c r="BI18">
        <v>28829856</v>
      </c>
      <c r="BJ18">
        <v>23559</v>
      </c>
      <c r="BK18">
        <v>51423</v>
      </c>
      <c r="BL18">
        <v>52872</v>
      </c>
      <c r="BM18">
        <v>27310978</v>
      </c>
      <c r="BN18">
        <v>40143</v>
      </c>
      <c r="BO18">
        <v>29007</v>
      </c>
      <c r="BP18">
        <v>30202</v>
      </c>
      <c r="BQ18">
        <v>14145380</v>
      </c>
      <c r="BR18">
        <v>27559</v>
      </c>
      <c r="BS18">
        <v>1804</v>
      </c>
      <c r="BT18">
        <v>1742</v>
      </c>
      <c r="BU18">
        <v>2602652</v>
      </c>
      <c r="BV18">
        <v>1573</v>
      </c>
      <c r="BW18">
        <v>10633</v>
      </c>
      <c r="BX18">
        <v>10451</v>
      </c>
      <c r="BY18">
        <v>4096921</v>
      </c>
      <c r="BZ18">
        <v>11615</v>
      </c>
      <c r="CA18">
        <v>8112</v>
      </c>
      <c r="CB18">
        <v>8389</v>
      </c>
      <c r="CC18">
        <v>7378835</v>
      </c>
      <c r="CD18">
        <v>6712</v>
      </c>
      <c r="CE18">
        <v>6833</v>
      </c>
      <c r="CF18">
        <v>5641</v>
      </c>
      <c r="CG18">
        <v>4198121</v>
      </c>
      <c r="CH18">
        <v>6692</v>
      </c>
      <c r="CI18">
        <v>2891</v>
      </c>
      <c r="CJ18">
        <v>3090</v>
      </c>
      <c r="CK18">
        <v>3193914</v>
      </c>
      <c r="CL18">
        <v>1910</v>
      </c>
      <c r="CM18">
        <v>10309</v>
      </c>
      <c r="CN18">
        <v>12684</v>
      </c>
      <c r="CO18">
        <v>9087684</v>
      </c>
      <c r="CP18">
        <v>15336</v>
      </c>
      <c r="CQ18">
        <v>5252</v>
      </c>
      <c r="CR18">
        <v>5477</v>
      </c>
      <c r="CS18">
        <v>7619803</v>
      </c>
      <c r="CT18">
        <v>4782</v>
      </c>
      <c r="CU18">
        <v>1728</v>
      </c>
      <c r="CV18">
        <v>2076</v>
      </c>
      <c r="CW18">
        <v>2189428</v>
      </c>
      <c r="CX18">
        <v>4672</v>
      </c>
      <c r="CY18">
        <v>3673</v>
      </c>
      <c r="CZ18">
        <v>3715</v>
      </c>
      <c r="DA18">
        <v>2801993</v>
      </c>
      <c r="DB18">
        <v>4775</v>
      </c>
      <c r="DC18">
        <v>393</v>
      </c>
      <c r="DD18">
        <v>395</v>
      </c>
      <c r="DE18">
        <v>1559789</v>
      </c>
      <c r="DF18">
        <v>15</v>
      </c>
      <c r="DG18">
        <v>17441</v>
      </c>
      <c r="DH18">
        <v>20271</v>
      </c>
      <c r="DI18">
        <v>21279492</v>
      </c>
      <c r="DJ18">
        <v>20764</v>
      </c>
      <c r="DK18">
        <v>89747</v>
      </c>
      <c r="DL18">
        <v>91471</v>
      </c>
      <c r="DM18">
        <v>1095009</v>
      </c>
      <c r="DN18">
        <v>59065</v>
      </c>
      <c r="DO18">
        <v>7082</v>
      </c>
      <c r="DP18">
        <v>7334</v>
      </c>
      <c r="DQ18">
        <v>828189</v>
      </c>
      <c r="DR18">
        <v>4005</v>
      </c>
    </row>
    <row r="19" spans="1:122" x14ac:dyDescent="0.4">
      <c r="A19" s="1" t="s">
        <v>26</v>
      </c>
      <c r="B19" s="1" t="s">
        <v>27</v>
      </c>
      <c r="C19">
        <v>4589</v>
      </c>
      <c r="D19">
        <v>5487</v>
      </c>
      <c r="E19">
        <v>2745315</v>
      </c>
      <c r="F19">
        <v>13218</v>
      </c>
      <c r="G19">
        <v>70761</v>
      </c>
      <c r="H19">
        <v>77644</v>
      </c>
      <c r="I19">
        <v>38802800</v>
      </c>
      <c r="J19">
        <v>124454</v>
      </c>
      <c r="K19">
        <v>6863</v>
      </c>
      <c r="L19">
        <v>8622</v>
      </c>
      <c r="M19">
        <v>7432059</v>
      </c>
      <c r="N19">
        <v>22275</v>
      </c>
      <c r="O19">
        <v>19738</v>
      </c>
      <c r="P19">
        <v>16547</v>
      </c>
      <c r="Q19">
        <v>22691877</v>
      </c>
      <c r="R19">
        <v>23997</v>
      </c>
      <c r="S19">
        <v>41630</v>
      </c>
      <c r="T19">
        <v>57317</v>
      </c>
      <c r="U19">
        <v>33909245</v>
      </c>
      <c r="V19">
        <v>57927</v>
      </c>
      <c r="W19">
        <v>12713</v>
      </c>
      <c r="X19">
        <v>12074</v>
      </c>
      <c r="Y19">
        <v>6695159</v>
      </c>
      <c r="Z19">
        <v>19639</v>
      </c>
      <c r="AA19">
        <v>5013</v>
      </c>
      <c r="AB19">
        <v>4746</v>
      </c>
      <c r="AC19">
        <v>3794478</v>
      </c>
      <c r="AD19">
        <v>3589</v>
      </c>
      <c r="AE19">
        <v>1157</v>
      </c>
      <c r="AF19">
        <v>1066</v>
      </c>
      <c r="AG19">
        <v>703965</v>
      </c>
      <c r="AH19">
        <v>2775</v>
      </c>
      <c r="AI19">
        <v>3629</v>
      </c>
      <c r="AJ19">
        <v>3937</v>
      </c>
      <c r="AK19">
        <v>6988265</v>
      </c>
      <c r="AL19">
        <v>2813</v>
      </c>
      <c r="AM19">
        <v>22351</v>
      </c>
      <c r="AN19">
        <v>21571</v>
      </c>
      <c r="AO19">
        <v>7891020</v>
      </c>
      <c r="AP19">
        <v>23622</v>
      </c>
      <c r="AQ19">
        <v>3266</v>
      </c>
      <c r="AR19">
        <v>3259</v>
      </c>
      <c r="AS19">
        <v>3242303</v>
      </c>
      <c r="AT19">
        <v>6310</v>
      </c>
      <c r="AU19">
        <v>37228</v>
      </c>
      <c r="AV19">
        <v>42361</v>
      </c>
      <c r="AW19">
        <v>73364460</v>
      </c>
      <c r="AX19">
        <v>12648</v>
      </c>
      <c r="AY19">
        <v>6944</v>
      </c>
      <c r="AZ19">
        <v>7557</v>
      </c>
      <c r="BA19">
        <v>15252269</v>
      </c>
      <c r="BB19">
        <v>2495</v>
      </c>
      <c r="BC19">
        <v>2973</v>
      </c>
      <c r="BD19">
        <v>3693</v>
      </c>
      <c r="BE19">
        <v>11989006</v>
      </c>
      <c r="BF19">
        <v>1933</v>
      </c>
      <c r="BG19">
        <v>20364</v>
      </c>
      <c r="BH19">
        <v>21616</v>
      </c>
      <c r="BI19">
        <v>25321436</v>
      </c>
      <c r="BJ19">
        <v>22937</v>
      </c>
      <c r="BK19">
        <v>46833</v>
      </c>
      <c r="BL19">
        <v>46303</v>
      </c>
      <c r="BM19">
        <v>23753900</v>
      </c>
      <c r="BN19">
        <v>40233</v>
      </c>
      <c r="BO19">
        <v>24466</v>
      </c>
      <c r="BP19">
        <v>24841</v>
      </c>
      <c r="BQ19">
        <v>11793799</v>
      </c>
      <c r="BR19">
        <v>27334</v>
      </c>
      <c r="BS19">
        <v>1688</v>
      </c>
      <c r="BT19">
        <v>1567</v>
      </c>
      <c r="BU19">
        <v>2328971</v>
      </c>
      <c r="BV19">
        <v>1638</v>
      </c>
      <c r="BW19">
        <v>8431</v>
      </c>
      <c r="BX19">
        <v>8785</v>
      </c>
      <c r="BY19">
        <v>3401774</v>
      </c>
      <c r="BZ19">
        <v>11111</v>
      </c>
      <c r="CA19">
        <v>5926</v>
      </c>
      <c r="CB19">
        <v>6440</v>
      </c>
      <c r="CC19">
        <v>5543731</v>
      </c>
      <c r="CD19">
        <v>6250</v>
      </c>
      <c r="CE19">
        <v>5712</v>
      </c>
      <c r="CF19">
        <v>4881</v>
      </c>
      <c r="CG19">
        <v>3667115</v>
      </c>
      <c r="CH19">
        <v>6506</v>
      </c>
      <c r="CI19">
        <v>2408</v>
      </c>
      <c r="CJ19">
        <v>2636</v>
      </c>
      <c r="CK19">
        <v>2669091</v>
      </c>
      <c r="CL19">
        <v>1882</v>
      </c>
      <c r="CM19">
        <v>8668</v>
      </c>
      <c r="CN19">
        <v>11361</v>
      </c>
      <c r="CO19">
        <v>8116925</v>
      </c>
      <c r="CP19">
        <v>14697</v>
      </c>
      <c r="CQ19">
        <v>4327</v>
      </c>
      <c r="CR19">
        <v>4397</v>
      </c>
      <c r="CS19">
        <v>6283246</v>
      </c>
      <c r="CT19">
        <v>4726</v>
      </c>
      <c r="CU19">
        <v>1627</v>
      </c>
      <c r="CV19">
        <v>2030</v>
      </c>
      <c r="CW19">
        <v>2165072</v>
      </c>
      <c r="CX19">
        <v>4745</v>
      </c>
      <c r="CY19">
        <v>3040</v>
      </c>
      <c r="CZ19">
        <v>3301</v>
      </c>
      <c r="DA19">
        <v>2495502</v>
      </c>
      <c r="DB19">
        <v>4517</v>
      </c>
      <c r="DC19">
        <v>352</v>
      </c>
      <c r="DD19">
        <v>347</v>
      </c>
      <c r="DE19">
        <v>1386400</v>
      </c>
      <c r="DF19">
        <v>16</v>
      </c>
      <c r="DG19">
        <v>14313</v>
      </c>
      <c r="DH19">
        <v>17731</v>
      </c>
      <c r="DI19">
        <v>18155195</v>
      </c>
      <c r="DJ19">
        <v>19569</v>
      </c>
      <c r="DK19">
        <v>68757</v>
      </c>
      <c r="DL19">
        <v>72880</v>
      </c>
      <c r="DM19">
        <v>905109</v>
      </c>
      <c r="DN19">
        <v>55364</v>
      </c>
      <c r="DO19">
        <v>6060</v>
      </c>
      <c r="DP19">
        <v>5878</v>
      </c>
      <c r="DQ19">
        <v>646438</v>
      </c>
      <c r="DR19">
        <v>4284</v>
      </c>
    </row>
    <row r="20" spans="1:122" x14ac:dyDescent="0.4">
      <c r="A20" s="1" t="s">
        <v>28</v>
      </c>
      <c r="B20" s="1" t="s">
        <v>29</v>
      </c>
      <c r="C20">
        <v>6078</v>
      </c>
      <c r="D20">
        <v>7116</v>
      </c>
      <c r="E20">
        <v>3662585</v>
      </c>
      <c r="F20">
        <v>12255</v>
      </c>
      <c r="G20">
        <v>90242</v>
      </c>
      <c r="H20">
        <v>84651</v>
      </c>
      <c r="I20">
        <v>43117090</v>
      </c>
      <c r="J20">
        <v>129462</v>
      </c>
      <c r="K20">
        <v>9266</v>
      </c>
      <c r="L20">
        <v>9538</v>
      </c>
      <c r="M20">
        <v>8143276</v>
      </c>
      <c r="N20">
        <v>22936</v>
      </c>
      <c r="O20">
        <v>20665</v>
      </c>
      <c r="P20">
        <v>18054</v>
      </c>
      <c r="Q20">
        <v>24140335</v>
      </c>
      <c r="R20">
        <v>24211</v>
      </c>
      <c r="S20">
        <v>50409</v>
      </c>
      <c r="T20">
        <v>56782</v>
      </c>
      <c r="U20">
        <v>34195709</v>
      </c>
      <c r="V20">
        <v>60814</v>
      </c>
      <c r="W20">
        <v>15718</v>
      </c>
      <c r="X20">
        <v>14086</v>
      </c>
      <c r="Y20">
        <v>7991487</v>
      </c>
      <c r="Z20">
        <v>19416</v>
      </c>
      <c r="AA20">
        <v>5810</v>
      </c>
      <c r="AB20">
        <v>5448</v>
      </c>
      <c r="AC20">
        <v>4304406</v>
      </c>
      <c r="AD20">
        <v>3730</v>
      </c>
      <c r="AE20">
        <v>1187</v>
      </c>
      <c r="AF20">
        <v>957</v>
      </c>
      <c r="AG20">
        <v>658540</v>
      </c>
      <c r="AH20">
        <v>2942</v>
      </c>
      <c r="AI20">
        <v>4733</v>
      </c>
      <c r="AJ20">
        <v>4768</v>
      </c>
      <c r="AK20">
        <v>8604155</v>
      </c>
      <c r="AL20">
        <v>2795</v>
      </c>
      <c r="AM20">
        <v>31330</v>
      </c>
      <c r="AN20">
        <v>29631</v>
      </c>
      <c r="AO20">
        <v>10594679</v>
      </c>
      <c r="AP20">
        <v>22844</v>
      </c>
      <c r="AQ20">
        <v>4350</v>
      </c>
      <c r="AR20">
        <v>4357</v>
      </c>
      <c r="AS20">
        <v>3951997</v>
      </c>
      <c r="AT20">
        <v>6333</v>
      </c>
      <c r="AU20">
        <v>46598</v>
      </c>
      <c r="AV20">
        <v>52806</v>
      </c>
      <c r="AW20">
        <v>93335060</v>
      </c>
      <c r="AX20">
        <v>12475</v>
      </c>
      <c r="AY20">
        <v>7958</v>
      </c>
      <c r="AZ20">
        <v>8473</v>
      </c>
      <c r="BA20">
        <v>16863724</v>
      </c>
      <c r="BB20">
        <v>2499</v>
      </c>
      <c r="BC20">
        <v>3437</v>
      </c>
      <c r="BD20">
        <v>4255</v>
      </c>
      <c r="BE20">
        <v>13552855</v>
      </c>
      <c r="BF20">
        <v>1949</v>
      </c>
      <c r="BG20">
        <v>22610</v>
      </c>
      <c r="BH20">
        <v>23164</v>
      </c>
      <c r="BI20">
        <v>26622661</v>
      </c>
      <c r="BJ20">
        <v>22856</v>
      </c>
      <c r="BK20">
        <v>48221</v>
      </c>
      <c r="BL20">
        <v>47139</v>
      </c>
      <c r="BM20">
        <v>25007868</v>
      </c>
      <c r="BN20">
        <v>41329</v>
      </c>
      <c r="BO20">
        <v>26261</v>
      </c>
      <c r="BP20">
        <v>25438</v>
      </c>
      <c r="BQ20">
        <v>12818849</v>
      </c>
      <c r="BR20">
        <v>28515</v>
      </c>
      <c r="BS20">
        <v>1646</v>
      </c>
      <c r="BT20">
        <v>1639</v>
      </c>
      <c r="BU20">
        <v>2568041</v>
      </c>
      <c r="BV20">
        <v>1638</v>
      </c>
      <c r="BW20">
        <v>10901</v>
      </c>
      <c r="BX20">
        <v>10588</v>
      </c>
      <c r="BY20">
        <v>3863489</v>
      </c>
      <c r="BZ20">
        <v>11269</v>
      </c>
      <c r="CA20">
        <v>7478</v>
      </c>
      <c r="CB20">
        <v>7488</v>
      </c>
      <c r="CC20">
        <v>6729669</v>
      </c>
      <c r="CD20">
        <v>6643</v>
      </c>
      <c r="CE20">
        <v>6994</v>
      </c>
      <c r="CF20">
        <v>5353</v>
      </c>
      <c r="CG20">
        <v>4087219</v>
      </c>
      <c r="CH20">
        <v>6749</v>
      </c>
      <c r="CI20">
        <v>2568</v>
      </c>
      <c r="CJ20">
        <v>3017</v>
      </c>
      <c r="CK20">
        <v>3037863</v>
      </c>
      <c r="CL20">
        <v>1798</v>
      </c>
      <c r="CM20">
        <v>10289</v>
      </c>
      <c r="CN20">
        <v>11987</v>
      </c>
      <c r="CO20">
        <v>8690727</v>
      </c>
      <c r="CP20">
        <v>15424</v>
      </c>
      <c r="CQ20">
        <v>5319</v>
      </c>
      <c r="CR20">
        <v>5237</v>
      </c>
      <c r="CS20">
        <v>7466625</v>
      </c>
      <c r="CT20">
        <v>4757</v>
      </c>
      <c r="CU20">
        <v>1827</v>
      </c>
      <c r="CV20">
        <v>2331</v>
      </c>
      <c r="CW20">
        <v>2489423</v>
      </c>
      <c r="CX20">
        <v>4705</v>
      </c>
      <c r="CY20">
        <v>3403</v>
      </c>
      <c r="CZ20">
        <v>3333</v>
      </c>
      <c r="DA20">
        <v>2369429</v>
      </c>
      <c r="DB20">
        <v>4593</v>
      </c>
      <c r="DC20">
        <v>359</v>
      </c>
      <c r="DD20">
        <v>358</v>
      </c>
      <c r="DE20">
        <v>1439350</v>
      </c>
      <c r="DF20">
        <v>16</v>
      </c>
      <c r="DG20">
        <v>15769</v>
      </c>
      <c r="DH20">
        <v>18330</v>
      </c>
      <c r="DI20">
        <v>19679730</v>
      </c>
      <c r="DJ20">
        <v>19241</v>
      </c>
      <c r="DK20">
        <v>84694</v>
      </c>
      <c r="DL20">
        <v>83076</v>
      </c>
      <c r="DM20">
        <v>995122</v>
      </c>
      <c r="DN20">
        <v>57412</v>
      </c>
      <c r="DO20">
        <v>7480</v>
      </c>
      <c r="DP20">
        <v>7527</v>
      </c>
      <c r="DQ20">
        <v>776757</v>
      </c>
      <c r="DR20">
        <v>4341</v>
      </c>
    </row>
    <row r="21" spans="1:122" x14ac:dyDescent="0.4">
      <c r="A21" s="1" t="s">
        <v>30</v>
      </c>
      <c r="B21" s="1" t="s">
        <v>31</v>
      </c>
      <c r="C21">
        <v>7086</v>
      </c>
      <c r="D21">
        <v>6678</v>
      </c>
      <c r="E21">
        <v>3463736</v>
      </c>
      <c r="F21">
        <v>12674</v>
      </c>
      <c r="G21">
        <v>94604</v>
      </c>
      <c r="H21">
        <v>91192</v>
      </c>
      <c r="I21">
        <v>46392498</v>
      </c>
      <c r="J21">
        <v>132368</v>
      </c>
      <c r="K21">
        <v>9883</v>
      </c>
      <c r="L21">
        <v>10563</v>
      </c>
      <c r="M21">
        <v>8983584</v>
      </c>
      <c r="N21">
        <v>23246</v>
      </c>
      <c r="O21">
        <v>20794</v>
      </c>
      <c r="P21">
        <v>18679</v>
      </c>
      <c r="Q21">
        <v>23436519</v>
      </c>
      <c r="R21">
        <v>23833</v>
      </c>
      <c r="S21">
        <v>50493</v>
      </c>
      <c r="T21">
        <v>58283</v>
      </c>
      <c r="U21">
        <v>36331379</v>
      </c>
      <c r="V21">
        <v>62355</v>
      </c>
      <c r="W21">
        <v>17203</v>
      </c>
      <c r="X21">
        <v>14928</v>
      </c>
      <c r="Y21">
        <v>8130076</v>
      </c>
      <c r="Z21">
        <v>19611</v>
      </c>
      <c r="AA21">
        <v>5879</v>
      </c>
      <c r="AB21">
        <v>5592</v>
      </c>
      <c r="AC21">
        <v>4344138</v>
      </c>
      <c r="AD21">
        <v>3782</v>
      </c>
      <c r="AE21">
        <v>982</v>
      </c>
      <c r="AF21">
        <v>889</v>
      </c>
      <c r="AG21">
        <v>597983</v>
      </c>
      <c r="AH21">
        <v>3005</v>
      </c>
      <c r="AI21">
        <v>5145</v>
      </c>
      <c r="AJ21">
        <v>4969</v>
      </c>
      <c r="AK21">
        <v>8640065</v>
      </c>
      <c r="AL21">
        <v>2973</v>
      </c>
      <c r="AM21">
        <v>36078</v>
      </c>
      <c r="AN21">
        <v>32991</v>
      </c>
      <c r="AO21">
        <v>11481676</v>
      </c>
      <c r="AP21">
        <v>22984</v>
      </c>
      <c r="AQ21">
        <v>4496</v>
      </c>
      <c r="AR21">
        <v>4323</v>
      </c>
      <c r="AS21">
        <v>3934160</v>
      </c>
      <c r="AT21">
        <v>6439</v>
      </c>
      <c r="AU21">
        <v>50826</v>
      </c>
      <c r="AV21">
        <v>57420</v>
      </c>
      <c r="AW21">
        <v>101381704</v>
      </c>
      <c r="AX21">
        <v>12724</v>
      </c>
      <c r="AY21">
        <v>8340</v>
      </c>
      <c r="AZ21">
        <v>8876</v>
      </c>
      <c r="BA21">
        <v>17832569</v>
      </c>
      <c r="BB21">
        <v>2574</v>
      </c>
      <c r="BC21">
        <v>3707</v>
      </c>
      <c r="BD21">
        <v>4542</v>
      </c>
      <c r="BE21">
        <v>14576014</v>
      </c>
      <c r="BF21">
        <v>1964</v>
      </c>
      <c r="BG21">
        <v>23434</v>
      </c>
      <c r="BH21">
        <v>23937</v>
      </c>
      <c r="BI21">
        <v>28201912</v>
      </c>
      <c r="BJ21">
        <v>22810</v>
      </c>
      <c r="BK21">
        <v>47874</v>
      </c>
      <c r="BL21">
        <v>47427</v>
      </c>
      <c r="BM21">
        <v>24839196</v>
      </c>
      <c r="BN21">
        <v>41516</v>
      </c>
      <c r="BO21">
        <v>26822</v>
      </c>
      <c r="BP21">
        <v>27787</v>
      </c>
      <c r="BQ21">
        <v>13544321</v>
      </c>
      <c r="BR21">
        <v>27853</v>
      </c>
      <c r="BS21">
        <v>1927</v>
      </c>
      <c r="BT21">
        <v>1732</v>
      </c>
      <c r="BU21">
        <v>2658264</v>
      </c>
      <c r="BV21">
        <v>1863</v>
      </c>
      <c r="BW21">
        <v>11418</v>
      </c>
      <c r="BX21">
        <v>11234</v>
      </c>
      <c r="BY21">
        <v>4203945</v>
      </c>
      <c r="BZ21">
        <v>11385</v>
      </c>
      <c r="CA21">
        <v>8140</v>
      </c>
      <c r="CB21">
        <v>8795</v>
      </c>
      <c r="CC21">
        <v>7867188</v>
      </c>
      <c r="CD21">
        <v>6550</v>
      </c>
      <c r="CE21">
        <v>7458</v>
      </c>
      <c r="CF21">
        <v>6056</v>
      </c>
      <c r="CG21">
        <v>4607192</v>
      </c>
      <c r="CH21">
        <v>6450</v>
      </c>
      <c r="CI21">
        <v>2904</v>
      </c>
      <c r="CJ21">
        <v>2935</v>
      </c>
      <c r="CK21">
        <v>3180113</v>
      </c>
      <c r="CL21">
        <v>1868</v>
      </c>
      <c r="CM21">
        <v>11090</v>
      </c>
      <c r="CN21">
        <v>13476</v>
      </c>
      <c r="CO21">
        <v>9579317</v>
      </c>
      <c r="CP21">
        <v>15416</v>
      </c>
      <c r="CQ21">
        <v>5495</v>
      </c>
      <c r="CR21">
        <v>5365</v>
      </c>
      <c r="CS21">
        <v>8103512</v>
      </c>
      <c r="CT21">
        <v>4833</v>
      </c>
      <c r="CU21">
        <v>1920</v>
      </c>
      <c r="CV21">
        <v>2223</v>
      </c>
      <c r="CW21">
        <v>2466296</v>
      </c>
      <c r="CX21">
        <v>5099</v>
      </c>
      <c r="CY21">
        <v>3608</v>
      </c>
      <c r="CZ21">
        <v>3576</v>
      </c>
      <c r="DA21">
        <v>2521344</v>
      </c>
      <c r="DB21">
        <v>4605</v>
      </c>
      <c r="DC21">
        <v>391</v>
      </c>
      <c r="DD21">
        <v>389</v>
      </c>
      <c r="DE21">
        <v>1545146</v>
      </c>
      <c r="DF21">
        <v>19</v>
      </c>
      <c r="DG21">
        <v>16944</v>
      </c>
      <c r="DH21">
        <v>18803</v>
      </c>
      <c r="DI21">
        <v>20676664</v>
      </c>
      <c r="DJ21">
        <v>19436</v>
      </c>
      <c r="DK21">
        <v>92587</v>
      </c>
      <c r="DL21">
        <v>96692</v>
      </c>
      <c r="DM21">
        <v>1172334</v>
      </c>
      <c r="DN21">
        <v>53847</v>
      </c>
      <c r="DO21">
        <v>6703</v>
      </c>
      <c r="DP21">
        <v>7247</v>
      </c>
      <c r="DQ21">
        <v>958762</v>
      </c>
      <c r="DR21">
        <v>3902</v>
      </c>
    </row>
    <row r="22" spans="1:122" x14ac:dyDescent="0.4">
      <c r="A22" s="1" t="s">
        <v>32</v>
      </c>
      <c r="B22" s="1" t="s">
        <v>33</v>
      </c>
      <c r="C22">
        <v>5786</v>
      </c>
      <c r="D22">
        <v>5722</v>
      </c>
      <c r="E22">
        <v>2862915</v>
      </c>
      <c r="F22">
        <v>12684</v>
      </c>
      <c r="G22">
        <v>92579</v>
      </c>
      <c r="H22">
        <v>88502</v>
      </c>
      <c r="I22">
        <v>45459092</v>
      </c>
      <c r="J22">
        <v>135992</v>
      </c>
      <c r="K22">
        <v>9611</v>
      </c>
      <c r="L22">
        <v>10147</v>
      </c>
      <c r="M22">
        <v>8955505</v>
      </c>
      <c r="N22">
        <v>23781</v>
      </c>
      <c r="O22">
        <v>18806</v>
      </c>
      <c r="P22">
        <v>16321</v>
      </c>
      <c r="Q22">
        <v>23417083</v>
      </c>
      <c r="R22">
        <v>23583</v>
      </c>
      <c r="S22">
        <v>48394</v>
      </c>
      <c r="T22">
        <v>54843</v>
      </c>
      <c r="U22">
        <v>33048974</v>
      </c>
      <c r="V22">
        <v>66007</v>
      </c>
      <c r="W22">
        <v>17300</v>
      </c>
      <c r="X22">
        <v>14438</v>
      </c>
      <c r="Y22">
        <v>7884052</v>
      </c>
      <c r="Z22">
        <v>20696</v>
      </c>
      <c r="AA22">
        <v>6181</v>
      </c>
      <c r="AB22">
        <v>5911</v>
      </c>
      <c r="AC22">
        <v>4586387</v>
      </c>
      <c r="AD22">
        <v>3664</v>
      </c>
      <c r="AE22">
        <v>718</v>
      </c>
      <c r="AF22">
        <v>961</v>
      </c>
      <c r="AG22">
        <v>623501</v>
      </c>
      <c r="AH22">
        <v>2742</v>
      </c>
      <c r="AI22">
        <v>4707</v>
      </c>
      <c r="AJ22">
        <v>4666</v>
      </c>
      <c r="AK22">
        <v>8201935</v>
      </c>
      <c r="AL22">
        <v>3023</v>
      </c>
      <c r="AM22">
        <v>31692</v>
      </c>
      <c r="AN22">
        <v>28536</v>
      </c>
      <c r="AO22">
        <v>10654453</v>
      </c>
      <c r="AP22">
        <v>23039</v>
      </c>
      <c r="AQ22">
        <v>4191</v>
      </c>
      <c r="AR22">
        <v>4324</v>
      </c>
      <c r="AS22">
        <v>3835309</v>
      </c>
      <c r="AT22">
        <v>6295</v>
      </c>
      <c r="AU22">
        <v>47731</v>
      </c>
      <c r="AV22">
        <v>53875</v>
      </c>
      <c r="AW22">
        <v>95168350</v>
      </c>
      <c r="AX22">
        <v>12958</v>
      </c>
      <c r="AY22">
        <v>8361</v>
      </c>
      <c r="AZ22">
        <v>8848</v>
      </c>
      <c r="BA22">
        <v>17681117</v>
      </c>
      <c r="BB22">
        <v>2572</v>
      </c>
      <c r="BC22">
        <v>3614</v>
      </c>
      <c r="BD22">
        <v>4348</v>
      </c>
      <c r="BE22">
        <v>13877475</v>
      </c>
      <c r="BF22">
        <v>2013</v>
      </c>
      <c r="BG22">
        <v>24421</v>
      </c>
      <c r="BH22">
        <v>24277</v>
      </c>
      <c r="BI22">
        <v>27860331</v>
      </c>
      <c r="BJ22">
        <v>23574</v>
      </c>
      <c r="BK22">
        <v>46923</v>
      </c>
      <c r="BL22">
        <v>46786</v>
      </c>
      <c r="BM22">
        <v>24680076</v>
      </c>
      <c r="BN22">
        <v>42088</v>
      </c>
      <c r="BO22">
        <v>25775</v>
      </c>
      <c r="BP22">
        <v>27304</v>
      </c>
      <c r="BQ22">
        <v>13612423</v>
      </c>
      <c r="BR22">
        <v>26802</v>
      </c>
      <c r="BS22">
        <v>1914</v>
      </c>
      <c r="BT22">
        <v>1832</v>
      </c>
      <c r="BU22">
        <v>2879974</v>
      </c>
      <c r="BV22">
        <v>1955</v>
      </c>
      <c r="BW22">
        <v>11553</v>
      </c>
      <c r="BX22">
        <v>11495</v>
      </c>
      <c r="BY22">
        <v>4445358</v>
      </c>
      <c r="BZ22">
        <v>11362</v>
      </c>
      <c r="CA22">
        <v>7810</v>
      </c>
      <c r="CB22">
        <v>8839</v>
      </c>
      <c r="CC22">
        <v>7807043</v>
      </c>
      <c r="CD22">
        <v>5895</v>
      </c>
      <c r="CE22">
        <v>7240</v>
      </c>
      <c r="CF22">
        <v>5791</v>
      </c>
      <c r="CG22">
        <v>4420630</v>
      </c>
      <c r="CH22">
        <v>6455</v>
      </c>
      <c r="CI22">
        <v>2724</v>
      </c>
      <c r="CJ22">
        <v>2938</v>
      </c>
      <c r="CK22">
        <v>3093110</v>
      </c>
      <c r="CL22">
        <v>1866</v>
      </c>
      <c r="CM22">
        <v>10585</v>
      </c>
      <c r="CN22">
        <v>13130</v>
      </c>
      <c r="CO22">
        <v>9551777</v>
      </c>
      <c r="CP22">
        <v>15139</v>
      </c>
      <c r="CQ22">
        <v>5448</v>
      </c>
      <c r="CR22">
        <v>5405</v>
      </c>
      <c r="CS22">
        <v>7388193</v>
      </c>
      <c r="CT22">
        <v>4872</v>
      </c>
      <c r="CU22">
        <v>1730</v>
      </c>
      <c r="CV22">
        <v>2294</v>
      </c>
      <c r="CW22">
        <v>2615934</v>
      </c>
      <c r="CX22">
        <v>5028</v>
      </c>
      <c r="CY22">
        <v>3562</v>
      </c>
      <c r="CZ22">
        <v>3607</v>
      </c>
      <c r="DA22">
        <v>2436543</v>
      </c>
      <c r="DB22">
        <v>4563</v>
      </c>
      <c r="DC22">
        <v>346</v>
      </c>
      <c r="DD22">
        <v>343</v>
      </c>
      <c r="DE22">
        <v>1362937</v>
      </c>
      <c r="DF22">
        <v>22</v>
      </c>
      <c r="DG22">
        <v>16126</v>
      </c>
      <c r="DH22">
        <v>18082</v>
      </c>
      <c r="DI22">
        <v>19630395</v>
      </c>
      <c r="DJ22">
        <v>19458</v>
      </c>
      <c r="DK22">
        <v>90944</v>
      </c>
      <c r="DL22">
        <v>92050</v>
      </c>
      <c r="DM22">
        <v>1121369</v>
      </c>
      <c r="DN22">
        <v>53238</v>
      </c>
      <c r="DO22">
        <v>8105</v>
      </c>
      <c r="DP22">
        <v>8202</v>
      </c>
      <c r="DQ22">
        <v>988877</v>
      </c>
      <c r="DR22">
        <v>3905</v>
      </c>
    </row>
    <row r="23" spans="1:122" x14ac:dyDescent="0.4">
      <c r="A23" s="1" t="s">
        <v>34</v>
      </c>
      <c r="B23" s="1" t="s">
        <v>35</v>
      </c>
      <c r="C23">
        <v>5076</v>
      </c>
      <c r="D23">
        <v>4541</v>
      </c>
      <c r="E23">
        <v>2277226</v>
      </c>
      <c r="F23">
        <v>13248</v>
      </c>
      <c r="G23">
        <v>79541</v>
      </c>
      <c r="H23">
        <v>84583</v>
      </c>
      <c r="I23">
        <v>44098402</v>
      </c>
      <c r="J23">
        <v>131004</v>
      </c>
      <c r="K23">
        <v>8440</v>
      </c>
      <c r="L23">
        <v>9622</v>
      </c>
      <c r="M23">
        <v>8482787</v>
      </c>
      <c r="N23">
        <v>23360</v>
      </c>
      <c r="O23">
        <v>19092</v>
      </c>
      <c r="P23">
        <v>16818</v>
      </c>
      <c r="Q23">
        <v>24679164</v>
      </c>
      <c r="R23">
        <v>22781</v>
      </c>
      <c r="S23">
        <v>49424</v>
      </c>
      <c r="T23">
        <v>61663</v>
      </c>
      <c r="U23">
        <v>36829596</v>
      </c>
      <c r="V23">
        <v>62943</v>
      </c>
      <c r="W23">
        <v>15668</v>
      </c>
      <c r="X23">
        <v>13731</v>
      </c>
      <c r="Y23">
        <v>7584189</v>
      </c>
      <c r="Z23">
        <v>20832</v>
      </c>
      <c r="AA23">
        <v>5806</v>
      </c>
      <c r="AB23">
        <v>5495</v>
      </c>
      <c r="AC23">
        <v>4094628</v>
      </c>
      <c r="AD23">
        <v>3666</v>
      </c>
      <c r="AE23">
        <v>789</v>
      </c>
      <c r="AF23">
        <v>845</v>
      </c>
      <c r="AG23">
        <v>607764</v>
      </c>
      <c r="AH23">
        <v>2644</v>
      </c>
      <c r="AI23">
        <v>4371</v>
      </c>
      <c r="AJ23">
        <v>4505</v>
      </c>
      <c r="AK23">
        <v>8205285</v>
      </c>
      <c r="AL23">
        <v>2926</v>
      </c>
      <c r="AM23">
        <v>29497</v>
      </c>
      <c r="AN23">
        <v>27333</v>
      </c>
      <c r="AO23">
        <v>10832682</v>
      </c>
      <c r="AP23">
        <v>23014</v>
      </c>
      <c r="AQ23">
        <v>4069</v>
      </c>
      <c r="AR23">
        <v>4209</v>
      </c>
      <c r="AS23">
        <v>4050381</v>
      </c>
      <c r="AT23">
        <v>6184</v>
      </c>
      <c r="AU23">
        <v>44310</v>
      </c>
      <c r="AV23">
        <v>50082</v>
      </c>
      <c r="AW23">
        <v>88977960</v>
      </c>
      <c r="AX23">
        <v>13368</v>
      </c>
      <c r="AY23">
        <v>7869</v>
      </c>
      <c r="AZ23">
        <v>8335</v>
      </c>
      <c r="BA23">
        <v>17372886</v>
      </c>
      <c r="BB23">
        <v>2666</v>
      </c>
      <c r="BC23">
        <v>3420</v>
      </c>
      <c r="BD23">
        <v>4126</v>
      </c>
      <c r="BE23">
        <v>12969595</v>
      </c>
      <c r="BF23">
        <v>2034</v>
      </c>
      <c r="BG23">
        <v>23219</v>
      </c>
      <c r="BH23">
        <v>24541</v>
      </c>
      <c r="BI23">
        <v>29084503</v>
      </c>
      <c r="BJ23">
        <v>22758</v>
      </c>
      <c r="BK23">
        <v>43552</v>
      </c>
      <c r="BL23">
        <v>43510</v>
      </c>
      <c r="BM23">
        <v>23385831</v>
      </c>
      <c r="BN23">
        <v>41958</v>
      </c>
      <c r="BO23">
        <v>24967</v>
      </c>
      <c r="BP23">
        <v>28548</v>
      </c>
      <c r="BQ23">
        <v>14034775</v>
      </c>
      <c r="BR23">
        <v>23565</v>
      </c>
      <c r="BS23">
        <v>1865</v>
      </c>
      <c r="BT23">
        <v>1899</v>
      </c>
      <c r="BU23">
        <v>3116274</v>
      </c>
      <c r="BV23">
        <v>1961</v>
      </c>
      <c r="BW23">
        <v>11743</v>
      </c>
      <c r="BX23">
        <v>11133</v>
      </c>
      <c r="BY23">
        <v>4269761</v>
      </c>
      <c r="BZ23">
        <v>11809</v>
      </c>
      <c r="CA23">
        <v>7198</v>
      </c>
      <c r="CB23">
        <v>7379</v>
      </c>
      <c r="CC23">
        <v>6705994</v>
      </c>
      <c r="CD23">
        <v>6012</v>
      </c>
      <c r="CE23">
        <v>6504</v>
      </c>
      <c r="CF23">
        <v>5350</v>
      </c>
      <c r="CG23">
        <v>4100954</v>
      </c>
      <c r="CH23">
        <v>6194</v>
      </c>
      <c r="CI23">
        <v>2537</v>
      </c>
      <c r="CJ23">
        <v>2749</v>
      </c>
      <c r="CK23">
        <v>2835229</v>
      </c>
      <c r="CL23">
        <v>1916</v>
      </c>
      <c r="CM23">
        <v>10104</v>
      </c>
      <c r="CN23">
        <v>13143</v>
      </c>
      <c r="CO23">
        <v>9787188</v>
      </c>
      <c r="CP23">
        <v>14483</v>
      </c>
      <c r="CQ23">
        <v>5326</v>
      </c>
      <c r="CR23">
        <v>5373</v>
      </c>
      <c r="CS23">
        <v>7486196</v>
      </c>
      <c r="CT23">
        <v>4829</v>
      </c>
      <c r="CU23">
        <v>1805</v>
      </c>
      <c r="CV23">
        <v>2089</v>
      </c>
      <c r="CW23">
        <v>2270554</v>
      </c>
      <c r="CX23">
        <v>5221</v>
      </c>
      <c r="CY23">
        <v>3431</v>
      </c>
      <c r="CZ23">
        <v>3345</v>
      </c>
      <c r="DA23">
        <v>2405969</v>
      </c>
      <c r="DB23">
        <v>4171</v>
      </c>
      <c r="DC23">
        <v>345</v>
      </c>
      <c r="DD23">
        <v>339</v>
      </c>
      <c r="DE23">
        <v>1443990</v>
      </c>
      <c r="DF23">
        <v>26</v>
      </c>
      <c r="DG23">
        <v>15550</v>
      </c>
      <c r="DH23">
        <v>17376</v>
      </c>
      <c r="DI23">
        <v>19193082</v>
      </c>
      <c r="DJ23">
        <v>19835</v>
      </c>
      <c r="DK23">
        <v>88931</v>
      </c>
      <c r="DL23">
        <v>86101</v>
      </c>
      <c r="DM23">
        <v>1064157</v>
      </c>
      <c r="DN23">
        <v>56537</v>
      </c>
      <c r="DO23">
        <v>7451</v>
      </c>
      <c r="DP23">
        <v>7489</v>
      </c>
      <c r="DQ23">
        <v>989035</v>
      </c>
      <c r="DR23">
        <v>3977</v>
      </c>
    </row>
    <row r="24" spans="1:122" x14ac:dyDescent="0.4">
      <c r="A24" s="1" t="s">
        <v>36</v>
      </c>
      <c r="B24" s="1" t="s">
        <v>37</v>
      </c>
      <c r="C24">
        <v>4779</v>
      </c>
      <c r="D24">
        <v>5160</v>
      </c>
      <c r="E24">
        <v>2443514</v>
      </c>
      <c r="F24">
        <v>12890</v>
      </c>
      <c r="G24">
        <v>73106</v>
      </c>
      <c r="H24">
        <v>75164</v>
      </c>
      <c r="I24">
        <v>38031406</v>
      </c>
      <c r="J24">
        <v>128530</v>
      </c>
      <c r="K24">
        <v>7877</v>
      </c>
      <c r="L24">
        <v>8820</v>
      </c>
      <c r="M24">
        <v>7674521</v>
      </c>
      <c r="N24">
        <v>23098</v>
      </c>
      <c r="O24">
        <v>22171</v>
      </c>
      <c r="P24">
        <v>18888</v>
      </c>
      <c r="Q24">
        <v>24402594</v>
      </c>
      <c r="R24">
        <v>23976</v>
      </c>
      <c r="S24">
        <v>39962</v>
      </c>
      <c r="T24">
        <v>47479</v>
      </c>
      <c r="U24">
        <v>26920649</v>
      </c>
      <c r="V24">
        <v>62103</v>
      </c>
      <c r="W24">
        <v>15948</v>
      </c>
      <c r="X24">
        <v>14809</v>
      </c>
      <c r="Y24">
        <v>7268778</v>
      </c>
      <c r="Z24">
        <v>20404</v>
      </c>
      <c r="AA24">
        <v>4988</v>
      </c>
      <c r="AB24">
        <v>4887</v>
      </c>
      <c r="AC24">
        <v>3754247</v>
      </c>
      <c r="AD24">
        <v>3607</v>
      </c>
      <c r="AE24">
        <v>715</v>
      </c>
      <c r="AF24">
        <v>642</v>
      </c>
      <c r="AG24">
        <v>413570</v>
      </c>
      <c r="AH24">
        <v>2703</v>
      </c>
      <c r="AI24">
        <v>4453</v>
      </c>
      <c r="AJ24">
        <v>4441</v>
      </c>
      <c r="AK24">
        <v>7671257</v>
      </c>
      <c r="AL24">
        <v>2928</v>
      </c>
      <c r="AM24">
        <v>24486</v>
      </c>
      <c r="AN24">
        <v>22256</v>
      </c>
      <c r="AO24">
        <v>8750166</v>
      </c>
      <c r="AP24">
        <v>23566</v>
      </c>
      <c r="AQ24">
        <v>3659</v>
      </c>
      <c r="AR24">
        <v>3351</v>
      </c>
      <c r="AS24">
        <v>3293822</v>
      </c>
      <c r="AT24">
        <v>6424</v>
      </c>
      <c r="AU24">
        <v>45166</v>
      </c>
      <c r="AV24">
        <v>51757</v>
      </c>
      <c r="AW24">
        <v>87918902</v>
      </c>
      <c r="AX24">
        <v>12665</v>
      </c>
      <c r="AY24">
        <v>7456</v>
      </c>
      <c r="AZ24">
        <v>7998</v>
      </c>
      <c r="BA24">
        <v>16233121</v>
      </c>
      <c r="BB24">
        <v>2678</v>
      </c>
      <c r="BC24">
        <v>3377</v>
      </c>
      <c r="BD24">
        <v>4240</v>
      </c>
      <c r="BE24">
        <v>12863288</v>
      </c>
      <c r="BF24">
        <v>1968</v>
      </c>
      <c r="BG24">
        <v>20758</v>
      </c>
      <c r="BH24">
        <v>20753</v>
      </c>
      <c r="BI24">
        <v>24674557</v>
      </c>
      <c r="BJ24">
        <v>23342</v>
      </c>
      <c r="BK24">
        <v>45429</v>
      </c>
      <c r="BL24">
        <v>44317</v>
      </c>
      <c r="BM24">
        <v>22191982</v>
      </c>
      <c r="BN24">
        <v>59155</v>
      </c>
      <c r="BO24">
        <v>23791</v>
      </c>
      <c r="BP24">
        <v>21171</v>
      </c>
      <c r="BQ24">
        <v>10874248</v>
      </c>
      <c r="BR24">
        <v>26405</v>
      </c>
      <c r="BS24">
        <v>1757</v>
      </c>
      <c r="BT24">
        <v>1599</v>
      </c>
      <c r="BU24">
        <v>2483941</v>
      </c>
      <c r="BV24">
        <v>2144</v>
      </c>
      <c r="BW24">
        <v>11133</v>
      </c>
      <c r="BX24">
        <v>11178</v>
      </c>
      <c r="BY24">
        <v>4122919</v>
      </c>
      <c r="BZ24">
        <v>12284</v>
      </c>
      <c r="CA24">
        <v>6823</v>
      </c>
      <c r="CB24">
        <v>6822</v>
      </c>
      <c r="CC24">
        <v>6087845</v>
      </c>
      <c r="CD24">
        <v>8230</v>
      </c>
      <c r="CE24">
        <v>6579</v>
      </c>
      <c r="CF24">
        <v>5045</v>
      </c>
      <c r="CG24">
        <v>3956668</v>
      </c>
      <c r="CH24">
        <v>6462</v>
      </c>
      <c r="CI24">
        <v>2097</v>
      </c>
      <c r="CJ24">
        <v>2333</v>
      </c>
      <c r="CK24">
        <v>2559156</v>
      </c>
      <c r="CL24">
        <v>1813</v>
      </c>
      <c r="CM24">
        <v>9027</v>
      </c>
      <c r="CN24">
        <v>11356</v>
      </c>
      <c r="CO24">
        <v>7980377</v>
      </c>
      <c r="CP24">
        <v>14209</v>
      </c>
      <c r="CQ24">
        <v>5196</v>
      </c>
      <c r="CR24">
        <v>5169</v>
      </c>
      <c r="CS24">
        <v>6953846</v>
      </c>
      <c r="CT24">
        <v>4839</v>
      </c>
      <c r="CU24">
        <v>1618</v>
      </c>
      <c r="CV24">
        <v>2218</v>
      </c>
      <c r="CW24">
        <v>2413756</v>
      </c>
      <c r="CX24">
        <v>5078</v>
      </c>
      <c r="CY24">
        <v>3257</v>
      </c>
      <c r="CZ24">
        <v>3321</v>
      </c>
      <c r="DA24">
        <v>2403808</v>
      </c>
      <c r="DB24">
        <v>4114</v>
      </c>
      <c r="DC24">
        <v>339</v>
      </c>
      <c r="DD24">
        <v>347</v>
      </c>
      <c r="DE24">
        <v>1447383</v>
      </c>
      <c r="DF24">
        <v>17</v>
      </c>
      <c r="DG24">
        <v>15299</v>
      </c>
      <c r="DH24">
        <v>16764</v>
      </c>
      <c r="DI24">
        <v>18674452</v>
      </c>
      <c r="DJ24">
        <v>20925</v>
      </c>
      <c r="DK24">
        <v>81879</v>
      </c>
      <c r="DL24">
        <v>82345</v>
      </c>
      <c r="DM24">
        <v>1009645</v>
      </c>
      <c r="DN24">
        <v>56543</v>
      </c>
      <c r="DO24">
        <v>5307</v>
      </c>
      <c r="DP24">
        <v>5312</v>
      </c>
      <c r="DQ24">
        <v>605057</v>
      </c>
      <c r="DR24">
        <v>4085</v>
      </c>
    </row>
    <row r="25" spans="1:122" x14ac:dyDescent="0.4">
      <c r="A25" s="1" t="s">
        <v>38</v>
      </c>
      <c r="B25" s="1" t="s">
        <v>39</v>
      </c>
      <c r="C25">
        <v>6055</v>
      </c>
      <c r="D25">
        <v>6408</v>
      </c>
      <c r="E25">
        <v>3040603</v>
      </c>
      <c r="F25">
        <v>12510</v>
      </c>
      <c r="G25">
        <v>83721</v>
      </c>
      <c r="H25">
        <v>76941</v>
      </c>
      <c r="I25">
        <v>39428058</v>
      </c>
      <c r="J25">
        <v>134851</v>
      </c>
      <c r="K25">
        <v>8703</v>
      </c>
      <c r="L25">
        <v>8948</v>
      </c>
      <c r="M25">
        <v>7891815</v>
      </c>
      <c r="N25">
        <v>23754</v>
      </c>
      <c r="O25">
        <v>20576</v>
      </c>
      <c r="P25">
        <v>16705</v>
      </c>
      <c r="Q25">
        <v>23389177</v>
      </c>
      <c r="R25">
        <v>25298</v>
      </c>
      <c r="S25">
        <v>46815</v>
      </c>
      <c r="T25">
        <v>50977</v>
      </c>
      <c r="U25">
        <v>28703089</v>
      </c>
      <c r="V25">
        <v>66912</v>
      </c>
      <c r="W25">
        <v>15741</v>
      </c>
      <c r="X25">
        <v>14605</v>
      </c>
      <c r="Y25">
        <v>7522323</v>
      </c>
      <c r="Z25">
        <v>19710</v>
      </c>
      <c r="AA25">
        <v>5552</v>
      </c>
      <c r="AB25">
        <v>5348</v>
      </c>
      <c r="AC25">
        <v>4154759</v>
      </c>
      <c r="AD25">
        <v>3558</v>
      </c>
      <c r="AE25">
        <v>697</v>
      </c>
      <c r="AF25">
        <v>608</v>
      </c>
      <c r="AG25">
        <v>383873</v>
      </c>
      <c r="AH25">
        <v>2775</v>
      </c>
      <c r="AI25">
        <v>4490</v>
      </c>
      <c r="AJ25">
        <v>4465</v>
      </c>
      <c r="AK25">
        <v>7774482</v>
      </c>
      <c r="AL25">
        <v>2950</v>
      </c>
      <c r="AM25">
        <v>24235</v>
      </c>
      <c r="AN25">
        <v>22209</v>
      </c>
      <c r="AO25">
        <v>8036717</v>
      </c>
      <c r="AP25">
        <v>24096</v>
      </c>
      <c r="AQ25">
        <v>3698</v>
      </c>
      <c r="AR25">
        <v>3613</v>
      </c>
      <c r="AS25">
        <v>3755098</v>
      </c>
      <c r="AT25">
        <v>6540</v>
      </c>
      <c r="AU25">
        <v>46571</v>
      </c>
      <c r="AV25">
        <v>52292</v>
      </c>
      <c r="AW25">
        <v>88771753</v>
      </c>
      <c r="AX25">
        <v>12917</v>
      </c>
      <c r="AY25">
        <v>7739</v>
      </c>
      <c r="AZ25">
        <v>8260</v>
      </c>
      <c r="BA25">
        <v>16955251</v>
      </c>
      <c r="BB25">
        <v>2722</v>
      </c>
      <c r="BC25">
        <v>3407</v>
      </c>
      <c r="BD25">
        <v>4233</v>
      </c>
      <c r="BE25">
        <v>13372384</v>
      </c>
      <c r="BF25">
        <v>2008</v>
      </c>
      <c r="BG25">
        <v>22104</v>
      </c>
      <c r="BH25">
        <v>22221</v>
      </c>
      <c r="BI25">
        <v>25798743</v>
      </c>
      <c r="BJ25">
        <v>23789</v>
      </c>
      <c r="BK25">
        <v>51049</v>
      </c>
      <c r="BL25">
        <v>49200</v>
      </c>
      <c r="BM25">
        <v>24862364</v>
      </c>
      <c r="BN25">
        <v>60153</v>
      </c>
      <c r="BO25">
        <v>26337</v>
      </c>
      <c r="BP25">
        <v>25297</v>
      </c>
      <c r="BQ25">
        <v>12731724</v>
      </c>
      <c r="BR25">
        <v>27711</v>
      </c>
      <c r="BS25">
        <v>1572</v>
      </c>
      <c r="BT25">
        <v>1901</v>
      </c>
      <c r="BU25">
        <v>3121406</v>
      </c>
      <c r="BV25">
        <v>1763</v>
      </c>
      <c r="BW25">
        <v>12918</v>
      </c>
      <c r="BX25">
        <v>12818</v>
      </c>
      <c r="BY25">
        <v>5006797</v>
      </c>
      <c r="BZ25">
        <v>12298</v>
      </c>
      <c r="CA25">
        <v>7492</v>
      </c>
      <c r="CB25">
        <v>7335</v>
      </c>
      <c r="CC25">
        <v>6187250</v>
      </c>
      <c r="CD25">
        <v>8493</v>
      </c>
      <c r="CE25">
        <v>5836</v>
      </c>
      <c r="CF25">
        <v>4672</v>
      </c>
      <c r="CG25">
        <v>3602252</v>
      </c>
      <c r="CH25">
        <v>6486</v>
      </c>
      <c r="CI25">
        <v>2231</v>
      </c>
      <c r="CJ25">
        <v>2373</v>
      </c>
      <c r="CK25">
        <v>2577680</v>
      </c>
      <c r="CL25">
        <v>1831</v>
      </c>
      <c r="CM25">
        <v>9503</v>
      </c>
      <c r="CN25">
        <v>11873</v>
      </c>
      <c r="CO25">
        <v>8662512</v>
      </c>
      <c r="CP25">
        <v>14096</v>
      </c>
      <c r="CQ25">
        <v>4970</v>
      </c>
      <c r="CR25">
        <v>4979</v>
      </c>
      <c r="CS25">
        <v>7143460</v>
      </c>
      <c r="CT25">
        <v>4880</v>
      </c>
      <c r="CU25">
        <v>1742</v>
      </c>
      <c r="CV25">
        <v>2241</v>
      </c>
      <c r="CW25">
        <v>2467764</v>
      </c>
      <c r="CX25">
        <v>5049</v>
      </c>
      <c r="CY25">
        <v>3476</v>
      </c>
      <c r="CZ25">
        <v>3425</v>
      </c>
      <c r="DA25">
        <v>2490612</v>
      </c>
      <c r="DB25">
        <v>4164</v>
      </c>
      <c r="DC25">
        <v>339</v>
      </c>
      <c r="DD25">
        <v>336</v>
      </c>
      <c r="DE25">
        <v>1411539</v>
      </c>
      <c r="DF25">
        <v>20</v>
      </c>
      <c r="DG25">
        <v>15686</v>
      </c>
      <c r="DH25">
        <v>16845</v>
      </c>
      <c r="DI25">
        <v>18897634</v>
      </c>
      <c r="DJ25">
        <v>21204</v>
      </c>
      <c r="DK25">
        <v>81503</v>
      </c>
      <c r="DL25">
        <v>81619</v>
      </c>
      <c r="DM25">
        <v>1004973</v>
      </c>
      <c r="DN25">
        <v>56850</v>
      </c>
      <c r="DO25">
        <v>7260</v>
      </c>
      <c r="DP25">
        <v>7136</v>
      </c>
      <c r="DQ25">
        <v>673861</v>
      </c>
      <c r="DR25">
        <v>4309</v>
      </c>
    </row>
    <row r="26" spans="1:122" x14ac:dyDescent="0.4">
      <c r="A26" s="1" t="s">
        <v>40</v>
      </c>
      <c r="B26" s="1" t="s">
        <v>41</v>
      </c>
      <c r="C26">
        <v>5998</v>
      </c>
      <c r="D26">
        <v>7553</v>
      </c>
      <c r="E26">
        <v>4022912</v>
      </c>
      <c r="F26">
        <v>10945</v>
      </c>
      <c r="G26">
        <v>88869</v>
      </c>
      <c r="H26">
        <v>85221</v>
      </c>
      <c r="I26">
        <v>44009209</v>
      </c>
      <c r="J26">
        <v>137572</v>
      </c>
      <c r="K26">
        <v>9067</v>
      </c>
      <c r="L26">
        <v>9473</v>
      </c>
      <c r="M26">
        <v>8240744</v>
      </c>
      <c r="N26">
        <v>24182</v>
      </c>
      <c r="O26">
        <v>21098</v>
      </c>
      <c r="P26">
        <v>18806</v>
      </c>
      <c r="Q26">
        <v>25297124</v>
      </c>
      <c r="R26">
        <v>24923</v>
      </c>
      <c r="S26">
        <v>47264</v>
      </c>
      <c r="T26">
        <v>52928</v>
      </c>
      <c r="U26">
        <v>30414726</v>
      </c>
      <c r="V26">
        <v>69303</v>
      </c>
      <c r="W26">
        <v>17544</v>
      </c>
      <c r="X26">
        <v>15595</v>
      </c>
      <c r="Y26">
        <v>7801292</v>
      </c>
      <c r="Z26">
        <v>19674</v>
      </c>
      <c r="AA26">
        <v>5547</v>
      </c>
      <c r="AB26">
        <v>5016</v>
      </c>
      <c r="AC26">
        <v>4133392</v>
      </c>
      <c r="AD26">
        <v>3743</v>
      </c>
      <c r="AE26">
        <v>853</v>
      </c>
      <c r="AF26">
        <v>832</v>
      </c>
      <c r="AG26">
        <v>533963</v>
      </c>
      <c r="AH26">
        <v>2770</v>
      </c>
      <c r="AI26">
        <v>4520</v>
      </c>
      <c r="AJ26">
        <v>4395</v>
      </c>
      <c r="AK26">
        <v>8189599</v>
      </c>
      <c r="AL26">
        <v>3086</v>
      </c>
      <c r="AM26">
        <v>25643</v>
      </c>
      <c r="AN26">
        <v>23850</v>
      </c>
      <c r="AO26">
        <v>8984886</v>
      </c>
      <c r="AP26">
        <v>24330</v>
      </c>
      <c r="AQ26">
        <v>3533</v>
      </c>
      <c r="AR26">
        <v>3842</v>
      </c>
      <c r="AS26">
        <v>4195952</v>
      </c>
      <c r="AT26">
        <v>6309</v>
      </c>
      <c r="AU26">
        <v>46277</v>
      </c>
      <c r="AV26">
        <v>52920</v>
      </c>
      <c r="AW26">
        <v>92413986</v>
      </c>
      <c r="AX26">
        <v>12567</v>
      </c>
      <c r="AY26">
        <v>7982</v>
      </c>
      <c r="AZ26">
        <v>8481</v>
      </c>
      <c r="BA26">
        <v>17462667</v>
      </c>
      <c r="BB26">
        <v>2765</v>
      </c>
      <c r="BC26">
        <v>3454</v>
      </c>
      <c r="BD26">
        <v>4275</v>
      </c>
      <c r="BE26">
        <v>13860435</v>
      </c>
      <c r="BF26">
        <v>2023</v>
      </c>
      <c r="BG26">
        <v>23847</v>
      </c>
      <c r="BH26">
        <v>25132</v>
      </c>
      <c r="BI26">
        <v>29181881</v>
      </c>
      <c r="BJ26">
        <v>23250</v>
      </c>
      <c r="BK26">
        <v>56045</v>
      </c>
      <c r="BL26">
        <v>55360</v>
      </c>
      <c r="BM26">
        <v>28000334</v>
      </c>
      <c r="BN26">
        <v>61699</v>
      </c>
      <c r="BO26">
        <v>29560</v>
      </c>
      <c r="BP26">
        <v>30547</v>
      </c>
      <c r="BQ26">
        <v>15080324</v>
      </c>
      <c r="BR26">
        <v>27031</v>
      </c>
      <c r="BS26">
        <v>1373</v>
      </c>
      <c r="BT26">
        <v>1579</v>
      </c>
      <c r="BU26">
        <v>2727527</v>
      </c>
      <c r="BV26">
        <v>1665</v>
      </c>
      <c r="BW26">
        <v>13160</v>
      </c>
      <c r="BX26">
        <v>12693</v>
      </c>
      <c r="BY26">
        <v>4720507</v>
      </c>
      <c r="BZ26">
        <v>12790</v>
      </c>
      <c r="CA26">
        <v>7532</v>
      </c>
      <c r="CB26">
        <v>7832</v>
      </c>
      <c r="CC26">
        <v>6884612</v>
      </c>
      <c r="CD26">
        <v>8315</v>
      </c>
      <c r="CE26">
        <v>6593</v>
      </c>
      <c r="CF26">
        <v>5090</v>
      </c>
      <c r="CG26">
        <v>3838826</v>
      </c>
      <c r="CH26">
        <v>6654</v>
      </c>
      <c r="CI26">
        <v>2204</v>
      </c>
      <c r="CJ26">
        <v>2365</v>
      </c>
      <c r="CK26">
        <v>2589391</v>
      </c>
      <c r="CL26">
        <v>1870</v>
      </c>
      <c r="CM26">
        <v>9886</v>
      </c>
      <c r="CN26">
        <v>11852</v>
      </c>
      <c r="CO26">
        <v>8573539</v>
      </c>
      <c r="CP26">
        <v>14641</v>
      </c>
      <c r="CQ26">
        <v>4969</v>
      </c>
      <c r="CR26">
        <v>4762</v>
      </c>
      <c r="CS26">
        <v>7767466</v>
      </c>
      <c r="CT26">
        <v>5099</v>
      </c>
      <c r="CU26">
        <v>1656</v>
      </c>
      <c r="CV26">
        <v>2738</v>
      </c>
      <c r="CW26">
        <v>2892849</v>
      </c>
      <c r="CX26">
        <v>4489</v>
      </c>
      <c r="CY26">
        <v>3728</v>
      </c>
      <c r="CZ26">
        <v>3590</v>
      </c>
      <c r="DA26">
        <v>2698104</v>
      </c>
      <c r="DB26">
        <v>4286</v>
      </c>
      <c r="DC26">
        <v>360</v>
      </c>
      <c r="DD26">
        <v>362</v>
      </c>
      <c r="DE26">
        <v>1483842</v>
      </c>
      <c r="DF26">
        <v>16</v>
      </c>
      <c r="DG26">
        <v>16506</v>
      </c>
      <c r="DH26">
        <v>18971</v>
      </c>
      <c r="DI26">
        <v>20582357</v>
      </c>
      <c r="DJ26">
        <v>21173</v>
      </c>
      <c r="DK26">
        <v>87952</v>
      </c>
      <c r="DL26">
        <v>83093</v>
      </c>
      <c r="DM26">
        <v>996218</v>
      </c>
      <c r="DN26">
        <v>62128</v>
      </c>
      <c r="DO26">
        <v>6402</v>
      </c>
      <c r="DP26">
        <v>5935</v>
      </c>
      <c r="DQ26">
        <v>615882</v>
      </c>
      <c r="DR26">
        <v>4863</v>
      </c>
    </row>
    <row r="27" spans="1:122" x14ac:dyDescent="0.4">
      <c r="A27" s="1" t="s">
        <v>42</v>
      </c>
      <c r="B27" s="1" t="s">
        <v>43</v>
      </c>
      <c r="C27">
        <v>6305</v>
      </c>
      <c r="D27">
        <v>5748</v>
      </c>
      <c r="E27">
        <v>2986382</v>
      </c>
      <c r="F27">
        <v>13993</v>
      </c>
      <c r="G27">
        <v>87608</v>
      </c>
      <c r="H27">
        <v>89030</v>
      </c>
      <c r="I27">
        <v>46319458</v>
      </c>
      <c r="J27">
        <v>135431</v>
      </c>
      <c r="K27">
        <v>8466</v>
      </c>
      <c r="L27">
        <v>10448</v>
      </c>
      <c r="M27">
        <v>9202749</v>
      </c>
      <c r="N27">
        <v>23099</v>
      </c>
      <c r="O27">
        <v>20507</v>
      </c>
      <c r="P27">
        <v>19267</v>
      </c>
      <c r="Q27">
        <v>27363821</v>
      </c>
      <c r="R27">
        <v>23147</v>
      </c>
      <c r="S27">
        <v>51321</v>
      </c>
      <c r="T27">
        <v>59477</v>
      </c>
      <c r="U27">
        <v>33109732</v>
      </c>
      <c r="V27">
        <v>69154</v>
      </c>
      <c r="W27">
        <v>18344</v>
      </c>
      <c r="X27">
        <v>16060</v>
      </c>
      <c r="Y27">
        <v>8047028</v>
      </c>
      <c r="Z27">
        <v>20019</v>
      </c>
      <c r="AA27">
        <v>5721</v>
      </c>
      <c r="AB27">
        <v>4853</v>
      </c>
      <c r="AC27">
        <v>4245622</v>
      </c>
      <c r="AD27">
        <v>8497</v>
      </c>
      <c r="AE27">
        <v>940</v>
      </c>
      <c r="AF27">
        <v>1188</v>
      </c>
      <c r="AG27">
        <v>756419</v>
      </c>
      <c r="AH27">
        <v>2776</v>
      </c>
      <c r="AI27">
        <v>4357</v>
      </c>
      <c r="AJ27">
        <v>4282</v>
      </c>
      <c r="AK27">
        <v>7692695</v>
      </c>
      <c r="AL27">
        <v>3183</v>
      </c>
      <c r="AM27">
        <v>23355</v>
      </c>
      <c r="AN27">
        <v>22697</v>
      </c>
      <c r="AO27">
        <v>8575425</v>
      </c>
      <c r="AP27">
        <v>23296</v>
      </c>
      <c r="AQ27">
        <v>3667</v>
      </c>
      <c r="AR27">
        <v>3834</v>
      </c>
      <c r="AS27">
        <v>4081186</v>
      </c>
      <c r="AT27">
        <v>6161</v>
      </c>
      <c r="AU27">
        <v>42852</v>
      </c>
      <c r="AV27">
        <v>48652</v>
      </c>
      <c r="AW27">
        <v>83829902</v>
      </c>
      <c r="AX27">
        <v>12843</v>
      </c>
      <c r="AY27">
        <v>8248</v>
      </c>
      <c r="AZ27">
        <v>8890</v>
      </c>
      <c r="BA27">
        <v>17948620</v>
      </c>
      <c r="BB27">
        <v>2821</v>
      </c>
      <c r="BC27">
        <v>3554</v>
      </c>
      <c r="BD27">
        <v>4355</v>
      </c>
      <c r="BE27">
        <v>13922673</v>
      </c>
      <c r="BF27">
        <v>2113</v>
      </c>
      <c r="BG27">
        <v>24702</v>
      </c>
      <c r="BH27">
        <v>26224</v>
      </c>
      <c r="BI27">
        <v>29892896</v>
      </c>
      <c r="BJ27">
        <v>22424</v>
      </c>
      <c r="BK27">
        <v>59619</v>
      </c>
      <c r="BL27">
        <v>58497</v>
      </c>
      <c r="BM27">
        <v>29170484</v>
      </c>
      <c r="BN27">
        <v>61584</v>
      </c>
      <c r="BO27">
        <v>30470</v>
      </c>
      <c r="BP27">
        <v>30649</v>
      </c>
      <c r="BQ27">
        <v>13867180</v>
      </c>
      <c r="BR27">
        <v>27052</v>
      </c>
      <c r="BS27">
        <v>1542</v>
      </c>
      <c r="BT27">
        <v>1463</v>
      </c>
      <c r="BU27">
        <v>2351154</v>
      </c>
      <c r="BV27">
        <v>2164</v>
      </c>
      <c r="BW27">
        <v>13311</v>
      </c>
      <c r="BX27">
        <v>13431</v>
      </c>
      <c r="BY27">
        <v>4930591</v>
      </c>
      <c r="BZ27">
        <v>12358</v>
      </c>
      <c r="CA27">
        <v>7650</v>
      </c>
      <c r="CB27">
        <v>7584</v>
      </c>
      <c r="CC27">
        <v>6720393</v>
      </c>
      <c r="CD27">
        <v>8524</v>
      </c>
      <c r="CE27">
        <v>5912</v>
      </c>
      <c r="CF27">
        <v>5017</v>
      </c>
      <c r="CG27">
        <v>3942596</v>
      </c>
      <c r="CH27">
        <v>6317</v>
      </c>
      <c r="CI27">
        <v>2352</v>
      </c>
      <c r="CJ27">
        <v>2575</v>
      </c>
      <c r="CK27">
        <v>2754965</v>
      </c>
      <c r="CL27">
        <v>1858</v>
      </c>
      <c r="CM27">
        <v>9951</v>
      </c>
      <c r="CN27">
        <v>12535</v>
      </c>
      <c r="CO27">
        <v>9120487</v>
      </c>
      <c r="CP27">
        <v>14492</v>
      </c>
      <c r="CQ27">
        <v>4918</v>
      </c>
      <c r="CR27">
        <v>5135</v>
      </c>
      <c r="CS27">
        <v>7809198</v>
      </c>
      <c r="CT27">
        <v>4864</v>
      </c>
      <c r="CU27">
        <v>1453</v>
      </c>
      <c r="CV27">
        <v>1813</v>
      </c>
      <c r="CW27">
        <v>2065481</v>
      </c>
      <c r="CX27">
        <v>4160</v>
      </c>
      <c r="CY27">
        <v>3795</v>
      </c>
      <c r="CZ27">
        <v>3701</v>
      </c>
      <c r="DA27">
        <v>2824959</v>
      </c>
      <c r="DB27">
        <v>4362</v>
      </c>
      <c r="DC27">
        <v>314</v>
      </c>
      <c r="DD27">
        <v>308</v>
      </c>
      <c r="DE27">
        <v>1415413</v>
      </c>
      <c r="DF27">
        <v>21</v>
      </c>
      <c r="DG27">
        <v>16261</v>
      </c>
      <c r="DH27">
        <v>19067</v>
      </c>
      <c r="DI27">
        <v>20528801</v>
      </c>
      <c r="DJ27">
        <v>20666</v>
      </c>
      <c r="DK27">
        <v>85090</v>
      </c>
      <c r="DL27">
        <v>88474</v>
      </c>
      <c r="DM27">
        <v>1066295</v>
      </c>
      <c r="DN27">
        <v>59215</v>
      </c>
      <c r="DO27">
        <v>6652</v>
      </c>
      <c r="DP27">
        <v>7067</v>
      </c>
      <c r="DQ27">
        <v>741491</v>
      </c>
      <c r="DR27">
        <v>4608</v>
      </c>
    </row>
    <row r="28" spans="1:122" x14ac:dyDescent="0.4">
      <c r="A28" s="1" t="s">
        <v>44</v>
      </c>
      <c r="B28" s="1" t="s">
        <v>45</v>
      </c>
      <c r="C28">
        <v>5608</v>
      </c>
      <c r="D28">
        <v>4704</v>
      </c>
      <c r="E28">
        <v>2367648</v>
      </c>
      <c r="F28">
        <v>14902</v>
      </c>
      <c r="G28">
        <v>84865</v>
      </c>
      <c r="H28">
        <v>80000</v>
      </c>
      <c r="I28">
        <v>41333371</v>
      </c>
      <c r="J28">
        <v>138493</v>
      </c>
      <c r="K28">
        <v>8167</v>
      </c>
      <c r="L28">
        <v>8887</v>
      </c>
      <c r="M28">
        <v>7856190</v>
      </c>
      <c r="N28">
        <v>23301</v>
      </c>
      <c r="O28">
        <v>21112</v>
      </c>
      <c r="P28">
        <v>17484</v>
      </c>
      <c r="Q28">
        <v>23894081</v>
      </c>
      <c r="R28">
        <v>24055</v>
      </c>
      <c r="S28">
        <v>46198</v>
      </c>
      <c r="T28">
        <v>53833</v>
      </c>
      <c r="U28">
        <v>29943687</v>
      </c>
      <c r="V28">
        <v>70211</v>
      </c>
      <c r="W28">
        <v>16505</v>
      </c>
      <c r="X28">
        <v>14536</v>
      </c>
      <c r="Y28">
        <v>7285190</v>
      </c>
      <c r="Z28">
        <v>20576</v>
      </c>
      <c r="AA28">
        <v>5040</v>
      </c>
      <c r="AB28">
        <v>4786</v>
      </c>
      <c r="AC28">
        <v>4042884</v>
      </c>
      <c r="AD28">
        <v>8455</v>
      </c>
      <c r="AE28">
        <v>969</v>
      </c>
      <c r="AF28">
        <v>977</v>
      </c>
      <c r="AG28">
        <v>630220</v>
      </c>
      <c r="AH28">
        <v>2713</v>
      </c>
      <c r="AI28">
        <v>3781</v>
      </c>
      <c r="AJ28">
        <v>3879</v>
      </c>
      <c r="AK28">
        <v>6973262</v>
      </c>
      <c r="AL28">
        <v>3096</v>
      </c>
      <c r="AM28">
        <v>24116</v>
      </c>
      <c r="AN28">
        <v>22384</v>
      </c>
      <c r="AO28">
        <v>8286813</v>
      </c>
      <c r="AP28">
        <v>23193</v>
      </c>
      <c r="AQ28">
        <v>3418</v>
      </c>
      <c r="AR28">
        <v>3457</v>
      </c>
      <c r="AS28">
        <v>3703310</v>
      </c>
      <c r="AT28">
        <v>6132</v>
      </c>
      <c r="AU28">
        <v>39655</v>
      </c>
      <c r="AV28">
        <v>44751</v>
      </c>
      <c r="AW28">
        <v>80185872</v>
      </c>
      <c r="AX28">
        <v>12584</v>
      </c>
      <c r="AY28">
        <v>7504</v>
      </c>
      <c r="AZ28">
        <v>8177</v>
      </c>
      <c r="BA28">
        <v>16185286</v>
      </c>
      <c r="BB28">
        <v>2635</v>
      </c>
      <c r="BC28">
        <v>3236</v>
      </c>
      <c r="BD28">
        <v>4150</v>
      </c>
      <c r="BE28">
        <v>13536740</v>
      </c>
      <c r="BF28">
        <v>2020</v>
      </c>
      <c r="BG28">
        <v>22036</v>
      </c>
      <c r="BH28">
        <v>22118</v>
      </c>
      <c r="BI28">
        <v>26473479</v>
      </c>
      <c r="BJ28">
        <v>22669</v>
      </c>
      <c r="BK28">
        <v>58666</v>
      </c>
      <c r="BL28">
        <v>58388</v>
      </c>
      <c r="BM28">
        <v>28146509</v>
      </c>
      <c r="BN28">
        <v>61411</v>
      </c>
      <c r="BO28">
        <v>28031</v>
      </c>
      <c r="BP28">
        <v>29200</v>
      </c>
      <c r="BQ28">
        <v>13461599</v>
      </c>
      <c r="BR28">
        <v>26077</v>
      </c>
      <c r="BS28">
        <v>1330</v>
      </c>
      <c r="BT28">
        <v>1378</v>
      </c>
      <c r="BU28">
        <v>2251888</v>
      </c>
      <c r="BV28">
        <v>2106</v>
      </c>
      <c r="BW28">
        <v>12026</v>
      </c>
      <c r="BX28">
        <v>12394</v>
      </c>
      <c r="BY28">
        <v>4589173</v>
      </c>
      <c r="BZ28">
        <v>11801</v>
      </c>
      <c r="CA28">
        <v>6934</v>
      </c>
      <c r="CB28">
        <v>7187</v>
      </c>
      <c r="CC28">
        <v>6569040</v>
      </c>
      <c r="CD28">
        <v>8572</v>
      </c>
      <c r="CE28">
        <v>6494</v>
      </c>
      <c r="CF28">
        <v>5082</v>
      </c>
      <c r="CG28">
        <v>3849658</v>
      </c>
      <c r="CH28">
        <v>6419</v>
      </c>
      <c r="CI28">
        <v>2338</v>
      </c>
      <c r="CJ28">
        <v>2408</v>
      </c>
      <c r="CK28">
        <v>2624871</v>
      </c>
      <c r="CL28">
        <v>1962</v>
      </c>
      <c r="CM28">
        <v>8748</v>
      </c>
      <c r="CN28">
        <v>11675</v>
      </c>
      <c r="CO28">
        <v>8365046</v>
      </c>
      <c r="CP28">
        <v>13999</v>
      </c>
      <c r="CQ28">
        <v>4450</v>
      </c>
      <c r="CR28">
        <v>4870</v>
      </c>
      <c r="CS28">
        <v>7049211</v>
      </c>
      <c r="CT28">
        <v>4408</v>
      </c>
      <c r="CU28">
        <v>1353</v>
      </c>
      <c r="CV28">
        <v>1866</v>
      </c>
      <c r="CW28">
        <v>2176241</v>
      </c>
      <c r="CX28">
        <v>4102</v>
      </c>
      <c r="CY28">
        <v>3595</v>
      </c>
      <c r="CZ28">
        <v>3608</v>
      </c>
      <c r="DA28">
        <v>2660674</v>
      </c>
      <c r="DB28">
        <v>4334</v>
      </c>
      <c r="DC28">
        <v>317</v>
      </c>
      <c r="DD28">
        <v>309</v>
      </c>
      <c r="DE28">
        <v>1250479</v>
      </c>
      <c r="DF28">
        <v>36</v>
      </c>
      <c r="DG28">
        <v>16671</v>
      </c>
      <c r="DH28">
        <v>18679</v>
      </c>
      <c r="DI28">
        <v>19878057</v>
      </c>
      <c r="DJ28">
        <v>21113</v>
      </c>
      <c r="DK28">
        <v>80434</v>
      </c>
      <c r="DL28">
        <v>84849</v>
      </c>
      <c r="DM28">
        <v>1028741</v>
      </c>
      <c r="DN28">
        <v>55243</v>
      </c>
      <c r="DO28">
        <v>5931</v>
      </c>
      <c r="DP28">
        <v>6589</v>
      </c>
      <c r="DQ28">
        <v>738790</v>
      </c>
      <c r="DR28">
        <v>4062</v>
      </c>
    </row>
    <row r="29" spans="1:122" x14ac:dyDescent="0.4">
      <c r="A29" s="1" t="s">
        <v>46</v>
      </c>
      <c r="B29" s="1" t="s">
        <v>47</v>
      </c>
      <c r="C29">
        <v>6429</v>
      </c>
      <c r="D29">
        <v>4775</v>
      </c>
      <c r="E29">
        <v>2465426</v>
      </c>
      <c r="F29">
        <v>16609</v>
      </c>
      <c r="G29">
        <v>88258</v>
      </c>
      <c r="H29">
        <v>82071</v>
      </c>
      <c r="I29">
        <v>42959532</v>
      </c>
      <c r="J29">
        <v>143634</v>
      </c>
      <c r="K29">
        <v>9186</v>
      </c>
      <c r="L29">
        <v>9286</v>
      </c>
      <c r="M29">
        <v>8384970</v>
      </c>
      <c r="N29">
        <v>23924</v>
      </c>
      <c r="O29">
        <v>22388</v>
      </c>
      <c r="P29">
        <v>20220</v>
      </c>
      <c r="Q29">
        <v>26576457</v>
      </c>
      <c r="R29">
        <v>23477</v>
      </c>
      <c r="S29">
        <v>49576</v>
      </c>
      <c r="T29">
        <v>57134</v>
      </c>
      <c r="U29">
        <v>31398368</v>
      </c>
      <c r="V29">
        <v>72305</v>
      </c>
      <c r="W29">
        <v>18181</v>
      </c>
      <c r="X29">
        <v>16107</v>
      </c>
      <c r="Y29">
        <v>8202793</v>
      </c>
      <c r="Z29">
        <v>20792</v>
      </c>
      <c r="AA29">
        <v>5466</v>
      </c>
      <c r="AB29">
        <v>4859</v>
      </c>
      <c r="AC29">
        <v>4111989</v>
      </c>
      <c r="AD29">
        <v>8674</v>
      </c>
      <c r="AE29">
        <v>1251</v>
      </c>
      <c r="AF29">
        <v>852</v>
      </c>
      <c r="AG29">
        <v>551163</v>
      </c>
      <c r="AH29">
        <v>3046</v>
      </c>
      <c r="AI29">
        <v>4318</v>
      </c>
      <c r="AJ29">
        <v>4298</v>
      </c>
      <c r="AK29">
        <v>7634698</v>
      </c>
      <c r="AL29">
        <v>3123</v>
      </c>
      <c r="AM29">
        <v>26828</v>
      </c>
      <c r="AN29">
        <v>24866</v>
      </c>
      <c r="AO29">
        <v>8808978</v>
      </c>
      <c r="AP29">
        <v>23215</v>
      </c>
      <c r="AQ29">
        <v>3872</v>
      </c>
      <c r="AR29">
        <v>3749</v>
      </c>
      <c r="AS29">
        <v>3889406</v>
      </c>
      <c r="AT29">
        <v>6279</v>
      </c>
      <c r="AU29">
        <v>44786</v>
      </c>
      <c r="AV29">
        <v>49800</v>
      </c>
      <c r="AW29">
        <v>89454066</v>
      </c>
      <c r="AX29">
        <v>12786</v>
      </c>
      <c r="AY29">
        <v>8318</v>
      </c>
      <c r="AZ29">
        <v>8896</v>
      </c>
      <c r="BA29">
        <v>18234414</v>
      </c>
      <c r="BB29">
        <v>2623</v>
      </c>
      <c r="BC29">
        <v>3595</v>
      </c>
      <c r="BD29">
        <v>4545</v>
      </c>
      <c r="BE29">
        <v>13677252</v>
      </c>
      <c r="BF29">
        <v>1991</v>
      </c>
      <c r="BG29">
        <v>22737</v>
      </c>
      <c r="BH29">
        <v>22517</v>
      </c>
      <c r="BI29">
        <v>27712238</v>
      </c>
      <c r="BJ29">
        <v>23666</v>
      </c>
      <c r="BK29">
        <v>61788</v>
      </c>
      <c r="BL29">
        <v>61526</v>
      </c>
      <c r="BM29">
        <v>29522441</v>
      </c>
      <c r="BN29">
        <v>61236</v>
      </c>
      <c r="BO29">
        <v>31720</v>
      </c>
      <c r="BP29">
        <v>30934</v>
      </c>
      <c r="BQ29">
        <v>14457336</v>
      </c>
      <c r="BR29">
        <v>27166</v>
      </c>
      <c r="BS29">
        <v>1576</v>
      </c>
      <c r="BT29">
        <v>1524</v>
      </c>
      <c r="BU29">
        <v>2568880</v>
      </c>
      <c r="BV29">
        <v>2135</v>
      </c>
      <c r="BW29">
        <v>13511</v>
      </c>
      <c r="BX29">
        <v>12911</v>
      </c>
      <c r="BY29">
        <v>4784717</v>
      </c>
      <c r="BZ29">
        <v>12247</v>
      </c>
      <c r="CA29">
        <v>8064</v>
      </c>
      <c r="CB29">
        <v>7789</v>
      </c>
      <c r="CC29">
        <v>7126769</v>
      </c>
      <c r="CD29">
        <v>9003</v>
      </c>
      <c r="CE29">
        <v>6730</v>
      </c>
      <c r="CF29">
        <v>5267</v>
      </c>
      <c r="CG29">
        <v>4005453</v>
      </c>
      <c r="CH29">
        <v>6610</v>
      </c>
      <c r="CI29">
        <v>2234</v>
      </c>
      <c r="CJ29">
        <v>2524</v>
      </c>
      <c r="CK29">
        <v>2751582</v>
      </c>
      <c r="CL29">
        <v>1862</v>
      </c>
      <c r="CM29">
        <v>9363</v>
      </c>
      <c r="CN29">
        <v>11556</v>
      </c>
      <c r="CO29">
        <v>8460847</v>
      </c>
      <c r="CP29">
        <v>14445</v>
      </c>
      <c r="CQ29">
        <v>5208</v>
      </c>
      <c r="CR29">
        <v>5310</v>
      </c>
      <c r="CS29">
        <v>7322939</v>
      </c>
      <c r="CT29">
        <v>4257</v>
      </c>
      <c r="CU29">
        <v>1573</v>
      </c>
      <c r="CV29">
        <v>1969</v>
      </c>
      <c r="CW29">
        <v>2299739</v>
      </c>
      <c r="CX29">
        <v>4187</v>
      </c>
      <c r="CY29">
        <v>3797</v>
      </c>
      <c r="CZ29">
        <v>3693</v>
      </c>
      <c r="DA29">
        <v>2794152</v>
      </c>
      <c r="DB29">
        <v>4389</v>
      </c>
      <c r="DC29">
        <v>350</v>
      </c>
      <c r="DD29">
        <v>361</v>
      </c>
      <c r="DE29">
        <v>1645970</v>
      </c>
      <c r="DF29">
        <v>17</v>
      </c>
      <c r="DG29">
        <v>17408</v>
      </c>
      <c r="DH29">
        <v>19242</v>
      </c>
      <c r="DI29">
        <v>21008771</v>
      </c>
      <c r="DJ29">
        <v>21860</v>
      </c>
      <c r="DK29">
        <v>91542</v>
      </c>
      <c r="DL29">
        <v>87227</v>
      </c>
      <c r="DM29">
        <v>1079752</v>
      </c>
      <c r="DN29">
        <v>60068</v>
      </c>
      <c r="DO29">
        <v>6440</v>
      </c>
      <c r="DP29">
        <v>6662</v>
      </c>
      <c r="DQ29">
        <v>771258</v>
      </c>
      <c r="DR29">
        <v>3957</v>
      </c>
    </row>
    <row r="30" spans="1:122" x14ac:dyDescent="0.4">
      <c r="A30" s="1" t="s">
        <v>48</v>
      </c>
      <c r="B30" s="1" t="s">
        <v>49</v>
      </c>
      <c r="C30">
        <v>6346</v>
      </c>
      <c r="D30">
        <v>5431</v>
      </c>
      <c r="E30">
        <v>2829129</v>
      </c>
      <c r="F30">
        <v>17530</v>
      </c>
      <c r="G30">
        <v>91193</v>
      </c>
      <c r="H30">
        <v>89888</v>
      </c>
      <c r="I30">
        <v>47266075</v>
      </c>
      <c r="J30">
        <v>144235</v>
      </c>
      <c r="K30">
        <v>9571</v>
      </c>
      <c r="L30">
        <v>10036</v>
      </c>
      <c r="M30">
        <v>8807937</v>
      </c>
      <c r="N30">
        <v>24291</v>
      </c>
      <c r="O30">
        <v>21954</v>
      </c>
      <c r="P30">
        <v>18155</v>
      </c>
      <c r="Q30">
        <v>24541536</v>
      </c>
      <c r="R30">
        <v>24819</v>
      </c>
      <c r="S30">
        <v>51279</v>
      </c>
      <c r="T30">
        <v>61798</v>
      </c>
      <c r="U30">
        <v>34441128</v>
      </c>
      <c r="V30">
        <v>71404</v>
      </c>
      <c r="W30">
        <v>19248</v>
      </c>
      <c r="X30">
        <v>16559</v>
      </c>
      <c r="Y30">
        <v>8123673</v>
      </c>
      <c r="Z30">
        <v>21387</v>
      </c>
      <c r="AA30">
        <v>5124</v>
      </c>
      <c r="AB30">
        <v>4869</v>
      </c>
      <c r="AC30">
        <v>4233042</v>
      </c>
      <c r="AD30">
        <v>8523</v>
      </c>
      <c r="AE30">
        <v>1271</v>
      </c>
      <c r="AF30">
        <v>949</v>
      </c>
      <c r="AG30">
        <v>619922</v>
      </c>
      <c r="AH30">
        <v>3305</v>
      </c>
      <c r="AI30">
        <v>4423</v>
      </c>
      <c r="AJ30">
        <v>4684</v>
      </c>
      <c r="AK30">
        <v>7949832</v>
      </c>
      <c r="AL30">
        <v>2902</v>
      </c>
      <c r="AM30">
        <v>27815</v>
      </c>
      <c r="AN30">
        <v>24829</v>
      </c>
      <c r="AO30">
        <v>9364444</v>
      </c>
      <c r="AP30">
        <v>23926</v>
      </c>
      <c r="AQ30">
        <v>3790</v>
      </c>
      <c r="AR30">
        <v>3850</v>
      </c>
      <c r="AS30">
        <v>4280076</v>
      </c>
      <c r="AT30">
        <v>6257</v>
      </c>
      <c r="AU30">
        <v>48281</v>
      </c>
      <c r="AV30">
        <v>53782</v>
      </c>
      <c r="AW30">
        <v>94818074</v>
      </c>
      <c r="AX30">
        <v>12922</v>
      </c>
      <c r="AY30">
        <v>8777</v>
      </c>
      <c r="AZ30">
        <v>9372</v>
      </c>
      <c r="BA30">
        <v>19482019</v>
      </c>
      <c r="BB30">
        <v>2640</v>
      </c>
      <c r="BC30">
        <v>3768</v>
      </c>
      <c r="BD30">
        <v>4736</v>
      </c>
      <c r="BE30">
        <v>14478195</v>
      </c>
      <c r="BF30">
        <v>2045</v>
      </c>
      <c r="BG30">
        <v>23295</v>
      </c>
      <c r="BH30">
        <v>24135</v>
      </c>
      <c r="BI30">
        <v>29662186</v>
      </c>
      <c r="BJ30">
        <v>23612</v>
      </c>
      <c r="BK30">
        <v>62242</v>
      </c>
      <c r="BL30">
        <v>65265</v>
      </c>
      <c r="BM30">
        <v>31061727</v>
      </c>
      <c r="BN30">
        <v>57857</v>
      </c>
      <c r="BO30">
        <v>31561</v>
      </c>
      <c r="BP30">
        <v>32994</v>
      </c>
      <c r="BQ30">
        <v>15171014</v>
      </c>
      <c r="BR30">
        <v>25913</v>
      </c>
      <c r="BS30">
        <v>1627</v>
      </c>
      <c r="BT30">
        <v>1536</v>
      </c>
      <c r="BU30">
        <v>2606360</v>
      </c>
      <c r="BV30">
        <v>2206</v>
      </c>
      <c r="BW30">
        <v>13690</v>
      </c>
      <c r="BX30">
        <v>13551</v>
      </c>
      <c r="BY30">
        <v>4975802</v>
      </c>
      <c r="BZ30">
        <v>13300</v>
      </c>
      <c r="CA30">
        <v>7870</v>
      </c>
      <c r="CB30">
        <v>7986</v>
      </c>
      <c r="CC30">
        <v>7518845</v>
      </c>
      <c r="CD30">
        <v>9066</v>
      </c>
      <c r="CE30">
        <v>6928</v>
      </c>
      <c r="CF30">
        <v>5650</v>
      </c>
      <c r="CG30">
        <v>4393464</v>
      </c>
      <c r="CH30">
        <v>6452</v>
      </c>
      <c r="CI30">
        <v>2601</v>
      </c>
      <c r="CJ30">
        <v>2746</v>
      </c>
      <c r="CK30">
        <v>2991678</v>
      </c>
      <c r="CL30">
        <v>1914</v>
      </c>
      <c r="CM30">
        <v>9879</v>
      </c>
      <c r="CN30">
        <v>12599</v>
      </c>
      <c r="CO30">
        <v>9221707</v>
      </c>
      <c r="CP30">
        <v>14432</v>
      </c>
      <c r="CQ30">
        <v>5520</v>
      </c>
      <c r="CR30">
        <v>5606</v>
      </c>
      <c r="CS30">
        <v>7948155</v>
      </c>
      <c r="CT30">
        <v>4190</v>
      </c>
      <c r="CU30">
        <v>1546</v>
      </c>
      <c r="CV30">
        <v>1920</v>
      </c>
      <c r="CW30">
        <v>2205759</v>
      </c>
      <c r="CX30">
        <v>4270</v>
      </c>
      <c r="CY30">
        <v>4095</v>
      </c>
      <c r="CZ30">
        <v>4037</v>
      </c>
      <c r="DA30">
        <v>3211445</v>
      </c>
      <c r="DB30">
        <v>4419</v>
      </c>
      <c r="DC30">
        <v>392</v>
      </c>
      <c r="DD30">
        <v>395</v>
      </c>
      <c r="DE30">
        <v>1706068</v>
      </c>
      <c r="DF30">
        <v>15</v>
      </c>
      <c r="DG30">
        <v>17345</v>
      </c>
      <c r="DH30">
        <v>20597</v>
      </c>
      <c r="DI30">
        <v>21779832</v>
      </c>
      <c r="DJ30">
        <v>21174</v>
      </c>
      <c r="DK30">
        <v>94634</v>
      </c>
      <c r="DL30">
        <v>95937</v>
      </c>
      <c r="DM30">
        <v>1143642</v>
      </c>
      <c r="DN30">
        <v>59243</v>
      </c>
      <c r="DO30">
        <v>7562</v>
      </c>
      <c r="DP30">
        <v>7743</v>
      </c>
      <c r="DQ30">
        <v>784262</v>
      </c>
      <c r="DR30">
        <v>3893</v>
      </c>
    </row>
    <row r="31" spans="1:122" x14ac:dyDescent="0.4">
      <c r="A31" s="1" t="s">
        <v>50</v>
      </c>
      <c r="B31" s="1" t="s">
        <v>51</v>
      </c>
      <c r="C31">
        <v>4632</v>
      </c>
      <c r="D31">
        <v>5114</v>
      </c>
      <c r="E31">
        <v>2663974</v>
      </c>
      <c r="F31">
        <v>17137</v>
      </c>
      <c r="G31">
        <v>70450</v>
      </c>
      <c r="H31">
        <v>71842</v>
      </c>
      <c r="I31">
        <v>37432942</v>
      </c>
      <c r="J31">
        <v>142236</v>
      </c>
      <c r="K31">
        <v>6332</v>
      </c>
      <c r="L31">
        <v>7826</v>
      </c>
      <c r="M31">
        <v>6998239</v>
      </c>
      <c r="N31">
        <v>23385</v>
      </c>
      <c r="O31">
        <v>20778</v>
      </c>
      <c r="P31">
        <v>16377</v>
      </c>
      <c r="Q31">
        <v>22324606</v>
      </c>
      <c r="R31">
        <v>26631</v>
      </c>
      <c r="S31">
        <v>39149</v>
      </c>
      <c r="T31">
        <v>54952</v>
      </c>
      <c r="U31">
        <v>31089842</v>
      </c>
      <c r="V31">
        <v>66390</v>
      </c>
      <c r="W31">
        <v>14144</v>
      </c>
      <c r="X31">
        <v>12750</v>
      </c>
      <c r="Y31">
        <v>6487028</v>
      </c>
      <c r="Z31">
        <v>21228</v>
      </c>
      <c r="AA31">
        <v>4137</v>
      </c>
      <c r="AB31">
        <v>4130</v>
      </c>
      <c r="AC31">
        <v>3502662</v>
      </c>
      <c r="AD31">
        <v>8146</v>
      </c>
      <c r="AE31">
        <v>730</v>
      </c>
      <c r="AF31">
        <v>696</v>
      </c>
      <c r="AG31">
        <v>445265</v>
      </c>
      <c r="AH31">
        <v>3336</v>
      </c>
      <c r="AI31">
        <v>3225</v>
      </c>
      <c r="AJ31">
        <v>3375</v>
      </c>
      <c r="AK31">
        <v>6269924</v>
      </c>
      <c r="AL31">
        <v>2749</v>
      </c>
      <c r="AM31">
        <v>19746</v>
      </c>
      <c r="AN31">
        <v>19261</v>
      </c>
      <c r="AO31">
        <v>7477096</v>
      </c>
      <c r="AP31">
        <v>22573</v>
      </c>
      <c r="AQ31">
        <v>2676</v>
      </c>
      <c r="AR31">
        <v>2795</v>
      </c>
      <c r="AS31">
        <v>3220703</v>
      </c>
      <c r="AT31">
        <v>6202</v>
      </c>
      <c r="AU31">
        <v>34051</v>
      </c>
      <c r="AV31">
        <v>38190</v>
      </c>
      <c r="AW31">
        <v>68857644</v>
      </c>
      <c r="AX31">
        <v>12665</v>
      </c>
      <c r="AY31">
        <v>6604</v>
      </c>
      <c r="AZ31">
        <v>7312</v>
      </c>
      <c r="BA31">
        <v>15316620</v>
      </c>
      <c r="BB31">
        <v>2557</v>
      </c>
      <c r="BC31">
        <v>2930</v>
      </c>
      <c r="BD31">
        <v>3708</v>
      </c>
      <c r="BE31">
        <v>11804441</v>
      </c>
      <c r="BF31">
        <v>2109</v>
      </c>
      <c r="BG31">
        <v>19387</v>
      </c>
      <c r="BH31">
        <v>20158</v>
      </c>
      <c r="BI31">
        <v>24709292</v>
      </c>
      <c r="BJ31">
        <v>23128</v>
      </c>
      <c r="BK31">
        <v>55286</v>
      </c>
      <c r="BL31">
        <v>57490</v>
      </c>
      <c r="BM31">
        <v>25988211</v>
      </c>
      <c r="BN31">
        <v>55038</v>
      </c>
      <c r="BO31">
        <v>25295</v>
      </c>
      <c r="BP31">
        <v>24481</v>
      </c>
      <c r="BQ31">
        <v>11352403</v>
      </c>
      <c r="BR31">
        <v>27121</v>
      </c>
      <c r="BS31">
        <v>1288</v>
      </c>
      <c r="BT31">
        <v>1310</v>
      </c>
      <c r="BU31">
        <v>2244878</v>
      </c>
      <c r="BV31">
        <v>2199</v>
      </c>
      <c r="BW31">
        <v>10290</v>
      </c>
      <c r="BX31">
        <v>11501</v>
      </c>
      <c r="BY31">
        <v>4150648</v>
      </c>
      <c r="BZ31">
        <v>12264</v>
      </c>
      <c r="CA31">
        <v>5299</v>
      </c>
      <c r="CB31">
        <v>6436</v>
      </c>
      <c r="CC31">
        <v>5865228</v>
      </c>
      <c r="CD31">
        <v>8058</v>
      </c>
      <c r="CE31">
        <v>6246</v>
      </c>
      <c r="CF31">
        <v>4812</v>
      </c>
      <c r="CG31">
        <v>3741254</v>
      </c>
      <c r="CH31">
        <v>6763</v>
      </c>
      <c r="CI31">
        <v>2065</v>
      </c>
      <c r="CJ31">
        <v>2338</v>
      </c>
      <c r="CK31">
        <v>2459335</v>
      </c>
      <c r="CL31">
        <v>1825</v>
      </c>
      <c r="CM31">
        <v>8182</v>
      </c>
      <c r="CN31">
        <v>10690</v>
      </c>
      <c r="CO31">
        <v>7783310</v>
      </c>
      <c r="CP31">
        <v>13983</v>
      </c>
      <c r="CQ31">
        <v>4488</v>
      </c>
      <c r="CR31">
        <v>4647</v>
      </c>
      <c r="CS31">
        <v>6618914</v>
      </c>
      <c r="CT31">
        <v>4048</v>
      </c>
      <c r="CU31">
        <v>1271</v>
      </c>
      <c r="CV31">
        <v>1742</v>
      </c>
      <c r="CW31">
        <v>1998814</v>
      </c>
      <c r="CX31">
        <v>4262</v>
      </c>
      <c r="CY31">
        <v>3192</v>
      </c>
      <c r="CZ31">
        <v>3281</v>
      </c>
      <c r="DA31">
        <v>2470057</v>
      </c>
      <c r="DB31">
        <v>4314</v>
      </c>
      <c r="DC31">
        <v>255</v>
      </c>
      <c r="DD31">
        <v>253</v>
      </c>
      <c r="DE31">
        <v>1027961</v>
      </c>
      <c r="DF31">
        <v>17</v>
      </c>
      <c r="DG31">
        <v>14593</v>
      </c>
      <c r="DH31">
        <v>18044</v>
      </c>
      <c r="DI31">
        <v>18483733</v>
      </c>
      <c r="DJ31">
        <v>19775</v>
      </c>
      <c r="DK31">
        <v>69176</v>
      </c>
      <c r="DL31">
        <v>70859</v>
      </c>
      <c r="DM31">
        <v>879753</v>
      </c>
      <c r="DN31">
        <v>57898</v>
      </c>
      <c r="DO31">
        <v>5813</v>
      </c>
      <c r="DP31">
        <v>5813</v>
      </c>
      <c r="DQ31">
        <v>659962</v>
      </c>
      <c r="DR31">
        <v>3961</v>
      </c>
    </row>
    <row r="32" spans="1:122" x14ac:dyDescent="0.4">
      <c r="A32" s="1" t="s">
        <v>52</v>
      </c>
      <c r="B32" s="1" t="s">
        <v>53</v>
      </c>
      <c r="C32">
        <v>6851</v>
      </c>
      <c r="D32">
        <v>7799</v>
      </c>
      <c r="E32">
        <v>4012362</v>
      </c>
      <c r="F32">
        <v>16173</v>
      </c>
      <c r="G32">
        <v>90076</v>
      </c>
      <c r="H32">
        <v>84283</v>
      </c>
      <c r="I32">
        <v>43202082</v>
      </c>
      <c r="J32">
        <v>146845</v>
      </c>
      <c r="K32">
        <v>9457</v>
      </c>
      <c r="L32">
        <v>9601</v>
      </c>
      <c r="M32">
        <v>8231959</v>
      </c>
      <c r="N32">
        <v>24155</v>
      </c>
      <c r="O32">
        <v>21197</v>
      </c>
      <c r="P32">
        <v>18761</v>
      </c>
      <c r="Q32">
        <v>25301319</v>
      </c>
      <c r="R32">
        <v>26448</v>
      </c>
      <c r="S32">
        <v>49095</v>
      </c>
      <c r="T32">
        <v>56955</v>
      </c>
      <c r="U32">
        <v>31260543</v>
      </c>
      <c r="V32">
        <v>67462</v>
      </c>
      <c r="W32">
        <v>18245</v>
      </c>
      <c r="X32">
        <v>16360</v>
      </c>
      <c r="Y32">
        <v>8165111</v>
      </c>
      <c r="Z32">
        <v>21252</v>
      </c>
      <c r="AA32">
        <v>5657</v>
      </c>
      <c r="AB32">
        <v>5403</v>
      </c>
      <c r="AC32">
        <v>4440771</v>
      </c>
      <c r="AD32">
        <v>8130</v>
      </c>
      <c r="AE32">
        <v>919</v>
      </c>
      <c r="AF32">
        <v>795</v>
      </c>
      <c r="AG32">
        <v>528165</v>
      </c>
      <c r="AH32">
        <v>3426</v>
      </c>
      <c r="AI32">
        <v>4279</v>
      </c>
      <c r="AJ32">
        <v>4319</v>
      </c>
      <c r="AK32">
        <v>8284269</v>
      </c>
      <c r="AL32">
        <v>2702</v>
      </c>
      <c r="AM32">
        <v>29542</v>
      </c>
      <c r="AN32">
        <v>26813</v>
      </c>
      <c r="AO32">
        <v>10206714</v>
      </c>
      <c r="AP32">
        <v>22880</v>
      </c>
      <c r="AQ32">
        <v>3856</v>
      </c>
      <c r="AR32">
        <v>3980</v>
      </c>
      <c r="AS32">
        <v>4298694</v>
      </c>
      <c r="AT32">
        <v>6115</v>
      </c>
      <c r="AU32">
        <v>46807</v>
      </c>
      <c r="AV32">
        <v>52162</v>
      </c>
      <c r="AW32">
        <v>92576628</v>
      </c>
      <c r="AX32">
        <v>12666</v>
      </c>
      <c r="AY32">
        <v>8043</v>
      </c>
      <c r="AZ32">
        <v>8537</v>
      </c>
      <c r="BA32">
        <v>17965199</v>
      </c>
      <c r="BB32">
        <v>2678</v>
      </c>
      <c r="BC32">
        <v>3613</v>
      </c>
      <c r="BD32">
        <v>4652</v>
      </c>
      <c r="BE32">
        <v>14499688</v>
      </c>
      <c r="BF32">
        <v>2031</v>
      </c>
      <c r="BG32">
        <v>23061</v>
      </c>
      <c r="BH32">
        <v>22919</v>
      </c>
      <c r="BI32">
        <v>26059648</v>
      </c>
      <c r="BJ32">
        <v>24257</v>
      </c>
      <c r="BK32">
        <v>58970</v>
      </c>
      <c r="BL32">
        <v>57560</v>
      </c>
      <c r="BM32">
        <v>28332509</v>
      </c>
      <c r="BN32">
        <v>56268</v>
      </c>
      <c r="BO32">
        <v>29481</v>
      </c>
      <c r="BP32">
        <v>28392</v>
      </c>
      <c r="BQ32">
        <v>14332006</v>
      </c>
      <c r="BR32">
        <v>28457</v>
      </c>
      <c r="BS32">
        <v>1550</v>
      </c>
      <c r="BT32">
        <v>1616</v>
      </c>
      <c r="BU32">
        <v>2683367</v>
      </c>
      <c r="BV32">
        <v>2171</v>
      </c>
      <c r="BW32">
        <v>13819</v>
      </c>
      <c r="BX32">
        <v>13235</v>
      </c>
      <c r="BY32">
        <v>4666241</v>
      </c>
      <c r="BZ32">
        <v>13126</v>
      </c>
      <c r="CA32">
        <v>7452</v>
      </c>
      <c r="CB32">
        <v>7415</v>
      </c>
      <c r="CC32">
        <v>6862544</v>
      </c>
      <c r="CD32">
        <v>8265</v>
      </c>
      <c r="CE32">
        <v>6796</v>
      </c>
      <c r="CF32">
        <v>5562</v>
      </c>
      <c r="CG32">
        <v>4357927</v>
      </c>
      <c r="CH32">
        <v>6558</v>
      </c>
      <c r="CI32">
        <v>2303</v>
      </c>
      <c r="CJ32">
        <v>2536</v>
      </c>
      <c r="CK32">
        <v>2798098</v>
      </c>
      <c r="CL32">
        <v>1784</v>
      </c>
      <c r="CM32">
        <v>10322</v>
      </c>
      <c r="CN32">
        <v>12098</v>
      </c>
      <c r="CO32">
        <v>8736893</v>
      </c>
      <c r="CP32">
        <v>14661</v>
      </c>
      <c r="CQ32">
        <v>5450</v>
      </c>
      <c r="CR32">
        <v>5604</v>
      </c>
      <c r="CS32">
        <v>8332405</v>
      </c>
      <c r="CT32">
        <v>3931</v>
      </c>
      <c r="CU32">
        <v>1579</v>
      </c>
      <c r="CV32">
        <v>2045</v>
      </c>
      <c r="CW32">
        <v>2324898</v>
      </c>
      <c r="CX32">
        <v>4251</v>
      </c>
      <c r="CY32">
        <v>3770</v>
      </c>
      <c r="CZ32">
        <v>3750</v>
      </c>
      <c r="DA32">
        <v>2698850</v>
      </c>
      <c r="DB32">
        <v>4335</v>
      </c>
      <c r="DC32">
        <v>305</v>
      </c>
      <c r="DD32">
        <v>308</v>
      </c>
      <c r="DE32">
        <v>1360059</v>
      </c>
      <c r="DF32">
        <v>12</v>
      </c>
      <c r="DG32">
        <v>17047</v>
      </c>
      <c r="DH32">
        <v>18341</v>
      </c>
      <c r="DI32">
        <v>19609061</v>
      </c>
      <c r="DJ32">
        <v>20471</v>
      </c>
      <c r="DK32">
        <v>82269</v>
      </c>
      <c r="DL32">
        <v>84545</v>
      </c>
      <c r="DM32">
        <v>1060214</v>
      </c>
      <c r="DN32">
        <v>56069</v>
      </c>
      <c r="DO32">
        <v>7675</v>
      </c>
      <c r="DP32">
        <v>7445</v>
      </c>
      <c r="DQ32">
        <v>767708</v>
      </c>
      <c r="DR32">
        <v>4275</v>
      </c>
    </row>
    <row r="33" spans="1:122" x14ac:dyDescent="0.4">
      <c r="A33" s="1" t="s">
        <v>54</v>
      </c>
      <c r="B33" s="1" t="s">
        <v>55</v>
      </c>
      <c r="C33">
        <v>7064</v>
      </c>
      <c r="D33">
        <v>6934</v>
      </c>
      <c r="E33">
        <v>3756007</v>
      </c>
      <c r="F33">
        <v>16213</v>
      </c>
      <c r="G33">
        <v>91231</v>
      </c>
      <c r="H33">
        <v>90303</v>
      </c>
      <c r="I33">
        <v>46315827</v>
      </c>
      <c r="J33">
        <v>146086</v>
      </c>
      <c r="K33">
        <v>9446</v>
      </c>
      <c r="L33">
        <v>9864</v>
      </c>
      <c r="M33">
        <v>8714228</v>
      </c>
      <c r="N33">
        <v>24791</v>
      </c>
      <c r="O33">
        <v>21679</v>
      </c>
      <c r="P33">
        <v>19700</v>
      </c>
      <c r="Q33">
        <v>27156948</v>
      </c>
      <c r="R33">
        <v>26199</v>
      </c>
      <c r="S33">
        <v>47635</v>
      </c>
      <c r="T33">
        <v>57185</v>
      </c>
      <c r="U33">
        <v>31756399</v>
      </c>
      <c r="V33">
        <v>65872</v>
      </c>
      <c r="W33">
        <v>18780</v>
      </c>
      <c r="X33">
        <v>17099</v>
      </c>
      <c r="Y33">
        <v>8422982</v>
      </c>
      <c r="Z33">
        <v>21108</v>
      </c>
      <c r="AA33">
        <v>5416</v>
      </c>
      <c r="AB33">
        <v>4892</v>
      </c>
      <c r="AC33">
        <v>4227884</v>
      </c>
      <c r="AD33">
        <v>8409</v>
      </c>
      <c r="AE33">
        <v>727</v>
      </c>
      <c r="AF33">
        <v>684</v>
      </c>
      <c r="AG33">
        <v>506515</v>
      </c>
      <c r="AH33">
        <v>3458</v>
      </c>
      <c r="AI33">
        <v>4557</v>
      </c>
      <c r="AJ33">
        <v>4699</v>
      </c>
      <c r="AK33">
        <v>8350809</v>
      </c>
      <c r="AL33">
        <v>2574</v>
      </c>
      <c r="AM33">
        <v>31471</v>
      </c>
      <c r="AN33">
        <v>28458</v>
      </c>
      <c r="AO33">
        <v>10772869</v>
      </c>
      <c r="AP33">
        <v>23220</v>
      </c>
      <c r="AQ33">
        <v>4043</v>
      </c>
      <c r="AR33">
        <v>3911</v>
      </c>
      <c r="AS33">
        <v>3997375</v>
      </c>
      <c r="AT33">
        <v>6240</v>
      </c>
      <c r="AU33">
        <v>50974</v>
      </c>
      <c r="AV33">
        <v>56825</v>
      </c>
      <c r="AW33">
        <v>100800101</v>
      </c>
      <c r="AX33">
        <v>12525</v>
      </c>
      <c r="AY33">
        <v>8454</v>
      </c>
      <c r="AZ33">
        <v>9103</v>
      </c>
      <c r="BA33">
        <v>19026078</v>
      </c>
      <c r="BB33">
        <v>2713</v>
      </c>
      <c r="BC33">
        <v>3755</v>
      </c>
      <c r="BD33">
        <v>4678</v>
      </c>
      <c r="BE33">
        <v>14600495</v>
      </c>
      <c r="BF33">
        <v>2019</v>
      </c>
      <c r="BG33">
        <v>23663</v>
      </c>
      <c r="BH33">
        <v>23792</v>
      </c>
      <c r="BI33">
        <v>27415652</v>
      </c>
      <c r="BJ33">
        <v>24507</v>
      </c>
      <c r="BK33">
        <v>57090</v>
      </c>
      <c r="BL33">
        <v>55081</v>
      </c>
      <c r="BM33">
        <v>27531233</v>
      </c>
      <c r="BN33">
        <v>58009</v>
      </c>
      <c r="BO33">
        <v>29699</v>
      </c>
      <c r="BP33">
        <v>31638</v>
      </c>
      <c r="BQ33">
        <v>14921368</v>
      </c>
      <c r="BR33">
        <v>26801</v>
      </c>
      <c r="BS33">
        <v>1565</v>
      </c>
      <c r="BT33">
        <v>1621</v>
      </c>
      <c r="BU33">
        <v>2652706</v>
      </c>
      <c r="BV33">
        <v>2180</v>
      </c>
      <c r="BW33">
        <v>14194</v>
      </c>
      <c r="BX33">
        <v>14053</v>
      </c>
      <c r="BY33">
        <v>5102719</v>
      </c>
      <c r="BZ33">
        <v>13508</v>
      </c>
      <c r="CA33">
        <v>8102</v>
      </c>
      <c r="CB33">
        <v>8354</v>
      </c>
      <c r="CC33">
        <v>7863451</v>
      </c>
      <c r="CD33">
        <v>8167</v>
      </c>
      <c r="CE33">
        <v>7302</v>
      </c>
      <c r="CF33">
        <v>6052</v>
      </c>
      <c r="CG33">
        <v>4783192</v>
      </c>
      <c r="CH33">
        <v>6085</v>
      </c>
      <c r="CI33">
        <v>2611</v>
      </c>
      <c r="CJ33">
        <v>2816</v>
      </c>
      <c r="CK33">
        <v>3025606</v>
      </c>
      <c r="CL33">
        <v>1863</v>
      </c>
      <c r="CM33">
        <v>10626</v>
      </c>
      <c r="CN33">
        <v>13119</v>
      </c>
      <c r="CO33">
        <v>9441736</v>
      </c>
      <c r="CP33">
        <v>14709</v>
      </c>
      <c r="CQ33">
        <v>5414</v>
      </c>
      <c r="CR33">
        <v>5620</v>
      </c>
      <c r="CS33">
        <v>7749061</v>
      </c>
      <c r="CT33">
        <v>3706</v>
      </c>
      <c r="CU33">
        <v>1525</v>
      </c>
      <c r="CV33">
        <v>1999</v>
      </c>
      <c r="CW33">
        <v>2369462</v>
      </c>
      <c r="CX33">
        <v>4245</v>
      </c>
      <c r="CY33">
        <v>3795</v>
      </c>
      <c r="CZ33">
        <v>3745</v>
      </c>
      <c r="DA33">
        <v>2634838</v>
      </c>
      <c r="DB33">
        <v>4403</v>
      </c>
      <c r="DC33">
        <v>376</v>
      </c>
      <c r="DD33">
        <v>374</v>
      </c>
      <c r="DE33">
        <v>1545601</v>
      </c>
      <c r="DF33">
        <v>13</v>
      </c>
      <c r="DG33">
        <v>16842</v>
      </c>
      <c r="DH33">
        <v>18931</v>
      </c>
      <c r="DI33">
        <v>20890364</v>
      </c>
      <c r="DJ33">
        <v>20312</v>
      </c>
      <c r="DK33">
        <v>89995</v>
      </c>
      <c r="DL33">
        <v>93678</v>
      </c>
      <c r="DM33">
        <v>1141757</v>
      </c>
      <c r="DN33">
        <v>52902</v>
      </c>
      <c r="DO33">
        <v>6806</v>
      </c>
      <c r="DP33">
        <v>6983</v>
      </c>
      <c r="DQ33">
        <v>769654</v>
      </c>
      <c r="DR33">
        <v>4185</v>
      </c>
    </row>
    <row r="34" spans="1:122" x14ac:dyDescent="0.4">
      <c r="A34" s="1" t="s">
        <v>56</v>
      </c>
      <c r="B34" s="1" t="s">
        <v>57</v>
      </c>
      <c r="C34">
        <v>5628</v>
      </c>
      <c r="D34">
        <v>5451</v>
      </c>
      <c r="E34">
        <v>2990548</v>
      </c>
      <c r="F34">
        <v>16365</v>
      </c>
      <c r="G34">
        <v>87506</v>
      </c>
      <c r="H34">
        <v>83921</v>
      </c>
      <c r="I34">
        <v>43203388</v>
      </c>
      <c r="J34">
        <v>148293</v>
      </c>
      <c r="K34">
        <v>8866</v>
      </c>
      <c r="L34">
        <v>9277</v>
      </c>
      <c r="M34">
        <v>8124644</v>
      </c>
      <c r="N34">
        <v>25332</v>
      </c>
      <c r="O34">
        <v>19500</v>
      </c>
      <c r="P34">
        <v>16444</v>
      </c>
      <c r="Q34">
        <v>23842971</v>
      </c>
      <c r="R34">
        <v>26093</v>
      </c>
      <c r="S34">
        <v>45339</v>
      </c>
      <c r="T34">
        <v>52406</v>
      </c>
      <c r="U34">
        <v>29403523</v>
      </c>
      <c r="V34">
        <v>68703</v>
      </c>
      <c r="W34">
        <v>18514</v>
      </c>
      <c r="X34">
        <v>15849</v>
      </c>
      <c r="Y34">
        <v>7763431</v>
      </c>
      <c r="Z34">
        <v>22083</v>
      </c>
      <c r="AA34">
        <v>5291</v>
      </c>
      <c r="AB34">
        <v>4612</v>
      </c>
      <c r="AC34">
        <v>4052414</v>
      </c>
      <c r="AD34">
        <v>8675</v>
      </c>
      <c r="AE34">
        <v>666</v>
      </c>
      <c r="AF34">
        <v>813</v>
      </c>
      <c r="AG34">
        <v>537474</v>
      </c>
      <c r="AH34">
        <v>3298</v>
      </c>
      <c r="AI34">
        <v>4290</v>
      </c>
      <c r="AJ34">
        <v>4168</v>
      </c>
      <c r="AK34">
        <v>7404598</v>
      </c>
      <c r="AL34">
        <v>2731</v>
      </c>
      <c r="AM34">
        <v>25436</v>
      </c>
      <c r="AN34">
        <v>25128</v>
      </c>
      <c r="AO34">
        <v>9672177</v>
      </c>
      <c r="AP34">
        <v>21503</v>
      </c>
      <c r="AQ34">
        <v>3631</v>
      </c>
      <c r="AR34">
        <v>3776</v>
      </c>
      <c r="AS34">
        <v>3549101</v>
      </c>
      <c r="AT34">
        <v>6154</v>
      </c>
      <c r="AU34">
        <v>43485</v>
      </c>
      <c r="AV34">
        <v>47927</v>
      </c>
      <c r="AW34">
        <v>87194882</v>
      </c>
      <c r="AX34">
        <v>12808</v>
      </c>
      <c r="AY34">
        <v>7697</v>
      </c>
      <c r="AZ34">
        <v>8364</v>
      </c>
      <c r="BA34">
        <v>17290952</v>
      </c>
      <c r="BB34">
        <v>2679</v>
      </c>
      <c r="BC34">
        <v>3360</v>
      </c>
      <c r="BD34">
        <v>4165</v>
      </c>
      <c r="BE34">
        <v>13177697</v>
      </c>
      <c r="BF34">
        <v>2023</v>
      </c>
      <c r="BG34">
        <v>22131</v>
      </c>
      <c r="BH34">
        <v>22458</v>
      </c>
      <c r="BI34">
        <v>25243523</v>
      </c>
      <c r="BJ34">
        <v>24601</v>
      </c>
      <c r="BK34">
        <v>53663</v>
      </c>
      <c r="BL34">
        <v>52644</v>
      </c>
      <c r="BM34">
        <v>26176347</v>
      </c>
      <c r="BN34">
        <v>59736</v>
      </c>
      <c r="BO34">
        <v>29389</v>
      </c>
      <c r="BP34">
        <v>29095</v>
      </c>
      <c r="BQ34">
        <v>14243268</v>
      </c>
      <c r="BR34">
        <v>27449</v>
      </c>
      <c r="BS34">
        <v>1488</v>
      </c>
      <c r="BT34">
        <v>1517</v>
      </c>
      <c r="BU34">
        <v>2618910</v>
      </c>
      <c r="BV34">
        <v>2211</v>
      </c>
      <c r="BW34">
        <v>13826</v>
      </c>
      <c r="BX34">
        <v>13351</v>
      </c>
      <c r="BY34">
        <v>4986401</v>
      </c>
      <c r="BZ34">
        <v>13698</v>
      </c>
      <c r="CA34">
        <v>7750</v>
      </c>
      <c r="CB34">
        <v>7787</v>
      </c>
      <c r="CC34">
        <v>6945482</v>
      </c>
      <c r="CD34">
        <v>8334</v>
      </c>
      <c r="CE34">
        <v>7435</v>
      </c>
      <c r="CF34">
        <v>5614</v>
      </c>
      <c r="CG34">
        <v>4366122</v>
      </c>
      <c r="CH34">
        <v>6557</v>
      </c>
      <c r="CI34">
        <v>2352</v>
      </c>
      <c r="CJ34">
        <v>2607</v>
      </c>
      <c r="CK34">
        <v>2822427</v>
      </c>
      <c r="CL34">
        <v>1847</v>
      </c>
      <c r="CM34">
        <v>10185</v>
      </c>
      <c r="CN34">
        <v>12409</v>
      </c>
      <c r="CO34">
        <v>9002351</v>
      </c>
      <c r="CP34">
        <v>15043</v>
      </c>
      <c r="CQ34">
        <v>5229</v>
      </c>
      <c r="CR34">
        <v>5161</v>
      </c>
      <c r="CS34">
        <v>7048089</v>
      </c>
      <c r="CT34">
        <v>3772</v>
      </c>
      <c r="CU34">
        <v>1478</v>
      </c>
      <c r="CV34">
        <v>1956</v>
      </c>
      <c r="CW34">
        <v>2351993</v>
      </c>
      <c r="CX34">
        <v>4249</v>
      </c>
      <c r="CY34">
        <v>3586</v>
      </c>
      <c r="CZ34">
        <v>3493</v>
      </c>
      <c r="DA34">
        <v>2454986</v>
      </c>
      <c r="DB34">
        <v>4482</v>
      </c>
      <c r="DC34">
        <v>301</v>
      </c>
      <c r="DD34">
        <v>299</v>
      </c>
      <c r="DE34">
        <v>1353047</v>
      </c>
      <c r="DF34">
        <v>16</v>
      </c>
      <c r="DG34">
        <v>15800</v>
      </c>
      <c r="DH34">
        <v>17092</v>
      </c>
      <c r="DI34">
        <v>18750192</v>
      </c>
      <c r="DJ34">
        <v>20963</v>
      </c>
      <c r="DK34">
        <v>78562</v>
      </c>
      <c r="DL34">
        <v>78746</v>
      </c>
      <c r="DM34">
        <v>1008708</v>
      </c>
      <c r="DN34">
        <v>53229</v>
      </c>
      <c r="DO34">
        <v>6914</v>
      </c>
      <c r="DP34">
        <v>7245</v>
      </c>
      <c r="DQ34">
        <v>854324</v>
      </c>
      <c r="DR34">
        <v>3936</v>
      </c>
    </row>
    <row r="35" spans="1:122" x14ac:dyDescent="0.4">
      <c r="A35" s="1" t="s">
        <v>58</v>
      </c>
      <c r="B35" s="1" t="s">
        <v>59</v>
      </c>
      <c r="C35">
        <v>5250</v>
      </c>
      <c r="D35">
        <v>4951</v>
      </c>
      <c r="E35">
        <v>2572287</v>
      </c>
      <c r="F35">
        <v>16642</v>
      </c>
      <c r="G35">
        <v>74530</v>
      </c>
      <c r="H35">
        <v>82683</v>
      </c>
      <c r="I35">
        <v>43365002</v>
      </c>
      <c r="J35">
        <v>139905</v>
      </c>
      <c r="K35">
        <v>7473</v>
      </c>
      <c r="L35">
        <v>9280</v>
      </c>
      <c r="M35">
        <v>8113263</v>
      </c>
      <c r="N35">
        <v>24373</v>
      </c>
      <c r="O35">
        <v>22270</v>
      </c>
      <c r="P35">
        <v>19691</v>
      </c>
      <c r="Q35">
        <v>26382336</v>
      </c>
      <c r="R35">
        <v>25357</v>
      </c>
      <c r="S35">
        <v>46418</v>
      </c>
      <c r="T35">
        <v>59868</v>
      </c>
      <c r="U35">
        <v>35477099</v>
      </c>
      <c r="V35">
        <v>64955</v>
      </c>
      <c r="W35">
        <v>17074</v>
      </c>
      <c r="X35">
        <v>16058</v>
      </c>
      <c r="Y35">
        <v>7812294</v>
      </c>
      <c r="Z35">
        <v>21259</v>
      </c>
      <c r="AA35">
        <v>4877</v>
      </c>
      <c r="AB35">
        <v>4434</v>
      </c>
      <c r="AC35">
        <v>3823327</v>
      </c>
      <c r="AD35">
        <v>8831</v>
      </c>
      <c r="AE35">
        <v>630</v>
      </c>
      <c r="AF35">
        <v>826</v>
      </c>
      <c r="AG35">
        <v>528810</v>
      </c>
      <c r="AH35">
        <v>3113</v>
      </c>
      <c r="AI35">
        <v>4178</v>
      </c>
      <c r="AJ35">
        <v>4248</v>
      </c>
      <c r="AK35">
        <v>7858629</v>
      </c>
      <c r="AL35">
        <v>2696</v>
      </c>
      <c r="AM35">
        <v>27389</v>
      </c>
      <c r="AN35">
        <v>27017</v>
      </c>
      <c r="AO35">
        <v>10290245</v>
      </c>
      <c r="AP35">
        <v>20729</v>
      </c>
      <c r="AQ35">
        <v>3597</v>
      </c>
      <c r="AR35">
        <v>3776</v>
      </c>
      <c r="AS35">
        <v>3742107</v>
      </c>
      <c r="AT35">
        <v>6058</v>
      </c>
      <c r="AU35">
        <v>44158</v>
      </c>
      <c r="AV35">
        <v>48504</v>
      </c>
      <c r="AW35">
        <v>87775541</v>
      </c>
      <c r="AX35">
        <v>13101</v>
      </c>
      <c r="AY35">
        <v>7841</v>
      </c>
      <c r="AZ35">
        <v>8351</v>
      </c>
      <c r="BA35">
        <v>17591455</v>
      </c>
      <c r="BB35">
        <v>2810</v>
      </c>
      <c r="BC35">
        <v>3502</v>
      </c>
      <c r="BD35">
        <v>4304</v>
      </c>
      <c r="BE35">
        <v>12924051</v>
      </c>
      <c r="BF35">
        <v>2119</v>
      </c>
      <c r="BG35">
        <v>22359</v>
      </c>
      <c r="BH35">
        <v>23794</v>
      </c>
      <c r="BI35">
        <v>26861673</v>
      </c>
      <c r="BJ35">
        <v>24135</v>
      </c>
      <c r="BK35">
        <v>50562</v>
      </c>
      <c r="BL35">
        <v>52153</v>
      </c>
      <c r="BM35">
        <v>25402520</v>
      </c>
      <c r="BN35">
        <v>57926</v>
      </c>
      <c r="BO35">
        <v>25536</v>
      </c>
      <c r="BP35">
        <v>29949</v>
      </c>
      <c r="BQ35">
        <v>14172348</v>
      </c>
      <c r="BR35">
        <v>23297</v>
      </c>
      <c r="BS35">
        <v>1568</v>
      </c>
      <c r="BT35">
        <v>1636</v>
      </c>
      <c r="BU35">
        <v>2689344</v>
      </c>
      <c r="BV35">
        <v>2228</v>
      </c>
      <c r="BW35">
        <v>12775</v>
      </c>
      <c r="BX35">
        <v>12827</v>
      </c>
      <c r="BY35">
        <v>4711363</v>
      </c>
      <c r="BZ35">
        <v>13631</v>
      </c>
      <c r="CA35">
        <v>7017</v>
      </c>
      <c r="CB35">
        <v>7691</v>
      </c>
      <c r="CC35">
        <v>6982160</v>
      </c>
      <c r="CD35">
        <v>7741</v>
      </c>
      <c r="CE35">
        <v>6640</v>
      </c>
      <c r="CF35">
        <v>5347</v>
      </c>
      <c r="CG35">
        <v>4102512</v>
      </c>
      <c r="CH35">
        <v>6296</v>
      </c>
      <c r="CI35">
        <v>2523</v>
      </c>
      <c r="CJ35">
        <v>2797</v>
      </c>
      <c r="CK35">
        <v>3045465</v>
      </c>
      <c r="CL35">
        <v>1853</v>
      </c>
      <c r="CM35">
        <v>9693</v>
      </c>
      <c r="CN35">
        <v>12831</v>
      </c>
      <c r="CO35">
        <v>9511036</v>
      </c>
      <c r="CP35">
        <v>14338</v>
      </c>
      <c r="CQ35">
        <v>5034</v>
      </c>
      <c r="CR35">
        <v>5288</v>
      </c>
      <c r="CS35">
        <v>7927625</v>
      </c>
      <c r="CT35">
        <v>3558</v>
      </c>
      <c r="CU35">
        <v>1568</v>
      </c>
      <c r="CV35">
        <v>1978</v>
      </c>
      <c r="CW35">
        <v>2313419</v>
      </c>
      <c r="CX35">
        <v>4305</v>
      </c>
      <c r="CY35">
        <v>3525</v>
      </c>
      <c r="CZ35">
        <v>3408</v>
      </c>
      <c r="DA35">
        <v>2511574</v>
      </c>
      <c r="DB35">
        <v>4556</v>
      </c>
      <c r="DC35">
        <v>274</v>
      </c>
      <c r="DD35">
        <v>269</v>
      </c>
      <c r="DE35">
        <v>1231091</v>
      </c>
      <c r="DF35">
        <v>19</v>
      </c>
      <c r="DG35">
        <v>15489</v>
      </c>
      <c r="DH35">
        <v>17708</v>
      </c>
      <c r="DI35">
        <v>19735353</v>
      </c>
      <c r="DJ35">
        <v>20665</v>
      </c>
      <c r="DK35">
        <v>81438</v>
      </c>
      <c r="DL35">
        <v>83773</v>
      </c>
      <c r="DM35">
        <v>1057469</v>
      </c>
      <c r="DN35">
        <v>51363</v>
      </c>
      <c r="DO35">
        <v>6401</v>
      </c>
      <c r="DP35">
        <v>6654</v>
      </c>
      <c r="DQ35">
        <v>1049484</v>
      </c>
      <c r="DR35">
        <v>3787</v>
      </c>
    </row>
    <row r="36" spans="1:122" x14ac:dyDescent="0.4">
      <c r="A36" s="1" t="s">
        <v>60</v>
      </c>
      <c r="B36" s="1" t="s">
        <v>61</v>
      </c>
      <c r="C36">
        <v>4724</v>
      </c>
      <c r="D36">
        <v>4760</v>
      </c>
      <c r="E36">
        <v>2481799</v>
      </c>
      <c r="F36">
        <v>16610</v>
      </c>
      <c r="G36">
        <v>75053</v>
      </c>
      <c r="H36">
        <v>76279</v>
      </c>
      <c r="I36">
        <v>38700777</v>
      </c>
      <c r="J36">
        <v>137759</v>
      </c>
      <c r="K36">
        <v>7795</v>
      </c>
      <c r="L36">
        <v>8674</v>
      </c>
      <c r="M36">
        <v>7453369</v>
      </c>
      <c r="N36">
        <v>24309</v>
      </c>
      <c r="O36">
        <v>22197</v>
      </c>
      <c r="P36">
        <v>18691</v>
      </c>
      <c r="Q36">
        <v>26933267</v>
      </c>
      <c r="R36">
        <v>26056</v>
      </c>
      <c r="S36">
        <v>40078</v>
      </c>
      <c r="T36">
        <v>46833</v>
      </c>
      <c r="U36">
        <v>26220389</v>
      </c>
      <c r="V36">
        <v>64987</v>
      </c>
      <c r="W36">
        <v>16268</v>
      </c>
      <c r="X36">
        <v>15210</v>
      </c>
      <c r="Y36">
        <v>7380643</v>
      </c>
      <c r="Z36">
        <v>20558</v>
      </c>
      <c r="AA36">
        <v>4427</v>
      </c>
      <c r="AB36">
        <v>4573</v>
      </c>
      <c r="AC36">
        <v>4012383</v>
      </c>
      <c r="AD36">
        <v>8345</v>
      </c>
      <c r="AE36">
        <v>619</v>
      </c>
      <c r="AF36">
        <v>655</v>
      </c>
      <c r="AG36">
        <v>451840</v>
      </c>
      <c r="AH36">
        <v>3070</v>
      </c>
      <c r="AI36">
        <v>3895</v>
      </c>
      <c r="AJ36">
        <v>4025</v>
      </c>
      <c r="AK36">
        <v>7123697</v>
      </c>
      <c r="AL36">
        <v>2564</v>
      </c>
      <c r="AM36">
        <v>26188</v>
      </c>
      <c r="AN36">
        <v>23401</v>
      </c>
      <c r="AO36">
        <v>8847337</v>
      </c>
      <c r="AP36">
        <v>22093</v>
      </c>
      <c r="AQ36">
        <v>3296</v>
      </c>
      <c r="AR36">
        <v>3287</v>
      </c>
      <c r="AS36">
        <v>3511797</v>
      </c>
      <c r="AT36">
        <v>6108</v>
      </c>
      <c r="AU36">
        <v>42428</v>
      </c>
      <c r="AV36">
        <v>47000</v>
      </c>
      <c r="AW36">
        <v>85205383</v>
      </c>
      <c r="AX36">
        <v>12843</v>
      </c>
      <c r="AY36">
        <v>7501</v>
      </c>
      <c r="AZ36">
        <v>8190</v>
      </c>
      <c r="BA36">
        <v>16876530</v>
      </c>
      <c r="BB36">
        <v>2674</v>
      </c>
      <c r="BC36">
        <v>3312</v>
      </c>
      <c r="BD36">
        <v>4248</v>
      </c>
      <c r="BE36">
        <v>13478288</v>
      </c>
      <c r="BF36">
        <v>2030</v>
      </c>
      <c r="BG36">
        <v>19943</v>
      </c>
      <c r="BH36">
        <v>20198</v>
      </c>
      <c r="BI36">
        <v>23574575</v>
      </c>
      <c r="BJ36">
        <v>23604</v>
      </c>
      <c r="BK36">
        <v>45166</v>
      </c>
      <c r="BL36">
        <v>45572</v>
      </c>
      <c r="BM36">
        <v>22654376</v>
      </c>
      <c r="BN36">
        <v>56704</v>
      </c>
      <c r="BO36">
        <v>25006</v>
      </c>
      <c r="BP36">
        <v>22842</v>
      </c>
      <c r="BQ36">
        <v>11819930</v>
      </c>
      <c r="BR36">
        <v>25620</v>
      </c>
      <c r="BS36">
        <v>1445</v>
      </c>
      <c r="BT36">
        <v>1395</v>
      </c>
      <c r="BU36">
        <v>2156897</v>
      </c>
      <c r="BV36">
        <v>2344</v>
      </c>
      <c r="BW36">
        <v>11184</v>
      </c>
      <c r="BX36">
        <v>11533</v>
      </c>
      <c r="BY36">
        <v>4396989</v>
      </c>
      <c r="BZ36">
        <v>13387</v>
      </c>
      <c r="CA36">
        <v>7166</v>
      </c>
      <c r="CB36">
        <v>6996</v>
      </c>
      <c r="CC36">
        <v>6180985</v>
      </c>
      <c r="CD36">
        <v>8042</v>
      </c>
      <c r="CE36">
        <v>6423</v>
      </c>
      <c r="CF36">
        <v>4876</v>
      </c>
      <c r="CG36">
        <v>3717373</v>
      </c>
      <c r="CH36">
        <v>6443</v>
      </c>
      <c r="CI36">
        <v>2158</v>
      </c>
      <c r="CJ36">
        <v>2325</v>
      </c>
      <c r="CK36">
        <v>2632193</v>
      </c>
      <c r="CL36">
        <v>1879</v>
      </c>
      <c r="CM36">
        <v>9154</v>
      </c>
      <c r="CN36">
        <v>11301</v>
      </c>
      <c r="CO36">
        <v>8081724</v>
      </c>
      <c r="CP36">
        <v>14277</v>
      </c>
      <c r="CQ36">
        <v>5082</v>
      </c>
      <c r="CR36">
        <v>5084</v>
      </c>
      <c r="CS36">
        <v>7041264</v>
      </c>
      <c r="CT36">
        <v>3591</v>
      </c>
      <c r="CU36">
        <v>1484</v>
      </c>
      <c r="CV36">
        <v>2057</v>
      </c>
      <c r="CW36">
        <v>2384422</v>
      </c>
      <c r="CX36">
        <v>4213</v>
      </c>
      <c r="CY36">
        <v>3647</v>
      </c>
      <c r="CZ36">
        <v>3451</v>
      </c>
      <c r="DA36">
        <v>2464503</v>
      </c>
      <c r="DB36">
        <v>4742</v>
      </c>
      <c r="DC36">
        <v>292</v>
      </c>
      <c r="DD36">
        <v>296</v>
      </c>
      <c r="DE36">
        <v>1278113</v>
      </c>
      <c r="DF36">
        <v>14</v>
      </c>
      <c r="DG36">
        <v>14668</v>
      </c>
      <c r="DH36">
        <v>16377</v>
      </c>
      <c r="DI36">
        <v>18313152</v>
      </c>
      <c r="DJ36">
        <v>20457</v>
      </c>
      <c r="DK36">
        <v>80875</v>
      </c>
      <c r="DL36">
        <v>76568</v>
      </c>
      <c r="DM36">
        <v>960376</v>
      </c>
      <c r="DN36">
        <v>56014</v>
      </c>
      <c r="DO36">
        <v>5180</v>
      </c>
      <c r="DP36">
        <v>5293</v>
      </c>
      <c r="DQ36">
        <v>585659</v>
      </c>
      <c r="DR36">
        <v>3749</v>
      </c>
    </row>
    <row r="37" spans="1:122" x14ac:dyDescent="0.4">
      <c r="A37" s="1" t="s">
        <v>62</v>
      </c>
      <c r="B37" s="1" t="s">
        <v>63</v>
      </c>
      <c r="C37">
        <v>6010</v>
      </c>
      <c r="D37">
        <v>5975</v>
      </c>
      <c r="E37">
        <v>3062729</v>
      </c>
      <c r="F37">
        <v>16564</v>
      </c>
      <c r="G37">
        <v>81253</v>
      </c>
      <c r="H37">
        <v>75612</v>
      </c>
      <c r="I37">
        <v>39149961</v>
      </c>
      <c r="J37">
        <v>142033</v>
      </c>
      <c r="K37">
        <v>8111</v>
      </c>
      <c r="L37">
        <v>8654</v>
      </c>
      <c r="M37">
        <v>7472570</v>
      </c>
      <c r="N37">
        <v>24784</v>
      </c>
      <c r="O37">
        <v>20301</v>
      </c>
      <c r="P37">
        <v>17462</v>
      </c>
      <c r="Q37">
        <v>24854323</v>
      </c>
      <c r="R37">
        <v>25715</v>
      </c>
      <c r="S37">
        <v>43612</v>
      </c>
      <c r="T37">
        <v>49817</v>
      </c>
      <c r="U37">
        <v>27770961</v>
      </c>
      <c r="V37">
        <v>67835</v>
      </c>
      <c r="W37">
        <v>16567</v>
      </c>
      <c r="X37">
        <v>15273</v>
      </c>
      <c r="Y37">
        <v>7584761</v>
      </c>
      <c r="Z37">
        <v>20028</v>
      </c>
      <c r="AA37">
        <v>5237</v>
      </c>
      <c r="AB37">
        <v>4970</v>
      </c>
      <c r="AC37">
        <v>4331868</v>
      </c>
      <c r="AD37">
        <v>8371</v>
      </c>
      <c r="AE37">
        <v>628</v>
      </c>
      <c r="AF37">
        <v>668</v>
      </c>
      <c r="AG37">
        <v>441637</v>
      </c>
      <c r="AH37">
        <v>3046</v>
      </c>
      <c r="AI37">
        <v>4018</v>
      </c>
      <c r="AJ37">
        <v>4022</v>
      </c>
      <c r="AK37">
        <v>7130671</v>
      </c>
      <c r="AL37">
        <v>2572</v>
      </c>
      <c r="AM37">
        <v>23479</v>
      </c>
      <c r="AN37">
        <v>22045</v>
      </c>
      <c r="AO37">
        <v>8361039</v>
      </c>
      <c r="AP37">
        <v>21894</v>
      </c>
      <c r="AQ37">
        <v>3601</v>
      </c>
      <c r="AR37">
        <v>3542</v>
      </c>
      <c r="AS37">
        <v>3508838</v>
      </c>
      <c r="AT37">
        <v>6254</v>
      </c>
      <c r="AU37">
        <v>45301</v>
      </c>
      <c r="AV37">
        <v>50386</v>
      </c>
      <c r="AW37">
        <v>91210568</v>
      </c>
      <c r="AX37">
        <v>12828</v>
      </c>
      <c r="AY37">
        <v>7558</v>
      </c>
      <c r="AZ37">
        <v>8109</v>
      </c>
      <c r="BA37">
        <v>16945907</v>
      </c>
      <c r="BB37">
        <v>2681</v>
      </c>
      <c r="BC37">
        <v>3451</v>
      </c>
      <c r="BD37">
        <v>4346</v>
      </c>
      <c r="BE37">
        <v>15032983</v>
      </c>
      <c r="BF37">
        <v>2085</v>
      </c>
      <c r="BG37">
        <v>21737</v>
      </c>
      <c r="BH37">
        <v>21881</v>
      </c>
      <c r="BI37">
        <v>24823572</v>
      </c>
      <c r="BJ37">
        <v>24266</v>
      </c>
      <c r="BK37">
        <v>51931</v>
      </c>
      <c r="BL37">
        <v>50055</v>
      </c>
      <c r="BM37">
        <v>24464450</v>
      </c>
      <c r="BN37">
        <v>58445</v>
      </c>
      <c r="BO37">
        <v>26432</v>
      </c>
      <c r="BP37">
        <v>25376</v>
      </c>
      <c r="BQ37">
        <v>12806090</v>
      </c>
      <c r="BR37">
        <v>26745</v>
      </c>
      <c r="BS37">
        <v>1367</v>
      </c>
      <c r="BT37">
        <v>1373</v>
      </c>
      <c r="BU37">
        <v>2282849</v>
      </c>
      <c r="BV37">
        <v>2358</v>
      </c>
      <c r="BW37">
        <v>12830</v>
      </c>
      <c r="BX37">
        <v>12763</v>
      </c>
      <c r="BY37">
        <v>4789893</v>
      </c>
      <c r="BZ37">
        <v>13660</v>
      </c>
      <c r="CA37">
        <v>7380</v>
      </c>
      <c r="CB37">
        <v>7020</v>
      </c>
      <c r="CC37">
        <v>5905166</v>
      </c>
      <c r="CD37">
        <v>8568</v>
      </c>
      <c r="CE37">
        <v>6026</v>
      </c>
      <c r="CF37">
        <v>4706</v>
      </c>
      <c r="CG37">
        <v>3605972</v>
      </c>
      <c r="CH37">
        <v>6474</v>
      </c>
      <c r="CI37">
        <v>2144</v>
      </c>
      <c r="CJ37">
        <v>2334</v>
      </c>
      <c r="CK37">
        <v>2546423</v>
      </c>
      <c r="CL37">
        <v>1882</v>
      </c>
      <c r="CM37">
        <v>8982</v>
      </c>
      <c r="CN37">
        <v>11923</v>
      </c>
      <c r="CO37">
        <v>8390215</v>
      </c>
      <c r="CP37">
        <v>13754</v>
      </c>
      <c r="CQ37">
        <v>5202</v>
      </c>
      <c r="CR37">
        <v>5202</v>
      </c>
      <c r="CS37">
        <v>7743840</v>
      </c>
      <c r="CT37">
        <v>3595</v>
      </c>
      <c r="CU37">
        <v>1468</v>
      </c>
      <c r="CV37">
        <v>1960</v>
      </c>
      <c r="CW37">
        <v>2268988</v>
      </c>
      <c r="CX37">
        <v>4194</v>
      </c>
      <c r="CY37">
        <v>3612</v>
      </c>
      <c r="CZ37">
        <v>3480</v>
      </c>
      <c r="DA37">
        <v>2607338</v>
      </c>
      <c r="DB37">
        <v>4911</v>
      </c>
      <c r="DC37">
        <v>285</v>
      </c>
      <c r="DD37">
        <v>281</v>
      </c>
      <c r="DE37">
        <v>1422712</v>
      </c>
      <c r="DF37">
        <v>19</v>
      </c>
      <c r="DG37">
        <v>15309</v>
      </c>
      <c r="DH37">
        <v>16813</v>
      </c>
      <c r="DI37">
        <v>18989608</v>
      </c>
      <c r="DJ37">
        <v>20462</v>
      </c>
      <c r="DK37">
        <v>78444</v>
      </c>
      <c r="DL37">
        <v>75684</v>
      </c>
      <c r="DM37">
        <v>957487</v>
      </c>
      <c r="DN37">
        <v>59146</v>
      </c>
      <c r="DO37">
        <v>5853</v>
      </c>
      <c r="DP37">
        <v>5613</v>
      </c>
      <c r="DQ37">
        <v>612463</v>
      </c>
      <c r="DR37">
        <v>4068</v>
      </c>
    </row>
    <row r="38" spans="1:122" x14ac:dyDescent="0.4">
      <c r="A38" s="1" t="s">
        <v>64</v>
      </c>
      <c r="B38" s="1" t="s">
        <v>65</v>
      </c>
      <c r="C38">
        <v>5190</v>
      </c>
      <c r="D38">
        <v>7373</v>
      </c>
      <c r="E38">
        <v>4125103</v>
      </c>
      <c r="F38">
        <v>14364</v>
      </c>
      <c r="G38">
        <v>91369</v>
      </c>
      <c r="H38">
        <v>89822</v>
      </c>
      <c r="I38">
        <v>46771889</v>
      </c>
      <c r="J38">
        <v>142904</v>
      </c>
      <c r="K38">
        <v>8851</v>
      </c>
      <c r="L38">
        <v>9923</v>
      </c>
      <c r="M38">
        <v>8737427</v>
      </c>
      <c r="N38">
        <v>24620</v>
      </c>
      <c r="O38">
        <v>21430</v>
      </c>
      <c r="P38">
        <v>19655</v>
      </c>
      <c r="Q38">
        <v>28900345</v>
      </c>
      <c r="R38">
        <v>24809</v>
      </c>
      <c r="S38">
        <v>47245</v>
      </c>
      <c r="T38">
        <v>54502</v>
      </c>
      <c r="U38">
        <v>30066237</v>
      </c>
      <c r="V38">
        <v>69664</v>
      </c>
      <c r="W38">
        <v>18369</v>
      </c>
      <c r="X38">
        <v>16133</v>
      </c>
      <c r="Y38">
        <v>7995095</v>
      </c>
      <c r="Z38">
        <v>20333</v>
      </c>
      <c r="AA38">
        <v>5421</v>
      </c>
      <c r="AB38">
        <v>4736</v>
      </c>
      <c r="AC38">
        <v>4262249</v>
      </c>
      <c r="AD38">
        <v>8750</v>
      </c>
      <c r="AE38">
        <v>928</v>
      </c>
      <c r="AF38">
        <v>986</v>
      </c>
      <c r="AG38">
        <v>644108</v>
      </c>
      <c r="AH38">
        <v>3011</v>
      </c>
      <c r="AI38">
        <v>4306</v>
      </c>
      <c r="AJ38">
        <v>4358</v>
      </c>
      <c r="AK38">
        <v>8521715</v>
      </c>
      <c r="AL38">
        <v>2542</v>
      </c>
      <c r="AM38">
        <v>27832</v>
      </c>
      <c r="AN38">
        <v>26147</v>
      </c>
      <c r="AO38">
        <v>10056317</v>
      </c>
      <c r="AP38">
        <v>21524</v>
      </c>
      <c r="AQ38">
        <v>3691</v>
      </c>
      <c r="AR38">
        <v>3870</v>
      </c>
      <c r="AS38">
        <v>4453195</v>
      </c>
      <c r="AT38">
        <v>6089</v>
      </c>
      <c r="AU38">
        <v>49802</v>
      </c>
      <c r="AV38">
        <v>55632</v>
      </c>
      <c r="AW38">
        <v>99996394</v>
      </c>
      <c r="AX38">
        <v>12880</v>
      </c>
      <c r="AY38">
        <v>8114</v>
      </c>
      <c r="AZ38">
        <v>8741</v>
      </c>
      <c r="BA38">
        <v>18469487</v>
      </c>
      <c r="BB38">
        <v>2704</v>
      </c>
      <c r="BC38">
        <v>3768</v>
      </c>
      <c r="BD38">
        <v>4745</v>
      </c>
      <c r="BE38">
        <v>16306439</v>
      </c>
      <c r="BF38">
        <v>2098</v>
      </c>
      <c r="BG38">
        <v>23788</v>
      </c>
      <c r="BH38">
        <v>25931</v>
      </c>
      <c r="BI38">
        <v>29339195</v>
      </c>
      <c r="BJ38">
        <v>23135</v>
      </c>
      <c r="BK38">
        <v>56577</v>
      </c>
      <c r="BL38">
        <v>56205</v>
      </c>
      <c r="BM38">
        <v>27206584</v>
      </c>
      <c r="BN38">
        <v>59496</v>
      </c>
      <c r="BO38">
        <v>32133</v>
      </c>
      <c r="BP38">
        <v>32270</v>
      </c>
      <c r="BQ38">
        <v>15502664</v>
      </c>
      <c r="BR38">
        <v>26789</v>
      </c>
      <c r="BS38">
        <v>1468</v>
      </c>
      <c r="BT38">
        <v>1669</v>
      </c>
      <c r="BU38">
        <v>2893069</v>
      </c>
      <c r="BV38">
        <v>2126</v>
      </c>
      <c r="BW38">
        <v>12382</v>
      </c>
      <c r="BX38">
        <v>12535</v>
      </c>
      <c r="BY38">
        <v>4614668</v>
      </c>
      <c r="BZ38">
        <v>13869</v>
      </c>
      <c r="CA38">
        <v>7731</v>
      </c>
      <c r="CB38">
        <v>8013</v>
      </c>
      <c r="CC38">
        <v>6266892</v>
      </c>
      <c r="CD38">
        <v>8525</v>
      </c>
      <c r="CE38">
        <v>6813</v>
      </c>
      <c r="CF38">
        <v>5422</v>
      </c>
      <c r="CG38">
        <v>4128341</v>
      </c>
      <c r="CH38">
        <v>6325</v>
      </c>
      <c r="CI38">
        <v>2185</v>
      </c>
      <c r="CJ38">
        <v>2499</v>
      </c>
      <c r="CK38">
        <v>2751671</v>
      </c>
      <c r="CL38">
        <v>1851</v>
      </c>
      <c r="CM38">
        <v>9982</v>
      </c>
      <c r="CN38">
        <v>12303</v>
      </c>
      <c r="CO38">
        <v>8893187</v>
      </c>
      <c r="CP38">
        <v>14196</v>
      </c>
      <c r="CQ38">
        <v>5505</v>
      </c>
      <c r="CR38">
        <v>5450</v>
      </c>
      <c r="CS38">
        <v>8471194</v>
      </c>
      <c r="CT38">
        <v>3643</v>
      </c>
      <c r="CU38">
        <v>1601</v>
      </c>
      <c r="CV38">
        <v>2222</v>
      </c>
      <c r="CW38">
        <v>2475948</v>
      </c>
      <c r="CX38">
        <v>4052</v>
      </c>
      <c r="CY38">
        <v>3762</v>
      </c>
      <c r="CZ38">
        <v>3785</v>
      </c>
      <c r="DA38">
        <v>3071004</v>
      </c>
      <c r="DB38">
        <v>4896</v>
      </c>
      <c r="DC38">
        <v>331</v>
      </c>
      <c r="DD38">
        <v>335</v>
      </c>
      <c r="DE38">
        <v>1448507</v>
      </c>
      <c r="DF38">
        <v>15</v>
      </c>
      <c r="DG38">
        <v>17257</v>
      </c>
      <c r="DH38">
        <v>18821</v>
      </c>
      <c r="DI38">
        <v>20478301</v>
      </c>
      <c r="DJ38">
        <v>20967</v>
      </c>
      <c r="DK38">
        <v>82920</v>
      </c>
      <c r="DL38">
        <v>78889</v>
      </c>
      <c r="DM38">
        <v>1004667</v>
      </c>
      <c r="DN38">
        <v>63544</v>
      </c>
      <c r="DO38">
        <v>5563</v>
      </c>
      <c r="DP38">
        <v>5306</v>
      </c>
      <c r="DQ38">
        <v>609232</v>
      </c>
      <c r="DR38">
        <v>4376</v>
      </c>
    </row>
    <row r="39" spans="1:122" x14ac:dyDescent="0.4">
      <c r="A39" s="1"/>
      <c r="B39" s="1"/>
    </row>
    <row r="40" spans="1:122" x14ac:dyDescent="0.4">
      <c r="A40" s="1"/>
      <c r="B40" s="1"/>
    </row>
  </sheetData>
  <phoneticPr fontId="2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B7BC-74E1-495C-A607-34CACAA1806B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2945</v>
      </c>
      <c r="D3" t="s">
        <v>2945</v>
      </c>
      <c r="E3" t="s">
        <v>2945</v>
      </c>
      <c r="F3" t="s">
        <v>2945</v>
      </c>
      <c r="G3" t="s">
        <v>2949</v>
      </c>
      <c r="H3" t="s">
        <v>2949</v>
      </c>
      <c r="I3" t="s">
        <v>2949</v>
      </c>
      <c r="J3" t="s">
        <v>2949</v>
      </c>
      <c r="K3" t="s">
        <v>2951</v>
      </c>
      <c r="L3" t="s">
        <v>2951</v>
      </c>
      <c r="M3" t="s">
        <v>2951</v>
      </c>
      <c r="N3" t="s">
        <v>2951</v>
      </c>
      <c r="O3" t="s">
        <v>2953</v>
      </c>
      <c r="P3" t="s">
        <v>2953</v>
      </c>
      <c r="Q3" t="s">
        <v>2953</v>
      </c>
      <c r="R3" t="s">
        <v>2953</v>
      </c>
      <c r="S3" t="s">
        <v>2955</v>
      </c>
      <c r="T3" t="s">
        <v>2955</v>
      </c>
      <c r="U3" t="s">
        <v>2955</v>
      </c>
      <c r="V3" t="s">
        <v>2955</v>
      </c>
      <c r="W3" t="s">
        <v>2957</v>
      </c>
      <c r="X3" t="s">
        <v>2957</v>
      </c>
      <c r="Y3" t="s">
        <v>2957</v>
      </c>
      <c r="Z3" t="s">
        <v>2957</v>
      </c>
      <c r="AA3" t="s">
        <v>2959</v>
      </c>
      <c r="AB3" t="s">
        <v>2959</v>
      </c>
      <c r="AC3" t="s">
        <v>2959</v>
      </c>
      <c r="AD3" t="s">
        <v>2959</v>
      </c>
      <c r="AE3" t="s">
        <v>2961</v>
      </c>
      <c r="AF3" t="s">
        <v>2961</v>
      </c>
      <c r="AG3" t="s">
        <v>2961</v>
      </c>
      <c r="AH3" t="s">
        <v>2961</v>
      </c>
      <c r="AI3" t="s">
        <v>2963</v>
      </c>
      <c r="AJ3" t="s">
        <v>2963</v>
      </c>
      <c r="AK3" t="s">
        <v>2963</v>
      </c>
      <c r="AL3" t="s">
        <v>2963</v>
      </c>
      <c r="AM3" t="s">
        <v>2965</v>
      </c>
      <c r="AN3" t="s">
        <v>2965</v>
      </c>
      <c r="AO3" t="s">
        <v>2965</v>
      </c>
      <c r="AP3" t="s">
        <v>2965</v>
      </c>
      <c r="AQ3" t="s">
        <v>2967</v>
      </c>
      <c r="AR3" t="s">
        <v>2967</v>
      </c>
      <c r="AS3" t="s">
        <v>2967</v>
      </c>
      <c r="AT3" t="s">
        <v>2967</v>
      </c>
      <c r="AU3" t="s">
        <v>2969</v>
      </c>
      <c r="AV3" t="s">
        <v>2969</v>
      </c>
      <c r="AW3" t="s">
        <v>2969</v>
      </c>
      <c r="AX3" t="s">
        <v>2969</v>
      </c>
      <c r="AY3" t="s">
        <v>2971</v>
      </c>
      <c r="AZ3" t="s">
        <v>2971</v>
      </c>
      <c r="BA3" t="s">
        <v>2971</v>
      </c>
      <c r="BB3" t="s">
        <v>2971</v>
      </c>
      <c r="BC3" t="s">
        <v>2973</v>
      </c>
      <c r="BD3" t="s">
        <v>2973</v>
      </c>
      <c r="BE3" t="s">
        <v>2973</v>
      </c>
      <c r="BF3" t="s">
        <v>2973</v>
      </c>
    </row>
    <row r="4" spans="1:58" x14ac:dyDescent="0.4">
      <c r="A4" s="1"/>
      <c r="B4" s="2" t="s">
        <v>1</v>
      </c>
      <c r="C4" t="s">
        <v>2947</v>
      </c>
      <c r="D4" t="s">
        <v>2947</v>
      </c>
      <c r="E4" t="s">
        <v>2947</v>
      </c>
      <c r="F4" t="s">
        <v>2947</v>
      </c>
      <c r="G4" t="s">
        <v>2950</v>
      </c>
      <c r="H4" t="s">
        <v>2950</v>
      </c>
      <c r="I4" t="s">
        <v>2950</v>
      </c>
      <c r="J4" t="s">
        <v>2950</v>
      </c>
      <c r="K4" t="s">
        <v>2952</v>
      </c>
      <c r="L4" t="s">
        <v>2952</v>
      </c>
      <c r="M4" t="s">
        <v>2952</v>
      </c>
      <c r="N4" t="s">
        <v>2952</v>
      </c>
      <c r="O4" t="s">
        <v>2954</v>
      </c>
      <c r="P4" t="s">
        <v>2954</v>
      </c>
      <c r="Q4" t="s">
        <v>2954</v>
      </c>
      <c r="R4" t="s">
        <v>2954</v>
      </c>
      <c r="S4" t="s">
        <v>2956</v>
      </c>
      <c r="T4" t="s">
        <v>2956</v>
      </c>
      <c r="U4" t="s">
        <v>2956</v>
      </c>
      <c r="V4" t="s">
        <v>2956</v>
      </c>
      <c r="W4" t="s">
        <v>2958</v>
      </c>
      <c r="X4" t="s">
        <v>2958</v>
      </c>
      <c r="Y4" t="s">
        <v>2958</v>
      </c>
      <c r="Z4" t="s">
        <v>2958</v>
      </c>
      <c r="AA4" t="s">
        <v>2960</v>
      </c>
      <c r="AB4" t="s">
        <v>2960</v>
      </c>
      <c r="AC4" t="s">
        <v>2960</v>
      </c>
      <c r="AD4" t="s">
        <v>2960</v>
      </c>
      <c r="AE4" t="s">
        <v>2962</v>
      </c>
      <c r="AF4" t="s">
        <v>2962</v>
      </c>
      <c r="AG4" t="s">
        <v>2962</v>
      </c>
      <c r="AH4" t="s">
        <v>2962</v>
      </c>
      <c r="AI4" t="s">
        <v>2964</v>
      </c>
      <c r="AJ4" t="s">
        <v>2964</v>
      </c>
      <c r="AK4" t="s">
        <v>2964</v>
      </c>
      <c r="AL4" t="s">
        <v>2964</v>
      </c>
      <c r="AM4" t="s">
        <v>2966</v>
      </c>
      <c r="AN4" t="s">
        <v>2966</v>
      </c>
      <c r="AO4" t="s">
        <v>2966</v>
      </c>
      <c r="AP4" t="s">
        <v>2966</v>
      </c>
      <c r="AQ4" t="s">
        <v>2968</v>
      </c>
      <c r="AR4" t="s">
        <v>2968</v>
      </c>
      <c r="AS4" t="s">
        <v>2968</v>
      </c>
      <c r="AT4" t="s">
        <v>2968</v>
      </c>
      <c r="AU4" t="s">
        <v>2970</v>
      </c>
      <c r="AV4" t="s">
        <v>2970</v>
      </c>
      <c r="AW4" t="s">
        <v>2970</v>
      </c>
      <c r="AX4" t="s">
        <v>2970</v>
      </c>
      <c r="AY4" t="s">
        <v>2972</v>
      </c>
      <c r="AZ4" t="s">
        <v>2972</v>
      </c>
      <c r="BA4" t="s">
        <v>2972</v>
      </c>
      <c r="BB4" t="s">
        <v>2972</v>
      </c>
      <c r="BC4" t="s">
        <v>2974</v>
      </c>
      <c r="BD4" t="s">
        <v>2974</v>
      </c>
      <c r="BE4" t="s">
        <v>2974</v>
      </c>
      <c r="BF4" t="s">
        <v>2974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2946</v>
      </c>
      <c r="D7" t="s">
        <v>2946</v>
      </c>
      <c r="E7" t="s">
        <v>341</v>
      </c>
      <c r="F7" t="s">
        <v>2946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339</v>
      </c>
      <c r="AW7" t="s">
        <v>341</v>
      </c>
      <c r="AX7" t="s">
        <v>339</v>
      </c>
      <c r="AY7" t="s">
        <v>339</v>
      </c>
      <c r="AZ7" t="s">
        <v>339</v>
      </c>
      <c r="BA7" t="s">
        <v>341</v>
      </c>
      <c r="BB7" t="s">
        <v>339</v>
      </c>
      <c r="BC7" t="s">
        <v>339</v>
      </c>
      <c r="BD7" t="s">
        <v>339</v>
      </c>
      <c r="BE7" t="s">
        <v>341</v>
      </c>
      <c r="BF7" t="s">
        <v>339</v>
      </c>
    </row>
    <row r="8" spans="1:58" x14ac:dyDescent="0.4">
      <c r="A8" s="1" t="s">
        <v>67</v>
      </c>
      <c r="B8" s="2" t="s">
        <v>5</v>
      </c>
      <c r="C8" t="s">
        <v>2948</v>
      </c>
      <c r="D8" t="s">
        <v>2948</v>
      </c>
      <c r="E8" t="s">
        <v>342</v>
      </c>
      <c r="F8" t="s">
        <v>2948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339</v>
      </c>
      <c r="AW8" t="s">
        <v>342</v>
      </c>
      <c r="AX8" t="s">
        <v>339</v>
      </c>
      <c r="AY8" t="s">
        <v>339</v>
      </c>
      <c r="AZ8" t="s">
        <v>339</v>
      </c>
      <c r="BA8" t="s">
        <v>342</v>
      </c>
      <c r="BB8" t="s">
        <v>339</v>
      </c>
      <c r="BC8" t="s">
        <v>339</v>
      </c>
      <c r="BD8" t="s">
        <v>339</v>
      </c>
      <c r="BE8" t="s">
        <v>342</v>
      </c>
      <c r="BF8" t="s">
        <v>339</v>
      </c>
    </row>
    <row r="9" spans="1:58" x14ac:dyDescent="0.4">
      <c r="A9" s="1" t="s">
        <v>6</v>
      </c>
      <c r="B9" s="3" t="s">
        <v>7</v>
      </c>
      <c r="C9">
        <v>21391706</v>
      </c>
      <c r="D9">
        <v>19133089</v>
      </c>
      <c r="E9">
        <v>68950399</v>
      </c>
      <c r="F9">
        <v>6286928</v>
      </c>
      <c r="G9">
        <v>12412892</v>
      </c>
      <c r="H9">
        <v>11923342</v>
      </c>
      <c r="I9">
        <v>82918042</v>
      </c>
      <c r="J9">
        <v>1490666</v>
      </c>
      <c r="K9">
        <v>2450728</v>
      </c>
      <c r="L9">
        <v>2115872</v>
      </c>
      <c r="M9">
        <v>16957050</v>
      </c>
      <c r="N9">
        <v>180421</v>
      </c>
      <c r="O9">
        <v>22240430</v>
      </c>
      <c r="P9">
        <v>21915973</v>
      </c>
      <c r="Q9">
        <v>87430120</v>
      </c>
      <c r="R9">
        <v>2448526</v>
      </c>
      <c r="S9">
        <v>13430241</v>
      </c>
      <c r="T9">
        <v>13141634</v>
      </c>
      <c r="U9">
        <v>70679104</v>
      </c>
      <c r="V9">
        <v>113996</v>
      </c>
      <c r="W9">
        <v>160882321</v>
      </c>
      <c r="X9">
        <v>165101862</v>
      </c>
      <c r="Y9">
        <v>52862732</v>
      </c>
      <c r="Z9">
        <v>8527631</v>
      </c>
      <c r="AA9">
        <v>18207719</v>
      </c>
      <c r="AB9">
        <v>18847058</v>
      </c>
      <c r="AC9">
        <v>8413451</v>
      </c>
      <c r="AD9">
        <v>1993232</v>
      </c>
      <c r="AE9">
        <v>12475344</v>
      </c>
      <c r="AF9">
        <v>14456241</v>
      </c>
      <c r="AG9">
        <v>6972774</v>
      </c>
      <c r="AH9">
        <v>1228277</v>
      </c>
      <c r="AI9">
        <v>50039585</v>
      </c>
      <c r="AJ9">
        <v>50059196</v>
      </c>
      <c r="AK9">
        <v>9540377</v>
      </c>
      <c r="AL9">
        <v>6953822</v>
      </c>
      <c r="AM9">
        <v>101958305</v>
      </c>
      <c r="AN9">
        <v>154921871</v>
      </c>
      <c r="AO9">
        <v>28776786</v>
      </c>
      <c r="AP9">
        <v>15290399</v>
      </c>
      <c r="AQ9">
        <v>6774411</v>
      </c>
      <c r="AR9">
        <v>9889431</v>
      </c>
      <c r="AS9">
        <v>2824208</v>
      </c>
      <c r="AT9">
        <v>861328</v>
      </c>
      <c r="AU9">
        <v>5604686</v>
      </c>
      <c r="AV9">
        <v>9479102</v>
      </c>
      <c r="AW9">
        <v>13491103</v>
      </c>
      <c r="AX9">
        <v>4295863</v>
      </c>
      <c r="AY9">
        <v>10854634</v>
      </c>
      <c r="AZ9">
        <v>12307642</v>
      </c>
      <c r="BA9">
        <v>36367998</v>
      </c>
      <c r="BB9">
        <v>2508139</v>
      </c>
      <c r="BC9">
        <v>10641032</v>
      </c>
      <c r="BD9">
        <v>11185172</v>
      </c>
      <c r="BE9">
        <v>10032278</v>
      </c>
      <c r="BF9">
        <v>1816802</v>
      </c>
    </row>
    <row r="10" spans="1:58" x14ac:dyDescent="0.4">
      <c r="A10" s="1" t="s">
        <v>8</v>
      </c>
      <c r="B10" s="3" t="s">
        <v>9</v>
      </c>
      <c r="C10">
        <v>18230594</v>
      </c>
      <c r="D10">
        <v>15515004</v>
      </c>
      <c r="E10">
        <v>56122515</v>
      </c>
      <c r="F10">
        <v>5583853</v>
      </c>
      <c r="G10">
        <v>12370317</v>
      </c>
      <c r="H10">
        <v>12480010</v>
      </c>
      <c r="I10">
        <v>84533725</v>
      </c>
      <c r="J10">
        <v>1273622</v>
      </c>
      <c r="K10">
        <v>2290217</v>
      </c>
      <c r="L10">
        <v>2465054</v>
      </c>
      <c r="M10">
        <v>16080866</v>
      </c>
      <c r="N10">
        <v>76528</v>
      </c>
      <c r="O10">
        <v>22225539</v>
      </c>
      <c r="P10">
        <v>22925716</v>
      </c>
      <c r="Q10">
        <v>89746304</v>
      </c>
      <c r="R10">
        <v>2036285</v>
      </c>
      <c r="S10">
        <v>13412367</v>
      </c>
      <c r="T10">
        <v>13194598</v>
      </c>
      <c r="U10">
        <v>78922981</v>
      </c>
      <c r="V10">
        <v>120319</v>
      </c>
      <c r="W10">
        <v>169730531</v>
      </c>
      <c r="X10">
        <v>175605212</v>
      </c>
      <c r="Y10">
        <v>59731155</v>
      </c>
      <c r="Z10">
        <v>9657764</v>
      </c>
      <c r="AA10">
        <v>18395569</v>
      </c>
      <c r="AB10">
        <v>19371445</v>
      </c>
      <c r="AC10">
        <v>9047572</v>
      </c>
      <c r="AD10">
        <v>1838666</v>
      </c>
      <c r="AE10">
        <v>11789055</v>
      </c>
      <c r="AF10">
        <v>13641921</v>
      </c>
      <c r="AG10">
        <v>6992143</v>
      </c>
      <c r="AH10">
        <v>1528467</v>
      </c>
      <c r="AI10">
        <v>50613418</v>
      </c>
      <c r="AJ10">
        <v>55399394</v>
      </c>
      <c r="AK10">
        <v>11962012</v>
      </c>
      <c r="AL10">
        <v>10960325</v>
      </c>
      <c r="AM10">
        <v>106918233</v>
      </c>
      <c r="AN10">
        <v>144490214</v>
      </c>
      <c r="AO10">
        <v>29914623</v>
      </c>
      <c r="AP10">
        <v>28204052</v>
      </c>
      <c r="AQ10">
        <v>8174788</v>
      </c>
      <c r="AR10">
        <v>11390663</v>
      </c>
      <c r="AS10">
        <v>3479403</v>
      </c>
      <c r="AT10">
        <v>1355640</v>
      </c>
      <c r="AU10">
        <v>6863401</v>
      </c>
      <c r="AV10">
        <v>9091776</v>
      </c>
      <c r="AW10">
        <v>14372658</v>
      </c>
      <c r="AX10">
        <v>5620821</v>
      </c>
      <c r="AY10">
        <v>12294623</v>
      </c>
      <c r="AZ10">
        <v>12803103</v>
      </c>
      <c r="BA10">
        <v>39024250</v>
      </c>
      <c r="BB10">
        <v>2867508</v>
      </c>
      <c r="BC10">
        <v>9849162</v>
      </c>
      <c r="BD10">
        <v>10457474</v>
      </c>
      <c r="BE10">
        <v>10433739</v>
      </c>
      <c r="BF10">
        <v>1945812</v>
      </c>
    </row>
    <row r="11" spans="1:58" x14ac:dyDescent="0.4">
      <c r="A11" s="1" t="s">
        <v>10</v>
      </c>
      <c r="B11" s="3" t="s">
        <v>11</v>
      </c>
      <c r="C11">
        <v>20081982</v>
      </c>
      <c r="D11">
        <v>15710153</v>
      </c>
      <c r="E11">
        <v>61712140</v>
      </c>
      <c r="F11">
        <v>5109760</v>
      </c>
      <c r="G11">
        <v>15356153</v>
      </c>
      <c r="H11">
        <v>14986541</v>
      </c>
      <c r="I11">
        <v>99677148</v>
      </c>
      <c r="J11">
        <v>1457082</v>
      </c>
      <c r="K11">
        <v>2460698</v>
      </c>
      <c r="L11">
        <v>2476348</v>
      </c>
      <c r="M11">
        <v>17888603</v>
      </c>
      <c r="N11">
        <v>101035</v>
      </c>
      <c r="O11">
        <v>25558392</v>
      </c>
      <c r="P11">
        <v>26097138</v>
      </c>
      <c r="Q11">
        <v>106443378</v>
      </c>
      <c r="R11">
        <v>1978441</v>
      </c>
      <c r="S11">
        <v>14294315</v>
      </c>
      <c r="T11">
        <v>14034173</v>
      </c>
      <c r="U11">
        <v>95553165</v>
      </c>
      <c r="V11">
        <v>130853</v>
      </c>
      <c r="W11">
        <v>171965907</v>
      </c>
      <c r="X11">
        <v>179768324</v>
      </c>
      <c r="Y11">
        <v>69962877</v>
      </c>
      <c r="Z11">
        <v>10665021</v>
      </c>
      <c r="AA11">
        <v>19243306</v>
      </c>
      <c r="AB11">
        <v>20013756</v>
      </c>
      <c r="AC11">
        <v>10577982</v>
      </c>
      <c r="AD11">
        <v>2138390</v>
      </c>
      <c r="AE11">
        <v>11342618</v>
      </c>
      <c r="AF11">
        <v>13112717</v>
      </c>
      <c r="AG11">
        <v>7863229</v>
      </c>
      <c r="AH11">
        <v>1788886</v>
      </c>
      <c r="AI11">
        <v>45623431</v>
      </c>
      <c r="AJ11">
        <v>53460756</v>
      </c>
      <c r="AK11">
        <v>12346072</v>
      </c>
      <c r="AL11">
        <v>14743541</v>
      </c>
      <c r="AM11">
        <v>82823565</v>
      </c>
      <c r="AN11">
        <v>126954750</v>
      </c>
      <c r="AO11">
        <v>26703398</v>
      </c>
      <c r="AP11">
        <v>31480901</v>
      </c>
      <c r="AQ11">
        <v>8499284</v>
      </c>
      <c r="AR11">
        <v>11077472</v>
      </c>
      <c r="AS11">
        <v>3864506</v>
      </c>
      <c r="AT11">
        <v>3289233</v>
      </c>
      <c r="AU11">
        <v>6035196</v>
      </c>
      <c r="AV11">
        <v>9467047</v>
      </c>
      <c r="AW11">
        <v>14611614</v>
      </c>
      <c r="AX11">
        <v>5113065</v>
      </c>
      <c r="AY11">
        <v>10783798</v>
      </c>
      <c r="AZ11">
        <v>11508295</v>
      </c>
      <c r="BA11">
        <v>37680571</v>
      </c>
      <c r="BB11">
        <v>2792090</v>
      </c>
      <c r="BC11">
        <v>9069033</v>
      </c>
      <c r="BD11">
        <v>9634278</v>
      </c>
      <c r="BE11">
        <v>11585898</v>
      </c>
      <c r="BF11">
        <v>2287447</v>
      </c>
    </row>
    <row r="12" spans="1:58" x14ac:dyDescent="0.4">
      <c r="A12" s="1" t="s">
        <v>12</v>
      </c>
      <c r="B12" s="3" t="s">
        <v>13</v>
      </c>
      <c r="C12">
        <v>19181912</v>
      </c>
      <c r="D12">
        <v>14498361</v>
      </c>
      <c r="E12">
        <v>61198719</v>
      </c>
      <c r="F12">
        <v>4864006</v>
      </c>
      <c r="G12">
        <v>13978203</v>
      </c>
      <c r="H12">
        <v>13832038</v>
      </c>
      <c r="I12">
        <v>94010163</v>
      </c>
      <c r="J12">
        <v>1411639</v>
      </c>
      <c r="K12">
        <v>2293190</v>
      </c>
      <c r="L12">
        <v>2252527</v>
      </c>
      <c r="M12">
        <v>18532876</v>
      </c>
      <c r="N12">
        <v>85839</v>
      </c>
      <c r="O12">
        <v>23485154</v>
      </c>
      <c r="P12">
        <v>23841933</v>
      </c>
      <c r="Q12">
        <v>100493663</v>
      </c>
      <c r="R12">
        <v>2070098</v>
      </c>
      <c r="S12">
        <v>13427255</v>
      </c>
      <c r="T12">
        <v>13114697</v>
      </c>
      <c r="U12">
        <v>94742753</v>
      </c>
      <c r="V12">
        <v>114613</v>
      </c>
      <c r="W12">
        <v>165303746</v>
      </c>
      <c r="X12">
        <v>176604543</v>
      </c>
      <c r="Y12">
        <v>72286378</v>
      </c>
      <c r="Z12">
        <v>10494665</v>
      </c>
      <c r="AA12">
        <v>19135565</v>
      </c>
      <c r="AB12">
        <v>20468142</v>
      </c>
      <c r="AC12">
        <v>11588323</v>
      </c>
      <c r="AD12">
        <v>1955412</v>
      </c>
      <c r="AE12">
        <v>11065287</v>
      </c>
      <c r="AF12">
        <v>12395640</v>
      </c>
      <c r="AG12">
        <v>8047880</v>
      </c>
      <c r="AH12">
        <v>1437224</v>
      </c>
      <c r="AI12">
        <v>42820688</v>
      </c>
      <c r="AJ12">
        <v>54003282</v>
      </c>
      <c r="AK12">
        <v>13494292</v>
      </c>
      <c r="AL12">
        <v>10311339</v>
      </c>
      <c r="AM12">
        <v>75495123</v>
      </c>
      <c r="AN12">
        <v>132920659</v>
      </c>
      <c r="AO12">
        <v>28512414</v>
      </c>
      <c r="AP12">
        <v>22633928</v>
      </c>
      <c r="AQ12">
        <v>5908289</v>
      </c>
      <c r="AR12">
        <v>9900709</v>
      </c>
      <c r="AS12">
        <v>3761942</v>
      </c>
      <c r="AT12">
        <v>1659147</v>
      </c>
      <c r="AU12">
        <v>5156166</v>
      </c>
      <c r="AV12">
        <v>10051701</v>
      </c>
      <c r="AW12">
        <v>20867274</v>
      </c>
      <c r="AX12">
        <v>4094255</v>
      </c>
      <c r="AY12">
        <v>11625278</v>
      </c>
      <c r="AZ12">
        <v>12373631</v>
      </c>
      <c r="BA12">
        <v>50260947</v>
      </c>
      <c r="BB12">
        <v>2662391</v>
      </c>
      <c r="BC12">
        <v>10262663</v>
      </c>
      <c r="BD12">
        <v>11302630</v>
      </c>
      <c r="BE12">
        <v>13766264</v>
      </c>
      <c r="BF12">
        <v>2110202</v>
      </c>
    </row>
    <row r="13" spans="1:58" x14ac:dyDescent="0.4">
      <c r="A13" s="1" t="s">
        <v>14</v>
      </c>
      <c r="B13" s="3" t="s">
        <v>15</v>
      </c>
      <c r="C13">
        <v>18553065</v>
      </c>
      <c r="D13">
        <v>14064937</v>
      </c>
      <c r="E13">
        <v>60468387</v>
      </c>
      <c r="F13">
        <v>4365633</v>
      </c>
      <c r="G13">
        <v>13657045</v>
      </c>
      <c r="H13">
        <v>13728795</v>
      </c>
      <c r="I13">
        <v>95299023</v>
      </c>
      <c r="J13">
        <v>1244702</v>
      </c>
      <c r="K13">
        <v>2403515</v>
      </c>
      <c r="L13">
        <v>2276141</v>
      </c>
      <c r="M13">
        <v>18634064</v>
      </c>
      <c r="N13">
        <v>78367</v>
      </c>
      <c r="O13">
        <v>22900014</v>
      </c>
      <c r="P13">
        <v>23409807</v>
      </c>
      <c r="Q13">
        <v>101885740</v>
      </c>
      <c r="R13">
        <v>2124408</v>
      </c>
      <c r="S13">
        <v>12947913</v>
      </c>
      <c r="T13">
        <v>12715962</v>
      </c>
      <c r="U13">
        <v>95356746</v>
      </c>
      <c r="V13">
        <v>99434</v>
      </c>
      <c r="W13">
        <v>166651171</v>
      </c>
      <c r="X13">
        <v>177420909</v>
      </c>
      <c r="Y13">
        <v>74287137</v>
      </c>
      <c r="Z13">
        <v>10856273</v>
      </c>
      <c r="AA13">
        <v>18674328</v>
      </c>
      <c r="AB13">
        <v>19494468</v>
      </c>
      <c r="AC13">
        <v>11468125</v>
      </c>
      <c r="AD13">
        <v>2224493</v>
      </c>
      <c r="AE13">
        <v>11848477</v>
      </c>
      <c r="AF13">
        <v>12534820</v>
      </c>
      <c r="AG13">
        <v>8223788</v>
      </c>
      <c r="AH13">
        <v>1468408</v>
      </c>
      <c r="AI13">
        <v>45517997</v>
      </c>
      <c r="AJ13">
        <v>54193845</v>
      </c>
      <c r="AK13">
        <v>13307945</v>
      </c>
      <c r="AL13">
        <v>12671133</v>
      </c>
      <c r="AM13">
        <v>85486766</v>
      </c>
      <c r="AN13">
        <v>133887057</v>
      </c>
      <c r="AO13">
        <v>28639867</v>
      </c>
      <c r="AP13">
        <v>26321463</v>
      </c>
      <c r="AQ13">
        <v>7016058</v>
      </c>
      <c r="AR13">
        <v>10525218</v>
      </c>
      <c r="AS13">
        <v>4019194</v>
      </c>
      <c r="AT13">
        <v>1586692</v>
      </c>
      <c r="AU13">
        <v>6407390</v>
      </c>
      <c r="AV13">
        <v>7957836</v>
      </c>
      <c r="AW13">
        <v>20254452</v>
      </c>
      <c r="AX13">
        <v>4285622</v>
      </c>
      <c r="AY13">
        <v>12744491</v>
      </c>
      <c r="AZ13">
        <v>13163051</v>
      </c>
      <c r="BA13">
        <v>60401166</v>
      </c>
      <c r="BB13">
        <v>2671093</v>
      </c>
      <c r="BC13">
        <v>10340732</v>
      </c>
      <c r="BD13">
        <v>11259972</v>
      </c>
      <c r="BE13">
        <v>13280927</v>
      </c>
      <c r="BF13">
        <v>2351415</v>
      </c>
    </row>
    <row r="14" spans="1:58" x14ac:dyDescent="0.4">
      <c r="A14" s="1" t="s">
        <v>16</v>
      </c>
      <c r="B14" s="1" t="s">
        <v>17</v>
      </c>
      <c r="C14">
        <v>1669695</v>
      </c>
      <c r="D14">
        <v>1173274</v>
      </c>
      <c r="E14">
        <v>4741777</v>
      </c>
      <c r="F14">
        <v>5353964</v>
      </c>
      <c r="G14">
        <v>1128361</v>
      </c>
      <c r="H14">
        <v>1243565</v>
      </c>
      <c r="I14">
        <v>8460079</v>
      </c>
      <c r="J14">
        <v>1303508</v>
      </c>
      <c r="K14">
        <v>171329</v>
      </c>
      <c r="L14">
        <v>174668</v>
      </c>
      <c r="M14">
        <v>1329391</v>
      </c>
      <c r="N14">
        <v>83971</v>
      </c>
      <c r="O14">
        <v>1776054</v>
      </c>
      <c r="P14">
        <v>2035022</v>
      </c>
      <c r="Q14">
        <v>8497921</v>
      </c>
      <c r="R14">
        <v>2195163</v>
      </c>
      <c r="S14">
        <v>1041369</v>
      </c>
      <c r="T14">
        <v>1016579</v>
      </c>
      <c r="U14">
        <v>7298074</v>
      </c>
      <c r="V14">
        <v>129630</v>
      </c>
      <c r="W14">
        <v>13972295</v>
      </c>
      <c r="X14">
        <v>14376988</v>
      </c>
      <c r="Y14">
        <v>5844104</v>
      </c>
      <c r="Z14">
        <v>13034798</v>
      </c>
      <c r="AA14">
        <v>2140701</v>
      </c>
      <c r="AB14">
        <v>1895252</v>
      </c>
      <c r="AC14">
        <v>1065760</v>
      </c>
      <c r="AD14">
        <v>2889872</v>
      </c>
      <c r="AE14">
        <v>897885</v>
      </c>
      <c r="AF14">
        <v>1163359</v>
      </c>
      <c r="AG14">
        <v>719437</v>
      </c>
      <c r="AH14">
        <v>1760241</v>
      </c>
      <c r="AI14">
        <v>3571367</v>
      </c>
      <c r="AJ14">
        <v>4272238</v>
      </c>
      <c r="AK14">
        <v>1036736</v>
      </c>
      <c r="AL14">
        <v>14779974</v>
      </c>
      <c r="AM14">
        <v>5864187</v>
      </c>
      <c r="AN14">
        <v>10222394</v>
      </c>
      <c r="AO14">
        <v>2132681</v>
      </c>
      <c r="AP14">
        <v>30742194</v>
      </c>
      <c r="AQ14">
        <v>511359</v>
      </c>
      <c r="AR14">
        <v>787357</v>
      </c>
      <c r="AS14">
        <v>284456</v>
      </c>
      <c r="AT14">
        <v>3112816</v>
      </c>
      <c r="AU14">
        <v>444058</v>
      </c>
      <c r="AV14">
        <v>802532</v>
      </c>
      <c r="AW14">
        <v>1531119</v>
      </c>
      <c r="AX14">
        <v>4892154</v>
      </c>
      <c r="AY14">
        <v>903337</v>
      </c>
      <c r="AZ14">
        <v>1078026</v>
      </c>
      <c r="BA14">
        <v>4504872</v>
      </c>
      <c r="BB14">
        <v>2570395</v>
      </c>
      <c r="BC14">
        <v>708762</v>
      </c>
      <c r="BD14">
        <v>945032</v>
      </c>
      <c r="BE14">
        <v>1211059</v>
      </c>
      <c r="BF14">
        <v>2029628</v>
      </c>
    </row>
    <row r="15" spans="1:58" x14ac:dyDescent="0.4">
      <c r="A15" s="1" t="s">
        <v>18</v>
      </c>
      <c r="B15" s="1" t="s">
        <v>19</v>
      </c>
      <c r="C15">
        <v>1509431</v>
      </c>
      <c r="D15">
        <v>1157778</v>
      </c>
      <c r="E15">
        <v>4966233</v>
      </c>
      <c r="F15">
        <v>5277341</v>
      </c>
      <c r="G15">
        <v>1206798</v>
      </c>
      <c r="H15">
        <v>1106263</v>
      </c>
      <c r="I15">
        <v>7603247</v>
      </c>
      <c r="J15">
        <v>1384407</v>
      </c>
      <c r="K15">
        <v>184941</v>
      </c>
      <c r="L15">
        <v>160672</v>
      </c>
      <c r="M15">
        <v>1252172</v>
      </c>
      <c r="N15">
        <v>82214</v>
      </c>
      <c r="O15">
        <v>1895464</v>
      </c>
      <c r="P15">
        <v>1861142</v>
      </c>
      <c r="Q15">
        <v>7665648</v>
      </c>
      <c r="R15">
        <v>2265460</v>
      </c>
      <c r="S15">
        <v>1123376</v>
      </c>
      <c r="T15">
        <v>1097547</v>
      </c>
      <c r="U15">
        <v>7796815</v>
      </c>
      <c r="V15">
        <v>131917</v>
      </c>
      <c r="W15">
        <v>12647002</v>
      </c>
      <c r="X15">
        <v>14228812</v>
      </c>
      <c r="Y15">
        <v>5834133</v>
      </c>
      <c r="Z15">
        <v>12168023</v>
      </c>
      <c r="AA15">
        <v>1278227</v>
      </c>
      <c r="AB15">
        <v>1680249</v>
      </c>
      <c r="AC15">
        <v>936838</v>
      </c>
      <c r="AD15">
        <v>2628993</v>
      </c>
      <c r="AE15">
        <v>883748</v>
      </c>
      <c r="AF15">
        <v>859033</v>
      </c>
      <c r="AG15">
        <v>605721</v>
      </c>
      <c r="AH15">
        <v>1877529</v>
      </c>
      <c r="AI15">
        <v>3357496</v>
      </c>
      <c r="AJ15">
        <v>4324547</v>
      </c>
      <c r="AK15">
        <v>1051619</v>
      </c>
      <c r="AL15">
        <v>14208382</v>
      </c>
      <c r="AM15">
        <v>5793471</v>
      </c>
      <c r="AN15">
        <v>11993388</v>
      </c>
      <c r="AO15">
        <v>2747944</v>
      </c>
      <c r="AP15">
        <v>27843224</v>
      </c>
      <c r="AQ15">
        <v>448207</v>
      </c>
      <c r="AR15">
        <v>716744</v>
      </c>
      <c r="AS15">
        <v>262469</v>
      </c>
      <c r="AT15">
        <v>2990426</v>
      </c>
      <c r="AU15">
        <v>405626</v>
      </c>
      <c r="AV15">
        <v>910733</v>
      </c>
      <c r="AW15">
        <v>1866402</v>
      </c>
      <c r="AX15">
        <v>4805703</v>
      </c>
      <c r="AY15">
        <v>1031349</v>
      </c>
      <c r="AZ15">
        <v>1037907</v>
      </c>
      <c r="BA15">
        <v>4266460</v>
      </c>
      <c r="BB15">
        <v>2653173</v>
      </c>
      <c r="BC15">
        <v>724251</v>
      </c>
      <c r="BD15">
        <v>787990</v>
      </c>
      <c r="BE15">
        <v>1039606</v>
      </c>
      <c r="BF15">
        <v>2054613</v>
      </c>
    </row>
    <row r="16" spans="1:58" x14ac:dyDescent="0.4">
      <c r="A16" s="1" t="s">
        <v>20</v>
      </c>
      <c r="B16" s="1" t="s">
        <v>21</v>
      </c>
      <c r="C16">
        <v>1623419</v>
      </c>
      <c r="D16">
        <v>1125750</v>
      </c>
      <c r="E16">
        <v>4799207</v>
      </c>
      <c r="F16">
        <v>5423817</v>
      </c>
      <c r="G16">
        <v>1053026</v>
      </c>
      <c r="H16">
        <v>1088608</v>
      </c>
      <c r="I16">
        <v>7350160</v>
      </c>
      <c r="J16">
        <v>1329650</v>
      </c>
      <c r="K16">
        <v>180423</v>
      </c>
      <c r="L16">
        <v>170052</v>
      </c>
      <c r="M16">
        <v>1388108</v>
      </c>
      <c r="N16">
        <v>80915</v>
      </c>
      <c r="O16">
        <v>1757418</v>
      </c>
      <c r="P16">
        <v>1888430</v>
      </c>
      <c r="Q16">
        <v>7861544</v>
      </c>
      <c r="R16">
        <v>2170270</v>
      </c>
      <c r="S16">
        <v>1174002</v>
      </c>
      <c r="T16">
        <v>1143927</v>
      </c>
      <c r="U16">
        <v>8127194</v>
      </c>
      <c r="V16">
        <v>133887</v>
      </c>
      <c r="W16">
        <v>11689719</v>
      </c>
      <c r="X16">
        <v>13426636</v>
      </c>
      <c r="Y16">
        <v>5431648</v>
      </c>
      <c r="Z16">
        <v>11194715</v>
      </c>
      <c r="AA16">
        <v>1162479</v>
      </c>
      <c r="AB16">
        <v>1538021</v>
      </c>
      <c r="AC16">
        <v>861107</v>
      </c>
      <c r="AD16">
        <v>2358477</v>
      </c>
      <c r="AE16">
        <v>789236</v>
      </c>
      <c r="AF16">
        <v>919285</v>
      </c>
      <c r="AG16">
        <v>608097</v>
      </c>
      <c r="AH16">
        <v>1834217</v>
      </c>
      <c r="AI16">
        <v>3313156</v>
      </c>
      <c r="AJ16">
        <v>4805989</v>
      </c>
      <c r="AK16">
        <v>1251689</v>
      </c>
      <c r="AL16">
        <v>12985199</v>
      </c>
      <c r="AM16">
        <v>5864167</v>
      </c>
      <c r="AN16">
        <v>10790915</v>
      </c>
      <c r="AO16">
        <v>2378864</v>
      </c>
      <c r="AP16">
        <v>27239167</v>
      </c>
      <c r="AQ16">
        <v>463674</v>
      </c>
      <c r="AR16">
        <v>778629</v>
      </c>
      <c r="AS16">
        <v>287179</v>
      </c>
      <c r="AT16">
        <v>2819770</v>
      </c>
      <c r="AU16">
        <v>420224</v>
      </c>
      <c r="AV16">
        <v>807159</v>
      </c>
      <c r="AW16">
        <v>1798693</v>
      </c>
      <c r="AX16">
        <v>4747172</v>
      </c>
      <c r="AY16">
        <v>916279</v>
      </c>
      <c r="AZ16">
        <v>1016340</v>
      </c>
      <c r="BA16">
        <v>4045999</v>
      </c>
      <c r="BB16">
        <v>2628793</v>
      </c>
      <c r="BC16">
        <v>851405</v>
      </c>
      <c r="BD16">
        <v>925492</v>
      </c>
      <c r="BE16">
        <v>1168801</v>
      </c>
      <c r="BF16">
        <v>2058185</v>
      </c>
    </row>
    <row r="17" spans="1:58" x14ac:dyDescent="0.4">
      <c r="A17" s="1" t="s">
        <v>22</v>
      </c>
      <c r="B17" s="1" t="s">
        <v>23</v>
      </c>
      <c r="C17">
        <v>1581154</v>
      </c>
      <c r="D17">
        <v>1203618</v>
      </c>
      <c r="E17">
        <v>5099759</v>
      </c>
      <c r="F17">
        <v>5377220</v>
      </c>
      <c r="G17">
        <v>1173707</v>
      </c>
      <c r="H17">
        <v>1182451</v>
      </c>
      <c r="I17">
        <v>7974280</v>
      </c>
      <c r="J17">
        <v>1301111</v>
      </c>
      <c r="K17">
        <v>170747</v>
      </c>
      <c r="L17">
        <v>171590</v>
      </c>
      <c r="M17">
        <v>1420849</v>
      </c>
      <c r="N17">
        <v>78204</v>
      </c>
      <c r="O17">
        <v>2019850</v>
      </c>
      <c r="P17">
        <v>2043540</v>
      </c>
      <c r="Q17">
        <v>8476883</v>
      </c>
      <c r="R17">
        <v>2188860</v>
      </c>
      <c r="S17">
        <v>1135465</v>
      </c>
      <c r="T17">
        <v>1114054</v>
      </c>
      <c r="U17">
        <v>8049826</v>
      </c>
      <c r="V17">
        <v>132971</v>
      </c>
      <c r="W17">
        <v>13391774</v>
      </c>
      <c r="X17">
        <v>14320801</v>
      </c>
      <c r="Y17">
        <v>5844835</v>
      </c>
      <c r="Z17">
        <v>10984844</v>
      </c>
      <c r="AA17">
        <v>1492642</v>
      </c>
      <c r="AB17">
        <v>1604395</v>
      </c>
      <c r="AC17">
        <v>910667</v>
      </c>
      <c r="AD17">
        <v>2295559</v>
      </c>
      <c r="AE17">
        <v>822757</v>
      </c>
      <c r="AF17">
        <v>891292</v>
      </c>
      <c r="AG17">
        <v>596103</v>
      </c>
      <c r="AH17">
        <v>1785795</v>
      </c>
      <c r="AI17">
        <v>3175716</v>
      </c>
      <c r="AJ17">
        <v>4736274</v>
      </c>
      <c r="AK17">
        <v>1241903</v>
      </c>
      <c r="AL17">
        <v>11621648</v>
      </c>
      <c r="AM17">
        <v>5700269</v>
      </c>
      <c r="AN17">
        <v>10605612</v>
      </c>
      <c r="AO17">
        <v>2334066</v>
      </c>
      <c r="AP17">
        <v>25134219</v>
      </c>
      <c r="AQ17">
        <v>414360</v>
      </c>
      <c r="AR17">
        <v>860213</v>
      </c>
      <c r="AS17">
        <v>326207</v>
      </c>
      <c r="AT17">
        <v>2521800</v>
      </c>
      <c r="AU17">
        <v>381141</v>
      </c>
      <c r="AV17">
        <v>873194</v>
      </c>
      <c r="AW17">
        <v>1692064</v>
      </c>
      <c r="AX17">
        <v>4597269</v>
      </c>
      <c r="AY17">
        <v>955390</v>
      </c>
      <c r="AZ17">
        <v>1029769</v>
      </c>
      <c r="BA17">
        <v>4286463</v>
      </c>
      <c r="BB17">
        <v>2657744</v>
      </c>
      <c r="BC17">
        <v>842422</v>
      </c>
      <c r="BD17">
        <v>1092626</v>
      </c>
      <c r="BE17">
        <v>1245741</v>
      </c>
      <c r="BF17">
        <v>1863469</v>
      </c>
    </row>
    <row r="18" spans="1:58" x14ac:dyDescent="0.4">
      <c r="A18" s="1" t="s">
        <v>24</v>
      </c>
      <c r="B18" s="1" t="s">
        <v>25</v>
      </c>
      <c r="C18">
        <v>1659154</v>
      </c>
      <c r="D18">
        <v>1338039</v>
      </c>
      <c r="E18">
        <v>5703506</v>
      </c>
      <c r="F18">
        <v>5250600</v>
      </c>
      <c r="G18">
        <v>1345289</v>
      </c>
      <c r="H18">
        <v>1315439</v>
      </c>
      <c r="I18">
        <v>8855408</v>
      </c>
      <c r="J18">
        <v>1312947</v>
      </c>
      <c r="K18">
        <v>182191</v>
      </c>
      <c r="L18">
        <v>194568</v>
      </c>
      <c r="M18">
        <v>1604718</v>
      </c>
      <c r="N18">
        <v>69533</v>
      </c>
      <c r="O18">
        <v>2182572</v>
      </c>
      <c r="P18">
        <v>2310689</v>
      </c>
      <c r="Q18">
        <v>9672133</v>
      </c>
      <c r="R18">
        <v>2103089</v>
      </c>
      <c r="S18">
        <v>1288811</v>
      </c>
      <c r="T18">
        <v>1253379</v>
      </c>
      <c r="U18">
        <v>9073060</v>
      </c>
      <c r="V18">
        <v>137303</v>
      </c>
      <c r="W18">
        <v>14872250</v>
      </c>
      <c r="X18">
        <v>15470772</v>
      </c>
      <c r="Y18">
        <v>6318665</v>
      </c>
      <c r="Z18">
        <v>11073961</v>
      </c>
      <c r="AA18">
        <v>1694568</v>
      </c>
      <c r="AB18">
        <v>1734389</v>
      </c>
      <c r="AC18">
        <v>1003403</v>
      </c>
      <c r="AD18">
        <v>2313648</v>
      </c>
      <c r="AE18">
        <v>945313</v>
      </c>
      <c r="AF18">
        <v>1034013</v>
      </c>
      <c r="AG18">
        <v>693135</v>
      </c>
      <c r="AH18">
        <v>1673173</v>
      </c>
      <c r="AI18">
        <v>3572568</v>
      </c>
      <c r="AJ18">
        <v>4832460</v>
      </c>
      <c r="AK18">
        <v>1238634</v>
      </c>
      <c r="AL18">
        <v>10633126</v>
      </c>
      <c r="AM18">
        <v>6340731</v>
      </c>
      <c r="AN18">
        <v>11967711</v>
      </c>
      <c r="AO18">
        <v>2515944</v>
      </c>
      <c r="AP18">
        <v>24020715</v>
      </c>
      <c r="AQ18">
        <v>475412</v>
      </c>
      <c r="AR18">
        <v>888709</v>
      </c>
      <c r="AS18">
        <v>343072</v>
      </c>
      <c r="AT18">
        <v>2311663</v>
      </c>
      <c r="AU18">
        <v>477522</v>
      </c>
      <c r="AV18">
        <v>849546</v>
      </c>
      <c r="AW18">
        <v>1769043</v>
      </c>
      <c r="AX18">
        <v>4573655</v>
      </c>
      <c r="AY18">
        <v>1064069</v>
      </c>
      <c r="AZ18">
        <v>1099061</v>
      </c>
      <c r="BA18">
        <v>4530858</v>
      </c>
      <c r="BB18">
        <v>2677845</v>
      </c>
      <c r="BC18">
        <v>1001759</v>
      </c>
      <c r="BD18">
        <v>1214103</v>
      </c>
      <c r="BE18">
        <v>1320343</v>
      </c>
      <c r="BF18">
        <v>1677858</v>
      </c>
    </row>
    <row r="19" spans="1:58" x14ac:dyDescent="0.4">
      <c r="A19" s="1" t="s">
        <v>26</v>
      </c>
      <c r="B19" s="1" t="s">
        <v>27</v>
      </c>
      <c r="C19">
        <v>1611217</v>
      </c>
      <c r="D19">
        <v>1038826</v>
      </c>
      <c r="E19">
        <v>4476199</v>
      </c>
      <c r="F19">
        <v>5474228</v>
      </c>
      <c r="G19">
        <v>949796</v>
      </c>
      <c r="H19">
        <v>899137</v>
      </c>
      <c r="I19">
        <v>6075391</v>
      </c>
      <c r="J19">
        <v>1348306</v>
      </c>
      <c r="K19">
        <v>173025</v>
      </c>
      <c r="L19">
        <v>165371</v>
      </c>
      <c r="M19">
        <v>1449597</v>
      </c>
      <c r="N19">
        <v>65459</v>
      </c>
      <c r="O19">
        <v>1574484</v>
      </c>
      <c r="P19">
        <v>1610175</v>
      </c>
      <c r="Q19">
        <v>6821471</v>
      </c>
      <c r="R19">
        <v>2101907</v>
      </c>
      <c r="S19">
        <v>967127</v>
      </c>
      <c r="T19">
        <v>955744</v>
      </c>
      <c r="U19">
        <v>7000895</v>
      </c>
      <c r="V19">
        <v>121209</v>
      </c>
      <c r="W19">
        <v>12637030</v>
      </c>
      <c r="X19">
        <v>13104842</v>
      </c>
      <c r="Y19">
        <v>5394314</v>
      </c>
      <c r="Z19">
        <v>11403663</v>
      </c>
      <c r="AA19">
        <v>1297343</v>
      </c>
      <c r="AB19">
        <v>1424915</v>
      </c>
      <c r="AC19">
        <v>817977</v>
      </c>
      <c r="AD19">
        <v>2306932</v>
      </c>
      <c r="AE19">
        <v>781367</v>
      </c>
      <c r="AF19">
        <v>920782</v>
      </c>
      <c r="AG19">
        <v>595193</v>
      </c>
      <c r="AH19">
        <v>1530244</v>
      </c>
      <c r="AI19">
        <v>3041114</v>
      </c>
      <c r="AJ19">
        <v>4222261</v>
      </c>
      <c r="AK19">
        <v>1099936</v>
      </c>
      <c r="AL19">
        <v>10199437</v>
      </c>
      <c r="AM19">
        <v>6085664</v>
      </c>
      <c r="AN19">
        <v>10472352</v>
      </c>
      <c r="AO19">
        <v>2225513</v>
      </c>
      <c r="AP19">
        <v>22921907</v>
      </c>
      <c r="AQ19">
        <v>419171</v>
      </c>
      <c r="AR19">
        <v>742739</v>
      </c>
      <c r="AS19">
        <v>283477</v>
      </c>
      <c r="AT19">
        <v>2147974</v>
      </c>
      <c r="AU19">
        <v>462641</v>
      </c>
      <c r="AV19">
        <v>827623</v>
      </c>
      <c r="AW19">
        <v>1660006</v>
      </c>
      <c r="AX19">
        <v>4463585</v>
      </c>
      <c r="AY19">
        <v>935108</v>
      </c>
      <c r="AZ19">
        <v>919281</v>
      </c>
      <c r="BA19">
        <v>3613537</v>
      </c>
      <c r="BB19">
        <v>2705191</v>
      </c>
      <c r="BC19">
        <v>918864</v>
      </c>
      <c r="BD19">
        <v>955337</v>
      </c>
      <c r="BE19">
        <v>1175510</v>
      </c>
      <c r="BF19">
        <v>1699990</v>
      </c>
    </row>
    <row r="20" spans="1:58" x14ac:dyDescent="0.4">
      <c r="A20" s="1" t="s">
        <v>28</v>
      </c>
      <c r="B20" s="1" t="s">
        <v>29</v>
      </c>
      <c r="C20">
        <v>1550167</v>
      </c>
      <c r="D20">
        <v>1265121</v>
      </c>
      <c r="E20">
        <v>5386231</v>
      </c>
      <c r="F20">
        <v>5322918</v>
      </c>
      <c r="G20">
        <v>1253067</v>
      </c>
      <c r="H20">
        <v>1239044</v>
      </c>
      <c r="I20">
        <v>8415377</v>
      </c>
      <c r="J20">
        <v>1348278</v>
      </c>
      <c r="K20">
        <v>194279</v>
      </c>
      <c r="L20">
        <v>200380</v>
      </c>
      <c r="M20">
        <v>1651538</v>
      </c>
      <c r="N20">
        <v>67780</v>
      </c>
      <c r="O20">
        <v>2085118</v>
      </c>
      <c r="P20">
        <v>2181124</v>
      </c>
      <c r="Q20">
        <v>9130912</v>
      </c>
      <c r="R20">
        <v>2049222</v>
      </c>
      <c r="S20">
        <v>1160089</v>
      </c>
      <c r="T20">
        <v>1111823</v>
      </c>
      <c r="U20">
        <v>8173742</v>
      </c>
      <c r="V20">
        <v>131931</v>
      </c>
      <c r="W20">
        <v>13985870</v>
      </c>
      <c r="X20">
        <v>15003570</v>
      </c>
      <c r="Y20">
        <v>6212917</v>
      </c>
      <c r="Z20">
        <v>11577734</v>
      </c>
      <c r="AA20">
        <v>1403040</v>
      </c>
      <c r="AB20">
        <v>1654289</v>
      </c>
      <c r="AC20">
        <v>913799</v>
      </c>
      <c r="AD20">
        <v>2091387</v>
      </c>
      <c r="AE20">
        <v>923491</v>
      </c>
      <c r="AF20">
        <v>1034708</v>
      </c>
      <c r="AG20">
        <v>667167</v>
      </c>
      <c r="AH20">
        <v>1460866</v>
      </c>
      <c r="AI20">
        <v>3549661</v>
      </c>
      <c r="AJ20">
        <v>4289063</v>
      </c>
      <c r="AK20">
        <v>1070107</v>
      </c>
      <c r="AL20">
        <v>9870974</v>
      </c>
      <c r="AM20">
        <v>6180297</v>
      </c>
      <c r="AN20">
        <v>10904118</v>
      </c>
      <c r="AO20">
        <v>2276261</v>
      </c>
      <c r="AP20">
        <v>21994786</v>
      </c>
      <c r="AQ20">
        <v>467381</v>
      </c>
      <c r="AR20">
        <v>862386</v>
      </c>
      <c r="AS20">
        <v>348311</v>
      </c>
      <c r="AT20">
        <v>1974378</v>
      </c>
      <c r="AU20">
        <v>433181</v>
      </c>
      <c r="AV20">
        <v>991884</v>
      </c>
      <c r="AW20">
        <v>2038839</v>
      </c>
      <c r="AX20">
        <v>4223873</v>
      </c>
      <c r="AY20">
        <v>923860</v>
      </c>
      <c r="AZ20">
        <v>1022722</v>
      </c>
      <c r="BA20">
        <v>4476890</v>
      </c>
      <c r="BB20">
        <v>2664696</v>
      </c>
      <c r="BC20">
        <v>900865</v>
      </c>
      <c r="BD20">
        <v>1069366</v>
      </c>
      <c r="BE20">
        <v>1224658</v>
      </c>
      <c r="BF20">
        <v>1655734</v>
      </c>
    </row>
    <row r="21" spans="1:58" x14ac:dyDescent="0.4">
      <c r="A21" s="1" t="s">
        <v>30</v>
      </c>
      <c r="B21" s="1" t="s">
        <v>31</v>
      </c>
      <c r="C21">
        <v>1692154</v>
      </c>
      <c r="D21">
        <v>1416058</v>
      </c>
      <c r="E21">
        <v>6081270</v>
      </c>
      <c r="F21">
        <v>5130374</v>
      </c>
      <c r="G21">
        <v>1290746</v>
      </c>
      <c r="H21">
        <v>1319102</v>
      </c>
      <c r="I21">
        <v>9007341</v>
      </c>
      <c r="J21">
        <v>1301761</v>
      </c>
      <c r="K21">
        <v>207043</v>
      </c>
      <c r="L21">
        <v>215038</v>
      </c>
      <c r="M21">
        <v>1704390</v>
      </c>
      <c r="N21">
        <v>78919</v>
      </c>
      <c r="O21">
        <v>2196216</v>
      </c>
      <c r="P21">
        <v>2342789</v>
      </c>
      <c r="Q21">
        <v>9977432</v>
      </c>
      <c r="R21">
        <v>1935571</v>
      </c>
      <c r="S21">
        <v>1344243</v>
      </c>
      <c r="T21">
        <v>1308421</v>
      </c>
      <c r="U21">
        <v>9483527</v>
      </c>
      <c r="V21">
        <v>131824</v>
      </c>
      <c r="W21">
        <v>15564583</v>
      </c>
      <c r="X21">
        <v>17230585</v>
      </c>
      <c r="Y21">
        <v>7110809</v>
      </c>
      <c r="Z21">
        <v>11070790</v>
      </c>
      <c r="AA21">
        <v>1834363</v>
      </c>
      <c r="AB21">
        <v>1931408</v>
      </c>
      <c r="AC21">
        <v>1125268</v>
      </c>
      <c r="AD21">
        <v>2080985</v>
      </c>
      <c r="AE21">
        <v>1070374</v>
      </c>
      <c r="AF21">
        <v>1235889</v>
      </c>
      <c r="AG21">
        <v>790333</v>
      </c>
      <c r="AH21">
        <v>1420829</v>
      </c>
      <c r="AI21">
        <v>4168781</v>
      </c>
      <c r="AJ21">
        <v>5052752</v>
      </c>
      <c r="AK21">
        <v>1229723</v>
      </c>
      <c r="AL21">
        <v>9779743</v>
      </c>
      <c r="AM21">
        <v>7419373</v>
      </c>
      <c r="AN21">
        <v>11942539</v>
      </c>
      <c r="AO21">
        <v>2529469</v>
      </c>
      <c r="AP21">
        <v>21946488</v>
      </c>
      <c r="AQ21">
        <v>553661</v>
      </c>
      <c r="AR21">
        <v>987024</v>
      </c>
      <c r="AS21">
        <v>379047</v>
      </c>
      <c r="AT21">
        <v>1819283</v>
      </c>
      <c r="AU21">
        <v>451496</v>
      </c>
      <c r="AV21">
        <v>826356</v>
      </c>
      <c r="AW21">
        <v>1866587</v>
      </c>
      <c r="AX21">
        <v>4153088</v>
      </c>
      <c r="AY21">
        <v>1075820</v>
      </c>
      <c r="AZ21">
        <v>1138774</v>
      </c>
      <c r="BA21">
        <v>4199647</v>
      </c>
      <c r="BB21">
        <v>2653633</v>
      </c>
      <c r="BC21">
        <v>1017739</v>
      </c>
      <c r="BD21">
        <v>1004848</v>
      </c>
      <c r="BE21">
        <v>1249934</v>
      </c>
      <c r="BF21">
        <v>1759133</v>
      </c>
    </row>
    <row r="22" spans="1:58" x14ac:dyDescent="0.4">
      <c r="A22" s="1" t="s">
        <v>32</v>
      </c>
      <c r="B22" s="1" t="s">
        <v>33</v>
      </c>
      <c r="C22">
        <v>1670128</v>
      </c>
      <c r="D22">
        <v>1344201</v>
      </c>
      <c r="E22">
        <v>5695776</v>
      </c>
      <c r="F22">
        <v>4948822</v>
      </c>
      <c r="G22">
        <v>1296400</v>
      </c>
      <c r="H22">
        <v>1233161</v>
      </c>
      <c r="I22">
        <v>8456613</v>
      </c>
      <c r="J22">
        <v>1347786</v>
      </c>
      <c r="K22">
        <v>217782</v>
      </c>
      <c r="L22">
        <v>227153</v>
      </c>
      <c r="M22">
        <v>1923209</v>
      </c>
      <c r="N22">
        <v>78167</v>
      </c>
      <c r="O22">
        <v>2192661</v>
      </c>
      <c r="P22">
        <v>2159148</v>
      </c>
      <c r="Q22">
        <v>9329460</v>
      </c>
      <c r="R22">
        <v>1996614</v>
      </c>
      <c r="S22">
        <v>1292200</v>
      </c>
      <c r="T22">
        <v>1268568</v>
      </c>
      <c r="U22">
        <v>9107082</v>
      </c>
      <c r="V22">
        <v>133240</v>
      </c>
      <c r="W22">
        <v>14927938</v>
      </c>
      <c r="X22">
        <v>16038344</v>
      </c>
      <c r="Y22">
        <v>6621329</v>
      </c>
      <c r="Z22">
        <v>10819333</v>
      </c>
      <c r="AA22">
        <v>1716076</v>
      </c>
      <c r="AB22">
        <v>1843446</v>
      </c>
      <c r="AC22">
        <v>1056618</v>
      </c>
      <c r="AD22">
        <v>2060301</v>
      </c>
      <c r="AE22">
        <v>906172</v>
      </c>
      <c r="AF22">
        <v>1104309</v>
      </c>
      <c r="AG22">
        <v>706349</v>
      </c>
      <c r="AH22">
        <v>1371986</v>
      </c>
      <c r="AI22">
        <v>3875739</v>
      </c>
      <c r="AJ22">
        <v>4414527</v>
      </c>
      <c r="AK22">
        <v>1099927</v>
      </c>
      <c r="AL22">
        <v>10083043</v>
      </c>
      <c r="AM22">
        <v>6954240</v>
      </c>
      <c r="AN22">
        <v>11627307</v>
      </c>
      <c r="AO22">
        <v>2495107</v>
      </c>
      <c r="AP22">
        <v>21810819</v>
      </c>
      <c r="AQ22">
        <v>555705</v>
      </c>
      <c r="AR22">
        <v>877998</v>
      </c>
      <c r="AS22">
        <v>342767</v>
      </c>
      <c r="AT22">
        <v>1752550</v>
      </c>
      <c r="AU22">
        <v>443237</v>
      </c>
      <c r="AV22">
        <v>864043</v>
      </c>
      <c r="AW22">
        <v>1941971</v>
      </c>
      <c r="AX22">
        <v>4086090</v>
      </c>
      <c r="AY22">
        <v>1025481</v>
      </c>
      <c r="AZ22">
        <v>1064293</v>
      </c>
      <c r="BA22">
        <v>4424589</v>
      </c>
      <c r="BB22">
        <v>2648583</v>
      </c>
      <c r="BC22">
        <v>871096</v>
      </c>
      <c r="BD22">
        <v>756765</v>
      </c>
      <c r="BE22">
        <v>948549</v>
      </c>
      <c r="BF22">
        <v>1959282</v>
      </c>
    </row>
    <row r="23" spans="1:58" x14ac:dyDescent="0.4">
      <c r="A23" s="1" t="s">
        <v>34</v>
      </c>
      <c r="B23" s="1" t="s">
        <v>35</v>
      </c>
      <c r="C23">
        <v>1548423</v>
      </c>
      <c r="D23">
        <v>1192987</v>
      </c>
      <c r="E23">
        <v>5160443</v>
      </c>
      <c r="F23">
        <v>4864006</v>
      </c>
      <c r="G23">
        <v>1173007</v>
      </c>
      <c r="H23">
        <v>1086881</v>
      </c>
      <c r="I23">
        <v>7382338</v>
      </c>
      <c r="J23">
        <v>1411639</v>
      </c>
      <c r="K23">
        <v>232951</v>
      </c>
      <c r="L23">
        <v>218576</v>
      </c>
      <c r="M23">
        <v>1947008</v>
      </c>
      <c r="N23">
        <v>85839</v>
      </c>
      <c r="O23">
        <v>1943770</v>
      </c>
      <c r="P23">
        <v>1909065</v>
      </c>
      <c r="Q23">
        <v>8295936</v>
      </c>
      <c r="R23">
        <v>2070098</v>
      </c>
      <c r="S23">
        <v>1134418</v>
      </c>
      <c r="T23">
        <v>1120141</v>
      </c>
      <c r="U23">
        <v>8199460</v>
      </c>
      <c r="V23">
        <v>114613</v>
      </c>
      <c r="W23">
        <v>14275291</v>
      </c>
      <c r="X23">
        <v>15649478</v>
      </c>
      <c r="Y23">
        <v>6493442</v>
      </c>
      <c r="Z23">
        <v>10494665</v>
      </c>
      <c r="AA23">
        <v>1519999</v>
      </c>
      <c r="AB23">
        <v>1714065</v>
      </c>
      <c r="AC23">
        <v>979787</v>
      </c>
      <c r="AD23">
        <v>1955412</v>
      </c>
      <c r="AE23">
        <v>994733</v>
      </c>
      <c r="AF23">
        <v>1057029</v>
      </c>
      <c r="AG23">
        <v>693604</v>
      </c>
      <c r="AH23">
        <v>1437224</v>
      </c>
      <c r="AI23">
        <v>3924022</v>
      </c>
      <c r="AJ23">
        <v>4486040</v>
      </c>
      <c r="AK23">
        <v>1066672</v>
      </c>
      <c r="AL23">
        <v>10311339</v>
      </c>
      <c r="AM23">
        <v>6819609</v>
      </c>
      <c r="AN23">
        <v>10437107</v>
      </c>
      <c r="AO23">
        <v>2236144</v>
      </c>
      <c r="AP23">
        <v>22633928</v>
      </c>
      <c r="AQ23">
        <v>568722</v>
      </c>
      <c r="AR23">
        <v>973665</v>
      </c>
      <c r="AS23">
        <v>387592</v>
      </c>
      <c r="AT23">
        <v>1659147</v>
      </c>
      <c r="AU23">
        <v>475539</v>
      </c>
      <c r="AV23">
        <v>880303</v>
      </c>
      <c r="AW23">
        <v>1861744</v>
      </c>
      <c r="AX23">
        <v>4094255</v>
      </c>
      <c r="AY23">
        <v>1007559</v>
      </c>
      <c r="AZ23">
        <v>999357</v>
      </c>
      <c r="BA23">
        <v>4512631</v>
      </c>
      <c r="BB23">
        <v>2662391</v>
      </c>
      <c r="BC23">
        <v>997582</v>
      </c>
      <c r="BD23">
        <v>928547</v>
      </c>
      <c r="BE23">
        <v>1142799</v>
      </c>
      <c r="BF23">
        <v>2110202</v>
      </c>
    </row>
    <row r="24" spans="1:58" x14ac:dyDescent="0.4">
      <c r="A24" s="1" t="s">
        <v>36</v>
      </c>
      <c r="B24" s="1" t="s">
        <v>37</v>
      </c>
      <c r="C24">
        <v>1368568</v>
      </c>
      <c r="D24">
        <v>1094695</v>
      </c>
      <c r="E24">
        <v>4689105</v>
      </c>
      <c r="F24">
        <v>4738496</v>
      </c>
      <c r="G24">
        <v>1067783</v>
      </c>
      <c r="H24">
        <v>1150527</v>
      </c>
      <c r="I24">
        <v>7854633</v>
      </c>
      <c r="J24">
        <v>1302151</v>
      </c>
      <c r="K24">
        <v>216653</v>
      </c>
      <c r="L24">
        <v>196959</v>
      </c>
      <c r="M24">
        <v>1567991</v>
      </c>
      <c r="N24">
        <v>91617</v>
      </c>
      <c r="O24">
        <v>1844314</v>
      </c>
      <c r="P24">
        <v>1958178</v>
      </c>
      <c r="Q24">
        <v>8395391</v>
      </c>
      <c r="R24">
        <v>1992569</v>
      </c>
      <c r="S24">
        <v>886072</v>
      </c>
      <c r="T24">
        <v>857478</v>
      </c>
      <c r="U24">
        <v>6569337</v>
      </c>
      <c r="V24">
        <v>119770</v>
      </c>
      <c r="W24">
        <v>13345477</v>
      </c>
      <c r="X24">
        <v>14456104</v>
      </c>
      <c r="Y24">
        <v>5979503</v>
      </c>
      <c r="Z24">
        <v>10584529</v>
      </c>
      <c r="AA24">
        <v>1502855</v>
      </c>
      <c r="AB24">
        <v>1552727</v>
      </c>
      <c r="AC24">
        <v>909448</v>
      </c>
      <c r="AD24">
        <v>2012568</v>
      </c>
      <c r="AE24">
        <v>982053</v>
      </c>
      <c r="AF24">
        <v>1031052</v>
      </c>
      <c r="AG24">
        <v>698912</v>
      </c>
      <c r="AH24">
        <v>1481842</v>
      </c>
      <c r="AI24">
        <v>4222124</v>
      </c>
      <c r="AJ24">
        <v>4543258</v>
      </c>
      <c r="AK24">
        <v>1101989</v>
      </c>
      <c r="AL24">
        <v>11158733</v>
      </c>
      <c r="AM24">
        <v>7763687</v>
      </c>
      <c r="AN24">
        <v>11381293</v>
      </c>
      <c r="AO24">
        <v>2416329</v>
      </c>
      <c r="AP24">
        <v>23375840</v>
      </c>
      <c r="AQ24">
        <v>615150</v>
      </c>
      <c r="AR24">
        <v>814636</v>
      </c>
      <c r="AS24">
        <v>310891</v>
      </c>
      <c r="AT24">
        <v>1808280</v>
      </c>
      <c r="AU24">
        <v>540854</v>
      </c>
      <c r="AV24">
        <v>683953</v>
      </c>
      <c r="AW24">
        <v>1777876</v>
      </c>
      <c r="AX24">
        <v>4137546</v>
      </c>
      <c r="AY24">
        <v>1000072</v>
      </c>
      <c r="AZ24">
        <v>1020846</v>
      </c>
      <c r="BA24">
        <v>3776703</v>
      </c>
      <c r="BB24">
        <v>2709917</v>
      </c>
      <c r="BC24">
        <v>977206</v>
      </c>
      <c r="BD24">
        <v>995283</v>
      </c>
      <c r="BE24">
        <v>1147938</v>
      </c>
      <c r="BF24">
        <v>2194936</v>
      </c>
    </row>
    <row r="25" spans="1:58" x14ac:dyDescent="0.4">
      <c r="A25" s="1" t="s">
        <v>38</v>
      </c>
      <c r="B25" s="1" t="s">
        <v>39</v>
      </c>
      <c r="C25">
        <v>1508056</v>
      </c>
      <c r="D25">
        <v>1113305</v>
      </c>
      <c r="E25">
        <v>4799326</v>
      </c>
      <c r="F25">
        <v>4722152</v>
      </c>
      <c r="G25">
        <v>1191692</v>
      </c>
      <c r="H25">
        <v>1204537</v>
      </c>
      <c r="I25">
        <v>8135168</v>
      </c>
      <c r="J25">
        <v>1269140</v>
      </c>
      <c r="K25">
        <v>186803</v>
      </c>
      <c r="L25">
        <v>186423</v>
      </c>
      <c r="M25">
        <v>1542256</v>
      </c>
      <c r="N25">
        <v>92768</v>
      </c>
      <c r="O25">
        <v>1941039</v>
      </c>
      <c r="P25">
        <v>2070426</v>
      </c>
      <c r="Q25">
        <v>8763188</v>
      </c>
      <c r="R25">
        <v>1908111</v>
      </c>
      <c r="S25">
        <v>841818</v>
      </c>
      <c r="T25">
        <v>820893</v>
      </c>
      <c r="U25">
        <v>6230400</v>
      </c>
      <c r="V25">
        <v>116366</v>
      </c>
      <c r="W25">
        <v>13738690</v>
      </c>
      <c r="X25">
        <v>13679244</v>
      </c>
      <c r="Y25">
        <v>5655092</v>
      </c>
      <c r="Z25">
        <v>11637354</v>
      </c>
      <c r="AA25">
        <v>1617702</v>
      </c>
      <c r="AB25">
        <v>1461612</v>
      </c>
      <c r="AC25">
        <v>860278</v>
      </c>
      <c r="AD25">
        <v>2272726</v>
      </c>
      <c r="AE25">
        <v>937539</v>
      </c>
      <c r="AF25">
        <v>1057143</v>
      </c>
      <c r="AG25">
        <v>654806</v>
      </c>
      <c r="AH25">
        <v>1416933</v>
      </c>
      <c r="AI25">
        <v>3500461</v>
      </c>
      <c r="AJ25">
        <v>4371161</v>
      </c>
      <c r="AK25">
        <v>1102528</v>
      </c>
      <c r="AL25">
        <v>11307305</v>
      </c>
      <c r="AM25">
        <v>6824142</v>
      </c>
      <c r="AN25">
        <v>10710299</v>
      </c>
      <c r="AO25">
        <v>2334990</v>
      </c>
      <c r="AP25">
        <v>23157658</v>
      </c>
      <c r="AQ25">
        <v>529115</v>
      </c>
      <c r="AR25">
        <v>883333</v>
      </c>
      <c r="AS25">
        <v>345850</v>
      </c>
      <c r="AT25">
        <v>1717531</v>
      </c>
      <c r="AU25">
        <v>461094</v>
      </c>
      <c r="AV25">
        <v>712365</v>
      </c>
      <c r="AW25">
        <v>1827245</v>
      </c>
      <c r="AX25">
        <v>4144878</v>
      </c>
      <c r="AY25">
        <v>963964</v>
      </c>
      <c r="AZ25">
        <v>1062703</v>
      </c>
      <c r="BA25">
        <v>4599351</v>
      </c>
      <c r="BB25">
        <v>2664215</v>
      </c>
      <c r="BC25">
        <v>860514</v>
      </c>
      <c r="BD25">
        <v>964140</v>
      </c>
      <c r="BE25">
        <v>1074330</v>
      </c>
      <c r="BF25">
        <v>2219573</v>
      </c>
    </row>
    <row r="26" spans="1:58" x14ac:dyDescent="0.4">
      <c r="A26" s="1" t="s">
        <v>40</v>
      </c>
      <c r="B26" s="1" t="s">
        <v>41</v>
      </c>
      <c r="C26">
        <v>1555679</v>
      </c>
      <c r="D26">
        <v>1211240</v>
      </c>
      <c r="E26">
        <v>5076022</v>
      </c>
      <c r="F26">
        <v>4727271</v>
      </c>
      <c r="G26">
        <v>1196935</v>
      </c>
      <c r="H26">
        <v>1207627</v>
      </c>
      <c r="I26">
        <v>8239635</v>
      </c>
      <c r="J26">
        <v>1242681</v>
      </c>
      <c r="K26">
        <v>200896</v>
      </c>
      <c r="L26">
        <v>182497</v>
      </c>
      <c r="M26">
        <v>1431051</v>
      </c>
      <c r="N26">
        <v>103226</v>
      </c>
      <c r="O26">
        <v>1990728</v>
      </c>
      <c r="P26">
        <v>2037204</v>
      </c>
      <c r="Q26">
        <v>8713082</v>
      </c>
      <c r="R26">
        <v>1896224</v>
      </c>
      <c r="S26">
        <v>987716</v>
      </c>
      <c r="T26">
        <v>956495</v>
      </c>
      <c r="U26">
        <v>7081721</v>
      </c>
      <c r="V26">
        <v>118970</v>
      </c>
      <c r="W26">
        <v>13703862</v>
      </c>
      <c r="X26">
        <v>14619444</v>
      </c>
      <c r="Y26">
        <v>6034827</v>
      </c>
      <c r="Z26">
        <v>12099411</v>
      </c>
      <c r="AA26">
        <v>1549873</v>
      </c>
      <c r="AB26">
        <v>1634057</v>
      </c>
      <c r="AC26">
        <v>953778</v>
      </c>
      <c r="AD26">
        <v>2287984</v>
      </c>
      <c r="AE26">
        <v>1057477</v>
      </c>
      <c r="AF26">
        <v>1056520</v>
      </c>
      <c r="AG26">
        <v>646965</v>
      </c>
      <c r="AH26">
        <v>1489555</v>
      </c>
      <c r="AI26">
        <v>3945371</v>
      </c>
      <c r="AJ26">
        <v>4352977</v>
      </c>
      <c r="AK26">
        <v>1107686</v>
      </c>
      <c r="AL26">
        <v>11765140</v>
      </c>
      <c r="AM26">
        <v>7081584</v>
      </c>
      <c r="AN26">
        <v>11188481</v>
      </c>
      <c r="AO26">
        <v>2420844</v>
      </c>
      <c r="AP26">
        <v>23955754</v>
      </c>
      <c r="AQ26">
        <v>621832</v>
      </c>
      <c r="AR26">
        <v>916818</v>
      </c>
      <c r="AS26">
        <v>346748</v>
      </c>
      <c r="AT26">
        <v>1735608</v>
      </c>
      <c r="AU26">
        <v>492664</v>
      </c>
      <c r="AV26">
        <v>741804</v>
      </c>
      <c r="AW26">
        <v>1732798</v>
      </c>
      <c r="AX26">
        <v>3934926</v>
      </c>
      <c r="AY26">
        <v>1062910</v>
      </c>
      <c r="AZ26">
        <v>1149949</v>
      </c>
      <c r="BA26">
        <v>4819039</v>
      </c>
      <c r="BB26">
        <v>2653456</v>
      </c>
      <c r="BC26">
        <v>925145</v>
      </c>
      <c r="BD26">
        <v>965875</v>
      </c>
      <c r="BE26">
        <v>1106883</v>
      </c>
      <c r="BF26">
        <v>2221848</v>
      </c>
    </row>
    <row r="27" spans="1:58" x14ac:dyDescent="0.4">
      <c r="A27" s="1" t="s">
        <v>42</v>
      </c>
      <c r="B27" s="1" t="s">
        <v>43</v>
      </c>
      <c r="C27">
        <v>1566477</v>
      </c>
      <c r="D27">
        <v>1199255</v>
      </c>
      <c r="E27">
        <v>5206755</v>
      </c>
      <c r="F27">
        <v>4679186</v>
      </c>
      <c r="G27">
        <v>1163172</v>
      </c>
      <c r="H27">
        <v>1148678</v>
      </c>
      <c r="I27">
        <v>7956566</v>
      </c>
      <c r="J27">
        <v>1249997</v>
      </c>
      <c r="K27">
        <v>195875</v>
      </c>
      <c r="L27">
        <v>189778</v>
      </c>
      <c r="M27">
        <v>1444333</v>
      </c>
      <c r="N27">
        <v>109284</v>
      </c>
      <c r="O27">
        <v>1986886</v>
      </c>
      <c r="P27">
        <v>1912798</v>
      </c>
      <c r="Q27">
        <v>8348915</v>
      </c>
      <c r="R27">
        <v>2006816</v>
      </c>
      <c r="S27">
        <v>1083417</v>
      </c>
      <c r="T27">
        <v>1055450</v>
      </c>
      <c r="U27">
        <v>7840035</v>
      </c>
      <c r="V27">
        <v>117705</v>
      </c>
      <c r="W27">
        <v>14057189</v>
      </c>
      <c r="X27">
        <v>14624955</v>
      </c>
      <c r="Y27">
        <v>6132572</v>
      </c>
      <c r="Z27">
        <v>12311568</v>
      </c>
      <c r="AA27">
        <v>1425334</v>
      </c>
      <c r="AB27">
        <v>1650390</v>
      </c>
      <c r="AC27">
        <v>934379</v>
      </c>
      <c r="AD27">
        <v>2143817</v>
      </c>
      <c r="AE27">
        <v>1033513</v>
      </c>
      <c r="AF27">
        <v>993377</v>
      </c>
      <c r="AG27">
        <v>690998</v>
      </c>
      <c r="AH27">
        <v>1637767</v>
      </c>
      <c r="AI27">
        <v>3845423</v>
      </c>
      <c r="AJ27">
        <v>4695845</v>
      </c>
      <c r="AK27">
        <v>1126166</v>
      </c>
      <c r="AL27">
        <v>11905979</v>
      </c>
      <c r="AM27">
        <v>6972417</v>
      </c>
      <c r="AN27">
        <v>11514533</v>
      </c>
      <c r="AO27">
        <v>2400227</v>
      </c>
      <c r="AP27">
        <v>24722472</v>
      </c>
      <c r="AQ27">
        <v>639528</v>
      </c>
      <c r="AR27">
        <v>810191</v>
      </c>
      <c r="AS27">
        <v>309724</v>
      </c>
      <c r="AT27">
        <v>1879638</v>
      </c>
      <c r="AU27">
        <v>477598</v>
      </c>
      <c r="AV27">
        <v>733622</v>
      </c>
      <c r="AW27">
        <v>1787689</v>
      </c>
      <c r="AX27">
        <v>3908200</v>
      </c>
      <c r="AY27">
        <v>1033651</v>
      </c>
      <c r="AZ27">
        <v>1094704</v>
      </c>
      <c r="BA27">
        <v>4916250</v>
      </c>
      <c r="BB27">
        <v>2609999</v>
      </c>
      <c r="BC27">
        <v>906560</v>
      </c>
      <c r="BD27">
        <v>1077406</v>
      </c>
      <c r="BE27">
        <v>1337155</v>
      </c>
      <c r="BF27">
        <v>2176305</v>
      </c>
    </row>
    <row r="28" spans="1:58" x14ac:dyDescent="0.4">
      <c r="A28" s="1" t="s">
        <v>44</v>
      </c>
      <c r="B28" s="1" t="s">
        <v>45</v>
      </c>
      <c r="C28">
        <v>1651154</v>
      </c>
      <c r="D28">
        <v>1107005</v>
      </c>
      <c r="E28">
        <v>4749223</v>
      </c>
      <c r="F28">
        <v>4839471</v>
      </c>
      <c r="G28">
        <v>1023157</v>
      </c>
      <c r="H28">
        <v>1062929</v>
      </c>
      <c r="I28">
        <v>7258425</v>
      </c>
      <c r="J28">
        <v>1211854</v>
      </c>
      <c r="K28">
        <v>185080</v>
      </c>
      <c r="L28">
        <v>181425</v>
      </c>
      <c r="M28">
        <v>1337808</v>
      </c>
      <c r="N28">
        <v>106249</v>
      </c>
      <c r="O28">
        <v>1740276</v>
      </c>
      <c r="P28">
        <v>1768617</v>
      </c>
      <c r="Q28">
        <v>7718582</v>
      </c>
      <c r="R28">
        <v>2010378</v>
      </c>
      <c r="S28">
        <v>1073716</v>
      </c>
      <c r="T28">
        <v>1053240</v>
      </c>
      <c r="U28">
        <v>7907082</v>
      </c>
      <c r="V28">
        <v>119555</v>
      </c>
      <c r="W28">
        <v>13143763</v>
      </c>
      <c r="X28">
        <v>14090894</v>
      </c>
      <c r="Y28">
        <v>5889180</v>
      </c>
      <c r="Z28">
        <v>12025052</v>
      </c>
      <c r="AA28">
        <v>1505106</v>
      </c>
      <c r="AB28">
        <v>1609088</v>
      </c>
      <c r="AC28">
        <v>920486</v>
      </c>
      <c r="AD28">
        <v>2087775</v>
      </c>
      <c r="AE28">
        <v>1065327</v>
      </c>
      <c r="AF28">
        <v>967547</v>
      </c>
      <c r="AG28">
        <v>633394</v>
      </c>
      <c r="AH28">
        <v>1737466</v>
      </c>
      <c r="AI28">
        <v>3735096</v>
      </c>
      <c r="AJ28">
        <v>4579309</v>
      </c>
      <c r="AK28">
        <v>1146572</v>
      </c>
      <c r="AL28">
        <v>12149949</v>
      </c>
      <c r="AM28">
        <v>7053257</v>
      </c>
      <c r="AN28">
        <v>10349820</v>
      </c>
      <c r="AO28">
        <v>2213298</v>
      </c>
      <c r="AP28">
        <v>25275971</v>
      </c>
      <c r="AQ28">
        <v>645021</v>
      </c>
      <c r="AR28">
        <v>824872</v>
      </c>
      <c r="AS28">
        <v>303287</v>
      </c>
      <c r="AT28">
        <v>2008822</v>
      </c>
      <c r="AU28">
        <v>506732</v>
      </c>
      <c r="AV28">
        <v>612417</v>
      </c>
      <c r="AW28">
        <v>1529967</v>
      </c>
      <c r="AX28">
        <v>3852547</v>
      </c>
      <c r="AY28">
        <v>1024752</v>
      </c>
      <c r="AZ28">
        <v>1007246</v>
      </c>
      <c r="BA28">
        <v>4786505</v>
      </c>
      <c r="BB28">
        <v>2634937</v>
      </c>
      <c r="BC28">
        <v>926952</v>
      </c>
      <c r="BD28">
        <v>787161</v>
      </c>
      <c r="BE28">
        <v>1091414</v>
      </c>
      <c r="BF28">
        <v>2411540</v>
      </c>
    </row>
    <row r="29" spans="1:58" x14ac:dyDescent="0.4">
      <c r="A29" s="1" t="s">
        <v>46</v>
      </c>
      <c r="B29" s="1" t="s">
        <v>47</v>
      </c>
      <c r="C29">
        <v>1601719</v>
      </c>
      <c r="D29">
        <v>1196225</v>
      </c>
      <c r="E29">
        <v>5180200</v>
      </c>
      <c r="F29">
        <v>4857206</v>
      </c>
      <c r="G29">
        <v>1247804</v>
      </c>
      <c r="H29">
        <v>1186453</v>
      </c>
      <c r="I29">
        <v>8211616</v>
      </c>
      <c r="J29">
        <v>1290471</v>
      </c>
      <c r="K29">
        <v>210633</v>
      </c>
      <c r="L29">
        <v>187652</v>
      </c>
      <c r="M29">
        <v>1564028</v>
      </c>
      <c r="N29">
        <v>108749</v>
      </c>
      <c r="O29">
        <v>2042603</v>
      </c>
      <c r="P29">
        <v>2007000</v>
      </c>
      <c r="Q29">
        <v>8730009</v>
      </c>
      <c r="R29">
        <v>2084719</v>
      </c>
      <c r="S29">
        <v>1082143</v>
      </c>
      <c r="T29">
        <v>1059217</v>
      </c>
      <c r="U29">
        <v>7988137</v>
      </c>
      <c r="V29">
        <v>118862</v>
      </c>
      <c r="W29">
        <v>13731103</v>
      </c>
      <c r="X29">
        <v>14685143</v>
      </c>
      <c r="Y29">
        <v>6111055</v>
      </c>
      <c r="Z29">
        <v>12045944</v>
      </c>
      <c r="AA29">
        <v>1762826</v>
      </c>
      <c r="AB29">
        <v>1634173</v>
      </c>
      <c r="AC29">
        <v>931978</v>
      </c>
      <c r="AD29">
        <v>2259456</v>
      </c>
      <c r="AE29">
        <v>878923</v>
      </c>
      <c r="AF29">
        <v>971590</v>
      </c>
      <c r="AG29">
        <v>664949</v>
      </c>
      <c r="AH29">
        <v>1655713</v>
      </c>
      <c r="AI29">
        <v>3637166</v>
      </c>
      <c r="AJ29">
        <v>4804963</v>
      </c>
      <c r="AK29">
        <v>1123627</v>
      </c>
      <c r="AL29">
        <v>11826819</v>
      </c>
      <c r="AM29">
        <v>7139441</v>
      </c>
      <c r="AN29">
        <v>11166582</v>
      </c>
      <c r="AO29">
        <v>2361376</v>
      </c>
      <c r="AP29">
        <v>25149107</v>
      </c>
      <c r="AQ29">
        <v>582878</v>
      </c>
      <c r="AR29">
        <v>902827</v>
      </c>
      <c r="AS29">
        <v>343928</v>
      </c>
      <c r="AT29">
        <v>1974479</v>
      </c>
      <c r="AU29">
        <v>522205</v>
      </c>
      <c r="AV29">
        <v>701784</v>
      </c>
      <c r="AW29">
        <v>1721693</v>
      </c>
      <c r="AX29">
        <v>3862778</v>
      </c>
      <c r="AY29">
        <v>967053</v>
      </c>
      <c r="AZ29">
        <v>1075057</v>
      </c>
      <c r="BA29">
        <v>4996244</v>
      </c>
      <c r="BB29">
        <v>2603949</v>
      </c>
      <c r="BC29">
        <v>827691</v>
      </c>
      <c r="BD29">
        <v>905686</v>
      </c>
      <c r="BE29">
        <v>1030398</v>
      </c>
      <c r="BF29">
        <v>2434324</v>
      </c>
    </row>
    <row r="30" spans="1:58" x14ac:dyDescent="0.4">
      <c r="A30" s="1" t="s">
        <v>48</v>
      </c>
      <c r="B30" s="1" t="s">
        <v>49</v>
      </c>
      <c r="C30">
        <v>1469345</v>
      </c>
      <c r="D30">
        <v>1261230</v>
      </c>
      <c r="E30">
        <v>5455080</v>
      </c>
      <c r="F30">
        <v>4618569</v>
      </c>
      <c r="G30">
        <v>1301760</v>
      </c>
      <c r="H30">
        <v>1251210</v>
      </c>
      <c r="I30">
        <v>8785079</v>
      </c>
      <c r="J30">
        <v>1318381</v>
      </c>
      <c r="K30">
        <v>202747</v>
      </c>
      <c r="L30">
        <v>199259</v>
      </c>
      <c r="M30">
        <v>1764290</v>
      </c>
      <c r="N30">
        <v>95568</v>
      </c>
      <c r="O30">
        <v>1916390</v>
      </c>
      <c r="P30">
        <v>2113871</v>
      </c>
      <c r="Q30">
        <v>9084821</v>
      </c>
      <c r="R30">
        <v>2014514</v>
      </c>
      <c r="S30">
        <v>1205134</v>
      </c>
      <c r="T30">
        <v>1177624</v>
      </c>
      <c r="U30">
        <v>8857791</v>
      </c>
      <c r="V30">
        <v>121757</v>
      </c>
      <c r="W30">
        <v>13959109</v>
      </c>
      <c r="X30">
        <v>15424445</v>
      </c>
      <c r="Y30">
        <v>6480914</v>
      </c>
      <c r="Z30">
        <v>11287177</v>
      </c>
      <c r="AA30">
        <v>1614252</v>
      </c>
      <c r="AB30">
        <v>1664185</v>
      </c>
      <c r="AC30">
        <v>978911</v>
      </c>
      <c r="AD30">
        <v>2310935</v>
      </c>
      <c r="AE30">
        <v>1140855</v>
      </c>
      <c r="AF30">
        <v>1128264</v>
      </c>
      <c r="AG30">
        <v>752943</v>
      </c>
      <c r="AH30">
        <v>1700472</v>
      </c>
      <c r="AI30">
        <v>3725153</v>
      </c>
      <c r="AJ30">
        <v>4748219</v>
      </c>
      <c r="AK30">
        <v>1176662</v>
      </c>
      <c r="AL30">
        <v>11701750</v>
      </c>
      <c r="AM30">
        <v>7062910</v>
      </c>
      <c r="AN30">
        <v>13606786</v>
      </c>
      <c r="AO30">
        <v>2867433</v>
      </c>
      <c r="AP30">
        <v>23357613</v>
      </c>
      <c r="AQ30">
        <v>589598</v>
      </c>
      <c r="AR30">
        <v>1029277</v>
      </c>
      <c r="AS30">
        <v>388910</v>
      </c>
      <c r="AT30">
        <v>1779791</v>
      </c>
      <c r="AU30">
        <v>531932</v>
      </c>
      <c r="AV30">
        <v>708823</v>
      </c>
      <c r="AW30">
        <v>1787916</v>
      </c>
      <c r="AX30">
        <v>3970177</v>
      </c>
      <c r="AY30">
        <v>1101004</v>
      </c>
      <c r="AZ30">
        <v>1148526</v>
      </c>
      <c r="BA30">
        <v>5538209</v>
      </c>
      <c r="BB30">
        <v>2624341</v>
      </c>
      <c r="BC30">
        <v>912341</v>
      </c>
      <c r="BD30">
        <v>1044458</v>
      </c>
      <c r="BE30">
        <v>1298711</v>
      </c>
      <c r="BF30">
        <v>2371122</v>
      </c>
    </row>
    <row r="31" spans="1:58" x14ac:dyDescent="0.4">
      <c r="A31" s="1" t="s">
        <v>50</v>
      </c>
      <c r="B31" s="1" t="s">
        <v>51</v>
      </c>
      <c r="C31">
        <v>1515574</v>
      </c>
      <c r="D31">
        <v>962655</v>
      </c>
      <c r="E31">
        <v>4183337</v>
      </c>
      <c r="F31">
        <v>4823886</v>
      </c>
      <c r="G31">
        <v>882135</v>
      </c>
      <c r="H31">
        <v>867935</v>
      </c>
      <c r="I31">
        <v>6085436</v>
      </c>
      <c r="J31">
        <v>1323416</v>
      </c>
      <c r="K31">
        <v>178654</v>
      </c>
      <c r="L31">
        <v>154559</v>
      </c>
      <c r="M31">
        <v>1371424</v>
      </c>
      <c r="N31">
        <v>94918</v>
      </c>
      <c r="O31">
        <v>1447418</v>
      </c>
      <c r="P31">
        <v>1544984</v>
      </c>
      <c r="Q31">
        <v>6784608</v>
      </c>
      <c r="R31">
        <v>1958931</v>
      </c>
      <c r="S31">
        <v>882064</v>
      </c>
      <c r="T31">
        <v>874963</v>
      </c>
      <c r="U31">
        <v>6701123</v>
      </c>
      <c r="V31">
        <v>115707</v>
      </c>
      <c r="W31">
        <v>12119953</v>
      </c>
      <c r="X31">
        <v>12483482</v>
      </c>
      <c r="Y31">
        <v>5272975</v>
      </c>
      <c r="Z31">
        <v>11641106</v>
      </c>
      <c r="AA31">
        <v>1080200</v>
      </c>
      <c r="AB31">
        <v>1427274</v>
      </c>
      <c r="AC31">
        <v>847869</v>
      </c>
      <c r="AD31">
        <v>2062087</v>
      </c>
      <c r="AE31">
        <v>618769</v>
      </c>
      <c r="AF31">
        <v>932751</v>
      </c>
      <c r="AG31">
        <v>607670</v>
      </c>
      <c r="AH31">
        <v>1457525</v>
      </c>
      <c r="AI31">
        <v>3584138</v>
      </c>
      <c r="AJ31">
        <v>3766479</v>
      </c>
      <c r="AK31">
        <v>970334</v>
      </c>
      <c r="AL31">
        <v>12218221</v>
      </c>
      <c r="AM31">
        <v>6952805</v>
      </c>
      <c r="AN31">
        <v>9578451</v>
      </c>
      <c r="AO31">
        <v>2118123</v>
      </c>
      <c r="AP31">
        <v>25002927</v>
      </c>
      <c r="AQ31">
        <v>506223</v>
      </c>
      <c r="AR31">
        <v>850850</v>
      </c>
      <c r="AS31">
        <v>330268</v>
      </c>
      <c r="AT31">
        <v>1649364</v>
      </c>
      <c r="AU31">
        <v>504217</v>
      </c>
      <c r="AV31">
        <v>538158</v>
      </c>
      <c r="AW31">
        <v>1398340</v>
      </c>
      <c r="AX31">
        <v>4113688</v>
      </c>
      <c r="AY31">
        <v>875278</v>
      </c>
      <c r="AZ31">
        <v>946081</v>
      </c>
      <c r="BA31">
        <v>4716050</v>
      </c>
      <c r="BB31">
        <v>2601930</v>
      </c>
      <c r="BC31">
        <v>781114</v>
      </c>
      <c r="BD31">
        <v>820737</v>
      </c>
      <c r="BE31">
        <v>989764</v>
      </c>
      <c r="BF31">
        <v>2430094</v>
      </c>
    </row>
    <row r="32" spans="1:58" x14ac:dyDescent="0.4">
      <c r="A32" s="1" t="s">
        <v>52</v>
      </c>
      <c r="B32" s="1" t="s">
        <v>53</v>
      </c>
      <c r="C32">
        <v>1544958</v>
      </c>
      <c r="D32">
        <v>1221847</v>
      </c>
      <c r="E32">
        <v>5255243</v>
      </c>
      <c r="F32">
        <v>4682444</v>
      </c>
      <c r="G32">
        <v>1228795</v>
      </c>
      <c r="H32">
        <v>1222095</v>
      </c>
      <c r="I32">
        <v>8597824</v>
      </c>
      <c r="J32">
        <v>1325233</v>
      </c>
      <c r="K32">
        <v>213885</v>
      </c>
      <c r="L32">
        <v>196910</v>
      </c>
      <c r="M32">
        <v>1643314</v>
      </c>
      <c r="N32">
        <v>92797</v>
      </c>
      <c r="O32">
        <v>2018195</v>
      </c>
      <c r="P32">
        <v>2087606</v>
      </c>
      <c r="Q32">
        <v>9185476</v>
      </c>
      <c r="R32">
        <v>1926261</v>
      </c>
      <c r="S32">
        <v>1168170</v>
      </c>
      <c r="T32">
        <v>1144364</v>
      </c>
      <c r="U32">
        <v>8731126</v>
      </c>
      <c r="V32">
        <v>125728</v>
      </c>
      <c r="W32">
        <v>14213703</v>
      </c>
      <c r="X32">
        <v>15891523</v>
      </c>
      <c r="Y32">
        <v>6679512</v>
      </c>
      <c r="Z32">
        <v>10818922</v>
      </c>
      <c r="AA32">
        <v>1618139</v>
      </c>
      <c r="AB32">
        <v>1690749</v>
      </c>
      <c r="AC32">
        <v>1026742</v>
      </c>
      <c r="AD32">
        <v>2088681</v>
      </c>
      <c r="AE32">
        <v>1014781</v>
      </c>
      <c r="AF32">
        <v>1033635</v>
      </c>
      <c r="AG32">
        <v>693659</v>
      </c>
      <c r="AH32">
        <v>1535378</v>
      </c>
      <c r="AI32">
        <v>3889138</v>
      </c>
      <c r="AJ32">
        <v>4597200</v>
      </c>
      <c r="AK32">
        <v>1097375</v>
      </c>
      <c r="AL32">
        <v>12333816</v>
      </c>
      <c r="AM32">
        <v>6988953</v>
      </c>
      <c r="AN32">
        <v>12228835</v>
      </c>
      <c r="AO32">
        <v>2599654</v>
      </c>
      <c r="AP32">
        <v>24530015</v>
      </c>
      <c r="AQ32">
        <v>533313</v>
      </c>
      <c r="AR32">
        <v>850407</v>
      </c>
      <c r="AS32">
        <v>324126</v>
      </c>
      <c r="AT32">
        <v>1583299</v>
      </c>
      <c r="AU32">
        <v>598250</v>
      </c>
      <c r="AV32">
        <v>643593</v>
      </c>
      <c r="AW32">
        <v>1670671</v>
      </c>
      <c r="AX32">
        <v>4153746</v>
      </c>
      <c r="AY32">
        <v>1267491</v>
      </c>
      <c r="AZ32">
        <v>1145549</v>
      </c>
      <c r="BA32">
        <v>5233536</v>
      </c>
      <c r="BB32">
        <v>2707357</v>
      </c>
      <c r="BC32">
        <v>815854</v>
      </c>
      <c r="BD32">
        <v>949415</v>
      </c>
      <c r="BE32">
        <v>1049224</v>
      </c>
      <c r="BF32">
        <v>2387749</v>
      </c>
    </row>
    <row r="33" spans="1:58" x14ac:dyDescent="0.4">
      <c r="A33" s="1" t="s">
        <v>54</v>
      </c>
      <c r="B33" s="1" t="s">
        <v>55</v>
      </c>
      <c r="C33">
        <v>1735349</v>
      </c>
      <c r="D33">
        <v>1329007</v>
      </c>
      <c r="E33">
        <v>5701297</v>
      </c>
      <c r="F33">
        <v>4582907</v>
      </c>
      <c r="G33">
        <v>1222796</v>
      </c>
      <c r="H33">
        <v>1306860</v>
      </c>
      <c r="I33">
        <v>9233551</v>
      </c>
      <c r="J33">
        <v>1233702</v>
      </c>
      <c r="K33">
        <v>234097</v>
      </c>
      <c r="L33">
        <v>220432</v>
      </c>
      <c r="M33">
        <v>1858675</v>
      </c>
      <c r="N33">
        <v>87435</v>
      </c>
      <c r="O33">
        <v>2123335</v>
      </c>
      <c r="P33">
        <v>2259292</v>
      </c>
      <c r="Q33">
        <v>9945832</v>
      </c>
      <c r="R33">
        <v>1835848</v>
      </c>
      <c r="S33">
        <v>1343329</v>
      </c>
      <c r="T33">
        <v>1331915</v>
      </c>
      <c r="U33">
        <v>9910734</v>
      </c>
      <c r="V33">
        <v>125740</v>
      </c>
      <c r="W33">
        <v>15472060</v>
      </c>
      <c r="X33">
        <v>16694443</v>
      </c>
      <c r="Y33">
        <v>7024184</v>
      </c>
      <c r="Z33">
        <v>10341704</v>
      </c>
      <c r="AA33">
        <v>1705853</v>
      </c>
      <c r="AB33">
        <v>1845014</v>
      </c>
      <c r="AC33">
        <v>1092076</v>
      </c>
      <c r="AD33">
        <v>2056866</v>
      </c>
      <c r="AE33">
        <v>1077608</v>
      </c>
      <c r="AF33">
        <v>1225413</v>
      </c>
      <c r="AG33">
        <v>797766</v>
      </c>
      <c r="AH33">
        <v>1449324</v>
      </c>
      <c r="AI33">
        <v>3947610</v>
      </c>
      <c r="AJ33">
        <v>5280646</v>
      </c>
      <c r="AK33">
        <v>1276516</v>
      </c>
      <c r="AL33">
        <v>11866097</v>
      </c>
      <c r="AM33">
        <v>7273913</v>
      </c>
      <c r="AN33">
        <v>11341722</v>
      </c>
      <c r="AO33">
        <v>2398454</v>
      </c>
      <c r="AP33">
        <v>24263323</v>
      </c>
      <c r="AQ33">
        <v>572325</v>
      </c>
      <c r="AR33">
        <v>968124</v>
      </c>
      <c r="AS33">
        <v>373412</v>
      </c>
      <c r="AT33">
        <v>1483110</v>
      </c>
      <c r="AU33">
        <v>611214</v>
      </c>
      <c r="AV33">
        <v>640570</v>
      </c>
      <c r="AW33">
        <v>1685615</v>
      </c>
      <c r="AX33">
        <v>4238350</v>
      </c>
      <c r="AY33">
        <v>1233535</v>
      </c>
      <c r="AZ33">
        <v>1252368</v>
      </c>
      <c r="BA33">
        <v>5392814</v>
      </c>
      <c r="BB33">
        <v>2686006</v>
      </c>
      <c r="BC33">
        <v>842397</v>
      </c>
      <c r="BD33">
        <v>884453</v>
      </c>
      <c r="BE33">
        <v>1026822</v>
      </c>
      <c r="BF33">
        <v>2423245</v>
      </c>
    </row>
    <row r="34" spans="1:58" x14ac:dyDescent="0.4">
      <c r="A34" s="1" t="s">
        <v>56</v>
      </c>
      <c r="B34" s="1" t="s">
        <v>57</v>
      </c>
      <c r="C34">
        <v>1496213</v>
      </c>
      <c r="D34">
        <v>1197993</v>
      </c>
      <c r="E34">
        <v>5125830</v>
      </c>
      <c r="F34">
        <v>4427140</v>
      </c>
      <c r="G34">
        <v>1111339</v>
      </c>
      <c r="H34">
        <v>1089952</v>
      </c>
      <c r="I34">
        <v>7642281</v>
      </c>
      <c r="J34">
        <v>1252598</v>
      </c>
      <c r="K34">
        <v>205034</v>
      </c>
      <c r="L34">
        <v>194135</v>
      </c>
      <c r="M34">
        <v>1609885</v>
      </c>
      <c r="N34">
        <v>84135</v>
      </c>
      <c r="O34">
        <v>2022749</v>
      </c>
      <c r="P34">
        <v>1898582</v>
      </c>
      <c r="Q34">
        <v>8390947</v>
      </c>
      <c r="R34">
        <v>2008310</v>
      </c>
      <c r="S34">
        <v>1256772</v>
      </c>
      <c r="T34">
        <v>1234533</v>
      </c>
      <c r="U34">
        <v>8964231</v>
      </c>
      <c r="V34">
        <v>136114</v>
      </c>
      <c r="W34">
        <v>15200246</v>
      </c>
      <c r="X34">
        <v>14983226</v>
      </c>
      <c r="Y34">
        <v>6360627</v>
      </c>
      <c r="Z34">
        <v>11415672</v>
      </c>
      <c r="AA34">
        <v>1674278</v>
      </c>
      <c r="AB34">
        <v>1718796</v>
      </c>
      <c r="AC34">
        <v>1043559</v>
      </c>
      <c r="AD34">
        <v>2104308</v>
      </c>
      <c r="AE34">
        <v>985509</v>
      </c>
      <c r="AF34">
        <v>1045356</v>
      </c>
      <c r="AG34">
        <v>665376</v>
      </c>
      <c r="AH34">
        <v>1457836</v>
      </c>
      <c r="AI34">
        <v>3517702</v>
      </c>
      <c r="AJ34">
        <v>4222942</v>
      </c>
      <c r="AK34">
        <v>996242</v>
      </c>
      <c r="AL34">
        <v>12038797</v>
      </c>
      <c r="AM34">
        <v>6911450</v>
      </c>
      <c r="AN34">
        <v>10036761</v>
      </c>
      <c r="AO34">
        <v>2128235</v>
      </c>
      <c r="AP34">
        <v>24832809</v>
      </c>
      <c r="AQ34">
        <v>558747</v>
      </c>
      <c r="AR34">
        <v>802810</v>
      </c>
      <c r="AS34">
        <v>306594</v>
      </c>
      <c r="AT34">
        <v>1511696</v>
      </c>
      <c r="AU34">
        <v>563232</v>
      </c>
      <c r="AV34">
        <v>639072</v>
      </c>
      <c r="AW34">
        <v>1621960</v>
      </c>
      <c r="AX34">
        <v>4254010</v>
      </c>
      <c r="AY34">
        <v>1117277</v>
      </c>
      <c r="AZ34">
        <v>1086769</v>
      </c>
      <c r="BA34">
        <v>5635629</v>
      </c>
      <c r="BB34">
        <v>2733052</v>
      </c>
      <c r="BC34">
        <v>808389</v>
      </c>
      <c r="BD34">
        <v>854918</v>
      </c>
      <c r="BE34">
        <v>1016403</v>
      </c>
      <c r="BF34">
        <v>2482378</v>
      </c>
    </row>
    <row r="35" spans="1:58" x14ac:dyDescent="0.4">
      <c r="A35" s="1" t="s">
        <v>58</v>
      </c>
      <c r="B35" s="1" t="s">
        <v>59</v>
      </c>
      <c r="C35">
        <v>1539973</v>
      </c>
      <c r="D35">
        <v>1170480</v>
      </c>
      <c r="E35">
        <v>5046969</v>
      </c>
      <c r="F35">
        <v>4365633</v>
      </c>
      <c r="G35">
        <v>1019677</v>
      </c>
      <c r="H35">
        <v>1029992</v>
      </c>
      <c r="I35">
        <v>7298809</v>
      </c>
      <c r="J35">
        <v>1244702</v>
      </c>
      <c r="K35">
        <v>173158</v>
      </c>
      <c r="L35">
        <v>186112</v>
      </c>
      <c r="M35">
        <v>1499009</v>
      </c>
      <c r="N35">
        <v>78367</v>
      </c>
      <c r="O35">
        <v>1826081</v>
      </c>
      <c r="P35">
        <v>1751249</v>
      </c>
      <c r="Q35">
        <v>7824889</v>
      </c>
      <c r="R35">
        <v>2124408</v>
      </c>
      <c r="S35">
        <v>1137562</v>
      </c>
      <c r="T35">
        <v>1149790</v>
      </c>
      <c r="U35">
        <v>8575029</v>
      </c>
      <c r="V35">
        <v>99434</v>
      </c>
      <c r="W35">
        <v>13966016</v>
      </c>
      <c r="X35">
        <v>15788006</v>
      </c>
      <c r="Y35">
        <v>6666696</v>
      </c>
      <c r="Z35">
        <v>10856273</v>
      </c>
      <c r="AA35">
        <v>1617910</v>
      </c>
      <c r="AB35">
        <v>1606403</v>
      </c>
      <c r="AC35">
        <v>968621</v>
      </c>
      <c r="AD35">
        <v>2224493</v>
      </c>
      <c r="AE35">
        <v>1056123</v>
      </c>
      <c r="AF35">
        <v>1092172</v>
      </c>
      <c r="AG35">
        <v>716350</v>
      </c>
      <c r="AH35">
        <v>1468408</v>
      </c>
      <c r="AI35">
        <v>3968615</v>
      </c>
      <c r="AJ35">
        <v>4230846</v>
      </c>
      <c r="AK35">
        <v>1082248</v>
      </c>
      <c r="AL35">
        <v>12671133</v>
      </c>
      <c r="AM35">
        <v>7462207</v>
      </c>
      <c r="AN35">
        <v>10783494</v>
      </c>
      <c r="AO35">
        <v>2380904</v>
      </c>
      <c r="AP35">
        <v>26321463</v>
      </c>
      <c r="AQ35">
        <v>622328</v>
      </c>
      <c r="AR35">
        <v>871073</v>
      </c>
      <c r="AS35">
        <v>335456</v>
      </c>
      <c r="AT35">
        <v>1586692</v>
      </c>
      <c r="AU35">
        <v>597398</v>
      </c>
      <c r="AV35">
        <v>601675</v>
      </c>
      <c r="AW35">
        <v>1712682</v>
      </c>
      <c r="AX35">
        <v>4285622</v>
      </c>
      <c r="AY35">
        <v>1097504</v>
      </c>
      <c r="AZ35">
        <v>1173253</v>
      </c>
      <c r="BA35">
        <v>5990836</v>
      </c>
      <c r="BB35">
        <v>2671093</v>
      </c>
      <c r="BC35">
        <v>756569</v>
      </c>
      <c r="BD35">
        <v>1010440</v>
      </c>
      <c r="BE35">
        <v>1111885</v>
      </c>
      <c r="BF35">
        <v>2351415</v>
      </c>
    </row>
    <row r="36" spans="1:58" x14ac:dyDescent="0.4">
      <c r="A36" s="1" t="s">
        <v>60</v>
      </c>
      <c r="B36" s="1" t="s">
        <v>61</v>
      </c>
      <c r="C36">
        <v>1441073</v>
      </c>
      <c r="D36">
        <v>1020526</v>
      </c>
      <c r="E36">
        <v>4445784</v>
      </c>
      <c r="F36">
        <v>4381027</v>
      </c>
      <c r="G36">
        <v>1064878</v>
      </c>
      <c r="H36">
        <v>1096195</v>
      </c>
      <c r="I36">
        <v>7714172</v>
      </c>
      <c r="J36">
        <v>1225034</v>
      </c>
      <c r="K36">
        <v>177116</v>
      </c>
      <c r="L36">
        <v>173713</v>
      </c>
      <c r="M36">
        <v>1395179</v>
      </c>
      <c r="N36">
        <v>66834</v>
      </c>
      <c r="O36">
        <v>1780805</v>
      </c>
      <c r="P36">
        <v>1910268</v>
      </c>
      <c r="Q36">
        <v>8355990</v>
      </c>
      <c r="R36">
        <v>2044648</v>
      </c>
      <c r="S36">
        <v>791305</v>
      </c>
      <c r="T36">
        <v>770936</v>
      </c>
      <c r="U36">
        <v>6160084</v>
      </c>
      <c r="V36">
        <v>105010</v>
      </c>
      <c r="W36">
        <v>12983218</v>
      </c>
      <c r="X36">
        <v>14483415</v>
      </c>
      <c r="Y36">
        <v>6132848</v>
      </c>
      <c r="Z36">
        <v>10541826</v>
      </c>
      <c r="AA36">
        <v>1445410</v>
      </c>
      <c r="AB36">
        <v>1477579</v>
      </c>
      <c r="AC36">
        <v>885121</v>
      </c>
      <c r="AD36">
        <v>2263353</v>
      </c>
      <c r="AE36">
        <v>904266</v>
      </c>
      <c r="AF36">
        <v>1005053</v>
      </c>
      <c r="AG36">
        <v>685233</v>
      </c>
      <c r="AH36">
        <v>1505678</v>
      </c>
      <c r="AI36">
        <v>3959833</v>
      </c>
      <c r="AJ36">
        <v>3925709</v>
      </c>
      <c r="AK36">
        <v>987487</v>
      </c>
      <c r="AL36">
        <v>13540053</v>
      </c>
      <c r="AM36">
        <v>7282880</v>
      </c>
      <c r="AN36">
        <v>11756581</v>
      </c>
      <c r="AO36">
        <v>2503483</v>
      </c>
      <c r="AP36">
        <v>25666018</v>
      </c>
      <c r="AQ36">
        <v>560359</v>
      </c>
      <c r="AR36">
        <v>833456</v>
      </c>
      <c r="AS36">
        <v>328324</v>
      </c>
      <c r="AT36">
        <v>1593321</v>
      </c>
      <c r="AU36">
        <v>611557</v>
      </c>
      <c r="AV36">
        <v>652488</v>
      </c>
      <c r="AW36">
        <v>1789129</v>
      </c>
      <c r="AX36">
        <v>4465736</v>
      </c>
      <c r="AY36">
        <v>1064649</v>
      </c>
      <c r="AZ36">
        <v>1068412</v>
      </c>
      <c r="BA36">
        <v>4942352</v>
      </c>
      <c r="BB36">
        <v>2658230</v>
      </c>
      <c r="BC36">
        <v>750405</v>
      </c>
      <c r="BD36">
        <v>961407</v>
      </c>
      <c r="BE36">
        <v>1019338</v>
      </c>
      <c r="BF36">
        <v>2265174</v>
      </c>
    </row>
    <row r="37" spans="1:58" x14ac:dyDescent="0.4">
      <c r="A37" s="1" t="s">
        <v>62</v>
      </c>
      <c r="B37" s="1" t="s">
        <v>63</v>
      </c>
      <c r="C37">
        <v>1449871</v>
      </c>
      <c r="D37">
        <v>1051843</v>
      </c>
      <c r="E37">
        <v>4574741</v>
      </c>
      <c r="F37">
        <v>4340112</v>
      </c>
      <c r="G37">
        <v>1117748</v>
      </c>
      <c r="H37">
        <v>1141483</v>
      </c>
      <c r="I37">
        <v>8069351</v>
      </c>
      <c r="J37">
        <v>1216224</v>
      </c>
      <c r="K37">
        <v>164458</v>
      </c>
      <c r="L37">
        <v>153801</v>
      </c>
      <c r="M37">
        <v>1192229</v>
      </c>
      <c r="N37">
        <v>66832</v>
      </c>
      <c r="O37">
        <v>1948381</v>
      </c>
      <c r="P37">
        <v>1991046</v>
      </c>
      <c r="Q37">
        <v>8727964</v>
      </c>
      <c r="R37">
        <v>2047060</v>
      </c>
      <c r="S37">
        <v>766539</v>
      </c>
      <c r="T37">
        <v>752717</v>
      </c>
      <c r="U37">
        <v>5944846</v>
      </c>
      <c r="V37">
        <v>104262</v>
      </c>
      <c r="W37">
        <v>13012441</v>
      </c>
      <c r="X37">
        <v>13483814</v>
      </c>
      <c r="Y37">
        <v>5777522</v>
      </c>
      <c r="Z37">
        <v>10961504</v>
      </c>
      <c r="AA37">
        <v>1235020</v>
      </c>
      <c r="AB37">
        <v>1401872</v>
      </c>
      <c r="AC37">
        <v>853557</v>
      </c>
      <c r="AD37">
        <v>2228340</v>
      </c>
      <c r="AE37">
        <v>955854</v>
      </c>
      <c r="AF37">
        <v>1041416</v>
      </c>
      <c r="AG37">
        <v>671816</v>
      </c>
      <c r="AH37">
        <v>1488605</v>
      </c>
      <c r="AI37">
        <v>3579379</v>
      </c>
      <c r="AJ37">
        <v>3804233</v>
      </c>
      <c r="AK37">
        <v>1075185</v>
      </c>
      <c r="AL37">
        <v>13961318</v>
      </c>
      <c r="AM37">
        <v>6626099</v>
      </c>
      <c r="AN37">
        <v>10954182</v>
      </c>
      <c r="AO37">
        <v>2326197</v>
      </c>
      <c r="AP37">
        <v>25331966</v>
      </c>
      <c r="AQ37">
        <v>549751</v>
      </c>
      <c r="AR37">
        <v>825659</v>
      </c>
      <c r="AS37">
        <v>328807</v>
      </c>
      <c r="AT37">
        <v>1579422</v>
      </c>
      <c r="AU37">
        <v>535283</v>
      </c>
      <c r="AV37">
        <v>596206</v>
      </c>
      <c r="AW37">
        <v>1800926</v>
      </c>
      <c r="AX37">
        <v>4554357</v>
      </c>
      <c r="AY37">
        <v>1153336</v>
      </c>
      <c r="AZ37">
        <v>1097855</v>
      </c>
      <c r="BA37">
        <v>5499575</v>
      </c>
      <c r="BB37">
        <v>2735363</v>
      </c>
      <c r="BC37">
        <v>817710</v>
      </c>
      <c r="BD37">
        <v>852840</v>
      </c>
      <c r="BE37">
        <v>981209</v>
      </c>
      <c r="BF37">
        <v>2319698</v>
      </c>
    </row>
    <row r="38" spans="1:58" x14ac:dyDescent="0.4">
      <c r="A38" s="1" t="s">
        <v>64</v>
      </c>
      <c r="B38" s="1" t="s">
        <v>65</v>
      </c>
      <c r="C38">
        <v>1690602</v>
      </c>
      <c r="D38">
        <v>1145737</v>
      </c>
      <c r="E38">
        <v>4931528</v>
      </c>
      <c r="F38">
        <v>4415001</v>
      </c>
      <c r="G38">
        <v>1249914</v>
      </c>
      <c r="H38">
        <v>1215135</v>
      </c>
      <c r="I38">
        <v>8640108</v>
      </c>
      <c r="J38">
        <v>1249000</v>
      </c>
      <c r="K38">
        <v>192500</v>
      </c>
      <c r="L38">
        <v>172837</v>
      </c>
      <c r="M38">
        <v>1419947</v>
      </c>
      <c r="N38">
        <v>66810</v>
      </c>
      <c r="O38">
        <v>2114318</v>
      </c>
      <c r="P38">
        <v>2079422</v>
      </c>
      <c r="Q38">
        <v>9216764</v>
      </c>
      <c r="R38">
        <v>2133948</v>
      </c>
      <c r="S38">
        <v>941188</v>
      </c>
      <c r="T38">
        <v>912097</v>
      </c>
      <c r="U38">
        <v>7171776</v>
      </c>
      <c r="V38">
        <v>116471</v>
      </c>
      <c r="W38">
        <v>14061047</v>
      </c>
      <c r="X38">
        <v>14950541</v>
      </c>
      <c r="Y38">
        <v>6291186</v>
      </c>
      <c r="Z38">
        <v>10736109</v>
      </c>
      <c r="AA38">
        <v>1349280</v>
      </c>
      <c r="AB38">
        <v>1560544</v>
      </c>
      <c r="AC38">
        <v>953018</v>
      </c>
      <c r="AD38">
        <v>2105130</v>
      </c>
      <c r="AE38">
        <v>1012562</v>
      </c>
      <c r="AF38">
        <v>1036233</v>
      </c>
      <c r="AG38">
        <v>655910</v>
      </c>
      <c r="AH38">
        <v>1509781</v>
      </c>
      <c r="AI38">
        <v>3745407</v>
      </c>
      <c r="AJ38">
        <v>4641376</v>
      </c>
      <c r="AK38">
        <v>1229302</v>
      </c>
      <c r="AL38">
        <v>13949317</v>
      </c>
      <c r="AM38">
        <v>7740204</v>
      </c>
      <c r="AN38">
        <v>11596909</v>
      </c>
      <c r="AO38">
        <v>2456319</v>
      </c>
      <c r="AP38">
        <v>27116463</v>
      </c>
      <c r="AQ38">
        <v>580113</v>
      </c>
      <c r="AR38">
        <v>992078</v>
      </c>
      <c r="AS38">
        <v>388143</v>
      </c>
      <c r="AT38">
        <v>1457110</v>
      </c>
      <c r="AU38">
        <v>648040</v>
      </c>
      <c r="AV38">
        <v>671388</v>
      </c>
      <c r="AW38">
        <v>2064313</v>
      </c>
      <c r="AX38">
        <v>4468239</v>
      </c>
      <c r="AY38">
        <v>1214773</v>
      </c>
      <c r="AZ38">
        <v>1176107</v>
      </c>
      <c r="BA38">
        <v>6031375</v>
      </c>
      <c r="BB38">
        <v>2780913</v>
      </c>
      <c r="BC38">
        <v>825614</v>
      </c>
      <c r="BD38">
        <v>1129371</v>
      </c>
      <c r="BE38">
        <v>1412196</v>
      </c>
      <c r="BF38">
        <v>2113869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4BE83-E1F6-4B64-96A6-EB032C6A5A0C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2975</v>
      </c>
      <c r="D3" t="s">
        <v>2975</v>
      </c>
      <c r="E3" t="s">
        <v>2975</v>
      </c>
      <c r="F3" t="s">
        <v>2975</v>
      </c>
      <c r="G3" t="s">
        <v>2977</v>
      </c>
      <c r="H3" t="s">
        <v>2977</v>
      </c>
      <c r="I3" t="s">
        <v>2977</v>
      </c>
      <c r="J3" t="s">
        <v>2977</v>
      </c>
      <c r="K3" t="s">
        <v>2979</v>
      </c>
      <c r="L3" t="s">
        <v>2979</v>
      </c>
      <c r="M3" t="s">
        <v>2979</v>
      </c>
      <c r="N3" t="s">
        <v>2979</v>
      </c>
      <c r="O3" t="s">
        <v>2981</v>
      </c>
      <c r="P3" t="s">
        <v>2981</v>
      </c>
      <c r="Q3" t="s">
        <v>2981</v>
      </c>
      <c r="R3" t="s">
        <v>2981</v>
      </c>
      <c r="S3" t="s">
        <v>2983</v>
      </c>
      <c r="T3" t="s">
        <v>2983</v>
      </c>
      <c r="U3" t="s">
        <v>2983</v>
      </c>
      <c r="V3" t="s">
        <v>2983</v>
      </c>
      <c r="W3" t="s">
        <v>2985</v>
      </c>
      <c r="X3" t="s">
        <v>2985</v>
      </c>
      <c r="Y3" t="s">
        <v>2985</v>
      </c>
      <c r="Z3" t="s">
        <v>2985</v>
      </c>
      <c r="AA3" t="s">
        <v>2987</v>
      </c>
      <c r="AB3" t="s">
        <v>2987</v>
      </c>
      <c r="AC3" t="s">
        <v>2987</v>
      </c>
      <c r="AD3" t="s">
        <v>2987</v>
      </c>
      <c r="AE3" t="s">
        <v>2989</v>
      </c>
      <c r="AF3" t="s">
        <v>2989</v>
      </c>
      <c r="AG3" t="s">
        <v>2989</v>
      </c>
      <c r="AH3" t="s">
        <v>2989</v>
      </c>
    </row>
    <row r="4" spans="1:34" x14ac:dyDescent="0.4">
      <c r="A4" s="1"/>
      <c r="B4" s="2" t="s">
        <v>1</v>
      </c>
      <c r="C4" t="s">
        <v>2976</v>
      </c>
      <c r="D4" t="s">
        <v>2976</v>
      </c>
      <c r="E4" t="s">
        <v>2976</v>
      </c>
      <c r="F4" t="s">
        <v>2976</v>
      </c>
      <c r="G4" t="s">
        <v>2978</v>
      </c>
      <c r="H4" t="s">
        <v>2978</v>
      </c>
      <c r="I4" t="s">
        <v>2978</v>
      </c>
      <c r="J4" t="s">
        <v>2978</v>
      </c>
      <c r="K4" t="s">
        <v>2980</v>
      </c>
      <c r="L4" t="s">
        <v>2980</v>
      </c>
      <c r="M4" t="s">
        <v>2980</v>
      </c>
      <c r="N4" t="s">
        <v>2980</v>
      </c>
      <c r="O4" t="s">
        <v>2982</v>
      </c>
      <c r="P4" t="s">
        <v>2982</v>
      </c>
      <c r="Q4" t="s">
        <v>2982</v>
      </c>
      <c r="R4" t="s">
        <v>2982</v>
      </c>
      <c r="S4" t="s">
        <v>2984</v>
      </c>
      <c r="T4" t="s">
        <v>2984</v>
      </c>
      <c r="U4" t="s">
        <v>2984</v>
      </c>
      <c r="V4" t="s">
        <v>2984</v>
      </c>
      <c r="W4" t="s">
        <v>2986</v>
      </c>
      <c r="X4" t="s">
        <v>2986</v>
      </c>
      <c r="Y4" t="s">
        <v>2986</v>
      </c>
      <c r="Z4" t="s">
        <v>2986</v>
      </c>
      <c r="AA4" t="s">
        <v>2988</v>
      </c>
      <c r="AB4" t="s">
        <v>2988</v>
      </c>
      <c r="AC4" t="s">
        <v>2988</v>
      </c>
      <c r="AD4" t="s">
        <v>2988</v>
      </c>
      <c r="AE4" t="s">
        <v>2990</v>
      </c>
      <c r="AF4" t="s">
        <v>2990</v>
      </c>
      <c r="AG4" t="s">
        <v>2990</v>
      </c>
      <c r="AH4" t="s">
        <v>2990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54932</v>
      </c>
      <c r="D9">
        <v>73410</v>
      </c>
      <c r="E9">
        <v>8244422</v>
      </c>
      <c r="F9">
        <v>18626</v>
      </c>
      <c r="G9">
        <v>88168</v>
      </c>
      <c r="H9">
        <v>100086</v>
      </c>
      <c r="I9">
        <v>41740156</v>
      </c>
      <c r="J9">
        <v>21424</v>
      </c>
      <c r="K9">
        <v>138694</v>
      </c>
      <c r="L9">
        <v>200631</v>
      </c>
      <c r="M9">
        <v>42613278</v>
      </c>
      <c r="N9">
        <v>39537</v>
      </c>
      <c r="O9">
        <v>6145</v>
      </c>
      <c r="P9">
        <v>5088</v>
      </c>
      <c r="Q9">
        <v>6018732</v>
      </c>
      <c r="R9">
        <v>2806</v>
      </c>
      <c r="S9">
        <v>33309</v>
      </c>
      <c r="T9">
        <v>40580</v>
      </c>
      <c r="U9">
        <v>20433724</v>
      </c>
      <c r="V9">
        <v>7369</v>
      </c>
      <c r="W9">
        <v>302927</v>
      </c>
      <c r="X9">
        <v>291383</v>
      </c>
      <c r="Y9">
        <v>37458923</v>
      </c>
      <c r="Z9">
        <v>21733</v>
      </c>
      <c r="AA9">
        <v>183916</v>
      </c>
      <c r="AB9">
        <v>200880</v>
      </c>
      <c r="AC9">
        <v>14309133</v>
      </c>
      <c r="AD9">
        <v>9137</v>
      </c>
      <c r="AE9">
        <v>165563</v>
      </c>
      <c r="AF9">
        <v>176428</v>
      </c>
      <c r="AG9">
        <v>23978766</v>
      </c>
      <c r="AH9">
        <v>9496</v>
      </c>
    </row>
    <row r="10" spans="1:34" x14ac:dyDescent="0.4">
      <c r="A10" s="1" t="s">
        <v>8</v>
      </c>
      <c r="B10" s="3" t="s">
        <v>9</v>
      </c>
      <c r="C10">
        <v>56790</v>
      </c>
      <c r="D10">
        <v>78130</v>
      </c>
      <c r="E10">
        <v>9446250</v>
      </c>
      <c r="F10">
        <v>21428</v>
      </c>
      <c r="G10">
        <v>83078</v>
      </c>
      <c r="H10">
        <v>96616</v>
      </c>
      <c r="I10">
        <v>43343374</v>
      </c>
      <c r="J10">
        <v>20949</v>
      </c>
      <c r="K10">
        <v>139516</v>
      </c>
      <c r="L10">
        <v>196440</v>
      </c>
      <c r="M10">
        <v>47764103</v>
      </c>
      <c r="N10">
        <v>45264</v>
      </c>
      <c r="O10">
        <v>6208</v>
      </c>
      <c r="P10">
        <v>6308</v>
      </c>
      <c r="Q10">
        <v>8060455</v>
      </c>
      <c r="R10">
        <v>2798</v>
      </c>
      <c r="S10">
        <v>32741</v>
      </c>
      <c r="T10">
        <v>37733</v>
      </c>
      <c r="U10">
        <v>19996211</v>
      </c>
      <c r="V10">
        <v>8259</v>
      </c>
      <c r="W10">
        <v>293943</v>
      </c>
      <c r="X10">
        <v>279325</v>
      </c>
      <c r="Y10">
        <v>40779613</v>
      </c>
      <c r="Z10">
        <v>22695</v>
      </c>
      <c r="AA10">
        <v>176239</v>
      </c>
      <c r="AB10">
        <v>191291</v>
      </c>
      <c r="AC10">
        <v>15550674</v>
      </c>
      <c r="AD10">
        <v>8616</v>
      </c>
      <c r="AE10">
        <v>160677</v>
      </c>
      <c r="AF10">
        <v>171741</v>
      </c>
      <c r="AG10">
        <v>27566457</v>
      </c>
      <c r="AH10">
        <v>9827</v>
      </c>
    </row>
    <row r="11" spans="1:34" x14ac:dyDescent="0.4">
      <c r="A11" s="1" t="s">
        <v>10</v>
      </c>
      <c r="B11" s="3" t="s">
        <v>11</v>
      </c>
      <c r="C11">
        <v>56269</v>
      </c>
      <c r="D11">
        <v>90490</v>
      </c>
      <c r="E11">
        <v>12471528</v>
      </c>
      <c r="F11">
        <v>22570</v>
      </c>
      <c r="G11">
        <v>73184</v>
      </c>
      <c r="H11">
        <v>86205</v>
      </c>
      <c r="I11">
        <v>43086122</v>
      </c>
      <c r="J11">
        <v>20842</v>
      </c>
      <c r="K11">
        <v>134601</v>
      </c>
      <c r="L11">
        <v>193609</v>
      </c>
      <c r="M11">
        <v>53071447</v>
      </c>
      <c r="N11">
        <v>42425</v>
      </c>
      <c r="O11">
        <v>4661</v>
      </c>
      <c r="P11">
        <v>5153</v>
      </c>
      <c r="Q11">
        <v>7851875</v>
      </c>
      <c r="R11">
        <v>2735</v>
      </c>
      <c r="S11">
        <v>31095</v>
      </c>
      <c r="T11">
        <v>43278</v>
      </c>
      <c r="U11">
        <v>21683803</v>
      </c>
      <c r="V11">
        <v>8738</v>
      </c>
      <c r="W11">
        <v>280110</v>
      </c>
      <c r="X11">
        <v>266068</v>
      </c>
      <c r="Y11">
        <v>45069443</v>
      </c>
      <c r="Z11">
        <v>21344</v>
      </c>
      <c r="AA11">
        <v>165962</v>
      </c>
      <c r="AB11">
        <v>177699</v>
      </c>
      <c r="AC11">
        <v>16400132</v>
      </c>
      <c r="AD11">
        <v>8217</v>
      </c>
      <c r="AE11">
        <v>155952</v>
      </c>
      <c r="AF11">
        <v>166598</v>
      </c>
      <c r="AG11">
        <v>32581265</v>
      </c>
      <c r="AH11">
        <v>8544</v>
      </c>
    </row>
    <row r="12" spans="1:34" x14ac:dyDescent="0.4">
      <c r="A12" s="1" t="s">
        <v>12</v>
      </c>
      <c r="B12" s="3" t="s">
        <v>13</v>
      </c>
      <c r="C12">
        <v>54436</v>
      </c>
      <c r="D12">
        <v>70523</v>
      </c>
      <c r="E12">
        <v>9401513</v>
      </c>
      <c r="F12">
        <v>22964</v>
      </c>
      <c r="G12">
        <v>72486</v>
      </c>
      <c r="H12">
        <v>85561</v>
      </c>
      <c r="I12">
        <v>44455251</v>
      </c>
      <c r="J12">
        <v>20552</v>
      </c>
      <c r="K12">
        <v>129401</v>
      </c>
      <c r="L12">
        <v>184939</v>
      </c>
      <c r="M12">
        <v>52369150</v>
      </c>
      <c r="N12">
        <v>42141</v>
      </c>
      <c r="O12">
        <v>3873</v>
      </c>
      <c r="P12">
        <v>4058</v>
      </c>
      <c r="Q12">
        <v>9621216</v>
      </c>
      <c r="R12">
        <v>2437</v>
      </c>
      <c r="S12">
        <v>27992</v>
      </c>
      <c r="T12">
        <v>40792</v>
      </c>
      <c r="U12">
        <v>20412288</v>
      </c>
      <c r="V12">
        <v>7242</v>
      </c>
      <c r="W12">
        <v>270273</v>
      </c>
      <c r="X12">
        <v>256952</v>
      </c>
      <c r="Y12">
        <v>47046783</v>
      </c>
      <c r="Z12">
        <v>22297</v>
      </c>
      <c r="AA12">
        <v>163676</v>
      </c>
      <c r="AB12">
        <v>174237</v>
      </c>
      <c r="AC12">
        <v>16434253</v>
      </c>
      <c r="AD12">
        <v>8656</v>
      </c>
      <c r="AE12">
        <v>151549</v>
      </c>
      <c r="AF12">
        <v>161187</v>
      </c>
      <c r="AG12">
        <v>30903843</v>
      </c>
      <c r="AH12">
        <v>8862</v>
      </c>
    </row>
    <row r="13" spans="1:34" x14ac:dyDescent="0.4">
      <c r="A13" s="1" t="s">
        <v>14</v>
      </c>
      <c r="B13" s="3" t="s">
        <v>15</v>
      </c>
      <c r="C13">
        <v>48820</v>
      </c>
      <c r="D13">
        <v>61098</v>
      </c>
      <c r="E13">
        <v>8484292</v>
      </c>
      <c r="F13">
        <v>22848</v>
      </c>
      <c r="G13">
        <v>70255</v>
      </c>
      <c r="H13">
        <v>82638</v>
      </c>
      <c r="I13">
        <v>45019475</v>
      </c>
      <c r="J13">
        <v>20730</v>
      </c>
      <c r="K13">
        <v>127562</v>
      </c>
      <c r="L13">
        <v>177821</v>
      </c>
      <c r="M13">
        <v>52039419</v>
      </c>
      <c r="N13">
        <v>41341</v>
      </c>
      <c r="O13">
        <v>5230</v>
      </c>
      <c r="P13">
        <v>5207</v>
      </c>
      <c r="Q13">
        <v>12761273</v>
      </c>
      <c r="R13">
        <v>2566</v>
      </c>
      <c r="S13">
        <v>27381</v>
      </c>
      <c r="T13">
        <v>30185</v>
      </c>
      <c r="U13">
        <v>19287203</v>
      </c>
      <c r="V13">
        <v>7366</v>
      </c>
      <c r="W13">
        <v>260662</v>
      </c>
      <c r="X13">
        <v>246429</v>
      </c>
      <c r="Y13">
        <v>49481810</v>
      </c>
      <c r="Z13">
        <v>20702</v>
      </c>
      <c r="AA13">
        <v>156482</v>
      </c>
      <c r="AB13">
        <v>168927</v>
      </c>
      <c r="AC13">
        <v>16660249</v>
      </c>
      <c r="AD13">
        <v>8432</v>
      </c>
      <c r="AE13">
        <v>144594</v>
      </c>
      <c r="AF13">
        <v>153101</v>
      </c>
      <c r="AG13">
        <v>30882792</v>
      </c>
      <c r="AH13">
        <v>9093</v>
      </c>
    </row>
    <row r="14" spans="1:34" x14ac:dyDescent="0.4">
      <c r="A14" s="1" t="s">
        <v>16</v>
      </c>
      <c r="B14" s="1" t="s">
        <v>17</v>
      </c>
      <c r="C14">
        <v>4983</v>
      </c>
      <c r="D14">
        <v>6925</v>
      </c>
      <c r="E14">
        <v>916713</v>
      </c>
      <c r="F14">
        <v>22102</v>
      </c>
      <c r="G14">
        <v>6403</v>
      </c>
      <c r="H14">
        <v>7813</v>
      </c>
      <c r="I14">
        <v>3843527</v>
      </c>
      <c r="J14">
        <v>19343</v>
      </c>
      <c r="K14">
        <v>11063</v>
      </c>
      <c r="L14">
        <v>15887</v>
      </c>
      <c r="M14">
        <v>4458040</v>
      </c>
      <c r="N14">
        <v>40902</v>
      </c>
      <c r="O14">
        <v>335</v>
      </c>
      <c r="P14">
        <v>316</v>
      </c>
      <c r="Q14">
        <v>723570</v>
      </c>
      <c r="R14">
        <v>2777</v>
      </c>
      <c r="S14">
        <v>2469</v>
      </c>
      <c r="T14">
        <v>4801</v>
      </c>
      <c r="U14">
        <v>1822867</v>
      </c>
      <c r="V14">
        <v>7226</v>
      </c>
      <c r="W14">
        <v>22471</v>
      </c>
      <c r="X14">
        <v>21108</v>
      </c>
      <c r="Y14">
        <v>3749652</v>
      </c>
      <c r="Z14">
        <v>20798</v>
      </c>
      <c r="AA14">
        <v>14591</v>
      </c>
      <c r="AB14">
        <v>14809</v>
      </c>
      <c r="AC14">
        <v>1365884</v>
      </c>
      <c r="AD14">
        <v>8699</v>
      </c>
      <c r="AE14">
        <v>12799</v>
      </c>
      <c r="AF14">
        <v>13809</v>
      </c>
      <c r="AG14">
        <v>2682618</v>
      </c>
      <c r="AH14">
        <v>9114</v>
      </c>
    </row>
    <row r="15" spans="1:34" x14ac:dyDescent="0.4">
      <c r="A15" s="1" t="s">
        <v>18</v>
      </c>
      <c r="B15" s="1" t="s">
        <v>19</v>
      </c>
      <c r="C15">
        <v>4870</v>
      </c>
      <c r="D15">
        <v>5757</v>
      </c>
      <c r="E15">
        <v>743507</v>
      </c>
      <c r="F15">
        <v>22444</v>
      </c>
      <c r="G15">
        <v>6214</v>
      </c>
      <c r="H15">
        <v>7070</v>
      </c>
      <c r="I15">
        <v>3420527</v>
      </c>
      <c r="J15">
        <v>19289</v>
      </c>
      <c r="K15">
        <v>11890</v>
      </c>
      <c r="L15">
        <v>16889</v>
      </c>
      <c r="M15">
        <v>4801167</v>
      </c>
      <c r="N15">
        <v>38913</v>
      </c>
      <c r="O15">
        <v>355</v>
      </c>
      <c r="P15">
        <v>295</v>
      </c>
      <c r="Q15">
        <v>640796</v>
      </c>
      <c r="R15">
        <v>2848</v>
      </c>
      <c r="S15">
        <v>2356</v>
      </c>
      <c r="T15">
        <v>4125</v>
      </c>
      <c r="U15">
        <v>1971241</v>
      </c>
      <c r="V15">
        <v>6801</v>
      </c>
      <c r="W15">
        <v>24356</v>
      </c>
      <c r="X15">
        <v>22662</v>
      </c>
      <c r="Y15">
        <v>4116873</v>
      </c>
      <c r="Z15">
        <v>21197</v>
      </c>
      <c r="AA15">
        <v>16008</v>
      </c>
      <c r="AB15">
        <v>16491</v>
      </c>
      <c r="AC15">
        <v>1524705</v>
      </c>
      <c r="AD15">
        <v>8892</v>
      </c>
      <c r="AE15">
        <v>13591</v>
      </c>
      <c r="AF15">
        <v>14338</v>
      </c>
      <c r="AG15">
        <v>2718894</v>
      </c>
      <c r="AH15">
        <v>9282</v>
      </c>
    </row>
    <row r="16" spans="1:34" x14ac:dyDescent="0.4">
      <c r="A16" s="1" t="s">
        <v>20</v>
      </c>
      <c r="B16" s="1" t="s">
        <v>21</v>
      </c>
      <c r="C16">
        <v>4536</v>
      </c>
      <c r="D16">
        <v>6586</v>
      </c>
      <c r="E16">
        <v>871369</v>
      </c>
      <c r="F16">
        <v>21830</v>
      </c>
      <c r="G16">
        <v>6079</v>
      </c>
      <c r="H16">
        <v>7252</v>
      </c>
      <c r="I16">
        <v>3699687</v>
      </c>
      <c r="J16">
        <v>19489</v>
      </c>
      <c r="K16">
        <v>11788</v>
      </c>
      <c r="L16">
        <v>15662</v>
      </c>
      <c r="M16">
        <v>4432475</v>
      </c>
      <c r="N16">
        <v>40880</v>
      </c>
      <c r="O16">
        <v>336</v>
      </c>
      <c r="P16">
        <v>487</v>
      </c>
      <c r="Q16">
        <v>890982</v>
      </c>
      <c r="R16">
        <v>2828</v>
      </c>
      <c r="S16">
        <v>2155</v>
      </c>
      <c r="T16">
        <v>3384</v>
      </c>
      <c r="U16">
        <v>1909675</v>
      </c>
      <c r="V16">
        <v>7002</v>
      </c>
      <c r="W16">
        <v>22814</v>
      </c>
      <c r="X16">
        <v>21882</v>
      </c>
      <c r="Y16">
        <v>3929325</v>
      </c>
      <c r="Z16">
        <v>21237</v>
      </c>
      <c r="AA16">
        <v>13333</v>
      </c>
      <c r="AB16">
        <v>14681</v>
      </c>
      <c r="AC16">
        <v>1418855</v>
      </c>
      <c r="AD16">
        <v>8990</v>
      </c>
      <c r="AE16">
        <v>12324</v>
      </c>
      <c r="AF16">
        <v>12933</v>
      </c>
      <c r="AG16">
        <v>2488193</v>
      </c>
      <c r="AH16">
        <v>9507</v>
      </c>
    </row>
    <row r="17" spans="1:34" x14ac:dyDescent="0.4">
      <c r="A17" s="1" t="s">
        <v>22</v>
      </c>
      <c r="B17" s="1" t="s">
        <v>23</v>
      </c>
      <c r="C17">
        <v>4389</v>
      </c>
      <c r="D17">
        <v>5639</v>
      </c>
      <c r="E17">
        <v>691082</v>
      </c>
      <c r="F17">
        <v>21535</v>
      </c>
      <c r="G17">
        <v>6271</v>
      </c>
      <c r="H17">
        <v>6673</v>
      </c>
      <c r="I17">
        <v>3481636</v>
      </c>
      <c r="J17">
        <v>20193</v>
      </c>
      <c r="K17">
        <v>10387</v>
      </c>
      <c r="L17">
        <v>14038</v>
      </c>
      <c r="M17">
        <v>3846729</v>
      </c>
      <c r="N17">
        <v>41266</v>
      </c>
      <c r="O17">
        <v>338</v>
      </c>
      <c r="P17">
        <v>326</v>
      </c>
      <c r="Q17">
        <v>830028</v>
      </c>
      <c r="R17">
        <v>2856</v>
      </c>
      <c r="S17">
        <v>2354</v>
      </c>
      <c r="T17">
        <v>2896</v>
      </c>
      <c r="U17">
        <v>1404498</v>
      </c>
      <c r="V17">
        <v>7502</v>
      </c>
      <c r="W17">
        <v>21395</v>
      </c>
      <c r="X17">
        <v>20135</v>
      </c>
      <c r="Y17">
        <v>3562449</v>
      </c>
      <c r="Z17">
        <v>21382</v>
      </c>
      <c r="AA17">
        <v>12817</v>
      </c>
      <c r="AB17">
        <v>13900</v>
      </c>
      <c r="AC17">
        <v>1287909</v>
      </c>
      <c r="AD17">
        <v>8717</v>
      </c>
      <c r="AE17">
        <v>11643</v>
      </c>
      <c r="AF17">
        <v>12595</v>
      </c>
      <c r="AG17">
        <v>2424163</v>
      </c>
      <c r="AH17">
        <v>9309</v>
      </c>
    </row>
    <row r="18" spans="1:34" x14ac:dyDescent="0.4">
      <c r="A18" s="1" t="s">
        <v>24</v>
      </c>
      <c r="B18" s="1" t="s">
        <v>25</v>
      </c>
      <c r="C18">
        <v>4695</v>
      </c>
      <c r="D18">
        <v>5394</v>
      </c>
      <c r="E18">
        <v>732190</v>
      </c>
      <c r="F18">
        <v>22266</v>
      </c>
      <c r="G18">
        <v>6252</v>
      </c>
      <c r="H18">
        <v>7225</v>
      </c>
      <c r="I18">
        <v>3804536</v>
      </c>
      <c r="J18">
        <v>20446</v>
      </c>
      <c r="K18">
        <v>10809</v>
      </c>
      <c r="L18">
        <v>15664</v>
      </c>
      <c r="M18">
        <v>4426537</v>
      </c>
      <c r="N18">
        <v>41493</v>
      </c>
      <c r="O18">
        <v>387</v>
      </c>
      <c r="P18">
        <v>450</v>
      </c>
      <c r="Q18">
        <v>1054862</v>
      </c>
      <c r="R18">
        <v>2775</v>
      </c>
      <c r="S18">
        <v>2516</v>
      </c>
      <c r="T18">
        <v>4275</v>
      </c>
      <c r="U18">
        <v>1973150</v>
      </c>
      <c r="V18">
        <v>7966</v>
      </c>
      <c r="W18">
        <v>24241</v>
      </c>
      <c r="X18">
        <v>22438</v>
      </c>
      <c r="Y18">
        <v>4080795</v>
      </c>
      <c r="Z18">
        <v>21922</v>
      </c>
      <c r="AA18">
        <v>13903</v>
      </c>
      <c r="AB18">
        <v>14539</v>
      </c>
      <c r="AC18">
        <v>1366037</v>
      </c>
      <c r="AD18">
        <v>8897</v>
      </c>
      <c r="AE18">
        <v>13562</v>
      </c>
      <c r="AF18">
        <v>13807</v>
      </c>
      <c r="AG18">
        <v>2628580</v>
      </c>
      <c r="AH18">
        <v>9833</v>
      </c>
    </row>
    <row r="19" spans="1:34" x14ac:dyDescent="0.4">
      <c r="A19" s="1" t="s">
        <v>26</v>
      </c>
      <c r="B19" s="1" t="s">
        <v>27</v>
      </c>
      <c r="C19">
        <v>4027</v>
      </c>
      <c r="D19">
        <v>5372</v>
      </c>
      <c r="E19">
        <v>756981</v>
      </c>
      <c r="F19">
        <v>22427</v>
      </c>
      <c r="G19">
        <v>5321</v>
      </c>
      <c r="H19">
        <v>6819</v>
      </c>
      <c r="I19">
        <v>3531083</v>
      </c>
      <c r="J19">
        <v>20113</v>
      </c>
      <c r="K19">
        <v>10212</v>
      </c>
      <c r="L19">
        <v>14154</v>
      </c>
      <c r="M19">
        <v>4055204</v>
      </c>
      <c r="N19">
        <v>43093</v>
      </c>
      <c r="O19">
        <v>278</v>
      </c>
      <c r="P19">
        <v>339</v>
      </c>
      <c r="Q19">
        <v>823403</v>
      </c>
      <c r="R19">
        <v>2743</v>
      </c>
      <c r="S19">
        <v>1957</v>
      </c>
      <c r="T19">
        <v>2699</v>
      </c>
      <c r="U19">
        <v>1309532</v>
      </c>
      <c r="V19">
        <v>7725</v>
      </c>
      <c r="W19">
        <v>20615</v>
      </c>
      <c r="X19">
        <v>20502</v>
      </c>
      <c r="Y19">
        <v>3773703</v>
      </c>
      <c r="Z19">
        <v>21235</v>
      </c>
      <c r="AA19">
        <v>11470</v>
      </c>
      <c r="AB19">
        <v>13598</v>
      </c>
      <c r="AC19">
        <v>1277955</v>
      </c>
      <c r="AD19">
        <v>8270</v>
      </c>
      <c r="AE19">
        <v>11948</v>
      </c>
      <c r="AF19">
        <v>13303</v>
      </c>
      <c r="AG19">
        <v>2469830</v>
      </c>
      <c r="AH19">
        <v>9346</v>
      </c>
    </row>
    <row r="20" spans="1:34" x14ac:dyDescent="0.4">
      <c r="A20" s="1" t="s">
        <v>28</v>
      </c>
      <c r="B20" s="1" t="s">
        <v>29</v>
      </c>
      <c r="C20">
        <v>4386</v>
      </c>
      <c r="D20">
        <v>5728</v>
      </c>
      <c r="E20">
        <v>774770</v>
      </c>
      <c r="F20">
        <v>22778</v>
      </c>
      <c r="G20">
        <v>5958</v>
      </c>
      <c r="H20">
        <v>7179</v>
      </c>
      <c r="I20">
        <v>3885061</v>
      </c>
      <c r="J20">
        <v>19972</v>
      </c>
      <c r="K20">
        <v>9937</v>
      </c>
      <c r="L20">
        <v>15558</v>
      </c>
      <c r="M20">
        <v>4400388</v>
      </c>
      <c r="N20">
        <v>42746</v>
      </c>
      <c r="O20">
        <v>322</v>
      </c>
      <c r="P20">
        <v>273</v>
      </c>
      <c r="Q20">
        <v>779926</v>
      </c>
      <c r="R20">
        <v>2762</v>
      </c>
      <c r="S20">
        <v>2161</v>
      </c>
      <c r="T20">
        <v>3714</v>
      </c>
      <c r="U20">
        <v>2084350</v>
      </c>
      <c r="V20">
        <v>7130</v>
      </c>
      <c r="W20">
        <v>21254</v>
      </c>
      <c r="X20">
        <v>20152</v>
      </c>
      <c r="Y20">
        <v>3730151</v>
      </c>
      <c r="Z20">
        <v>21494</v>
      </c>
      <c r="AA20">
        <v>13864</v>
      </c>
      <c r="AB20">
        <v>14321</v>
      </c>
      <c r="AC20">
        <v>1383617</v>
      </c>
      <c r="AD20">
        <v>8762</v>
      </c>
      <c r="AE20">
        <v>11800</v>
      </c>
      <c r="AF20">
        <v>13277</v>
      </c>
      <c r="AG20">
        <v>2560547</v>
      </c>
      <c r="AH20">
        <v>8764</v>
      </c>
    </row>
    <row r="21" spans="1:34" x14ac:dyDescent="0.4">
      <c r="A21" s="1" t="s">
        <v>30</v>
      </c>
      <c r="B21" s="1" t="s">
        <v>31</v>
      </c>
      <c r="C21">
        <v>4143</v>
      </c>
      <c r="D21">
        <v>5983</v>
      </c>
      <c r="E21">
        <v>788925</v>
      </c>
      <c r="F21">
        <v>22149</v>
      </c>
      <c r="G21">
        <v>6749</v>
      </c>
      <c r="H21">
        <v>7083</v>
      </c>
      <c r="I21">
        <v>3700217</v>
      </c>
      <c r="J21">
        <v>20798</v>
      </c>
      <c r="K21">
        <v>11113</v>
      </c>
      <c r="L21">
        <v>16509</v>
      </c>
      <c r="M21">
        <v>4635117</v>
      </c>
      <c r="N21">
        <v>41930</v>
      </c>
      <c r="O21">
        <v>281</v>
      </c>
      <c r="P21">
        <v>406</v>
      </c>
      <c r="Q21">
        <v>1032424</v>
      </c>
      <c r="R21">
        <v>2462</v>
      </c>
      <c r="S21">
        <v>2649</v>
      </c>
      <c r="T21">
        <v>2296</v>
      </c>
      <c r="U21">
        <v>1379529</v>
      </c>
      <c r="V21">
        <v>7854</v>
      </c>
      <c r="W21">
        <v>24429</v>
      </c>
      <c r="X21">
        <v>23984</v>
      </c>
      <c r="Y21">
        <v>4568868</v>
      </c>
      <c r="Z21">
        <v>20978</v>
      </c>
      <c r="AA21">
        <v>14598</v>
      </c>
      <c r="AB21">
        <v>15511</v>
      </c>
      <c r="AC21">
        <v>1442054</v>
      </c>
      <c r="AD21">
        <v>8288</v>
      </c>
      <c r="AE21">
        <v>13015</v>
      </c>
      <c r="AF21">
        <v>14212</v>
      </c>
      <c r="AG21">
        <v>2700404</v>
      </c>
      <c r="AH21">
        <v>8351</v>
      </c>
    </row>
    <row r="22" spans="1:34" x14ac:dyDescent="0.4">
      <c r="A22" s="1" t="s">
        <v>32</v>
      </c>
      <c r="B22" s="1" t="s">
        <v>33</v>
      </c>
      <c r="C22">
        <v>4599</v>
      </c>
      <c r="D22">
        <v>5457</v>
      </c>
      <c r="E22">
        <v>743082</v>
      </c>
      <c r="F22">
        <v>22214</v>
      </c>
      <c r="G22">
        <v>6129</v>
      </c>
      <c r="H22">
        <v>6683</v>
      </c>
      <c r="I22">
        <v>3552140</v>
      </c>
      <c r="J22">
        <v>21433</v>
      </c>
      <c r="K22">
        <v>11249</v>
      </c>
      <c r="L22">
        <v>15022</v>
      </c>
      <c r="M22">
        <v>4554459</v>
      </c>
      <c r="N22">
        <v>41780</v>
      </c>
      <c r="O22">
        <v>296</v>
      </c>
      <c r="P22">
        <v>309</v>
      </c>
      <c r="Q22">
        <v>690847</v>
      </c>
      <c r="R22">
        <v>2457</v>
      </c>
      <c r="S22">
        <v>2116</v>
      </c>
      <c r="T22">
        <v>3046</v>
      </c>
      <c r="U22">
        <v>1832923</v>
      </c>
      <c r="V22">
        <v>7249</v>
      </c>
      <c r="W22">
        <v>23016</v>
      </c>
      <c r="X22">
        <v>21157</v>
      </c>
      <c r="Y22">
        <v>4058817</v>
      </c>
      <c r="Z22">
        <v>21928</v>
      </c>
      <c r="AA22">
        <v>13269</v>
      </c>
      <c r="AB22">
        <v>13982</v>
      </c>
      <c r="AC22">
        <v>1323260</v>
      </c>
      <c r="AD22">
        <v>9091</v>
      </c>
      <c r="AE22">
        <v>12416</v>
      </c>
      <c r="AF22">
        <v>12816</v>
      </c>
      <c r="AG22">
        <v>2413542</v>
      </c>
      <c r="AH22">
        <v>8793</v>
      </c>
    </row>
    <row r="23" spans="1:34" x14ac:dyDescent="0.4">
      <c r="A23" s="1" t="s">
        <v>34</v>
      </c>
      <c r="B23" s="1" t="s">
        <v>35</v>
      </c>
      <c r="C23">
        <v>4576</v>
      </c>
      <c r="D23">
        <v>5263</v>
      </c>
      <c r="E23">
        <v>698949</v>
      </c>
      <c r="F23">
        <v>22964</v>
      </c>
      <c r="G23">
        <v>6107</v>
      </c>
      <c r="H23">
        <v>8143</v>
      </c>
      <c r="I23">
        <v>4282552</v>
      </c>
      <c r="J23">
        <v>20552</v>
      </c>
      <c r="K23">
        <v>10229</v>
      </c>
      <c r="L23">
        <v>14357</v>
      </c>
      <c r="M23">
        <v>4099203</v>
      </c>
      <c r="N23">
        <v>42141</v>
      </c>
      <c r="O23">
        <v>241</v>
      </c>
      <c r="P23">
        <v>258</v>
      </c>
      <c r="Q23">
        <v>598731</v>
      </c>
      <c r="R23">
        <v>2437</v>
      </c>
      <c r="S23">
        <v>2877</v>
      </c>
      <c r="T23">
        <v>3163</v>
      </c>
      <c r="U23">
        <v>1612443</v>
      </c>
      <c r="V23">
        <v>7242</v>
      </c>
      <c r="W23">
        <v>23535</v>
      </c>
      <c r="X23">
        <v>22597</v>
      </c>
      <c r="Y23">
        <v>4274411</v>
      </c>
      <c r="Z23">
        <v>22297</v>
      </c>
      <c r="AA23">
        <v>13772</v>
      </c>
      <c r="AB23">
        <v>14523</v>
      </c>
      <c r="AC23">
        <v>1389009</v>
      </c>
      <c r="AD23">
        <v>8656</v>
      </c>
      <c r="AE23">
        <v>13053</v>
      </c>
      <c r="AF23">
        <v>13935</v>
      </c>
      <c r="AG23">
        <v>2646555</v>
      </c>
      <c r="AH23">
        <v>8862</v>
      </c>
    </row>
    <row r="24" spans="1:34" x14ac:dyDescent="0.4">
      <c r="A24" s="1" t="s">
        <v>36</v>
      </c>
      <c r="B24" s="1" t="s">
        <v>37</v>
      </c>
      <c r="C24">
        <v>4037</v>
      </c>
      <c r="D24">
        <v>4539</v>
      </c>
      <c r="E24">
        <v>612945</v>
      </c>
      <c r="F24">
        <v>23600</v>
      </c>
      <c r="G24">
        <v>4744</v>
      </c>
      <c r="H24">
        <v>5911</v>
      </c>
      <c r="I24">
        <v>3251142</v>
      </c>
      <c r="J24">
        <v>20471</v>
      </c>
      <c r="K24">
        <v>9525</v>
      </c>
      <c r="L24">
        <v>13263</v>
      </c>
      <c r="M24">
        <v>3716395</v>
      </c>
      <c r="N24">
        <v>43396</v>
      </c>
      <c r="O24">
        <v>378</v>
      </c>
      <c r="P24">
        <v>200</v>
      </c>
      <c r="Q24">
        <v>263297</v>
      </c>
      <c r="R24">
        <v>2609</v>
      </c>
      <c r="S24">
        <v>2052</v>
      </c>
      <c r="T24">
        <v>2081</v>
      </c>
      <c r="U24">
        <v>1287750</v>
      </c>
      <c r="V24">
        <v>7450</v>
      </c>
      <c r="W24">
        <v>20784</v>
      </c>
      <c r="X24">
        <v>19422</v>
      </c>
      <c r="Y24">
        <v>3789881</v>
      </c>
      <c r="Z24">
        <v>22703</v>
      </c>
      <c r="AA24">
        <v>11981</v>
      </c>
      <c r="AB24">
        <v>13590</v>
      </c>
      <c r="AC24">
        <v>1346522</v>
      </c>
      <c r="AD24">
        <v>8619</v>
      </c>
      <c r="AE24">
        <v>11272</v>
      </c>
      <c r="AF24">
        <v>11533</v>
      </c>
      <c r="AG24">
        <v>2190387</v>
      </c>
      <c r="AH24">
        <v>9389</v>
      </c>
    </row>
    <row r="25" spans="1:34" x14ac:dyDescent="0.4">
      <c r="A25" s="1" t="s">
        <v>38</v>
      </c>
      <c r="B25" s="1" t="s">
        <v>39</v>
      </c>
      <c r="C25">
        <v>4209</v>
      </c>
      <c r="D25">
        <v>4846</v>
      </c>
      <c r="E25">
        <v>647140</v>
      </c>
      <c r="F25">
        <v>23778</v>
      </c>
      <c r="G25">
        <v>5263</v>
      </c>
      <c r="H25">
        <v>6866</v>
      </c>
      <c r="I25">
        <v>3725789</v>
      </c>
      <c r="J25">
        <v>20185</v>
      </c>
      <c r="K25">
        <v>10194</v>
      </c>
      <c r="L25">
        <v>15153</v>
      </c>
      <c r="M25">
        <v>4369491</v>
      </c>
      <c r="N25">
        <v>41580</v>
      </c>
      <c r="O25">
        <v>327</v>
      </c>
      <c r="P25">
        <v>380</v>
      </c>
      <c r="Q25">
        <v>1174323</v>
      </c>
      <c r="R25">
        <v>2542</v>
      </c>
      <c r="S25">
        <v>2121</v>
      </c>
      <c r="T25">
        <v>2033</v>
      </c>
      <c r="U25">
        <v>1206686</v>
      </c>
      <c r="V25">
        <v>7738</v>
      </c>
      <c r="W25">
        <v>21480</v>
      </c>
      <c r="X25">
        <v>20117</v>
      </c>
      <c r="Y25">
        <v>3826862</v>
      </c>
      <c r="Z25">
        <v>23093</v>
      </c>
      <c r="AA25">
        <v>12687</v>
      </c>
      <c r="AB25">
        <v>13611</v>
      </c>
      <c r="AC25">
        <v>1318990</v>
      </c>
      <c r="AD25">
        <v>8799</v>
      </c>
      <c r="AE25">
        <v>11110</v>
      </c>
      <c r="AF25">
        <v>11830</v>
      </c>
      <c r="AG25">
        <v>2242706</v>
      </c>
      <c r="AH25">
        <v>9334</v>
      </c>
    </row>
    <row r="26" spans="1:34" x14ac:dyDescent="0.4">
      <c r="A26" s="1" t="s">
        <v>40</v>
      </c>
      <c r="B26" s="1" t="s">
        <v>41</v>
      </c>
      <c r="C26">
        <v>4131</v>
      </c>
      <c r="D26">
        <v>5322</v>
      </c>
      <c r="E26">
        <v>725639</v>
      </c>
      <c r="F26">
        <v>23700</v>
      </c>
      <c r="G26">
        <v>6248</v>
      </c>
      <c r="H26">
        <v>7478</v>
      </c>
      <c r="I26">
        <v>3844216</v>
      </c>
      <c r="J26">
        <v>19955</v>
      </c>
      <c r="K26">
        <v>11085</v>
      </c>
      <c r="L26">
        <v>14959</v>
      </c>
      <c r="M26">
        <v>4551231</v>
      </c>
      <c r="N26">
        <v>41642</v>
      </c>
      <c r="O26">
        <v>442</v>
      </c>
      <c r="P26">
        <v>352</v>
      </c>
      <c r="Q26">
        <v>978434</v>
      </c>
      <c r="R26">
        <v>2617</v>
      </c>
      <c r="S26">
        <v>2078</v>
      </c>
      <c r="T26">
        <v>3690</v>
      </c>
      <c r="U26">
        <v>2297278</v>
      </c>
      <c r="V26">
        <v>6418</v>
      </c>
      <c r="W26">
        <v>22043</v>
      </c>
      <c r="X26">
        <v>21064</v>
      </c>
      <c r="Y26">
        <v>4057326</v>
      </c>
      <c r="Z26">
        <v>23080</v>
      </c>
      <c r="AA26">
        <v>13578</v>
      </c>
      <c r="AB26">
        <v>14204</v>
      </c>
      <c r="AC26">
        <v>1343102</v>
      </c>
      <c r="AD26">
        <v>9194</v>
      </c>
      <c r="AE26">
        <v>12425</v>
      </c>
      <c r="AF26">
        <v>13142</v>
      </c>
      <c r="AG26">
        <v>2643227</v>
      </c>
      <c r="AH26">
        <v>9441</v>
      </c>
    </row>
    <row r="27" spans="1:34" x14ac:dyDescent="0.4">
      <c r="A27" s="1" t="s">
        <v>42</v>
      </c>
      <c r="B27" s="1" t="s">
        <v>43</v>
      </c>
      <c r="C27">
        <v>4035</v>
      </c>
      <c r="D27">
        <v>5465</v>
      </c>
      <c r="E27">
        <v>782370</v>
      </c>
      <c r="F27">
        <v>23311</v>
      </c>
      <c r="G27">
        <v>6081</v>
      </c>
      <c r="H27">
        <v>7186</v>
      </c>
      <c r="I27">
        <v>3765715</v>
      </c>
      <c r="J27">
        <v>19793</v>
      </c>
      <c r="K27">
        <v>12151</v>
      </c>
      <c r="L27">
        <v>16236</v>
      </c>
      <c r="M27">
        <v>4576645</v>
      </c>
      <c r="N27">
        <v>41822</v>
      </c>
      <c r="O27">
        <v>327</v>
      </c>
      <c r="P27">
        <v>418</v>
      </c>
      <c r="Q27">
        <v>1134067</v>
      </c>
      <c r="R27">
        <v>2527</v>
      </c>
      <c r="S27">
        <v>2809</v>
      </c>
      <c r="T27">
        <v>2244</v>
      </c>
      <c r="U27">
        <v>1387923</v>
      </c>
      <c r="V27">
        <v>7128</v>
      </c>
      <c r="W27">
        <v>23955</v>
      </c>
      <c r="X27">
        <v>22594</v>
      </c>
      <c r="Y27">
        <v>4465366</v>
      </c>
      <c r="Z27">
        <v>23328</v>
      </c>
      <c r="AA27">
        <v>14599</v>
      </c>
      <c r="AB27">
        <v>15146</v>
      </c>
      <c r="AC27">
        <v>1458112</v>
      </c>
      <c r="AD27">
        <v>9693</v>
      </c>
      <c r="AE27">
        <v>13107</v>
      </c>
      <c r="AF27">
        <v>14428</v>
      </c>
      <c r="AG27">
        <v>2814791</v>
      </c>
      <c r="AH27">
        <v>9059</v>
      </c>
    </row>
    <row r="28" spans="1:34" x14ac:dyDescent="0.4">
      <c r="A28" s="1" t="s">
        <v>44</v>
      </c>
      <c r="B28" s="1" t="s">
        <v>45</v>
      </c>
      <c r="C28">
        <v>3731</v>
      </c>
      <c r="D28">
        <v>4685</v>
      </c>
      <c r="E28">
        <v>661221</v>
      </c>
      <c r="F28">
        <v>23222</v>
      </c>
      <c r="G28">
        <v>5486</v>
      </c>
      <c r="H28">
        <v>6515</v>
      </c>
      <c r="I28">
        <v>3403024</v>
      </c>
      <c r="J28">
        <v>19791</v>
      </c>
      <c r="K28">
        <v>10840</v>
      </c>
      <c r="L28">
        <v>15766</v>
      </c>
      <c r="M28">
        <v>4510603</v>
      </c>
      <c r="N28">
        <v>41591</v>
      </c>
      <c r="O28">
        <v>459</v>
      </c>
      <c r="P28">
        <v>419</v>
      </c>
      <c r="Q28">
        <v>890054</v>
      </c>
      <c r="R28">
        <v>2626</v>
      </c>
      <c r="S28">
        <v>2176</v>
      </c>
      <c r="T28">
        <v>2144</v>
      </c>
      <c r="U28">
        <v>1252574</v>
      </c>
      <c r="V28">
        <v>7507</v>
      </c>
      <c r="W28">
        <v>19310</v>
      </c>
      <c r="X28">
        <v>19522</v>
      </c>
      <c r="Y28">
        <v>3845638</v>
      </c>
      <c r="Z28">
        <v>22224</v>
      </c>
      <c r="AA28">
        <v>11806</v>
      </c>
      <c r="AB28">
        <v>13498</v>
      </c>
      <c r="AC28">
        <v>1356366</v>
      </c>
      <c r="AD28">
        <v>9027</v>
      </c>
      <c r="AE28">
        <v>11330</v>
      </c>
      <c r="AF28">
        <v>12205</v>
      </c>
      <c r="AG28">
        <v>2672378</v>
      </c>
      <c r="AH28">
        <v>8831</v>
      </c>
    </row>
    <row r="29" spans="1:34" x14ac:dyDescent="0.4">
      <c r="A29" s="1" t="s">
        <v>46</v>
      </c>
      <c r="B29" s="1" t="s">
        <v>47</v>
      </c>
      <c r="C29">
        <v>4242</v>
      </c>
      <c r="D29">
        <v>5295</v>
      </c>
      <c r="E29">
        <v>695914</v>
      </c>
      <c r="F29">
        <v>23096</v>
      </c>
      <c r="G29">
        <v>6417</v>
      </c>
      <c r="H29">
        <v>6971</v>
      </c>
      <c r="I29">
        <v>3934123</v>
      </c>
      <c r="J29">
        <v>20226</v>
      </c>
      <c r="K29">
        <v>10468</v>
      </c>
      <c r="L29">
        <v>13257</v>
      </c>
      <c r="M29">
        <v>3910395</v>
      </c>
      <c r="N29">
        <v>42742</v>
      </c>
      <c r="O29">
        <v>525</v>
      </c>
      <c r="P29">
        <v>540</v>
      </c>
      <c r="Q29">
        <v>1375010</v>
      </c>
      <c r="R29">
        <v>2512</v>
      </c>
      <c r="S29">
        <v>2286</v>
      </c>
      <c r="T29">
        <v>2538</v>
      </c>
      <c r="U29">
        <v>1863719</v>
      </c>
      <c r="V29">
        <v>7437</v>
      </c>
      <c r="W29">
        <v>22068</v>
      </c>
      <c r="X29">
        <v>19639</v>
      </c>
      <c r="Y29">
        <v>3896072</v>
      </c>
      <c r="Z29">
        <v>23603</v>
      </c>
      <c r="AA29">
        <v>13145</v>
      </c>
      <c r="AB29">
        <v>14775</v>
      </c>
      <c r="AC29">
        <v>1485700</v>
      </c>
      <c r="AD29">
        <v>8582</v>
      </c>
      <c r="AE29">
        <v>11910</v>
      </c>
      <c r="AF29">
        <v>12291</v>
      </c>
      <c r="AG29">
        <v>2530085</v>
      </c>
      <c r="AH29">
        <v>9160</v>
      </c>
    </row>
    <row r="30" spans="1:34" x14ac:dyDescent="0.4">
      <c r="A30" s="1" t="s">
        <v>48</v>
      </c>
      <c r="B30" s="1" t="s">
        <v>49</v>
      </c>
      <c r="C30">
        <v>4288</v>
      </c>
      <c r="D30">
        <v>5058</v>
      </c>
      <c r="E30">
        <v>640509</v>
      </c>
      <c r="F30">
        <v>23504</v>
      </c>
      <c r="G30">
        <v>6412</v>
      </c>
      <c r="H30">
        <v>7256</v>
      </c>
      <c r="I30">
        <v>3867877</v>
      </c>
      <c r="J30">
        <v>20535</v>
      </c>
      <c r="K30">
        <v>11026</v>
      </c>
      <c r="L30">
        <v>16257</v>
      </c>
      <c r="M30">
        <v>4788645</v>
      </c>
      <c r="N30">
        <v>41547</v>
      </c>
      <c r="O30">
        <v>432</v>
      </c>
      <c r="P30">
        <v>508</v>
      </c>
      <c r="Q30">
        <v>1072961</v>
      </c>
      <c r="R30">
        <v>2506</v>
      </c>
      <c r="S30">
        <v>1931</v>
      </c>
      <c r="T30">
        <v>2735</v>
      </c>
      <c r="U30">
        <v>1963478</v>
      </c>
      <c r="V30">
        <v>7058</v>
      </c>
      <c r="W30">
        <v>23288</v>
      </c>
      <c r="X30">
        <v>21895</v>
      </c>
      <c r="Y30">
        <v>4440098</v>
      </c>
      <c r="Z30">
        <v>23527</v>
      </c>
      <c r="AA30">
        <v>14036</v>
      </c>
      <c r="AB30">
        <v>14346</v>
      </c>
      <c r="AC30">
        <v>1430595</v>
      </c>
      <c r="AD30">
        <v>9130</v>
      </c>
      <c r="AE30">
        <v>12973</v>
      </c>
      <c r="AF30">
        <v>13409</v>
      </c>
      <c r="AG30">
        <v>2776059</v>
      </c>
      <c r="AH30">
        <v>9436</v>
      </c>
    </row>
    <row r="31" spans="1:34" x14ac:dyDescent="0.4">
      <c r="A31" s="1" t="s">
        <v>50</v>
      </c>
      <c r="B31" s="1" t="s">
        <v>51</v>
      </c>
      <c r="C31">
        <v>3301</v>
      </c>
      <c r="D31">
        <v>4325</v>
      </c>
      <c r="E31">
        <v>651389</v>
      </c>
      <c r="F31">
        <v>23131</v>
      </c>
      <c r="G31">
        <v>5009</v>
      </c>
      <c r="H31">
        <v>6241</v>
      </c>
      <c r="I31">
        <v>3636549</v>
      </c>
      <c r="J31">
        <v>20185</v>
      </c>
      <c r="K31">
        <v>9590</v>
      </c>
      <c r="L31">
        <v>13402</v>
      </c>
      <c r="M31">
        <v>3919020</v>
      </c>
      <c r="N31">
        <v>41091</v>
      </c>
      <c r="O31">
        <v>396</v>
      </c>
      <c r="P31">
        <v>253</v>
      </c>
      <c r="Q31">
        <v>680427</v>
      </c>
      <c r="R31">
        <v>2644</v>
      </c>
      <c r="S31">
        <v>1754</v>
      </c>
      <c r="T31">
        <v>2632</v>
      </c>
      <c r="U31">
        <v>1666350</v>
      </c>
      <c r="V31">
        <v>6313</v>
      </c>
      <c r="W31">
        <v>19651</v>
      </c>
      <c r="X31">
        <v>19593</v>
      </c>
      <c r="Y31">
        <v>4022691</v>
      </c>
      <c r="Z31">
        <v>20232</v>
      </c>
      <c r="AA31">
        <v>11306</v>
      </c>
      <c r="AB31">
        <v>13191</v>
      </c>
      <c r="AC31">
        <v>1332446</v>
      </c>
      <c r="AD31">
        <v>8502</v>
      </c>
      <c r="AE31">
        <v>11381</v>
      </c>
      <c r="AF31">
        <v>12376</v>
      </c>
      <c r="AG31">
        <v>2486821</v>
      </c>
      <c r="AH31">
        <v>9039</v>
      </c>
    </row>
    <row r="32" spans="1:34" x14ac:dyDescent="0.4">
      <c r="A32" s="1" t="s">
        <v>52</v>
      </c>
      <c r="B32" s="1" t="s">
        <v>53</v>
      </c>
      <c r="C32">
        <v>3955</v>
      </c>
      <c r="D32">
        <v>5072</v>
      </c>
      <c r="E32">
        <v>766678</v>
      </c>
      <c r="F32">
        <v>23116</v>
      </c>
      <c r="G32">
        <v>6025</v>
      </c>
      <c r="H32">
        <v>7144</v>
      </c>
      <c r="I32">
        <v>3965051</v>
      </c>
      <c r="J32">
        <v>20252</v>
      </c>
      <c r="K32">
        <v>11248</v>
      </c>
      <c r="L32">
        <v>13407</v>
      </c>
      <c r="M32">
        <v>4023907</v>
      </c>
      <c r="N32">
        <v>42729</v>
      </c>
      <c r="O32">
        <v>430</v>
      </c>
      <c r="P32">
        <v>487</v>
      </c>
      <c r="Q32">
        <v>1114986</v>
      </c>
      <c r="R32">
        <v>2567</v>
      </c>
      <c r="S32">
        <v>2097</v>
      </c>
      <c r="T32">
        <v>2338</v>
      </c>
      <c r="U32">
        <v>1736197</v>
      </c>
      <c r="V32">
        <v>6286</v>
      </c>
      <c r="W32">
        <v>20584</v>
      </c>
      <c r="X32">
        <v>20003</v>
      </c>
      <c r="Y32">
        <v>4082710</v>
      </c>
      <c r="Z32">
        <v>19623</v>
      </c>
      <c r="AA32">
        <v>13660</v>
      </c>
      <c r="AB32">
        <v>13765</v>
      </c>
      <c r="AC32">
        <v>1373703</v>
      </c>
      <c r="AD32">
        <v>8825</v>
      </c>
      <c r="AE32">
        <v>11844</v>
      </c>
      <c r="AF32">
        <v>12834</v>
      </c>
      <c r="AG32">
        <v>2597497</v>
      </c>
      <c r="AH32">
        <v>8649</v>
      </c>
    </row>
    <row r="33" spans="1:34" x14ac:dyDescent="0.4">
      <c r="A33" s="1" t="s">
        <v>54</v>
      </c>
      <c r="B33" s="1" t="s">
        <v>55</v>
      </c>
      <c r="C33">
        <v>4574</v>
      </c>
      <c r="D33">
        <v>5581</v>
      </c>
      <c r="E33">
        <v>782359</v>
      </c>
      <c r="F33">
        <v>23161</v>
      </c>
      <c r="G33">
        <v>6552</v>
      </c>
      <c r="H33">
        <v>7146</v>
      </c>
      <c r="I33">
        <v>3858871</v>
      </c>
      <c r="J33">
        <v>20603</v>
      </c>
      <c r="K33">
        <v>10884</v>
      </c>
      <c r="L33">
        <v>16948</v>
      </c>
      <c r="M33">
        <v>4951507</v>
      </c>
      <c r="N33">
        <v>41298</v>
      </c>
      <c r="O33">
        <v>566</v>
      </c>
      <c r="P33">
        <v>396</v>
      </c>
      <c r="Q33">
        <v>1158186</v>
      </c>
      <c r="R33">
        <v>2748</v>
      </c>
      <c r="S33">
        <v>2825</v>
      </c>
      <c r="T33">
        <v>2037</v>
      </c>
      <c r="U33">
        <v>1296256</v>
      </c>
      <c r="V33">
        <v>7296</v>
      </c>
      <c r="W33">
        <v>23292</v>
      </c>
      <c r="X33">
        <v>21849</v>
      </c>
      <c r="Y33">
        <v>4572066</v>
      </c>
      <c r="Z33">
        <v>19745</v>
      </c>
      <c r="AA33">
        <v>13082</v>
      </c>
      <c r="AB33">
        <v>14758</v>
      </c>
      <c r="AC33">
        <v>1447893</v>
      </c>
      <c r="AD33">
        <v>8410</v>
      </c>
      <c r="AE33">
        <v>12366</v>
      </c>
      <c r="AF33">
        <v>13239</v>
      </c>
      <c r="AG33">
        <v>2699192</v>
      </c>
      <c r="AH33">
        <v>8352</v>
      </c>
    </row>
    <row r="34" spans="1:34" x14ac:dyDescent="0.4">
      <c r="A34" s="1" t="s">
        <v>56</v>
      </c>
      <c r="B34" s="1" t="s">
        <v>57</v>
      </c>
      <c r="C34">
        <v>4048</v>
      </c>
      <c r="D34">
        <v>5152</v>
      </c>
      <c r="E34">
        <v>714472</v>
      </c>
      <c r="F34">
        <v>23165</v>
      </c>
      <c r="G34">
        <v>5694</v>
      </c>
      <c r="H34">
        <v>6336</v>
      </c>
      <c r="I34">
        <v>3446716</v>
      </c>
      <c r="J34">
        <v>21041</v>
      </c>
      <c r="K34">
        <v>9963</v>
      </c>
      <c r="L34">
        <v>14790</v>
      </c>
      <c r="M34">
        <v>4345915</v>
      </c>
      <c r="N34">
        <v>41055</v>
      </c>
      <c r="O34">
        <v>442</v>
      </c>
      <c r="P34">
        <v>409</v>
      </c>
      <c r="Q34">
        <v>820792</v>
      </c>
      <c r="R34">
        <v>2784</v>
      </c>
      <c r="S34">
        <v>2721</v>
      </c>
      <c r="T34">
        <v>2378</v>
      </c>
      <c r="U34">
        <v>1492853</v>
      </c>
      <c r="V34">
        <v>7872</v>
      </c>
      <c r="W34">
        <v>20351</v>
      </c>
      <c r="X34">
        <v>18979</v>
      </c>
      <c r="Y34">
        <v>3951647</v>
      </c>
      <c r="Z34">
        <v>19936</v>
      </c>
      <c r="AA34">
        <v>12049</v>
      </c>
      <c r="AB34">
        <v>13099</v>
      </c>
      <c r="AC34">
        <v>1308182</v>
      </c>
      <c r="AD34">
        <v>8276</v>
      </c>
      <c r="AE34">
        <v>11540</v>
      </c>
      <c r="AF34">
        <v>11684</v>
      </c>
      <c r="AG34">
        <v>2403670</v>
      </c>
      <c r="AH34">
        <v>8967</v>
      </c>
    </row>
    <row r="35" spans="1:34" x14ac:dyDescent="0.4">
      <c r="A35" s="1" t="s">
        <v>58</v>
      </c>
      <c r="B35" s="1" t="s">
        <v>59</v>
      </c>
      <c r="C35">
        <v>4269</v>
      </c>
      <c r="D35">
        <v>5758</v>
      </c>
      <c r="E35">
        <v>803656</v>
      </c>
      <c r="F35">
        <v>22848</v>
      </c>
      <c r="G35">
        <v>6324</v>
      </c>
      <c r="H35">
        <v>7588</v>
      </c>
      <c r="I35">
        <v>4320402</v>
      </c>
      <c r="J35">
        <v>20730</v>
      </c>
      <c r="K35">
        <v>10588</v>
      </c>
      <c r="L35">
        <v>14383</v>
      </c>
      <c r="M35">
        <v>4375665</v>
      </c>
      <c r="N35">
        <v>41341</v>
      </c>
      <c r="O35">
        <v>506</v>
      </c>
      <c r="P35">
        <v>845</v>
      </c>
      <c r="Q35">
        <v>2098736</v>
      </c>
      <c r="R35">
        <v>2566</v>
      </c>
      <c r="S35">
        <v>2531</v>
      </c>
      <c r="T35">
        <v>3335</v>
      </c>
      <c r="U35">
        <v>1836139</v>
      </c>
      <c r="V35">
        <v>7366</v>
      </c>
      <c r="W35">
        <v>23856</v>
      </c>
      <c r="X35">
        <v>21752</v>
      </c>
      <c r="Y35">
        <v>4531453</v>
      </c>
      <c r="Z35">
        <v>20702</v>
      </c>
      <c r="AA35">
        <v>14553</v>
      </c>
      <c r="AB35">
        <v>14944</v>
      </c>
      <c r="AC35">
        <v>1458638</v>
      </c>
      <c r="AD35">
        <v>8432</v>
      </c>
      <c r="AE35">
        <v>13336</v>
      </c>
      <c r="AF35">
        <v>14130</v>
      </c>
      <c r="AG35">
        <v>2825979</v>
      </c>
      <c r="AH35">
        <v>9093</v>
      </c>
    </row>
    <row r="36" spans="1:34" x14ac:dyDescent="0.4">
      <c r="A36" s="1" t="s">
        <v>60</v>
      </c>
      <c r="B36" s="1" t="s">
        <v>61</v>
      </c>
      <c r="C36">
        <v>3697</v>
      </c>
      <c r="D36">
        <v>4657</v>
      </c>
      <c r="E36">
        <v>675167</v>
      </c>
      <c r="F36">
        <v>22836</v>
      </c>
      <c r="G36">
        <v>5585</v>
      </c>
      <c r="H36">
        <v>6140</v>
      </c>
      <c r="I36">
        <v>3486339</v>
      </c>
      <c r="J36">
        <v>21110</v>
      </c>
      <c r="K36">
        <v>10241</v>
      </c>
      <c r="L36">
        <v>12812</v>
      </c>
      <c r="M36">
        <v>3777412</v>
      </c>
      <c r="N36">
        <v>43391</v>
      </c>
      <c r="O36">
        <v>336</v>
      </c>
      <c r="P36">
        <v>323</v>
      </c>
      <c r="Q36">
        <v>730341</v>
      </c>
      <c r="R36">
        <v>2566</v>
      </c>
      <c r="S36">
        <v>1999</v>
      </c>
      <c r="T36">
        <v>2283</v>
      </c>
      <c r="U36">
        <v>1396601</v>
      </c>
      <c r="V36">
        <v>7236</v>
      </c>
      <c r="W36">
        <v>21446</v>
      </c>
      <c r="X36">
        <v>19985</v>
      </c>
      <c r="Y36">
        <v>4112983</v>
      </c>
      <c r="Z36">
        <v>20835</v>
      </c>
      <c r="AA36">
        <v>11944</v>
      </c>
      <c r="AB36">
        <v>13034</v>
      </c>
      <c r="AC36">
        <v>1295737</v>
      </c>
      <c r="AD36">
        <v>8511</v>
      </c>
      <c r="AE36">
        <v>11670</v>
      </c>
      <c r="AF36">
        <v>12179</v>
      </c>
      <c r="AG36">
        <v>2601314</v>
      </c>
      <c r="AH36">
        <v>9251</v>
      </c>
    </row>
    <row r="37" spans="1:34" x14ac:dyDescent="0.4">
      <c r="A37" s="1" t="s">
        <v>62</v>
      </c>
      <c r="B37" s="1" t="s">
        <v>63</v>
      </c>
      <c r="C37">
        <v>4153</v>
      </c>
      <c r="D37">
        <v>5239</v>
      </c>
      <c r="E37">
        <v>751272</v>
      </c>
      <c r="F37">
        <v>22824</v>
      </c>
      <c r="G37">
        <v>6196</v>
      </c>
      <c r="H37">
        <v>7248</v>
      </c>
      <c r="I37">
        <v>4111882</v>
      </c>
      <c r="J37">
        <v>20917</v>
      </c>
      <c r="K37">
        <v>10612</v>
      </c>
      <c r="L37">
        <v>15408</v>
      </c>
      <c r="M37">
        <v>4613258</v>
      </c>
      <c r="N37">
        <v>42489</v>
      </c>
      <c r="O37">
        <v>365</v>
      </c>
      <c r="P37">
        <v>428</v>
      </c>
      <c r="Q37">
        <v>971299</v>
      </c>
      <c r="R37">
        <v>2510</v>
      </c>
      <c r="S37">
        <v>2298</v>
      </c>
      <c r="T37">
        <v>3622</v>
      </c>
      <c r="U37">
        <v>2468399</v>
      </c>
      <c r="V37">
        <v>6176</v>
      </c>
      <c r="W37">
        <v>21313</v>
      </c>
      <c r="X37">
        <v>20308</v>
      </c>
      <c r="Y37">
        <v>4098358</v>
      </c>
      <c r="Z37">
        <v>20662</v>
      </c>
      <c r="AA37">
        <v>12593</v>
      </c>
      <c r="AB37">
        <v>13715</v>
      </c>
      <c r="AC37">
        <v>1419581</v>
      </c>
      <c r="AD37">
        <v>8686</v>
      </c>
      <c r="AE37">
        <v>11153</v>
      </c>
      <c r="AF37">
        <v>12616</v>
      </c>
      <c r="AG37">
        <v>2694127</v>
      </c>
      <c r="AH37">
        <v>8712</v>
      </c>
    </row>
    <row r="38" spans="1:34" x14ac:dyDescent="0.4">
      <c r="A38" s="1" t="s">
        <v>64</v>
      </c>
      <c r="B38" s="1" t="s">
        <v>65</v>
      </c>
      <c r="C38">
        <v>4061</v>
      </c>
      <c r="D38">
        <v>5175</v>
      </c>
      <c r="E38">
        <v>726693</v>
      </c>
      <c r="F38">
        <v>22752</v>
      </c>
      <c r="G38">
        <v>6701</v>
      </c>
      <c r="H38">
        <v>7151</v>
      </c>
      <c r="I38">
        <v>4114755</v>
      </c>
      <c r="J38">
        <v>21398</v>
      </c>
      <c r="K38">
        <v>11184</v>
      </c>
      <c r="L38">
        <v>13897</v>
      </c>
      <c r="M38">
        <v>4086740</v>
      </c>
      <c r="N38">
        <v>43856</v>
      </c>
      <c r="O38">
        <v>494</v>
      </c>
      <c r="P38">
        <v>245</v>
      </c>
      <c r="Q38">
        <v>744714</v>
      </c>
      <c r="R38">
        <v>2699</v>
      </c>
      <c r="S38">
        <v>1894</v>
      </c>
      <c r="T38">
        <v>2759</v>
      </c>
      <c r="U38">
        <v>1863062</v>
      </c>
      <c r="V38">
        <v>5590</v>
      </c>
      <c r="W38">
        <v>22456</v>
      </c>
      <c r="X38">
        <v>21238</v>
      </c>
      <c r="Y38">
        <v>4322877</v>
      </c>
      <c r="Z38">
        <v>20680</v>
      </c>
      <c r="AA38">
        <v>13558</v>
      </c>
      <c r="AB38">
        <v>13890</v>
      </c>
      <c r="AC38">
        <v>1396284</v>
      </c>
      <c r="AD38">
        <v>8900</v>
      </c>
      <c r="AE38">
        <v>12201</v>
      </c>
      <c r="AF38">
        <v>12464</v>
      </c>
      <c r="AG38">
        <v>2684947</v>
      </c>
      <c r="AH38">
        <v>9036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8403-2B18-4A44-BE48-A0E6E6D59B63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2991</v>
      </c>
      <c r="D3" t="s">
        <v>2991</v>
      </c>
      <c r="E3" t="s">
        <v>2991</v>
      </c>
      <c r="F3" t="s">
        <v>2991</v>
      </c>
      <c r="G3" t="s">
        <v>2993</v>
      </c>
      <c r="H3" t="s">
        <v>2993</v>
      </c>
      <c r="I3" t="s">
        <v>2993</v>
      </c>
      <c r="J3" t="s">
        <v>2993</v>
      </c>
      <c r="K3" t="s">
        <v>2995</v>
      </c>
      <c r="L3" t="s">
        <v>2995</v>
      </c>
      <c r="M3" t="s">
        <v>2995</v>
      </c>
      <c r="N3" t="s">
        <v>2995</v>
      </c>
      <c r="O3" t="s">
        <v>2997</v>
      </c>
      <c r="P3" t="s">
        <v>2997</v>
      </c>
      <c r="Q3" t="s">
        <v>2997</v>
      </c>
      <c r="R3" t="s">
        <v>2997</v>
      </c>
      <c r="S3" t="s">
        <v>2999</v>
      </c>
      <c r="T3" t="s">
        <v>2999</v>
      </c>
      <c r="U3" t="s">
        <v>2999</v>
      </c>
      <c r="V3" t="s">
        <v>2999</v>
      </c>
      <c r="W3" t="s">
        <v>3001</v>
      </c>
      <c r="X3" t="s">
        <v>3001</v>
      </c>
      <c r="Y3" t="s">
        <v>3001</v>
      </c>
      <c r="Z3" t="s">
        <v>3001</v>
      </c>
      <c r="AA3" t="s">
        <v>3003</v>
      </c>
      <c r="AB3" t="s">
        <v>3003</v>
      </c>
      <c r="AC3" t="s">
        <v>3003</v>
      </c>
      <c r="AD3" t="s">
        <v>3003</v>
      </c>
    </row>
    <row r="4" spans="1:30" x14ac:dyDescent="0.4">
      <c r="A4" s="1"/>
      <c r="B4" s="2" t="s">
        <v>1</v>
      </c>
      <c r="C4" t="s">
        <v>2992</v>
      </c>
      <c r="D4" t="s">
        <v>2992</v>
      </c>
      <c r="E4" t="s">
        <v>2992</v>
      </c>
      <c r="F4" t="s">
        <v>2992</v>
      </c>
      <c r="G4" t="s">
        <v>2994</v>
      </c>
      <c r="H4" t="s">
        <v>2994</v>
      </c>
      <c r="I4" t="s">
        <v>2994</v>
      </c>
      <c r="J4" t="s">
        <v>2994</v>
      </c>
      <c r="K4" t="s">
        <v>2996</v>
      </c>
      <c r="L4" t="s">
        <v>2996</v>
      </c>
      <c r="M4" t="s">
        <v>2996</v>
      </c>
      <c r="N4" t="s">
        <v>2996</v>
      </c>
      <c r="O4" t="s">
        <v>2998</v>
      </c>
      <c r="P4" t="s">
        <v>2998</v>
      </c>
      <c r="Q4" t="s">
        <v>2998</v>
      </c>
      <c r="R4" t="s">
        <v>2998</v>
      </c>
      <c r="S4" t="s">
        <v>3000</v>
      </c>
      <c r="T4" t="s">
        <v>3000</v>
      </c>
      <c r="U4" t="s">
        <v>3000</v>
      </c>
      <c r="V4" t="s">
        <v>3000</v>
      </c>
      <c r="W4" t="s">
        <v>3002</v>
      </c>
      <c r="X4" t="s">
        <v>3002</v>
      </c>
      <c r="Y4" t="s">
        <v>3002</v>
      </c>
      <c r="Z4" t="s">
        <v>3002</v>
      </c>
      <c r="AA4" t="s">
        <v>3004</v>
      </c>
      <c r="AB4" t="s">
        <v>3004</v>
      </c>
      <c r="AC4" t="s">
        <v>3004</v>
      </c>
      <c r="AD4" t="s">
        <v>3004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</row>
    <row r="9" spans="1:30" x14ac:dyDescent="0.4">
      <c r="A9" s="1" t="s">
        <v>6</v>
      </c>
      <c r="B9" s="3" t="s">
        <v>7</v>
      </c>
      <c r="C9">
        <v>60525</v>
      </c>
      <c r="D9">
        <v>59644</v>
      </c>
      <c r="E9">
        <v>51249734</v>
      </c>
      <c r="F9">
        <v>9806</v>
      </c>
      <c r="G9">
        <v>37071</v>
      </c>
      <c r="H9">
        <v>33569</v>
      </c>
      <c r="I9">
        <v>13521875</v>
      </c>
      <c r="J9">
        <v>948</v>
      </c>
      <c r="K9">
        <v>3851054</v>
      </c>
      <c r="L9">
        <v>3806692</v>
      </c>
      <c r="M9">
        <v>10948449</v>
      </c>
      <c r="N9">
        <v>468023</v>
      </c>
      <c r="O9">
        <v>34275437</v>
      </c>
      <c r="P9">
        <v>34278802</v>
      </c>
      <c r="Q9">
        <v>55420344</v>
      </c>
      <c r="R9">
        <v>573822</v>
      </c>
      <c r="S9">
        <v>19578752</v>
      </c>
      <c r="T9">
        <v>15217821</v>
      </c>
      <c r="U9">
        <v>56174500</v>
      </c>
      <c r="V9">
        <v>2353197</v>
      </c>
      <c r="W9">
        <v>11146</v>
      </c>
      <c r="X9">
        <v>12119</v>
      </c>
      <c r="Y9">
        <v>18893775</v>
      </c>
      <c r="Z9">
        <v>1583</v>
      </c>
      <c r="AA9">
        <v>22619</v>
      </c>
      <c r="AB9">
        <v>22686</v>
      </c>
      <c r="AC9">
        <v>26404696</v>
      </c>
      <c r="AD9">
        <v>2264</v>
      </c>
    </row>
    <row r="10" spans="1:30" x14ac:dyDescent="0.4">
      <c r="A10" s="1" t="s">
        <v>8</v>
      </c>
      <c r="B10" s="3" t="s">
        <v>9</v>
      </c>
      <c r="C10">
        <v>66931</v>
      </c>
      <c r="D10">
        <v>65063</v>
      </c>
      <c r="E10">
        <v>55726063</v>
      </c>
      <c r="F10">
        <v>10931</v>
      </c>
      <c r="G10">
        <v>40067</v>
      </c>
      <c r="H10">
        <v>36930</v>
      </c>
      <c r="I10">
        <v>18263593</v>
      </c>
      <c r="J10">
        <v>767</v>
      </c>
      <c r="K10">
        <v>3311881</v>
      </c>
      <c r="L10">
        <v>3303830</v>
      </c>
      <c r="M10">
        <v>10331424</v>
      </c>
      <c r="N10">
        <v>492804</v>
      </c>
      <c r="O10">
        <v>39404608</v>
      </c>
      <c r="P10">
        <v>38720557</v>
      </c>
      <c r="Q10">
        <v>66074270</v>
      </c>
      <c r="R10">
        <v>395476</v>
      </c>
      <c r="S10">
        <v>20706868</v>
      </c>
      <c r="T10">
        <v>16866461</v>
      </c>
      <c r="U10">
        <v>72789110</v>
      </c>
      <c r="V10">
        <v>2776934</v>
      </c>
      <c r="W10">
        <v>10974</v>
      </c>
      <c r="X10">
        <v>12019</v>
      </c>
      <c r="Y10">
        <v>19200977</v>
      </c>
      <c r="Z10">
        <v>1692</v>
      </c>
      <c r="AA10">
        <v>21582</v>
      </c>
      <c r="AB10">
        <v>21772</v>
      </c>
      <c r="AC10">
        <v>26522325</v>
      </c>
      <c r="AD10">
        <v>2215</v>
      </c>
    </row>
    <row r="11" spans="1:30" x14ac:dyDescent="0.4">
      <c r="A11" s="1" t="s">
        <v>10</v>
      </c>
      <c r="B11" s="3" t="s">
        <v>11</v>
      </c>
      <c r="C11">
        <v>59792</v>
      </c>
      <c r="D11">
        <v>59370</v>
      </c>
      <c r="E11">
        <v>47762246</v>
      </c>
      <c r="F11">
        <v>11363</v>
      </c>
      <c r="G11">
        <v>45153</v>
      </c>
      <c r="H11">
        <v>42294</v>
      </c>
      <c r="I11">
        <v>28030836</v>
      </c>
      <c r="J11">
        <v>1261</v>
      </c>
      <c r="K11">
        <v>3067160</v>
      </c>
      <c r="L11">
        <v>3071884</v>
      </c>
      <c r="M11">
        <v>10567864</v>
      </c>
      <c r="N11">
        <v>502637</v>
      </c>
      <c r="O11">
        <v>39372525</v>
      </c>
      <c r="P11">
        <v>38449123</v>
      </c>
      <c r="Q11">
        <v>70543305</v>
      </c>
      <c r="R11">
        <v>555728</v>
      </c>
      <c r="S11">
        <v>17757424</v>
      </c>
      <c r="T11">
        <v>11309261</v>
      </c>
      <c r="U11">
        <v>70275594</v>
      </c>
      <c r="V11">
        <v>4670993</v>
      </c>
      <c r="W11">
        <v>10031</v>
      </c>
      <c r="X11">
        <v>11080</v>
      </c>
      <c r="Y11">
        <v>18734020</v>
      </c>
      <c r="Z11">
        <v>1641</v>
      </c>
      <c r="AA11">
        <v>19021</v>
      </c>
      <c r="AB11">
        <v>19774</v>
      </c>
      <c r="AC11">
        <v>26056793</v>
      </c>
      <c r="AD11">
        <v>1828</v>
      </c>
    </row>
    <row r="12" spans="1:30" x14ac:dyDescent="0.4">
      <c r="A12" s="1" t="s">
        <v>12</v>
      </c>
      <c r="B12" s="3" t="s">
        <v>13</v>
      </c>
      <c r="C12">
        <v>52587</v>
      </c>
      <c r="D12">
        <v>55443</v>
      </c>
      <c r="E12">
        <v>44115894</v>
      </c>
      <c r="F12">
        <v>8500</v>
      </c>
      <c r="G12">
        <v>44504</v>
      </c>
      <c r="H12">
        <v>42119</v>
      </c>
      <c r="I12">
        <v>27365616</v>
      </c>
      <c r="J12">
        <v>869</v>
      </c>
      <c r="K12">
        <v>3204312</v>
      </c>
      <c r="L12">
        <v>3231732</v>
      </c>
      <c r="M12">
        <v>12171910</v>
      </c>
      <c r="N12">
        <v>490403</v>
      </c>
      <c r="O12">
        <v>39299549</v>
      </c>
      <c r="P12">
        <v>38412294</v>
      </c>
      <c r="Q12">
        <v>73800525</v>
      </c>
      <c r="R12">
        <v>649232</v>
      </c>
      <c r="S12">
        <v>16923921</v>
      </c>
      <c r="T12">
        <v>13797356</v>
      </c>
      <c r="U12">
        <v>78783443</v>
      </c>
      <c r="V12">
        <v>4272953</v>
      </c>
      <c r="W12">
        <v>9295</v>
      </c>
      <c r="X12">
        <v>10115</v>
      </c>
      <c r="Y12">
        <v>18341092</v>
      </c>
      <c r="Z12">
        <v>1721</v>
      </c>
      <c r="AA12">
        <v>17380</v>
      </c>
      <c r="AB12">
        <v>17991</v>
      </c>
      <c r="AC12">
        <v>25131813</v>
      </c>
      <c r="AD12">
        <v>1648</v>
      </c>
    </row>
    <row r="13" spans="1:30" x14ac:dyDescent="0.4">
      <c r="A13" s="1" t="s">
        <v>14</v>
      </c>
      <c r="B13" s="3" t="s">
        <v>15</v>
      </c>
      <c r="C13">
        <v>49357</v>
      </c>
      <c r="D13">
        <v>50218</v>
      </c>
      <c r="E13">
        <v>38787641</v>
      </c>
      <c r="F13">
        <v>7580</v>
      </c>
      <c r="G13">
        <v>32966</v>
      </c>
      <c r="H13">
        <v>30686</v>
      </c>
      <c r="I13">
        <v>18625187</v>
      </c>
      <c r="J13">
        <v>667</v>
      </c>
      <c r="K13">
        <v>3273622</v>
      </c>
      <c r="L13">
        <v>3265606</v>
      </c>
      <c r="M13">
        <v>12374271</v>
      </c>
      <c r="N13">
        <v>509346</v>
      </c>
      <c r="O13">
        <v>32328448</v>
      </c>
      <c r="P13">
        <v>31663925</v>
      </c>
      <c r="Q13">
        <v>64199036</v>
      </c>
      <c r="R13">
        <v>585590</v>
      </c>
      <c r="S13">
        <v>15082686</v>
      </c>
      <c r="T13">
        <v>13150174</v>
      </c>
      <c r="U13">
        <v>71279607</v>
      </c>
      <c r="V13">
        <v>3522723</v>
      </c>
      <c r="W13">
        <v>9226</v>
      </c>
      <c r="X13">
        <v>10133</v>
      </c>
      <c r="Y13">
        <v>18510173</v>
      </c>
      <c r="Z13">
        <v>1821</v>
      </c>
      <c r="AA13">
        <v>17138</v>
      </c>
      <c r="AB13">
        <v>17586</v>
      </c>
      <c r="AC13">
        <v>25522283</v>
      </c>
      <c r="AD13">
        <v>1657</v>
      </c>
    </row>
    <row r="14" spans="1:30" x14ac:dyDescent="0.4">
      <c r="A14" s="1" t="s">
        <v>16</v>
      </c>
      <c r="B14" s="1" t="s">
        <v>17</v>
      </c>
      <c r="C14">
        <v>4719</v>
      </c>
      <c r="D14">
        <v>5676</v>
      </c>
      <c r="E14">
        <v>4481427</v>
      </c>
      <c r="F14">
        <v>9626</v>
      </c>
      <c r="G14">
        <v>4270</v>
      </c>
      <c r="H14">
        <v>4332</v>
      </c>
      <c r="I14">
        <v>2610814</v>
      </c>
      <c r="J14">
        <v>760</v>
      </c>
      <c r="K14">
        <v>346567</v>
      </c>
      <c r="L14">
        <v>329384</v>
      </c>
      <c r="M14">
        <v>1024633</v>
      </c>
      <c r="N14">
        <v>515907</v>
      </c>
      <c r="O14">
        <v>3886187</v>
      </c>
      <c r="P14">
        <v>3800525</v>
      </c>
      <c r="Q14">
        <v>7018495</v>
      </c>
      <c r="R14">
        <v>609574</v>
      </c>
      <c r="S14">
        <v>893115</v>
      </c>
      <c r="T14">
        <v>1831930</v>
      </c>
      <c r="U14">
        <v>9641411</v>
      </c>
      <c r="V14">
        <v>2942369</v>
      </c>
      <c r="W14">
        <v>805</v>
      </c>
      <c r="X14">
        <v>846</v>
      </c>
      <c r="Y14">
        <v>1538281</v>
      </c>
      <c r="Z14">
        <v>1736</v>
      </c>
      <c r="AA14">
        <v>1510</v>
      </c>
      <c r="AB14">
        <v>1571</v>
      </c>
      <c r="AC14">
        <v>2240094</v>
      </c>
      <c r="AD14">
        <v>1914</v>
      </c>
    </row>
    <row r="15" spans="1:30" x14ac:dyDescent="0.4">
      <c r="A15" s="1" t="s">
        <v>18</v>
      </c>
      <c r="B15" s="1" t="s">
        <v>19</v>
      </c>
      <c r="C15">
        <v>4255</v>
      </c>
      <c r="D15">
        <v>4513</v>
      </c>
      <c r="E15">
        <v>3685562</v>
      </c>
      <c r="F15">
        <v>9368</v>
      </c>
      <c r="G15">
        <v>4024</v>
      </c>
      <c r="H15">
        <v>3749</v>
      </c>
      <c r="I15">
        <v>2518593</v>
      </c>
      <c r="J15">
        <v>737</v>
      </c>
      <c r="K15">
        <v>258502</v>
      </c>
      <c r="L15">
        <v>260117</v>
      </c>
      <c r="M15">
        <v>1010950</v>
      </c>
      <c r="N15">
        <v>515537</v>
      </c>
      <c r="O15">
        <v>3366174</v>
      </c>
      <c r="P15">
        <v>3395928</v>
      </c>
      <c r="Q15">
        <v>6512423</v>
      </c>
      <c r="R15">
        <v>517480</v>
      </c>
      <c r="S15">
        <v>1504994</v>
      </c>
      <c r="T15">
        <v>1043627</v>
      </c>
      <c r="U15">
        <v>6473082</v>
      </c>
      <c r="V15">
        <v>3041278</v>
      </c>
      <c r="W15">
        <v>811</v>
      </c>
      <c r="X15">
        <v>867</v>
      </c>
      <c r="Y15">
        <v>1552354</v>
      </c>
      <c r="Z15">
        <v>1757</v>
      </c>
      <c r="AA15">
        <v>1487</v>
      </c>
      <c r="AB15">
        <v>1506</v>
      </c>
      <c r="AC15">
        <v>2072318</v>
      </c>
      <c r="AD15">
        <v>1939</v>
      </c>
    </row>
    <row r="16" spans="1:30" x14ac:dyDescent="0.4">
      <c r="A16" s="1" t="s">
        <v>20</v>
      </c>
      <c r="B16" s="1" t="s">
        <v>21</v>
      </c>
      <c r="C16">
        <v>4030</v>
      </c>
      <c r="D16">
        <v>4316</v>
      </c>
      <c r="E16">
        <v>3587116</v>
      </c>
      <c r="F16">
        <v>9081</v>
      </c>
      <c r="G16">
        <v>3879</v>
      </c>
      <c r="H16">
        <v>3169</v>
      </c>
      <c r="I16">
        <v>2134521</v>
      </c>
      <c r="J16">
        <v>1093</v>
      </c>
      <c r="K16">
        <v>240226</v>
      </c>
      <c r="L16">
        <v>250504</v>
      </c>
      <c r="M16">
        <v>997458</v>
      </c>
      <c r="N16">
        <v>506495</v>
      </c>
      <c r="O16">
        <v>3308517</v>
      </c>
      <c r="P16">
        <v>3177593</v>
      </c>
      <c r="Q16">
        <v>5879717</v>
      </c>
      <c r="R16">
        <v>588924</v>
      </c>
      <c r="S16">
        <v>1478643</v>
      </c>
      <c r="T16">
        <v>1164805</v>
      </c>
      <c r="U16">
        <v>6795675</v>
      </c>
      <c r="V16">
        <v>3014879</v>
      </c>
      <c r="W16">
        <v>796</v>
      </c>
      <c r="X16">
        <v>878</v>
      </c>
      <c r="Y16">
        <v>1585479</v>
      </c>
      <c r="Z16">
        <v>1751</v>
      </c>
      <c r="AA16">
        <v>1403</v>
      </c>
      <c r="AB16">
        <v>1405</v>
      </c>
      <c r="AC16">
        <v>1921139</v>
      </c>
      <c r="AD16">
        <v>1973</v>
      </c>
    </row>
    <row r="17" spans="1:30" x14ac:dyDescent="0.4">
      <c r="A17" s="1" t="s">
        <v>22</v>
      </c>
      <c r="B17" s="1" t="s">
        <v>23</v>
      </c>
      <c r="C17">
        <v>4086</v>
      </c>
      <c r="D17">
        <v>3915</v>
      </c>
      <c r="E17">
        <v>3223688</v>
      </c>
      <c r="F17">
        <v>9250</v>
      </c>
      <c r="G17">
        <v>3621</v>
      </c>
      <c r="H17">
        <v>3247</v>
      </c>
      <c r="I17">
        <v>2297075</v>
      </c>
      <c r="J17">
        <v>1120</v>
      </c>
      <c r="K17">
        <v>258924</v>
      </c>
      <c r="L17">
        <v>269509</v>
      </c>
      <c r="M17">
        <v>1062959</v>
      </c>
      <c r="N17">
        <v>497241</v>
      </c>
      <c r="O17">
        <v>3006467</v>
      </c>
      <c r="P17">
        <v>2947472</v>
      </c>
      <c r="Q17">
        <v>5846051</v>
      </c>
      <c r="R17">
        <v>592354</v>
      </c>
      <c r="S17">
        <v>1618199</v>
      </c>
      <c r="T17">
        <v>1134890</v>
      </c>
      <c r="U17">
        <v>6428035</v>
      </c>
      <c r="V17">
        <v>3190580</v>
      </c>
      <c r="W17">
        <v>777</v>
      </c>
      <c r="X17">
        <v>857</v>
      </c>
      <c r="Y17">
        <v>1525558</v>
      </c>
      <c r="Z17">
        <v>1751</v>
      </c>
      <c r="AA17">
        <v>1434</v>
      </c>
      <c r="AB17">
        <v>1477</v>
      </c>
      <c r="AC17">
        <v>2074932</v>
      </c>
      <c r="AD17">
        <v>1951</v>
      </c>
    </row>
    <row r="18" spans="1:30" x14ac:dyDescent="0.4">
      <c r="A18" s="1" t="s">
        <v>24</v>
      </c>
      <c r="B18" s="1" t="s">
        <v>25</v>
      </c>
      <c r="C18">
        <v>4443</v>
      </c>
      <c r="D18">
        <v>4239</v>
      </c>
      <c r="E18">
        <v>3420755</v>
      </c>
      <c r="F18">
        <v>9453</v>
      </c>
      <c r="G18">
        <v>3826</v>
      </c>
      <c r="H18">
        <v>3954</v>
      </c>
      <c r="I18">
        <v>2676900</v>
      </c>
      <c r="J18">
        <v>733</v>
      </c>
      <c r="K18">
        <v>266737</v>
      </c>
      <c r="L18">
        <v>270572</v>
      </c>
      <c r="M18">
        <v>1047106</v>
      </c>
      <c r="N18">
        <v>494764</v>
      </c>
      <c r="O18">
        <v>3414147</v>
      </c>
      <c r="P18">
        <v>3210464</v>
      </c>
      <c r="Q18">
        <v>6155580</v>
      </c>
      <c r="R18">
        <v>715254</v>
      </c>
      <c r="S18">
        <v>1597669</v>
      </c>
      <c r="T18">
        <v>965398</v>
      </c>
      <c r="U18">
        <v>5814121</v>
      </c>
      <c r="V18">
        <v>3473226</v>
      </c>
      <c r="W18">
        <v>793</v>
      </c>
      <c r="X18">
        <v>874</v>
      </c>
      <c r="Y18">
        <v>1614459</v>
      </c>
      <c r="Z18">
        <v>1765</v>
      </c>
      <c r="AA18">
        <v>1478</v>
      </c>
      <c r="AB18">
        <v>1522</v>
      </c>
      <c r="AC18">
        <v>2137610</v>
      </c>
      <c r="AD18">
        <v>1963</v>
      </c>
    </row>
    <row r="19" spans="1:30" x14ac:dyDescent="0.4">
      <c r="A19" s="1" t="s">
        <v>26</v>
      </c>
      <c r="B19" s="1" t="s">
        <v>27</v>
      </c>
      <c r="C19">
        <v>3961</v>
      </c>
      <c r="D19">
        <v>4535</v>
      </c>
      <c r="E19">
        <v>3525275</v>
      </c>
      <c r="F19">
        <v>8880</v>
      </c>
      <c r="G19">
        <v>3487</v>
      </c>
      <c r="H19">
        <v>3282</v>
      </c>
      <c r="I19">
        <v>2065953</v>
      </c>
      <c r="J19">
        <v>730</v>
      </c>
      <c r="K19">
        <v>315878</v>
      </c>
      <c r="L19">
        <v>307465</v>
      </c>
      <c r="M19">
        <v>1098400</v>
      </c>
      <c r="N19">
        <v>504402</v>
      </c>
      <c r="O19">
        <v>2985205</v>
      </c>
      <c r="P19">
        <v>2980071</v>
      </c>
      <c r="Q19">
        <v>5810435</v>
      </c>
      <c r="R19">
        <v>671559</v>
      </c>
      <c r="S19">
        <v>1637033</v>
      </c>
      <c r="T19">
        <v>1075717</v>
      </c>
      <c r="U19">
        <v>5620671</v>
      </c>
      <c r="V19">
        <v>3570317</v>
      </c>
      <c r="W19">
        <v>641</v>
      </c>
      <c r="X19">
        <v>734</v>
      </c>
      <c r="Y19">
        <v>1337530</v>
      </c>
      <c r="Z19">
        <v>1754</v>
      </c>
      <c r="AA19">
        <v>1256</v>
      </c>
      <c r="AB19">
        <v>1417</v>
      </c>
      <c r="AC19">
        <v>1952381</v>
      </c>
      <c r="AD19">
        <v>1833</v>
      </c>
    </row>
    <row r="20" spans="1:30" x14ac:dyDescent="0.4">
      <c r="A20" s="1" t="s">
        <v>28</v>
      </c>
      <c r="B20" s="1" t="s">
        <v>29</v>
      </c>
      <c r="C20">
        <v>5018</v>
      </c>
      <c r="D20">
        <v>4337</v>
      </c>
      <c r="E20">
        <v>3350220</v>
      </c>
      <c r="F20">
        <v>9559</v>
      </c>
      <c r="G20">
        <v>3135</v>
      </c>
      <c r="H20">
        <v>2926</v>
      </c>
      <c r="I20">
        <v>1751355</v>
      </c>
      <c r="J20">
        <v>761</v>
      </c>
      <c r="K20">
        <v>222790</v>
      </c>
      <c r="L20">
        <v>228285</v>
      </c>
      <c r="M20">
        <v>1022965</v>
      </c>
      <c r="N20">
        <v>500096</v>
      </c>
      <c r="O20">
        <v>3395572</v>
      </c>
      <c r="P20">
        <v>3362982</v>
      </c>
      <c r="Q20">
        <v>6347313</v>
      </c>
      <c r="R20">
        <v>625935</v>
      </c>
      <c r="S20">
        <v>1679565</v>
      </c>
      <c r="T20">
        <v>1229615</v>
      </c>
      <c r="U20">
        <v>6335630</v>
      </c>
      <c r="V20">
        <v>3756490</v>
      </c>
      <c r="W20">
        <v>814</v>
      </c>
      <c r="X20">
        <v>842</v>
      </c>
      <c r="Y20">
        <v>1539326</v>
      </c>
      <c r="Z20">
        <v>1791</v>
      </c>
      <c r="AA20">
        <v>1401</v>
      </c>
      <c r="AB20">
        <v>1508</v>
      </c>
      <c r="AC20">
        <v>2110497</v>
      </c>
      <c r="AD20">
        <v>1774</v>
      </c>
    </row>
    <row r="21" spans="1:30" x14ac:dyDescent="0.4">
      <c r="A21" s="1" t="s">
        <v>30</v>
      </c>
      <c r="B21" s="1" t="s">
        <v>31</v>
      </c>
      <c r="C21">
        <v>4919</v>
      </c>
      <c r="D21">
        <v>5152</v>
      </c>
      <c r="E21">
        <v>4093483</v>
      </c>
      <c r="F21">
        <v>9327</v>
      </c>
      <c r="G21">
        <v>3820</v>
      </c>
      <c r="H21">
        <v>3728</v>
      </c>
      <c r="I21">
        <v>2462031</v>
      </c>
      <c r="J21">
        <v>698</v>
      </c>
      <c r="K21">
        <v>277374</v>
      </c>
      <c r="L21">
        <v>267113</v>
      </c>
      <c r="M21">
        <v>1089222</v>
      </c>
      <c r="N21">
        <v>511764</v>
      </c>
      <c r="O21">
        <v>3262977</v>
      </c>
      <c r="P21">
        <v>3228779</v>
      </c>
      <c r="Q21">
        <v>6235581</v>
      </c>
      <c r="R21">
        <v>571922</v>
      </c>
      <c r="S21">
        <v>1827630</v>
      </c>
      <c r="T21">
        <v>1219421</v>
      </c>
      <c r="U21">
        <v>7405362</v>
      </c>
      <c r="V21">
        <v>4040196</v>
      </c>
      <c r="W21">
        <v>830</v>
      </c>
      <c r="X21">
        <v>909</v>
      </c>
      <c r="Y21">
        <v>1700687</v>
      </c>
      <c r="Z21">
        <v>1760</v>
      </c>
      <c r="AA21">
        <v>1590</v>
      </c>
      <c r="AB21">
        <v>1625</v>
      </c>
      <c r="AC21">
        <v>2273115</v>
      </c>
      <c r="AD21">
        <v>1769</v>
      </c>
    </row>
    <row r="22" spans="1:30" x14ac:dyDescent="0.4">
      <c r="A22" s="1" t="s">
        <v>32</v>
      </c>
      <c r="B22" s="1" t="s">
        <v>33</v>
      </c>
      <c r="C22">
        <v>4188</v>
      </c>
      <c r="D22">
        <v>4467</v>
      </c>
      <c r="E22">
        <v>3251314</v>
      </c>
      <c r="F22">
        <v>9041</v>
      </c>
      <c r="G22">
        <v>2962</v>
      </c>
      <c r="H22">
        <v>2638</v>
      </c>
      <c r="I22">
        <v>1686683</v>
      </c>
      <c r="J22">
        <v>864</v>
      </c>
      <c r="K22">
        <v>248156</v>
      </c>
      <c r="L22">
        <v>271170</v>
      </c>
      <c r="M22">
        <v>1021414</v>
      </c>
      <c r="N22">
        <v>490228</v>
      </c>
      <c r="O22">
        <v>3198546</v>
      </c>
      <c r="P22">
        <v>2955134</v>
      </c>
      <c r="Q22">
        <v>6039692</v>
      </c>
      <c r="R22">
        <v>727896</v>
      </c>
      <c r="S22">
        <v>1543871</v>
      </c>
      <c r="T22">
        <v>1008942</v>
      </c>
      <c r="U22">
        <v>5509682</v>
      </c>
      <c r="V22">
        <v>4384933</v>
      </c>
      <c r="W22">
        <v>776</v>
      </c>
      <c r="X22">
        <v>877</v>
      </c>
      <c r="Y22">
        <v>1558524</v>
      </c>
      <c r="Z22">
        <v>1726</v>
      </c>
      <c r="AA22">
        <v>1455</v>
      </c>
      <c r="AB22">
        <v>1528</v>
      </c>
      <c r="AC22">
        <v>2169575</v>
      </c>
      <c r="AD22">
        <v>1732</v>
      </c>
    </row>
    <row r="23" spans="1:30" x14ac:dyDescent="0.4">
      <c r="A23" s="1" t="s">
        <v>34</v>
      </c>
      <c r="B23" s="1" t="s">
        <v>35</v>
      </c>
      <c r="C23">
        <v>4357</v>
      </c>
      <c r="D23">
        <v>4899</v>
      </c>
      <c r="E23">
        <v>3838324</v>
      </c>
      <c r="F23">
        <v>8500</v>
      </c>
      <c r="G23">
        <v>3304</v>
      </c>
      <c r="H23">
        <v>3076</v>
      </c>
      <c r="I23">
        <v>1898880</v>
      </c>
      <c r="J23">
        <v>869</v>
      </c>
      <c r="K23">
        <v>293643</v>
      </c>
      <c r="L23">
        <v>294450</v>
      </c>
      <c r="M23">
        <v>940390</v>
      </c>
      <c r="N23">
        <v>490403</v>
      </c>
      <c r="O23">
        <v>3065706</v>
      </c>
      <c r="P23">
        <v>3104387</v>
      </c>
      <c r="Q23">
        <v>6275781</v>
      </c>
      <c r="R23">
        <v>649232</v>
      </c>
      <c r="S23">
        <v>1377799</v>
      </c>
      <c r="T23">
        <v>1195424</v>
      </c>
      <c r="U23">
        <v>6602274</v>
      </c>
      <c r="V23">
        <v>4272953</v>
      </c>
      <c r="W23">
        <v>751</v>
      </c>
      <c r="X23">
        <v>817</v>
      </c>
      <c r="Y23">
        <v>1486151</v>
      </c>
      <c r="Z23">
        <v>1721</v>
      </c>
      <c r="AA23">
        <v>1429</v>
      </c>
      <c r="AB23">
        <v>1538</v>
      </c>
      <c r="AC23">
        <v>2174111</v>
      </c>
      <c r="AD23">
        <v>1648</v>
      </c>
    </row>
    <row r="24" spans="1:30" x14ac:dyDescent="0.4">
      <c r="A24" s="1" t="s">
        <v>36</v>
      </c>
      <c r="B24" s="1" t="s">
        <v>37</v>
      </c>
      <c r="C24">
        <v>3830</v>
      </c>
      <c r="D24">
        <v>3120</v>
      </c>
      <c r="E24">
        <v>2169849</v>
      </c>
      <c r="F24">
        <v>9206</v>
      </c>
      <c r="G24">
        <v>2667</v>
      </c>
      <c r="H24">
        <v>2138</v>
      </c>
      <c r="I24">
        <v>1361730</v>
      </c>
      <c r="J24">
        <v>1119</v>
      </c>
      <c r="K24">
        <v>216552</v>
      </c>
      <c r="L24">
        <v>233876</v>
      </c>
      <c r="M24">
        <v>981356</v>
      </c>
      <c r="N24">
        <v>478664</v>
      </c>
      <c r="O24">
        <v>2437713</v>
      </c>
      <c r="P24">
        <v>2335986</v>
      </c>
      <c r="Q24">
        <v>4987079</v>
      </c>
      <c r="R24">
        <v>692141</v>
      </c>
      <c r="S24">
        <v>1043449</v>
      </c>
      <c r="T24">
        <v>800311</v>
      </c>
      <c r="U24">
        <v>4421516</v>
      </c>
      <c r="V24">
        <v>4291534</v>
      </c>
      <c r="W24">
        <v>710</v>
      </c>
      <c r="X24">
        <v>800</v>
      </c>
      <c r="Y24">
        <v>1505724</v>
      </c>
      <c r="Z24">
        <v>1712</v>
      </c>
      <c r="AA24">
        <v>1390</v>
      </c>
      <c r="AB24">
        <v>1346</v>
      </c>
      <c r="AC24">
        <v>1941413</v>
      </c>
      <c r="AD24">
        <v>1723</v>
      </c>
    </row>
    <row r="25" spans="1:30" x14ac:dyDescent="0.4">
      <c r="A25" s="1" t="s">
        <v>38</v>
      </c>
      <c r="B25" s="1" t="s">
        <v>39</v>
      </c>
      <c r="C25">
        <v>3866</v>
      </c>
      <c r="D25">
        <v>4659</v>
      </c>
      <c r="E25">
        <v>3874022</v>
      </c>
      <c r="F25">
        <v>8411</v>
      </c>
      <c r="G25">
        <v>2856</v>
      </c>
      <c r="H25">
        <v>2932</v>
      </c>
      <c r="I25">
        <v>1747976</v>
      </c>
      <c r="J25">
        <v>887</v>
      </c>
      <c r="K25">
        <v>296006</v>
      </c>
      <c r="L25">
        <v>292176</v>
      </c>
      <c r="M25">
        <v>1050457</v>
      </c>
      <c r="N25">
        <v>484416</v>
      </c>
      <c r="O25">
        <v>2919203</v>
      </c>
      <c r="P25">
        <v>2933946</v>
      </c>
      <c r="Q25">
        <v>5382448</v>
      </c>
      <c r="R25">
        <v>631604</v>
      </c>
      <c r="S25">
        <v>1069081</v>
      </c>
      <c r="T25">
        <v>1099810</v>
      </c>
      <c r="U25">
        <v>5218834</v>
      </c>
      <c r="V25">
        <v>3969149</v>
      </c>
      <c r="W25">
        <v>731</v>
      </c>
      <c r="X25">
        <v>810</v>
      </c>
      <c r="Y25">
        <v>1479465</v>
      </c>
      <c r="Z25">
        <v>1741</v>
      </c>
      <c r="AA25">
        <v>1425</v>
      </c>
      <c r="AB25">
        <v>1425</v>
      </c>
      <c r="AC25">
        <v>2088247</v>
      </c>
      <c r="AD25">
        <v>1778</v>
      </c>
    </row>
    <row r="26" spans="1:30" x14ac:dyDescent="0.4">
      <c r="A26" s="1" t="s">
        <v>40</v>
      </c>
      <c r="B26" s="1" t="s">
        <v>41</v>
      </c>
      <c r="C26">
        <v>3953</v>
      </c>
      <c r="D26">
        <v>4693</v>
      </c>
      <c r="E26">
        <v>3516095</v>
      </c>
      <c r="F26">
        <v>7666</v>
      </c>
      <c r="G26">
        <v>3692</v>
      </c>
      <c r="H26">
        <v>3568</v>
      </c>
      <c r="I26">
        <v>2198115</v>
      </c>
      <c r="J26">
        <v>789</v>
      </c>
      <c r="K26">
        <v>296561</v>
      </c>
      <c r="L26">
        <v>284281</v>
      </c>
      <c r="M26">
        <v>1069469</v>
      </c>
      <c r="N26">
        <v>498999</v>
      </c>
      <c r="O26">
        <v>3075804</v>
      </c>
      <c r="P26">
        <v>3066638</v>
      </c>
      <c r="Q26">
        <v>5968964</v>
      </c>
      <c r="R26">
        <v>587016</v>
      </c>
      <c r="S26">
        <v>1220243</v>
      </c>
      <c r="T26">
        <v>1830550</v>
      </c>
      <c r="U26">
        <v>9140572</v>
      </c>
      <c r="V26">
        <v>3225936</v>
      </c>
      <c r="W26">
        <v>745</v>
      </c>
      <c r="X26">
        <v>821</v>
      </c>
      <c r="Y26">
        <v>1520351</v>
      </c>
      <c r="Z26">
        <v>1761</v>
      </c>
      <c r="AA26">
        <v>1520</v>
      </c>
      <c r="AB26">
        <v>1532</v>
      </c>
      <c r="AC26">
        <v>2264436</v>
      </c>
      <c r="AD26">
        <v>1802</v>
      </c>
    </row>
    <row r="27" spans="1:30" x14ac:dyDescent="0.4">
      <c r="A27" s="1" t="s">
        <v>42</v>
      </c>
      <c r="B27" s="1" t="s">
        <v>43</v>
      </c>
      <c r="C27">
        <v>4035</v>
      </c>
      <c r="D27">
        <v>3742</v>
      </c>
      <c r="E27">
        <v>2899227</v>
      </c>
      <c r="F27">
        <v>7954</v>
      </c>
      <c r="G27">
        <v>1553</v>
      </c>
      <c r="H27">
        <v>1354</v>
      </c>
      <c r="I27">
        <v>776789</v>
      </c>
      <c r="J27">
        <v>677</v>
      </c>
      <c r="K27">
        <v>296356</v>
      </c>
      <c r="L27">
        <v>290480</v>
      </c>
      <c r="M27">
        <v>1142919</v>
      </c>
      <c r="N27">
        <v>501657</v>
      </c>
      <c r="O27">
        <v>2679403</v>
      </c>
      <c r="P27">
        <v>2785854</v>
      </c>
      <c r="Q27">
        <v>5849623</v>
      </c>
      <c r="R27">
        <v>413551</v>
      </c>
      <c r="S27">
        <v>1471149</v>
      </c>
      <c r="T27">
        <v>1114868</v>
      </c>
      <c r="U27">
        <v>6346205</v>
      </c>
      <c r="V27">
        <v>3432688</v>
      </c>
      <c r="W27">
        <v>790</v>
      </c>
      <c r="X27">
        <v>820</v>
      </c>
      <c r="Y27">
        <v>1496098</v>
      </c>
      <c r="Z27">
        <v>1825</v>
      </c>
      <c r="AA27">
        <v>1400</v>
      </c>
      <c r="AB27">
        <v>1343</v>
      </c>
      <c r="AC27">
        <v>1905787</v>
      </c>
      <c r="AD27">
        <v>1921</v>
      </c>
    </row>
    <row r="28" spans="1:30" x14ac:dyDescent="0.4">
      <c r="A28" s="1" t="s">
        <v>44</v>
      </c>
      <c r="B28" s="1" t="s">
        <v>45</v>
      </c>
      <c r="C28">
        <v>3217</v>
      </c>
      <c r="D28">
        <v>3603</v>
      </c>
      <c r="E28">
        <v>2839451</v>
      </c>
      <c r="F28">
        <v>7566</v>
      </c>
      <c r="G28">
        <v>3211</v>
      </c>
      <c r="H28">
        <v>2669</v>
      </c>
      <c r="I28">
        <v>1522496</v>
      </c>
      <c r="J28">
        <v>926</v>
      </c>
      <c r="K28">
        <v>261982</v>
      </c>
      <c r="L28">
        <v>257996</v>
      </c>
      <c r="M28">
        <v>1033467</v>
      </c>
      <c r="N28">
        <v>505550</v>
      </c>
      <c r="O28">
        <v>2461214</v>
      </c>
      <c r="P28">
        <v>2399274</v>
      </c>
      <c r="Q28">
        <v>5025193</v>
      </c>
      <c r="R28">
        <v>419645</v>
      </c>
      <c r="S28">
        <v>1541450</v>
      </c>
      <c r="T28">
        <v>1014728</v>
      </c>
      <c r="U28">
        <v>5550133</v>
      </c>
      <c r="V28">
        <v>3703990</v>
      </c>
      <c r="W28">
        <v>723</v>
      </c>
      <c r="X28">
        <v>874</v>
      </c>
      <c r="Y28">
        <v>1567464</v>
      </c>
      <c r="Z28">
        <v>1783</v>
      </c>
      <c r="AA28">
        <v>1269</v>
      </c>
      <c r="AB28">
        <v>1437</v>
      </c>
      <c r="AC28">
        <v>2016695</v>
      </c>
      <c r="AD28">
        <v>1778</v>
      </c>
    </row>
    <row r="29" spans="1:30" x14ac:dyDescent="0.4">
      <c r="A29" s="1" t="s">
        <v>46</v>
      </c>
      <c r="B29" s="1" t="s">
        <v>47</v>
      </c>
      <c r="C29">
        <v>4374</v>
      </c>
      <c r="D29">
        <v>4291</v>
      </c>
      <c r="E29">
        <v>3218722</v>
      </c>
      <c r="F29">
        <v>7648</v>
      </c>
      <c r="G29">
        <v>1740</v>
      </c>
      <c r="H29">
        <v>1475</v>
      </c>
      <c r="I29">
        <v>785100</v>
      </c>
      <c r="J29">
        <v>928</v>
      </c>
      <c r="K29">
        <v>275044</v>
      </c>
      <c r="L29">
        <v>278663</v>
      </c>
      <c r="M29">
        <v>1053816</v>
      </c>
      <c r="N29">
        <v>501755</v>
      </c>
      <c r="O29">
        <v>2703246</v>
      </c>
      <c r="P29">
        <v>2672565</v>
      </c>
      <c r="Q29">
        <v>5464054</v>
      </c>
      <c r="R29">
        <v>394653</v>
      </c>
      <c r="S29">
        <v>1440053</v>
      </c>
      <c r="T29">
        <v>1137049</v>
      </c>
      <c r="U29">
        <v>6190464</v>
      </c>
      <c r="V29">
        <v>3596699</v>
      </c>
      <c r="W29">
        <v>794</v>
      </c>
      <c r="X29">
        <v>869</v>
      </c>
      <c r="Y29">
        <v>1572183</v>
      </c>
      <c r="Z29">
        <v>1805</v>
      </c>
      <c r="AA29">
        <v>1422</v>
      </c>
      <c r="AB29">
        <v>1442</v>
      </c>
      <c r="AC29">
        <v>2078366</v>
      </c>
      <c r="AD29">
        <v>1786</v>
      </c>
    </row>
    <row r="30" spans="1:30" x14ac:dyDescent="0.4">
      <c r="A30" s="1" t="s">
        <v>48</v>
      </c>
      <c r="B30" s="1" t="s">
        <v>49</v>
      </c>
      <c r="C30">
        <v>4529</v>
      </c>
      <c r="D30">
        <v>4635</v>
      </c>
      <c r="E30">
        <v>3718746</v>
      </c>
      <c r="F30">
        <v>7542</v>
      </c>
      <c r="G30">
        <v>2772</v>
      </c>
      <c r="H30">
        <v>2737</v>
      </c>
      <c r="I30">
        <v>1660182</v>
      </c>
      <c r="J30">
        <v>762</v>
      </c>
      <c r="K30">
        <v>261691</v>
      </c>
      <c r="L30">
        <v>261969</v>
      </c>
      <c r="M30">
        <v>1023843</v>
      </c>
      <c r="N30">
        <v>501338</v>
      </c>
      <c r="O30">
        <v>2751260</v>
      </c>
      <c r="P30">
        <v>2523188</v>
      </c>
      <c r="Q30">
        <v>5244495</v>
      </c>
      <c r="R30">
        <v>553941</v>
      </c>
      <c r="S30">
        <v>1548084</v>
      </c>
      <c r="T30">
        <v>1016368</v>
      </c>
      <c r="U30">
        <v>5340245</v>
      </c>
      <c r="V30">
        <v>3860288</v>
      </c>
      <c r="W30">
        <v>835</v>
      </c>
      <c r="X30">
        <v>913</v>
      </c>
      <c r="Y30">
        <v>1665583</v>
      </c>
      <c r="Z30">
        <v>1817</v>
      </c>
      <c r="AA30">
        <v>1451</v>
      </c>
      <c r="AB30">
        <v>1556</v>
      </c>
      <c r="AC30">
        <v>2257138</v>
      </c>
      <c r="AD30">
        <v>1740</v>
      </c>
    </row>
    <row r="31" spans="1:30" x14ac:dyDescent="0.4">
      <c r="A31" s="1" t="s">
        <v>50</v>
      </c>
      <c r="B31" s="1" t="s">
        <v>51</v>
      </c>
      <c r="C31">
        <v>3876</v>
      </c>
      <c r="D31">
        <v>4591</v>
      </c>
      <c r="E31">
        <v>3624881</v>
      </c>
      <c r="F31">
        <v>6827</v>
      </c>
      <c r="G31">
        <v>3038</v>
      </c>
      <c r="H31">
        <v>2984</v>
      </c>
      <c r="I31">
        <v>1741300</v>
      </c>
      <c r="J31">
        <v>660</v>
      </c>
      <c r="K31">
        <v>248605</v>
      </c>
      <c r="L31">
        <v>260145</v>
      </c>
      <c r="M31">
        <v>1036549</v>
      </c>
      <c r="N31">
        <v>490179</v>
      </c>
      <c r="O31">
        <v>2450820</v>
      </c>
      <c r="P31">
        <v>2437983</v>
      </c>
      <c r="Q31">
        <v>4688064</v>
      </c>
      <c r="R31">
        <v>482652</v>
      </c>
      <c r="S31">
        <v>1576889</v>
      </c>
      <c r="T31">
        <v>1076689</v>
      </c>
      <c r="U31">
        <v>5943458</v>
      </c>
      <c r="V31">
        <v>4108135</v>
      </c>
      <c r="W31">
        <v>623</v>
      </c>
      <c r="X31">
        <v>745</v>
      </c>
      <c r="Y31">
        <v>1379552</v>
      </c>
      <c r="Z31">
        <v>1773</v>
      </c>
      <c r="AA31">
        <v>1225</v>
      </c>
      <c r="AB31">
        <v>1357</v>
      </c>
      <c r="AC31">
        <v>1956293</v>
      </c>
      <c r="AD31">
        <v>1635</v>
      </c>
    </row>
    <row r="32" spans="1:30" x14ac:dyDescent="0.4">
      <c r="A32" s="1" t="s">
        <v>52</v>
      </c>
      <c r="B32" s="1" t="s">
        <v>53</v>
      </c>
      <c r="C32">
        <v>3539</v>
      </c>
      <c r="D32">
        <v>3789</v>
      </c>
      <c r="E32">
        <v>3049035</v>
      </c>
      <c r="F32">
        <v>6575</v>
      </c>
      <c r="G32">
        <v>2397</v>
      </c>
      <c r="H32">
        <v>2089</v>
      </c>
      <c r="I32">
        <v>1322490</v>
      </c>
      <c r="J32">
        <v>808</v>
      </c>
      <c r="K32">
        <v>228483</v>
      </c>
      <c r="L32">
        <v>234595</v>
      </c>
      <c r="M32">
        <v>924324</v>
      </c>
      <c r="N32">
        <v>484907</v>
      </c>
      <c r="O32">
        <v>2575318</v>
      </c>
      <c r="P32">
        <v>2538631</v>
      </c>
      <c r="Q32">
        <v>4922462</v>
      </c>
      <c r="R32">
        <v>457097</v>
      </c>
      <c r="S32">
        <v>1161773</v>
      </c>
      <c r="T32">
        <v>1051921</v>
      </c>
      <c r="U32">
        <v>5699318</v>
      </c>
      <c r="V32">
        <v>4005423</v>
      </c>
      <c r="W32">
        <v>812</v>
      </c>
      <c r="X32">
        <v>850</v>
      </c>
      <c r="Y32">
        <v>1574812</v>
      </c>
      <c r="Z32">
        <v>1811</v>
      </c>
      <c r="AA32">
        <v>1484</v>
      </c>
      <c r="AB32">
        <v>1524</v>
      </c>
      <c r="AC32">
        <v>2256093</v>
      </c>
      <c r="AD32">
        <v>1639</v>
      </c>
    </row>
    <row r="33" spans="1:30" x14ac:dyDescent="0.4">
      <c r="A33" s="1" t="s">
        <v>54</v>
      </c>
      <c r="B33" s="1" t="s">
        <v>55</v>
      </c>
      <c r="C33">
        <v>5295</v>
      </c>
      <c r="D33">
        <v>4296</v>
      </c>
      <c r="E33">
        <v>3255007</v>
      </c>
      <c r="F33">
        <v>7548</v>
      </c>
      <c r="G33">
        <v>2513</v>
      </c>
      <c r="H33">
        <v>2160</v>
      </c>
      <c r="I33">
        <v>1283764</v>
      </c>
      <c r="J33">
        <v>1052</v>
      </c>
      <c r="K33">
        <v>306757</v>
      </c>
      <c r="L33">
        <v>280951</v>
      </c>
      <c r="M33">
        <v>1039982</v>
      </c>
      <c r="N33">
        <v>513118</v>
      </c>
      <c r="O33">
        <v>2783912</v>
      </c>
      <c r="P33">
        <v>2697853</v>
      </c>
      <c r="Q33">
        <v>5236296</v>
      </c>
      <c r="R33">
        <v>496828</v>
      </c>
      <c r="S33">
        <v>1240045</v>
      </c>
      <c r="T33">
        <v>965079</v>
      </c>
      <c r="U33">
        <v>5845694</v>
      </c>
      <c r="V33">
        <v>4166224</v>
      </c>
      <c r="W33">
        <v>888</v>
      </c>
      <c r="X33">
        <v>923</v>
      </c>
      <c r="Y33">
        <v>1691725</v>
      </c>
      <c r="Z33">
        <v>1855</v>
      </c>
      <c r="AA33">
        <v>1683</v>
      </c>
      <c r="AB33">
        <v>1625</v>
      </c>
      <c r="AC33">
        <v>2342765</v>
      </c>
      <c r="AD33">
        <v>1738</v>
      </c>
    </row>
    <row r="34" spans="1:30" x14ac:dyDescent="0.4">
      <c r="A34" s="1" t="s">
        <v>56</v>
      </c>
      <c r="B34" s="1" t="s">
        <v>57</v>
      </c>
      <c r="C34">
        <v>4214</v>
      </c>
      <c r="D34">
        <v>4216</v>
      </c>
      <c r="E34">
        <v>3319308</v>
      </c>
      <c r="F34">
        <v>7540</v>
      </c>
      <c r="G34">
        <v>2756</v>
      </c>
      <c r="H34">
        <v>2973</v>
      </c>
      <c r="I34">
        <v>1875691</v>
      </c>
      <c r="J34">
        <v>733</v>
      </c>
      <c r="K34">
        <v>296187</v>
      </c>
      <c r="L34">
        <v>306832</v>
      </c>
      <c r="M34">
        <v>1034131</v>
      </c>
      <c r="N34">
        <v>502111</v>
      </c>
      <c r="O34">
        <v>2714137</v>
      </c>
      <c r="P34">
        <v>2520812</v>
      </c>
      <c r="Q34">
        <v>5382975</v>
      </c>
      <c r="R34">
        <v>612935</v>
      </c>
      <c r="S34">
        <v>880375</v>
      </c>
      <c r="T34">
        <v>899050</v>
      </c>
      <c r="U34">
        <v>5480993</v>
      </c>
      <c r="V34">
        <v>3989221</v>
      </c>
      <c r="W34">
        <v>794</v>
      </c>
      <c r="X34">
        <v>863</v>
      </c>
      <c r="Y34">
        <v>1530290</v>
      </c>
      <c r="Z34">
        <v>1848</v>
      </c>
      <c r="AA34">
        <v>1454</v>
      </c>
      <c r="AB34">
        <v>1445</v>
      </c>
      <c r="AC34">
        <v>2105611</v>
      </c>
      <c r="AD34">
        <v>1781</v>
      </c>
    </row>
    <row r="35" spans="1:30" x14ac:dyDescent="0.4">
      <c r="A35" s="1" t="s">
        <v>58</v>
      </c>
      <c r="B35" s="1" t="s">
        <v>59</v>
      </c>
      <c r="C35">
        <v>4629</v>
      </c>
      <c r="D35">
        <v>4583</v>
      </c>
      <c r="E35">
        <v>3303298</v>
      </c>
      <c r="F35">
        <v>7580</v>
      </c>
      <c r="G35">
        <v>3771</v>
      </c>
      <c r="H35">
        <v>3607</v>
      </c>
      <c r="I35">
        <v>2349554</v>
      </c>
      <c r="J35">
        <v>667</v>
      </c>
      <c r="K35">
        <v>289398</v>
      </c>
      <c r="L35">
        <v>283642</v>
      </c>
      <c r="M35">
        <v>983958</v>
      </c>
      <c r="N35">
        <v>509346</v>
      </c>
      <c r="O35">
        <v>2776418</v>
      </c>
      <c r="P35">
        <v>2751195</v>
      </c>
      <c r="Q35">
        <v>6047383</v>
      </c>
      <c r="R35">
        <v>585590</v>
      </c>
      <c r="S35">
        <v>890095</v>
      </c>
      <c r="T35">
        <v>1143751</v>
      </c>
      <c r="U35">
        <v>6102175</v>
      </c>
      <c r="V35">
        <v>3522723</v>
      </c>
      <c r="W35">
        <v>781</v>
      </c>
      <c r="X35">
        <v>845</v>
      </c>
      <c r="Y35">
        <v>1526926</v>
      </c>
      <c r="Z35">
        <v>1821</v>
      </c>
      <c r="AA35">
        <v>1415</v>
      </c>
      <c r="AB35">
        <v>1554</v>
      </c>
      <c r="AC35">
        <v>2309439</v>
      </c>
      <c r="AD35">
        <v>1657</v>
      </c>
    </row>
    <row r="36" spans="1:30" x14ac:dyDescent="0.4">
      <c r="A36" s="1" t="s">
        <v>60</v>
      </c>
      <c r="B36" s="1" t="s">
        <v>61</v>
      </c>
      <c r="C36">
        <v>3398</v>
      </c>
      <c r="D36">
        <v>3117</v>
      </c>
      <c r="E36">
        <v>2273903</v>
      </c>
      <c r="F36">
        <v>7856</v>
      </c>
      <c r="G36">
        <v>3235</v>
      </c>
      <c r="H36">
        <v>2637</v>
      </c>
      <c r="I36">
        <v>1679834</v>
      </c>
      <c r="J36">
        <v>976</v>
      </c>
      <c r="K36">
        <v>253215</v>
      </c>
      <c r="L36">
        <v>265259</v>
      </c>
      <c r="M36">
        <v>951584</v>
      </c>
      <c r="N36">
        <v>497390</v>
      </c>
      <c r="O36">
        <v>2544420</v>
      </c>
      <c r="P36">
        <v>2519745</v>
      </c>
      <c r="Q36">
        <v>4956740</v>
      </c>
      <c r="R36">
        <v>533737</v>
      </c>
      <c r="S36">
        <v>1115638</v>
      </c>
      <c r="T36">
        <v>923847</v>
      </c>
      <c r="U36">
        <v>5047829</v>
      </c>
      <c r="V36">
        <v>3519966</v>
      </c>
      <c r="W36">
        <v>744</v>
      </c>
      <c r="X36">
        <v>802</v>
      </c>
      <c r="Y36">
        <v>1543785</v>
      </c>
      <c r="Z36">
        <v>1834</v>
      </c>
      <c r="AA36">
        <v>1375</v>
      </c>
      <c r="AB36">
        <v>1405</v>
      </c>
      <c r="AC36">
        <v>2096253</v>
      </c>
      <c r="AD36">
        <v>1675</v>
      </c>
    </row>
    <row r="37" spans="1:30" x14ac:dyDescent="0.4">
      <c r="A37" s="1" t="s">
        <v>62</v>
      </c>
      <c r="B37" s="1" t="s">
        <v>63</v>
      </c>
      <c r="C37">
        <v>3280</v>
      </c>
      <c r="D37">
        <v>3541</v>
      </c>
      <c r="E37">
        <v>2932047</v>
      </c>
      <c r="F37">
        <v>7589</v>
      </c>
      <c r="G37">
        <v>4509</v>
      </c>
      <c r="H37">
        <v>4194</v>
      </c>
      <c r="I37">
        <v>2647791</v>
      </c>
      <c r="J37">
        <v>1139</v>
      </c>
      <c r="K37">
        <v>286457</v>
      </c>
      <c r="L37">
        <v>271854</v>
      </c>
      <c r="M37">
        <v>887020</v>
      </c>
      <c r="N37">
        <v>514583</v>
      </c>
      <c r="O37">
        <v>2932649</v>
      </c>
      <c r="P37">
        <v>2932976</v>
      </c>
      <c r="Q37">
        <v>5499752</v>
      </c>
      <c r="R37">
        <v>452049</v>
      </c>
      <c r="S37">
        <v>1381869</v>
      </c>
      <c r="T37">
        <v>1002738</v>
      </c>
      <c r="U37">
        <v>5900891</v>
      </c>
      <c r="V37">
        <v>3551333</v>
      </c>
      <c r="W37">
        <v>788</v>
      </c>
      <c r="X37">
        <v>841</v>
      </c>
      <c r="Y37">
        <v>1560688</v>
      </c>
      <c r="Z37">
        <v>1842</v>
      </c>
      <c r="AA37">
        <v>1391</v>
      </c>
      <c r="AB37">
        <v>1475</v>
      </c>
      <c r="AC37">
        <v>2188820</v>
      </c>
      <c r="AD37">
        <v>1635</v>
      </c>
    </row>
    <row r="38" spans="1:30" x14ac:dyDescent="0.4">
      <c r="A38" s="1" t="s">
        <v>64</v>
      </c>
      <c r="B38" s="1" t="s">
        <v>65</v>
      </c>
      <c r="C38">
        <v>4021</v>
      </c>
      <c r="D38">
        <v>4615</v>
      </c>
      <c r="E38">
        <v>3428092</v>
      </c>
      <c r="F38">
        <v>6997</v>
      </c>
      <c r="G38">
        <v>3025</v>
      </c>
      <c r="H38">
        <v>3062</v>
      </c>
      <c r="I38">
        <v>1895608</v>
      </c>
      <c r="J38">
        <v>898</v>
      </c>
      <c r="K38">
        <v>287596</v>
      </c>
      <c r="L38">
        <v>269699</v>
      </c>
      <c r="M38">
        <v>999924</v>
      </c>
      <c r="N38">
        <v>531832</v>
      </c>
      <c r="O38">
        <v>2923460</v>
      </c>
      <c r="P38">
        <v>2853174</v>
      </c>
      <c r="Q38">
        <v>5603725</v>
      </c>
      <c r="R38">
        <v>458019</v>
      </c>
      <c r="S38">
        <v>1386452</v>
      </c>
      <c r="T38">
        <v>1486217</v>
      </c>
      <c r="U38">
        <v>7755270</v>
      </c>
      <c r="V38">
        <v>3293547</v>
      </c>
      <c r="W38">
        <v>830</v>
      </c>
      <c r="X38">
        <v>889</v>
      </c>
      <c r="Y38">
        <v>1677949</v>
      </c>
      <c r="Z38">
        <v>1855</v>
      </c>
      <c r="AA38">
        <v>1479</v>
      </c>
      <c r="AB38">
        <v>1531</v>
      </c>
      <c r="AC38">
        <v>2324075</v>
      </c>
      <c r="AD38">
        <v>1641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AF52A-AA22-4195-85A3-5EB99E8F7F8B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3005</v>
      </c>
      <c r="D3" t="s">
        <v>3005</v>
      </c>
      <c r="E3" t="s">
        <v>3005</v>
      </c>
      <c r="F3" t="s">
        <v>3005</v>
      </c>
      <c r="G3" t="s">
        <v>3007</v>
      </c>
      <c r="H3" t="s">
        <v>3007</v>
      </c>
      <c r="I3" t="s">
        <v>3007</v>
      </c>
      <c r="J3" t="s">
        <v>3007</v>
      </c>
      <c r="K3" t="s">
        <v>3009</v>
      </c>
      <c r="L3" t="s">
        <v>3009</v>
      </c>
      <c r="M3" t="s">
        <v>3009</v>
      </c>
      <c r="N3" t="s">
        <v>3009</v>
      </c>
      <c r="O3" t="s">
        <v>3011</v>
      </c>
      <c r="P3" t="s">
        <v>3011</v>
      </c>
      <c r="Q3" t="s">
        <v>3011</v>
      </c>
      <c r="R3" t="s">
        <v>3011</v>
      </c>
      <c r="S3" t="s">
        <v>3013</v>
      </c>
      <c r="T3" t="s">
        <v>3013</v>
      </c>
      <c r="U3" t="s">
        <v>3013</v>
      </c>
      <c r="V3" t="s">
        <v>3013</v>
      </c>
      <c r="W3" t="s">
        <v>3015</v>
      </c>
      <c r="X3" t="s">
        <v>3015</v>
      </c>
      <c r="Y3" t="s">
        <v>3015</v>
      </c>
      <c r="Z3" t="s">
        <v>3015</v>
      </c>
      <c r="AA3" t="s">
        <v>3017</v>
      </c>
      <c r="AB3" t="s">
        <v>3017</v>
      </c>
      <c r="AC3" t="s">
        <v>3017</v>
      </c>
      <c r="AD3" t="s">
        <v>3017</v>
      </c>
      <c r="AE3" t="s">
        <v>3019</v>
      </c>
      <c r="AF3" t="s">
        <v>3019</v>
      </c>
      <c r="AG3" t="s">
        <v>3019</v>
      </c>
      <c r="AH3" t="s">
        <v>3019</v>
      </c>
    </row>
    <row r="4" spans="1:34" x14ac:dyDescent="0.4">
      <c r="A4" s="1"/>
      <c r="B4" s="2" t="s">
        <v>1</v>
      </c>
      <c r="C4" t="s">
        <v>3006</v>
      </c>
      <c r="D4" t="s">
        <v>3006</v>
      </c>
      <c r="E4" t="s">
        <v>3006</v>
      </c>
      <c r="F4" t="s">
        <v>3006</v>
      </c>
      <c r="G4" t="s">
        <v>3008</v>
      </c>
      <c r="H4" t="s">
        <v>3008</v>
      </c>
      <c r="I4" t="s">
        <v>3008</v>
      </c>
      <c r="J4" t="s">
        <v>3008</v>
      </c>
      <c r="K4" t="s">
        <v>3010</v>
      </c>
      <c r="L4" t="s">
        <v>3010</v>
      </c>
      <c r="M4" t="s">
        <v>3010</v>
      </c>
      <c r="N4" t="s">
        <v>3010</v>
      </c>
      <c r="O4" t="s">
        <v>3012</v>
      </c>
      <c r="P4" t="s">
        <v>3012</v>
      </c>
      <c r="Q4" t="s">
        <v>3012</v>
      </c>
      <c r="R4" t="s">
        <v>3012</v>
      </c>
      <c r="S4" t="s">
        <v>3014</v>
      </c>
      <c r="T4" t="s">
        <v>3014</v>
      </c>
      <c r="U4" t="s">
        <v>3014</v>
      </c>
      <c r="V4" t="s">
        <v>3014</v>
      </c>
      <c r="W4" t="s">
        <v>3016</v>
      </c>
      <c r="X4" t="s">
        <v>3016</v>
      </c>
      <c r="Y4" t="s">
        <v>3016</v>
      </c>
      <c r="Z4" t="s">
        <v>3016</v>
      </c>
      <c r="AA4" t="s">
        <v>3018</v>
      </c>
      <c r="AB4" t="s">
        <v>3018</v>
      </c>
      <c r="AC4" t="s">
        <v>3018</v>
      </c>
      <c r="AD4" t="s">
        <v>3018</v>
      </c>
      <c r="AE4" t="s">
        <v>3020</v>
      </c>
      <c r="AF4" t="s">
        <v>3020</v>
      </c>
      <c r="AG4" t="s">
        <v>3020</v>
      </c>
      <c r="AH4" t="s">
        <v>3020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1247</v>
      </c>
      <c r="X7" t="s">
        <v>1247</v>
      </c>
      <c r="Y7" t="s">
        <v>341</v>
      </c>
      <c r="Z7" t="s">
        <v>1247</v>
      </c>
      <c r="AA7" t="s">
        <v>1247</v>
      </c>
      <c r="AB7" t="s">
        <v>1247</v>
      </c>
      <c r="AC7" t="s">
        <v>341</v>
      </c>
      <c r="AD7" t="s">
        <v>1247</v>
      </c>
      <c r="AE7" t="s">
        <v>1247</v>
      </c>
      <c r="AF7" t="s">
        <v>1247</v>
      </c>
      <c r="AG7" t="s">
        <v>341</v>
      </c>
      <c r="AH7" t="s">
        <v>1247</v>
      </c>
    </row>
    <row r="8" spans="1:3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1247</v>
      </c>
      <c r="X8" t="s">
        <v>1247</v>
      </c>
      <c r="Y8" t="s">
        <v>342</v>
      </c>
      <c r="Z8" t="s">
        <v>1247</v>
      </c>
      <c r="AA8" t="s">
        <v>1247</v>
      </c>
      <c r="AB8" t="s">
        <v>1247</v>
      </c>
      <c r="AC8" t="s">
        <v>342</v>
      </c>
      <c r="AD8" t="s">
        <v>1247</v>
      </c>
      <c r="AE8" t="s">
        <v>1247</v>
      </c>
      <c r="AF8" t="s">
        <v>1247</v>
      </c>
      <c r="AG8" t="s">
        <v>342</v>
      </c>
      <c r="AH8" t="s">
        <v>1247</v>
      </c>
    </row>
    <row r="9" spans="1:34" x14ac:dyDescent="0.4">
      <c r="A9" s="1" t="s">
        <v>6</v>
      </c>
      <c r="B9" s="3" t="s">
        <v>7</v>
      </c>
      <c r="C9">
        <v>454335572</v>
      </c>
      <c r="D9">
        <v>454773791</v>
      </c>
      <c r="E9">
        <v>71792349</v>
      </c>
      <c r="F9">
        <v>25579194</v>
      </c>
      <c r="G9" t="s">
        <v>73</v>
      </c>
      <c r="H9" t="s">
        <v>73</v>
      </c>
      <c r="I9" t="s">
        <v>73</v>
      </c>
      <c r="J9" t="s">
        <v>73</v>
      </c>
      <c r="K9">
        <v>55105066</v>
      </c>
      <c r="L9">
        <v>45909287</v>
      </c>
      <c r="M9">
        <v>15106830</v>
      </c>
      <c r="N9">
        <v>3983894</v>
      </c>
      <c r="O9" t="s">
        <v>73</v>
      </c>
      <c r="P9" t="s">
        <v>73</v>
      </c>
      <c r="Q9" t="s">
        <v>73</v>
      </c>
      <c r="R9" t="s">
        <v>73</v>
      </c>
      <c r="S9">
        <v>68763996</v>
      </c>
      <c r="T9">
        <v>66277034</v>
      </c>
      <c r="U9">
        <v>37552649</v>
      </c>
      <c r="V9">
        <v>3735916</v>
      </c>
      <c r="W9">
        <v>615356</v>
      </c>
      <c r="X9">
        <v>569411</v>
      </c>
      <c r="Y9">
        <v>5538723</v>
      </c>
      <c r="Z9">
        <v>361003</v>
      </c>
      <c r="AA9">
        <v>5179510</v>
      </c>
      <c r="AB9">
        <v>5165791</v>
      </c>
      <c r="AC9">
        <v>32421976</v>
      </c>
      <c r="AD9">
        <v>206004</v>
      </c>
      <c r="AE9">
        <v>6403056</v>
      </c>
      <c r="AF9">
        <v>6395784</v>
      </c>
      <c r="AG9">
        <v>14073874</v>
      </c>
      <c r="AH9">
        <v>145729</v>
      </c>
    </row>
    <row r="10" spans="1:34" x14ac:dyDescent="0.4">
      <c r="A10" s="1" t="s">
        <v>8</v>
      </c>
      <c r="B10" s="3" t="s">
        <v>9</v>
      </c>
      <c r="C10">
        <v>456458502</v>
      </c>
      <c r="D10">
        <v>457210703</v>
      </c>
      <c r="E10">
        <v>74064951</v>
      </c>
      <c r="F10">
        <v>24525872</v>
      </c>
      <c r="G10" t="s">
        <v>73</v>
      </c>
      <c r="H10" t="s">
        <v>73</v>
      </c>
      <c r="I10" t="s">
        <v>73</v>
      </c>
      <c r="J10" t="s">
        <v>73</v>
      </c>
      <c r="K10">
        <v>56493361</v>
      </c>
      <c r="L10">
        <v>45857692</v>
      </c>
      <c r="M10">
        <v>18417470</v>
      </c>
      <c r="N10">
        <v>4319096</v>
      </c>
      <c r="O10" t="s">
        <v>73</v>
      </c>
      <c r="P10" t="s">
        <v>73</v>
      </c>
      <c r="Q10" t="s">
        <v>73</v>
      </c>
      <c r="R10" t="s">
        <v>73</v>
      </c>
      <c r="S10">
        <v>67925225</v>
      </c>
      <c r="T10">
        <v>63103354</v>
      </c>
      <c r="U10">
        <v>41625824</v>
      </c>
      <c r="V10">
        <v>3953387</v>
      </c>
      <c r="W10">
        <v>571869</v>
      </c>
      <c r="X10">
        <v>500994</v>
      </c>
      <c r="Y10">
        <v>5742051</v>
      </c>
      <c r="Z10">
        <v>433245</v>
      </c>
      <c r="AA10">
        <v>5076338</v>
      </c>
      <c r="AB10">
        <v>5091723</v>
      </c>
      <c r="AC10">
        <v>32394310</v>
      </c>
      <c r="AD10">
        <v>190618</v>
      </c>
      <c r="AE10">
        <v>6314236</v>
      </c>
      <c r="AF10">
        <v>6317743</v>
      </c>
      <c r="AG10">
        <v>14038991</v>
      </c>
      <c r="AH10">
        <v>143164</v>
      </c>
    </row>
    <row r="11" spans="1:34" x14ac:dyDescent="0.4">
      <c r="A11" s="1" t="s">
        <v>10</v>
      </c>
      <c r="B11" s="3" t="s">
        <v>11</v>
      </c>
      <c r="C11">
        <v>451324693</v>
      </c>
      <c r="D11">
        <v>450718686</v>
      </c>
      <c r="E11">
        <v>79817857</v>
      </c>
      <c r="F11">
        <v>24808423</v>
      </c>
      <c r="G11" t="s">
        <v>73</v>
      </c>
      <c r="H11" t="s">
        <v>73</v>
      </c>
      <c r="I11" t="s">
        <v>73</v>
      </c>
      <c r="J11" t="s">
        <v>73</v>
      </c>
      <c r="K11">
        <v>46286634</v>
      </c>
      <c r="L11">
        <v>38216681</v>
      </c>
      <c r="M11">
        <v>17464911</v>
      </c>
      <c r="N11">
        <v>5246570</v>
      </c>
      <c r="O11" t="s">
        <v>73</v>
      </c>
      <c r="P11" t="s">
        <v>73</v>
      </c>
      <c r="Q11" t="s">
        <v>73</v>
      </c>
      <c r="R11" t="s">
        <v>73</v>
      </c>
      <c r="S11">
        <v>66056370</v>
      </c>
      <c r="T11">
        <v>62173985</v>
      </c>
      <c r="U11">
        <v>46434432</v>
      </c>
      <c r="V11">
        <v>5546364</v>
      </c>
      <c r="W11">
        <v>534614</v>
      </c>
      <c r="X11">
        <v>443920</v>
      </c>
      <c r="Y11">
        <v>6295314</v>
      </c>
      <c r="Z11">
        <v>520886</v>
      </c>
      <c r="AA11">
        <v>4631838</v>
      </c>
      <c r="AB11">
        <v>4646387</v>
      </c>
      <c r="AC11">
        <v>30459552</v>
      </c>
      <c r="AD11">
        <v>176068</v>
      </c>
      <c r="AE11">
        <v>6269354</v>
      </c>
      <c r="AF11">
        <v>6291357</v>
      </c>
      <c r="AG11">
        <v>14013200</v>
      </c>
      <c r="AH11">
        <v>122380</v>
      </c>
    </row>
    <row r="12" spans="1:34" x14ac:dyDescent="0.4">
      <c r="A12" s="1" t="s">
        <v>12</v>
      </c>
      <c r="B12" s="3" t="s">
        <v>13</v>
      </c>
      <c r="C12">
        <v>428802504</v>
      </c>
      <c r="D12">
        <v>428317223</v>
      </c>
      <c r="E12">
        <v>79276510</v>
      </c>
      <c r="F12">
        <v>24630329</v>
      </c>
      <c r="G12" t="s">
        <v>73</v>
      </c>
      <c r="H12" t="s">
        <v>73</v>
      </c>
      <c r="I12" t="s">
        <v>73</v>
      </c>
      <c r="J12" t="s">
        <v>73</v>
      </c>
      <c r="K12">
        <v>43464992</v>
      </c>
      <c r="L12">
        <v>37070721</v>
      </c>
      <c r="M12">
        <v>16600115</v>
      </c>
      <c r="N12">
        <v>4725745</v>
      </c>
      <c r="O12" t="s">
        <v>73</v>
      </c>
      <c r="P12" t="s">
        <v>73</v>
      </c>
      <c r="Q12" t="s">
        <v>73</v>
      </c>
      <c r="R12" t="s">
        <v>73</v>
      </c>
      <c r="S12">
        <v>62788821</v>
      </c>
      <c r="T12">
        <v>60667625</v>
      </c>
      <c r="U12">
        <v>44209237</v>
      </c>
      <c r="V12">
        <v>5909750</v>
      </c>
      <c r="W12">
        <v>642585</v>
      </c>
      <c r="X12">
        <v>625498</v>
      </c>
      <c r="Y12">
        <v>7896882</v>
      </c>
      <c r="Z12">
        <v>537943</v>
      </c>
      <c r="AA12">
        <v>4143036</v>
      </c>
      <c r="AB12">
        <v>4155272</v>
      </c>
      <c r="AC12">
        <v>28035488</v>
      </c>
      <c r="AD12">
        <v>159882</v>
      </c>
      <c r="AE12">
        <v>5273746</v>
      </c>
      <c r="AF12">
        <v>5279053</v>
      </c>
      <c r="AG12">
        <v>14210489</v>
      </c>
      <c r="AH12">
        <v>135971</v>
      </c>
    </row>
    <row r="13" spans="1:34" x14ac:dyDescent="0.4">
      <c r="A13" s="1" t="s">
        <v>14</v>
      </c>
      <c r="B13" s="3" t="s">
        <v>15</v>
      </c>
      <c r="C13">
        <v>419096357</v>
      </c>
      <c r="D13">
        <v>419284513</v>
      </c>
      <c r="E13">
        <v>79277363</v>
      </c>
      <c r="F13">
        <v>24114749</v>
      </c>
      <c r="G13" t="s">
        <v>73</v>
      </c>
      <c r="H13" t="s">
        <v>73</v>
      </c>
      <c r="I13" t="s">
        <v>73</v>
      </c>
      <c r="J13" t="s">
        <v>73</v>
      </c>
      <c r="K13">
        <v>44615710</v>
      </c>
      <c r="L13">
        <v>37526265</v>
      </c>
      <c r="M13">
        <v>16910710</v>
      </c>
      <c r="N13">
        <v>4410602</v>
      </c>
      <c r="O13" t="s">
        <v>73</v>
      </c>
      <c r="P13" t="s">
        <v>73</v>
      </c>
      <c r="Q13" t="s">
        <v>73</v>
      </c>
      <c r="R13" t="s">
        <v>73</v>
      </c>
      <c r="S13">
        <v>63298358</v>
      </c>
      <c r="T13">
        <v>60989661</v>
      </c>
      <c r="U13">
        <v>44979735</v>
      </c>
      <c r="V13">
        <v>7443229</v>
      </c>
      <c r="W13">
        <v>518422</v>
      </c>
      <c r="X13">
        <v>531927</v>
      </c>
      <c r="Y13">
        <v>7367111</v>
      </c>
      <c r="Z13">
        <v>523539</v>
      </c>
      <c r="AA13">
        <v>3851342</v>
      </c>
      <c r="AB13">
        <v>3847327</v>
      </c>
      <c r="AC13">
        <v>26618626</v>
      </c>
      <c r="AD13">
        <v>163927</v>
      </c>
      <c r="AE13">
        <v>4869119</v>
      </c>
      <c r="AF13">
        <v>4883325</v>
      </c>
      <c r="AG13">
        <v>13624022</v>
      </c>
      <c r="AH13">
        <v>123314</v>
      </c>
    </row>
    <row r="14" spans="1:34" x14ac:dyDescent="0.4">
      <c r="A14" s="1" t="s">
        <v>16</v>
      </c>
      <c r="B14" s="1" t="s">
        <v>17</v>
      </c>
      <c r="C14">
        <v>36847979</v>
      </c>
      <c r="D14">
        <v>34836460</v>
      </c>
      <c r="E14">
        <v>6350149</v>
      </c>
      <c r="F14">
        <v>27065566</v>
      </c>
      <c r="G14" t="s">
        <v>73</v>
      </c>
      <c r="H14" t="s">
        <v>73</v>
      </c>
      <c r="I14" t="s">
        <v>73</v>
      </c>
      <c r="J14" t="s">
        <v>73</v>
      </c>
      <c r="K14">
        <v>3444234</v>
      </c>
      <c r="L14">
        <v>3001998</v>
      </c>
      <c r="M14">
        <v>1335803</v>
      </c>
      <c r="N14">
        <v>5309494</v>
      </c>
      <c r="O14" t="s">
        <v>73</v>
      </c>
      <c r="P14" t="s">
        <v>73</v>
      </c>
      <c r="Q14" t="s">
        <v>73</v>
      </c>
      <c r="R14" t="s">
        <v>73</v>
      </c>
      <c r="S14">
        <v>5435811</v>
      </c>
      <c r="T14">
        <v>4939591</v>
      </c>
      <c r="U14">
        <v>3620678</v>
      </c>
      <c r="V14">
        <v>5867340</v>
      </c>
      <c r="W14">
        <v>54141</v>
      </c>
      <c r="X14">
        <v>42626</v>
      </c>
      <c r="Y14">
        <v>570860</v>
      </c>
      <c r="Z14">
        <v>549330</v>
      </c>
      <c r="AA14">
        <v>359574</v>
      </c>
      <c r="AB14">
        <v>374039</v>
      </c>
      <c r="AC14">
        <v>2540497</v>
      </c>
      <c r="AD14">
        <v>157046</v>
      </c>
      <c r="AE14">
        <v>455142</v>
      </c>
      <c r="AF14">
        <v>527711</v>
      </c>
      <c r="AG14">
        <v>1446981</v>
      </c>
      <c r="AH14">
        <v>87483</v>
      </c>
    </row>
    <row r="15" spans="1:34" x14ac:dyDescent="0.4">
      <c r="A15" s="1" t="s">
        <v>18</v>
      </c>
      <c r="B15" s="1" t="s">
        <v>19</v>
      </c>
      <c r="C15">
        <v>32729354</v>
      </c>
      <c r="D15">
        <v>34662129</v>
      </c>
      <c r="E15">
        <v>6325859</v>
      </c>
      <c r="F15">
        <v>24830095</v>
      </c>
      <c r="G15" t="s">
        <v>73</v>
      </c>
      <c r="H15" t="s">
        <v>73</v>
      </c>
      <c r="I15" t="s">
        <v>73</v>
      </c>
      <c r="J15" t="s">
        <v>73</v>
      </c>
      <c r="K15">
        <v>3344717</v>
      </c>
      <c r="L15">
        <v>2915006</v>
      </c>
      <c r="M15">
        <v>1366522</v>
      </c>
      <c r="N15">
        <v>5482725</v>
      </c>
      <c r="O15" t="s">
        <v>73</v>
      </c>
      <c r="P15" t="s">
        <v>73</v>
      </c>
      <c r="Q15" t="s">
        <v>73</v>
      </c>
      <c r="R15" t="s">
        <v>73</v>
      </c>
      <c r="S15">
        <v>5377424</v>
      </c>
      <c r="T15">
        <v>5130106</v>
      </c>
      <c r="U15">
        <v>3699250</v>
      </c>
      <c r="V15">
        <v>5956963</v>
      </c>
      <c r="W15">
        <v>43345</v>
      </c>
      <c r="X15">
        <v>48362</v>
      </c>
      <c r="Y15">
        <v>625892</v>
      </c>
      <c r="Z15">
        <v>544323</v>
      </c>
      <c r="AA15">
        <v>315841</v>
      </c>
      <c r="AB15">
        <v>308507</v>
      </c>
      <c r="AC15">
        <v>2088704</v>
      </c>
      <c r="AD15">
        <v>164380</v>
      </c>
      <c r="AE15">
        <v>381816</v>
      </c>
      <c r="AF15">
        <v>341648</v>
      </c>
      <c r="AG15">
        <v>829875</v>
      </c>
      <c r="AH15">
        <v>127716</v>
      </c>
    </row>
    <row r="16" spans="1:34" x14ac:dyDescent="0.4">
      <c r="A16" s="1" t="s">
        <v>20</v>
      </c>
      <c r="B16" s="1" t="s">
        <v>21</v>
      </c>
      <c r="C16">
        <v>34618517</v>
      </c>
      <c r="D16">
        <v>34324571</v>
      </c>
      <c r="E16">
        <v>6252738</v>
      </c>
      <c r="F16">
        <v>25104681</v>
      </c>
      <c r="G16" t="s">
        <v>73</v>
      </c>
      <c r="H16" t="s">
        <v>73</v>
      </c>
      <c r="I16" t="s">
        <v>73</v>
      </c>
      <c r="J16" t="s">
        <v>73</v>
      </c>
      <c r="K16">
        <v>3698635</v>
      </c>
      <c r="L16">
        <v>2892575</v>
      </c>
      <c r="M16">
        <v>1282047</v>
      </c>
      <c r="N16">
        <v>5594495</v>
      </c>
      <c r="O16" t="s">
        <v>73</v>
      </c>
      <c r="P16" t="s">
        <v>73</v>
      </c>
      <c r="Q16" t="s">
        <v>73</v>
      </c>
      <c r="R16" t="s">
        <v>73</v>
      </c>
      <c r="S16">
        <v>4877154</v>
      </c>
      <c r="T16">
        <v>4817648</v>
      </c>
      <c r="U16">
        <v>3479868</v>
      </c>
      <c r="V16">
        <v>5758541</v>
      </c>
      <c r="W16">
        <v>46349</v>
      </c>
      <c r="X16">
        <v>45748</v>
      </c>
      <c r="Y16">
        <v>666724</v>
      </c>
      <c r="Z16">
        <v>544917</v>
      </c>
      <c r="AA16">
        <v>334706</v>
      </c>
      <c r="AB16">
        <v>331267</v>
      </c>
      <c r="AC16">
        <v>2225038</v>
      </c>
      <c r="AD16">
        <v>167820</v>
      </c>
      <c r="AE16">
        <v>420387</v>
      </c>
      <c r="AF16">
        <v>417784</v>
      </c>
      <c r="AG16">
        <v>1148332</v>
      </c>
      <c r="AH16">
        <v>130416</v>
      </c>
    </row>
    <row r="17" spans="1:34" x14ac:dyDescent="0.4">
      <c r="A17" s="1" t="s">
        <v>22</v>
      </c>
      <c r="B17" s="1" t="s">
        <v>23</v>
      </c>
      <c r="C17">
        <v>35572575</v>
      </c>
      <c r="D17">
        <v>34015881</v>
      </c>
      <c r="E17">
        <v>6238651</v>
      </c>
      <c r="F17">
        <v>26631136</v>
      </c>
      <c r="G17" t="s">
        <v>73</v>
      </c>
      <c r="H17" t="s">
        <v>73</v>
      </c>
      <c r="I17" t="s">
        <v>73</v>
      </c>
      <c r="J17" t="s">
        <v>73</v>
      </c>
      <c r="K17">
        <v>3084220</v>
      </c>
      <c r="L17">
        <v>2925509</v>
      </c>
      <c r="M17">
        <v>1307439</v>
      </c>
      <c r="N17">
        <v>5350020</v>
      </c>
      <c r="O17" t="s">
        <v>73</v>
      </c>
      <c r="P17" t="s">
        <v>73</v>
      </c>
      <c r="Q17" t="s">
        <v>73</v>
      </c>
      <c r="R17" t="s">
        <v>73</v>
      </c>
      <c r="S17">
        <v>5514599</v>
      </c>
      <c r="T17">
        <v>4908252</v>
      </c>
      <c r="U17">
        <v>3581985</v>
      </c>
      <c r="V17">
        <v>6300180</v>
      </c>
      <c r="W17">
        <v>53194</v>
      </c>
      <c r="X17">
        <v>48136</v>
      </c>
      <c r="Y17">
        <v>622025</v>
      </c>
      <c r="Z17">
        <v>549974</v>
      </c>
      <c r="AA17">
        <v>347019</v>
      </c>
      <c r="AB17">
        <v>343292</v>
      </c>
      <c r="AC17">
        <v>2288685</v>
      </c>
      <c r="AD17">
        <v>171546</v>
      </c>
      <c r="AE17">
        <v>440051</v>
      </c>
      <c r="AF17">
        <v>437553</v>
      </c>
      <c r="AG17">
        <v>1208263</v>
      </c>
      <c r="AH17">
        <v>132979</v>
      </c>
    </row>
    <row r="18" spans="1:34" x14ac:dyDescent="0.4">
      <c r="A18" s="1" t="s">
        <v>24</v>
      </c>
      <c r="B18" s="1" t="s">
        <v>25</v>
      </c>
      <c r="C18">
        <v>34966339</v>
      </c>
      <c r="D18">
        <v>37254290</v>
      </c>
      <c r="E18">
        <v>7026927</v>
      </c>
      <c r="F18">
        <v>24309788</v>
      </c>
      <c r="G18" t="s">
        <v>73</v>
      </c>
      <c r="H18" t="s">
        <v>73</v>
      </c>
      <c r="I18" t="s">
        <v>73</v>
      </c>
      <c r="J18" t="s">
        <v>73</v>
      </c>
      <c r="K18">
        <v>3564916</v>
      </c>
      <c r="L18">
        <v>3096880</v>
      </c>
      <c r="M18">
        <v>1376872</v>
      </c>
      <c r="N18">
        <v>5381436</v>
      </c>
      <c r="O18" t="s">
        <v>73</v>
      </c>
      <c r="P18" t="s">
        <v>73</v>
      </c>
      <c r="Q18" t="s">
        <v>73</v>
      </c>
      <c r="R18" t="s">
        <v>73</v>
      </c>
      <c r="S18">
        <v>5601515</v>
      </c>
      <c r="T18">
        <v>5242922</v>
      </c>
      <c r="U18">
        <v>3811370</v>
      </c>
      <c r="V18">
        <v>6612645</v>
      </c>
      <c r="W18">
        <v>57329</v>
      </c>
      <c r="X18">
        <v>57186</v>
      </c>
      <c r="Y18">
        <v>672656</v>
      </c>
      <c r="Z18">
        <v>550130</v>
      </c>
      <c r="AA18">
        <v>387147</v>
      </c>
      <c r="AB18">
        <v>390193</v>
      </c>
      <c r="AC18">
        <v>2635363</v>
      </c>
      <c r="AD18">
        <v>168501</v>
      </c>
      <c r="AE18">
        <v>493231</v>
      </c>
      <c r="AF18">
        <v>474179</v>
      </c>
      <c r="AG18">
        <v>1291192</v>
      </c>
      <c r="AH18">
        <v>152266</v>
      </c>
    </row>
    <row r="19" spans="1:34" x14ac:dyDescent="0.4">
      <c r="A19" s="1" t="s">
        <v>26</v>
      </c>
      <c r="B19" s="1" t="s">
        <v>27</v>
      </c>
      <c r="C19">
        <v>30320942</v>
      </c>
      <c r="D19">
        <v>31109930</v>
      </c>
      <c r="E19">
        <v>5784641</v>
      </c>
      <c r="F19">
        <v>23493031</v>
      </c>
      <c r="G19" t="s">
        <v>73</v>
      </c>
      <c r="H19" t="s">
        <v>73</v>
      </c>
      <c r="I19" t="s">
        <v>73</v>
      </c>
      <c r="J19" t="s">
        <v>73</v>
      </c>
      <c r="K19">
        <v>3134888</v>
      </c>
      <c r="L19">
        <v>2935215</v>
      </c>
      <c r="M19">
        <v>1284787</v>
      </c>
      <c r="N19">
        <v>4854246</v>
      </c>
      <c r="O19" t="s">
        <v>73</v>
      </c>
      <c r="P19" t="s">
        <v>73</v>
      </c>
      <c r="Q19" t="s">
        <v>73</v>
      </c>
      <c r="R19" t="s">
        <v>73</v>
      </c>
      <c r="S19">
        <v>3977122</v>
      </c>
      <c r="T19">
        <v>4596483</v>
      </c>
      <c r="U19">
        <v>3313530</v>
      </c>
      <c r="V19">
        <v>5801272</v>
      </c>
      <c r="W19">
        <v>54145</v>
      </c>
      <c r="X19">
        <v>69332</v>
      </c>
      <c r="Y19">
        <v>878345</v>
      </c>
      <c r="Z19">
        <v>534942</v>
      </c>
      <c r="AA19">
        <v>333292</v>
      </c>
      <c r="AB19">
        <v>325079</v>
      </c>
      <c r="AC19">
        <v>2143720</v>
      </c>
      <c r="AD19">
        <v>176713</v>
      </c>
      <c r="AE19">
        <v>410953</v>
      </c>
      <c r="AF19">
        <v>379488</v>
      </c>
      <c r="AG19">
        <v>1001761</v>
      </c>
      <c r="AH19">
        <v>183816</v>
      </c>
    </row>
    <row r="20" spans="1:34" x14ac:dyDescent="0.4">
      <c r="A20" s="1" t="s">
        <v>28</v>
      </c>
      <c r="B20" s="1" t="s">
        <v>29</v>
      </c>
      <c r="C20">
        <v>37776256</v>
      </c>
      <c r="D20">
        <v>36295699</v>
      </c>
      <c r="E20">
        <v>6827825</v>
      </c>
      <c r="F20">
        <v>24948324</v>
      </c>
      <c r="G20" t="s">
        <v>73</v>
      </c>
      <c r="H20" t="s">
        <v>73</v>
      </c>
      <c r="I20" t="s">
        <v>73</v>
      </c>
      <c r="J20" t="s">
        <v>73</v>
      </c>
      <c r="K20">
        <v>3243654</v>
      </c>
      <c r="L20">
        <v>3108183</v>
      </c>
      <c r="M20">
        <v>1352621</v>
      </c>
      <c r="N20">
        <v>4305017</v>
      </c>
      <c r="O20" t="s">
        <v>73</v>
      </c>
      <c r="P20" t="s">
        <v>73</v>
      </c>
      <c r="Q20" t="s">
        <v>73</v>
      </c>
      <c r="R20" t="s">
        <v>73</v>
      </c>
      <c r="S20">
        <v>5621608</v>
      </c>
      <c r="T20">
        <v>5095106</v>
      </c>
      <c r="U20">
        <v>3729229</v>
      </c>
      <c r="V20">
        <v>6159527</v>
      </c>
      <c r="W20">
        <v>63952</v>
      </c>
      <c r="X20">
        <v>66360</v>
      </c>
      <c r="Y20">
        <v>879074</v>
      </c>
      <c r="Z20">
        <v>532525</v>
      </c>
      <c r="AA20">
        <v>360155</v>
      </c>
      <c r="AB20">
        <v>369948</v>
      </c>
      <c r="AC20">
        <v>2514541</v>
      </c>
      <c r="AD20">
        <v>166918</v>
      </c>
      <c r="AE20">
        <v>455423</v>
      </c>
      <c r="AF20">
        <v>526984</v>
      </c>
      <c r="AG20">
        <v>1533273</v>
      </c>
      <c r="AH20">
        <v>112379</v>
      </c>
    </row>
    <row r="21" spans="1:34" x14ac:dyDescent="0.4">
      <c r="A21" s="1" t="s">
        <v>30</v>
      </c>
      <c r="B21" s="1" t="s">
        <v>31</v>
      </c>
      <c r="C21">
        <v>40283169</v>
      </c>
      <c r="D21">
        <v>41170831</v>
      </c>
      <c r="E21">
        <v>7819130</v>
      </c>
      <c r="F21">
        <v>24028726</v>
      </c>
      <c r="G21" t="s">
        <v>73</v>
      </c>
      <c r="H21" t="s">
        <v>73</v>
      </c>
      <c r="I21" t="s">
        <v>73</v>
      </c>
      <c r="J21" t="s">
        <v>73</v>
      </c>
      <c r="K21">
        <v>4223743</v>
      </c>
      <c r="L21">
        <v>3316397</v>
      </c>
      <c r="M21">
        <v>1508957</v>
      </c>
      <c r="N21">
        <v>4757147</v>
      </c>
      <c r="O21" t="s">
        <v>73</v>
      </c>
      <c r="P21" t="s">
        <v>73</v>
      </c>
      <c r="Q21" t="s">
        <v>73</v>
      </c>
      <c r="R21" t="s">
        <v>73</v>
      </c>
      <c r="S21">
        <v>5568951</v>
      </c>
      <c r="T21">
        <v>5496387</v>
      </c>
      <c r="U21">
        <v>4028477</v>
      </c>
      <c r="V21">
        <v>6112393</v>
      </c>
      <c r="W21">
        <v>67809</v>
      </c>
      <c r="X21">
        <v>66087</v>
      </c>
      <c r="Y21">
        <v>808901</v>
      </c>
      <c r="Z21">
        <v>534241</v>
      </c>
      <c r="AA21">
        <v>376367</v>
      </c>
      <c r="AB21">
        <v>378340</v>
      </c>
      <c r="AC21">
        <v>2573893</v>
      </c>
      <c r="AD21">
        <v>164945</v>
      </c>
      <c r="AE21">
        <v>433450</v>
      </c>
      <c r="AF21">
        <v>401800</v>
      </c>
      <c r="AG21">
        <v>1041431</v>
      </c>
      <c r="AH21">
        <v>144239</v>
      </c>
    </row>
    <row r="22" spans="1:34" x14ac:dyDescent="0.4">
      <c r="A22" s="1" t="s">
        <v>32</v>
      </c>
      <c r="B22" s="1" t="s">
        <v>33</v>
      </c>
      <c r="C22">
        <v>38325841</v>
      </c>
      <c r="D22">
        <v>38989320</v>
      </c>
      <c r="E22">
        <v>7369337</v>
      </c>
      <c r="F22">
        <v>23334960</v>
      </c>
      <c r="G22" t="s">
        <v>73</v>
      </c>
      <c r="H22" t="s">
        <v>73</v>
      </c>
      <c r="I22" t="s">
        <v>73</v>
      </c>
      <c r="J22" t="s">
        <v>73</v>
      </c>
      <c r="K22">
        <v>4332663</v>
      </c>
      <c r="L22">
        <v>3273088</v>
      </c>
      <c r="M22">
        <v>1460463</v>
      </c>
      <c r="N22">
        <v>5173970</v>
      </c>
      <c r="O22" t="s">
        <v>73</v>
      </c>
      <c r="P22" t="s">
        <v>73</v>
      </c>
      <c r="Q22" t="s">
        <v>73</v>
      </c>
      <c r="R22" t="s">
        <v>73</v>
      </c>
      <c r="S22">
        <v>5568485</v>
      </c>
      <c r="T22">
        <v>5395663</v>
      </c>
      <c r="U22">
        <v>3968739</v>
      </c>
      <c r="V22">
        <v>6196830</v>
      </c>
      <c r="W22">
        <v>57843</v>
      </c>
      <c r="X22">
        <v>60435</v>
      </c>
      <c r="Y22">
        <v>715981</v>
      </c>
      <c r="Z22">
        <v>531601</v>
      </c>
      <c r="AA22">
        <v>345026</v>
      </c>
      <c r="AB22">
        <v>350866</v>
      </c>
      <c r="AC22">
        <v>2364387</v>
      </c>
      <c r="AD22">
        <v>159105</v>
      </c>
      <c r="AE22">
        <v>428245</v>
      </c>
      <c r="AF22">
        <v>453007</v>
      </c>
      <c r="AG22">
        <v>1233164</v>
      </c>
      <c r="AH22">
        <v>119617</v>
      </c>
    </row>
    <row r="23" spans="1:34" x14ac:dyDescent="0.4">
      <c r="A23" s="1" t="s">
        <v>34</v>
      </c>
      <c r="B23" s="1" t="s">
        <v>35</v>
      </c>
      <c r="C23">
        <v>37744932</v>
      </c>
      <c r="D23">
        <v>36421670</v>
      </c>
      <c r="E23">
        <v>6804216</v>
      </c>
      <c r="F23">
        <v>24630329</v>
      </c>
      <c r="G23" t="s">
        <v>73</v>
      </c>
      <c r="H23" t="s">
        <v>73</v>
      </c>
      <c r="I23" t="s">
        <v>73</v>
      </c>
      <c r="J23" t="s">
        <v>73</v>
      </c>
      <c r="K23">
        <v>3469413</v>
      </c>
      <c r="L23">
        <v>3245361</v>
      </c>
      <c r="M23">
        <v>1449725</v>
      </c>
      <c r="N23">
        <v>4725745</v>
      </c>
      <c r="O23" t="s">
        <v>73</v>
      </c>
      <c r="P23" t="s">
        <v>73</v>
      </c>
      <c r="Q23" t="s">
        <v>73</v>
      </c>
      <c r="R23" t="s">
        <v>73</v>
      </c>
      <c r="S23">
        <v>5164137</v>
      </c>
      <c r="T23">
        <v>5288869</v>
      </c>
      <c r="U23">
        <v>3850506</v>
      </c>
      <c r="V23">
        <v>5909750</v>
      </c>
      <c r="W23">
        <v>57562</v>
      </c>
      <c r="X23">
        <v>51273</v>
      </c>
      <c r="Y23">
        <v>577738</v>
      </c>
      <c r="Z23">
        <v>537943</v>
      </c>
      <c r="AA23">
        <v>320856</v>
      </c>
      <c r="AB23">
        <v>316131</v>
      </c>
      <c r="AC23">
        <v>2183969</v>
      </c>
      <c r="AD23">
        <v>159882</v>
      </c>
      <c r="AE23">
        <v>453390</v>
      </c>
      <c r="AF23">
        <v>437130</v>
      </c>
      <c r="AG23">
        <v>1218764</v>
      </c>
      <c r="AH23">
        <v>135971</v>
      </c>
    </row>
    <row r="24" spans="1:34" x14ac:dyDescent="0.4">
      <c r="A24" s="1" t="s">
        <v>36</v>
      </c>
      <c r="B24" s="1" t="s">
        <v>37</v>
      </c>
      <c r="C24">
        <v>34725948</v>
      </c>
      <c r="D24">
        <v>36314052</v>
      </c>
      <c r="E24">
        <v>6824110</v>
      </c>
      <c r="F24">
        <v>23001948</v>
      </c>
      <c r="G24" t="s">
        <v>73</v>
      </c>
      <c r="H24" t="s">
        <v>73</v>
      </c>
      <c r="I24" t="s">
        <v>73</v>
      </c>
      <c r="J24" t="s">
        <v>73</v>
      </c>
      <c r="K24">
        <v>3789882</v>
      </c>
      <c r="L24">
        <v>3245014</v>
      </c>
      <c r="M24">
        <v>1439924</v>
      </c>
      <c r="N24">
        <v>4725668</v>
      </c>
      <c r="O24" t="s">
        <v>73</v>
      </c>
      <c r="P24" t="s">
        <v>73</v>
      </c>
      <c r="Q24" t="s">
        <v>73</v>
      </c>
      <c r="R24" t="s">
        <v>73</v>
      </c>
      <c r="S24">
        <v>5046791</v>
      </c>
      <c r="T24">
        <v>5052652</v>
      </c>
      <c r="U24">
        <v>3629192</v>
      </c>
      <c r="V24">
        <v>5734653</v>
      </c>
      <c r="W24">
        <v>50608</v>
      </c>
      <c r="X24">
        <v>53045</v>
      </c>
      <c r="Y24">
        <v>586883</v>
      </c>
      <c r="Z24">
        <v>535500</v>
      </c>
      <c r="AA24">
        <v>296784</v>
      </c>
      <c r="AB24">
        <v>311082</v>
      </c>
      <c r="AC24">
        <v>2165489</v>
      </c>
      <c r="AD24">
        <v>145584</v>
      </c>
      <c r="AE24">
        <v>408401</v>
      </c>
      <c r="AF24">
        <v>429148</v>
      </c>
      <c r="AG24">
        <v>1128263</v>
      </c>
      <c r="AH24">
        <v>115319</v>
      </c>
    </row>
    <row r="25" spans="1:34" x14ac:dyDescent="0.4">
      <c r="A25" s="1" t="s">
        <v>38</v>
      </c>
      <c r="B25" s="1" t="s">
        <v>39</v>
      </c>
      <c r="C25">
        <v>34554769</v>
      </c>
      <c r="D25">
        <v>33490457</v>
      </c>
      <c r="E25">
        <v>6175254</v>
      </c>
      <c r="F25">
        <v>24040017</v>
      </c>
      <c r="G25" t="s">
        <v>73</v>
      </c>
      <c r="H25" t="s">
        <v>73</v>
      </c>
      <c r="I25" t="s">
        <v>73</v>
      </c>
      <c r="J25" t="s">
        <v>73</v>
      </c>
      <c r="K25">
        <v>3900401</v>
      </c>
      <c r="L25">
        <v>3045488</v>
      </c>
      <c r="M25">
        <v>1362445</v>
      </c>
      <c r="N25">
        <v>5001865</v>
      </c>
      <c r="O25" t="s">
        <v>73</v>
      </c>
      <c r="P25" t="s">
        <v>73</v>
      </c>
      <c r="Q25" t="s">
        <v>73</v>
      </c>
      <c r="R25" t="s">
        <v>73</v>
      </c>
      <c r="S25">
        <v>5173372</v>
      </c>
      <c r="T25">
        <v>4806303</v>
      </c>
      <c r="U25">
        <v>3550566</v>
      </c>
      <c r="V25">
        <v>6062543</v>
      </c>
      <c r="W25">
        <v>46050</v>
      </c>
      <c r="X25">
        <v>64139</v>
      </c>
      <c r="Y25">
        <v>717284</v>
      </c>
      <c r="Z25">
        <v>517400</v>
      </c>
      <c r="AA25">
        <v>297387</v>
      </c>
      <c r="AB25">
        <v>278647</v>
      </c>
      <c r="AC25">
        <v>1888070</v>
      </c>
      <c r="AD25">
        <v>164324</v>
      </c>
      <c r="AE25">
        <v>386928</v>
      </c>
      <c r="AF25">
        <v>347501</v>
      </c>
      <c r="AG25">
        <v>975620</v>
      </c>
      <c r="AH25">
        <v>154864</v>
      </c>
    </row>
    <row r="26" spans="1:34" x14ac:dyDescent="0.4">
      <c r="A26" s="1" t="s">
        <v>40</v>
      </c>
      <c r="B26" s="1" t="s">
        <v>41</v>
      </c>
      <c r="C26">
        <v>34812067</v>
      </c>
      <c r="D26">
        <v>33876282</v>
      </c>
      <c r="E26">
        <v>6361820</v>
      </c>
      <c r="F26">
        <v>24948725</v>
      </c>
      <c r="G26" t="s">
        <v>73</v>
      </c>
      <c r="H26" t="s">
        <v>73</v>
      </c>
      <c r="I26" t="s">
        <v>73</v>
      </c>
      <c r="J26" t="s">
        <v>73</v>
      </c>
      <c r="K26">
        <v>3779235</v>
      </c>
      <c r="L26">
        <v>3082087</v>
      </c>
      <c r="M26">
        <v>1363774</v>
      </c>
      <c r="N26">
        <v>5070975</v>
      </c>
      <c r="O26" t="s">
        <v>73</v>
      </c>
      <c r="P26" t="s">
        <v>73</v>
      </c>
      <c r="Q26" t="s">
        <v>73</v>
      </c>
      <c r="R26" t="s">
        <v>73</v>
      </c>
      <c r="S26">
        <v>5678261</v>
      </c>
      <c r="T26">
        <v>5023630</v>
      </c>
      <c r="U26">
        <v>3683988</v>
      </c>
      <c r="V26">
        <v>6683302</v>
      </c>
      <c r="W26">
        <v>41106</v>
      </c>
      <c r="X26">
        <v>71536</v>
      </c>
      <c r="Y26">
        <v>781218</v>
      </c>
      <c r="Z26">
        <v>486965</v>
      </c>
      <c r="AA26">
        <v>328691</v>
      </c>
      <c r="AB26">
        <v>341920</v>
      </c>
      <c r="AC26">
        <v>2365668</v>
      </c>
      <c r="AD26">
        <v>151095</v>
      </c>
      <c r="AE26">
        <v>425692</v>
      </c>
      <c r="AF26">
        <v>482214</v>
      </c>
      <c r="AG26">
        <v>1355078</v>
      </c>
      <c r="AH26">
        <v>98454</v>
      </c>
    </row>
    <row r="27" spans="1:34" x14ac:dyDescent="0.4">
      <c r="A27" s="1" t="s">
        <v>42</v>
      </c>
      <c r="B27" s="1" t="s">
        <v>43</v>
      </c>
      <c r="C27">
        <v>34368129</v>
      </c>
      <c r="D27">
        <v>34972152</v>
      </c>
      <c r="E27">
        <v>6557176</v>
      </c>
      <c r="F27">
        <v>24309729</v>
      </c>
      <c r="G27" t="s">
        <v>73</v>
      </c>
      <c r="H27" t="s">
        <v>73</v>
      </c>
      <c r="I27" t="s">
        <v>73</v>
      </c>
      <c r="J27" t="s">
        <v>73</v>
      </c>
      <c r="K27">
        <v>3972730</v>
      </c>
      <c r="L27">
        <v>3160914</v>
      </c>
      <c r="M27">
        <v>1386247</v>
      </c>
      <c r="N27">
        <v>5161312</v>
      </c>
      <c r="O27" t="s">
        <v>73</v>
      </c>
      <c r="P27" t="s">
        <v>73</v>
      </c>
      <c r="Q27" t="s">
        <v>73</v>
      </c>
      <c r="R27" t="s">
        <v>73</v>
      </c>
      <c r="S27">
        <v>5434674</v>
      </c>
      <c r="T27">
        <v>5212405</v>
      </c>
      <c r="U27">
        <v>3833155</v>
      </c>
      <c r="V27">
        <v>6857176</v>
      </c>
      <c r="W27">
        <v>42628</v>
      </c>
      <c r="X27">
        <v>60477</v>
      </c>
      <c r="Y27">
        <v>744931</v>
      </c>
      <c r="Z27">
        <v>469103</v>
      </c>
      <c r="AA27">
        <v>336593</v>
      </c>
      <c r="AB27">
        <v>332921</v>
      </c>
      <c r="AC27">
        <v>2308130</v>
      </c>
      <c r="AD27">
        <v>154767</v>
      </c>
      <c r="AE27">
        <v>374830</v>
      </c>
      <c r="AF27">
        <v>373857</v>
      </c>
      <c r="AG27">
        <v>957269</v>
      </c>
      <c r="AH27">
        <v>99611</v>
      </c>
    </row>
    <row r="28" spans="1:34" x14ac:dyDescent="0.4">
      <c r="A28" s="1" t="s">
        <v>44</v>
      </c>
      <c r="B28" s="1" t="s">
        <v>45</v>
      </c>
      <c r="C28">
        <v>33241978</v>
      </c>
      <c r="D28">
        <v>33560919</v>
      </c>
      <c r="E28">
        <v>6263131</v>
      </c>
      <c r="F28">
        <v>23965928</v>
      </c>
      <c r="G28" t="s">
        <v>73</v>
      </c>
      <c r="H28" t="s">
        <v>73</v>
      </c>
      <c r="I28" t="s">
        <v>73</v>
      </c>
      <c r="J28" t="s">
        <v>73</v>
      </c>
      <c r="K28">
        <v>3405713</v>
      </c>
      <c r="L28">
        <v>3002826</v>
      </c>
      <c r="M28">
        <v>1355829</v>
      </c>
      <c r="N28">
        <v>5054752</v>
      </c>
      <c r="O28" t="s">
        <v>73</v>
      </c>
      <c r="P28" t="s">
        <v>73</v>
      </c>
      <c r="Q28" t="s">
        <v>73</v>
      </c>
      <c r="R28" t="s">
        <v>73</v>
      </c>
      <c r="S28">
        <v>4646400</v>
      </c>
      <c r="T28">
        <v>4945664</v>
      </c>
      <c r="U28">
        <v>3641434</v>
      </c>
      <c r="V28">
        <v>6404605</v>
      </c>
      <c r="W28">
        <v>44247</v>
      </c>
      <c r="X28">
        <v>37211</v>
      </c>
      <c r="Y28">
        <v>533278</v>
      </c>
      <c r="Z28">
        <v>476127</v>
      </c>
      <c r="AA28">
        <v>318041</v>
      </c>
      <c r="AB28">
        <v>323740</v>
      </c>
      <c r="AC28">
        <v>2283615</v>
      </c>
      <c r="AD28">
        <v>149068</v>
      </c>
      <c r="AE28">
        <v>367323</v>
      </c>
      <c r="AF28">
        <v>363173</v>
      </c>
      <c r="AG28">
        <v>1014906</v>
      </c>
      <c r="AH28">
        <v>103880</v>
      </c>
    </row>
    <row r="29" spans="1:34" x14ac:dyDescent="0.4">
      <c r="A29" s="1" t="s">
        <v>46</v>
      </c>
      <c r="B29" s="1" t="s">
        <v>47</v>
      </c>
      <c r="C29">
        <v>35585796</v>
      </c>
      <c r="D29">
        <v>34948939</v>
      </c>
      <c r="E29">
        <v>6521129</v>
      </c>
      <c r="F29">
        <v>24588243</v>
      </c>
      <c r="G29" t="s">
        <v>73</v>
      </c>
      <c r="H29" t="s">
        <v>73</v>
      </c>
      <c r="I29" t="s">
        <v>73</v>
      </c>
      <c r="J29" t="s">
        <v>73</v>
      </c>
      <c r="K29">
        <v>3893053</v>
      </c>
      <c r="L29">
        <v>3044010</v>
      </c>
      <c r="M29">
        <v>1399177</v>
      </c>
      <c r="N29">
        <v>5193249</v>
      </c>
      <c r="O29" t="s">
        <v>73</v>
      </c>
      <c r="P29" t="s">
        <v>73</v>
      </c>
      <c r="Q29" t="s">
        <v>73</v>
      </c>
      <c r="R29" t="s">
        <v>73</v>
      </c>
      <c r="S29">
        <v>5688470</v>
      </c>
      <c r="T29">
        <v>5115514</v>
      </c>
      <c r="U29">
        <v>3831259</v>
      </c>
      <c r="V29">
        <v>6926480</v>
      </c>
      <c r="W29">
        <v>44647</v>
      </c>
      <c r="X29">
        <v>46411</v>
      </c>
      <c r="Y29">
        <v>831018</v>
      </c>
      <c r="Z29">
        <v>474345</v>
      </c>
      <c r="AA29">
        <v>343370</v>
      </c>
      <c r="AB29">
        <v>334023</v>
      </c>
      <c r="AC29">
        <v>2338537</v>
      </c>
      <c r="AD29">
        <v>158415</v>
      </c>
      <c r="AE29">
        <v>413600</v>
      </c>
      <c r="AF29">
        <v>413330</v>
      </c>
      <c r="AG29">
        <v>1199118</v>
      </c>
      <c r="AH29">
        <v>104269</v>
      </c>
    </row>
    <row r="30" spans="1:34" x14ac:dyDescent="0.4">
      <c r="A30" s="1" t="s">
        <v>48</v>
      </c>
      <c r="B30" s="1" t="s">
        <v>49</v>
      </c>
      <c r="C30">
        <v>37098965</v>
      </c>
      <c r="D30">
        <v>36194327</v>
      </c>
      <c r="E30">
        <v>6871582</v>
      </c>
      <c r="F30">
        <v>25481295</v>
      </c>
      <c r="G30" t="s">
        <v>73</v>
      </c>
      <c r="H30" t="s">
        <v>73</v>
      </c>
      <c r="I30" t="s">
        <v>73</v>
      </c>
      <c r="J30" t="s">
        <v>73</v>
      </c>
      <c r="K30">
        <v>4111663</v>
      </c>
      <c r="L30">
        <v>3296989</v>
      </c>
      <c r="M30">
        <v>1487711</v>
      </c>
      <c r="N30">
        <v>5348623</v>
      </c>
      <c r="O30" t="s">
        <v>73</v>
      </c>
      <c r="P30" t="s">
        <v>73</v>
      </c>
      <c r="Q30" t="s">
        <v>73</v>
      </c>
      <c r="R30" t="s">
        <v>73</v>
      </c>
      <c r="S30">
        <v>5807353</v>
      </c>
      <c r="T30">
        <v>5330764</v>
      </c>
      <c r="U30">
        <v>3920650</v>
      </c>
      <c r="V30">
        <v>7348076</v>
      </c>
      <c r="W30">
        <v>39620</v>
      </c>
      <c r="X30">
        <v>42961</v>
      </c>
      <c r="Y30">
        <v>782416</v>
      </c>
      <c r="Z30">
        <v>471013</v>
      </c>
      <c r="AA30">
        <v>357916</v>
      </c>
      <c r="AB30">
        <v>358212</v>
      </c>
      <c r="AC30">
        <v>2474785</v>
      </c>
      <c r="AD30">
        <v>158120</v>
      </c>
      <c r="AE30">
        <v>435289</v>
      </c>
      <c r="AF30">
        <v>401542</v>
      </c>
      <c r="AG30">
        <v>1126008</v>
      </c>
      <c r="AH30">
        <v>138195</v>
      </c>
    </row>
    <row r="31" spans="1:34" x14ac:dyDescent="0.4">
      <c r="A31" s="1" t="s">
        <v>50</v>
      </c>
      <c r="B31" s="1" t="s">
        <v>51</v>
      </c>
      <c r="C31">
        <v>28470102</v>
      </c>
      <c r="D31">
        <v>29465801</v>
      </c>
      <c r="E31">
        <v>5570666</v>
      </c>
      <c r="F31">
        <v>24463864</v>
      </c>
      <c r="G31" t="s">
        <v>73</v>
      </c>
      <c r="H31" t="s">
        <v>73</v>
      </c>
      <c r="I31" t="s">
        <v>73</v>
      </c>
      <c r="J31" t="s">
        <v>73</v>
      </c>
      <c r="K31">
        <v>3153506</v>
      </c>
      <c r="L31">
        <v>2948502</v>
      </c>
      <c r="M31">
        <v>1266064</v>
      </c>
      <c r="N31">
        <v>4880529</v>
      </c>
      <c r="O31" t="s">
        <v>73</v>
      </c>
      <c r="P31" t="s">
        <v>73</v>
      </c>
      <c r="Q31" t="s">
        <v>73</v>
      </c>
      <c r="R31" t="s">
        <v>73</v>
      </c>
      <c r="S31">
        <v>4308245</v>
      </c>
      <c r="T31">
        <v>4368137</v>
      </c>
      <c r="U31">
        <v>3247597</v>
      </c>
      <c r="V31">
        <v>7143713</v>
      </c>
      <c r="W31">
        <v>30635</v>
      </c>
      <c r="X31">
        <v>33994</v>
      </c>
      <c r="Y31">
        <v>474794</v>
      </c>
      <c r="Z31">
        <v>467659</v>
      </c>
      <c r="AA31">
        <v>283361</v>
      </c>
      <c r="AB31">
        <v>285094</v>
      </c>
      <c r="AC31">
        <v>1964628</v>
      </c>
      <c r="AD31">
        <v>156386</v>
      </c>
      <c r="AE31">
        <v>363946</v>
      </c>
      <c r="AF31">
        <v>379730</v>
      </c>
      <c r="AG31">
        <v>1079932</v>
      </c>
      <c r="AH31">
        <v>122515</v>
      </c>
    </row>
    <row r="32" spans="1:34" x14ac:dyDescent="0.4">
      <c r="A32" s="1" t="s">
        <v>52</v>
      </c>
      <c r="B32" s="1" t="s">
        <v>53</v>
      </c>
      <c r="C32">
        <v>34251182</v>
      </c>
      <c r="D32">
        <v>35898858</v>
      </c>
      <c r="E32">
        <v>6971795</v>
      </c>
      <c r="F32">
        <v>22785569</v>
      </c>
      <c r="G32" t="s">
        <v>73</v>
      </c>
      <c r="H32" t="s">
        <v>73</v>
      </c>
      <c r="I32" t="s">
        <v>73</v>
      </c>
      <c r="J32" t="s">
        <v>73</v>
      </c>
      <c r="K32">
        <v>3393426</v>
      </c>
      <c r="L32">
        <v>3320090</v>
      </c>
      <c r="M32">
        <v>1490589</v>
      </c>
      <c r="N32">
        <v>4132897</v>
      </c>
      <c r="O32" t="s">
        <v>73</v>
      </c>
      <c r="P32" t="s">
        <v>73</v>
      </c>
      <c r="Q32" t="s">
        <v>73</v>
      </c>
      <c r="R32" t="s">
        <v>73</v>
      </c>
      <c r="S32">
        <v>5521843</v>
      </c>
      <c r="T32">
        <v>5238369</v>
      </c>
      <c r="U32">
        <v>3868296</v>
      </c>
      <c r="V32">
        <v>7366347</v>
      </c>
      <c r="W32">
        <v>40196</v>
      </c>
      <c r="X32">
        <v>25223</v>
      </c>
      <c r="Y32">
        <v>383215</v>
      </c>
      <c r="Z32">
        <v>482641</v>
      </c>
      <c r="AA32">
        <v>341144</v>
      </c>
      <c r="AB32">
        <v>347617</v>
      </c>
      <c r="AC32">
        <v>2407360</v>
      </c>
      <c r="AD32">
        <v>149913</v>
      </c>
      <c r="AE32">
        <v>458301</v>
      </c>
      <c r="AF32">
        <v>475813</v>
      </c>
      <c r="AG32">
        <v>1362477</v>
      </c>
      <c r="AH32">
        <v>105159</v>
      </c>
    </row>
    <row r="33" spans="1:34" x14ac:dyDescent="0.4">
      <c r="A33" s="1" t="s">
        <v>54</v>
      </c>
      <c r="B33" s="1" t="s">
        <v>55</v>
      </c>
      <c r="C33">
        <v>39094549</v>
      </c>
      <c r="D33">
        <v>40999098</v>
      </c>
      <c r="E33">
        <v>8027959</v>
      </c>
      <c r="F33">
        <v>20838364</v>
      </c>
      <c r="G33" t="s">
        <v>73</v>
      </c>
      <c r="H33" t="s">
        <v>73</v>
      </c>
      <c r="I33" t="s">
        <v>73</v>
      </c>
      <c r="J33" t="s">
        <v>73</v>
      </c>
      <c r="K33">
        <v>3636798</v>
      </c>
      <c r="L33">
        <v>2809297</v>
      </c>
      <c r="M33">
        <v>1394762</v>
      </c>
      <c r="N33">
        <v>4680687</v>
      </c>
      <c r="O33" t="s">
        <v>73</v>
      </c>
      <c r="P33" t="s">
        <v>73</v>
      </c>
      <c r="Q33" t="s">
        <v>73</v>
      </c>
      <c r="R33" t="s">
        <v>73</v>
      </c>
      <c r="S33">
        <v>5907449</v>
      </c>
      <c r="T33">
        <v>5673657</v>
      </c>
      <c r="U33">
        <v>4212969</v>
      </c>
      <c r="V33">
        <v>7601676</v>
      </c>
      <c r="W33">
        <v>45664</v>
      </c>
      <c r="X33">
        <v>37171</v>
      </c>
      <c r="Y33">
        <v>565521</v>
      </c>
      <c r="Z33">
        <v>491118</v>
      </c>
      <c r="AA33">
        <v>340299</v>
      </c>
      <c r="AB33">
        <v>331590</v>
      </c>
      <c r="AC33">
        <v>2278621</v>
      </c>
      <c r="AD33">
        <v>158623</v>
      </c>
      <c r="AE33">
        <v>398037</v>
      </c>
      <c r="AF33">
        <v>401364</v>
      </c>
      <c r="AG33">
        <v>1132423</v>
      </c>
      <c r="AH33">
        <v>101986</v>
      </c>
    </row>
    <row r="34" spans="1:34" x14ac:dyDescent="0.4">
      <c r="A34" s="1" t="s">
        <v>56</v>
      </c>
      <c r="B34" s="1" t="s">
        <v>57</v>
      </c>
      <c r="C34">
        <v>37296474</v>
      </c>
      <c r="D34">
        <v>34548014</v>
      </c>
      <c r="E34">
        <v>6560237</v>
      </c>
      <c r="F34">
        <v>23575952</v>
      </c>
      <c r="G34" t="s">
        <v>73</v>
      </c>
      <c r="H34" t="s">
        <v>73</v>
      </c>
      <c r="I34" t="s">
        <v>73</v>
      </c>
      <c r="J34" t="s">
        <v>73</v>
      </c>
      <c r="K34">
        <v>4001047</v>
      </c>
      <c r="L34">
        <v>3320801</v>
      </c>
      <c r="M34">
        <v>1506468</v>
      </c>
      <c r="N34">
        <v>4783023</v>
      </c>
      <c r="O34" t="s">
        <v>73</v>
      </c>
      <c r="P34" t="s">
        <v>73</v>
      </c>
      <c r="Q34" t="s">
        <v>73</v>
      </c>
      <c r="R34" t="s">
        <v>73</v>
      </c>
      <c r="S34">
        <v>5241735</v>
      </c>
      <c r="T34">
        <v>5159958</v>
      </c>
      <c r="U34">
        <v>3820088</v>
      </c>
      <c r="V34">
        <v>7698386</v>
      </c>
      <c r="W34">
        <v>35878</v>
      </c>
      <c r="X34">
        <v>28472</v>
      </c>
      <c r="Y34">
        <v>455869</v>
      </c>
      <c r="Z34">
        <v>498511</v>
      </c>
      <c r="AA34">
        <v>291520</v>
      </c>
      <c r="AB34">
        <v>296937</v>
      </c>
      <c r="AC34">
        <v>2031003</v>
      </c>
      <c r="AD34">
        <v>153206</v>
      </c>
      <c r="AE34">
        <v>399362</v>
      </c>
      <c r="AF34">
        <v>409238</v>
      </c>
      <c r="AG34">
        <v>1125114</v>
      </c>
      <c r="AH34">
        <v>92267</v>
      </c>
    </row>
    <row r="35" spans="1:34" x14ac:dyDescent="0.4">
      <c r="A35" s="1" t="s">
        <v>58</v>
      </c>
      <c r="B35" s="1" t="s">
        <v>59</v>
      </c>
      <c r="C35">
        <v>35596398</v>
      </c>
      <c r="D35">
        <v>35015614</v>
      </c>
      <c r="E35">
        <v>6572504</v>
      </c>
      <c r="F35">
        <v>24114749</v>
      </c>
      <c r="G35" t="s">
        <v>73</v>
      </c>
      <c r="H35" t="s">
        <v>73</v>
      </c>
      <c r="I35" t="s">
        <v>73</v>
      </c>
      <c r="J35" t="s">
        <v>73</v>
      </c>
      <c r="K35">
        <v>3578256</v>
      </c>
      <c r="L35">
        <v>3250247</v>
      </c>
      <c r="M35">
        <v>1457720</v>
      </c>
      <c r="N35">
        <v>4410602</v>
      </c>
      <c r="O35" t="s">
        <v>73</v>
      </c>
      <c r="P35" t="s">
        <v>73</v>
      </c>
      <c r="Q35" t="s">
        <v>73</v>
      </c>
      <c r="R35" t="s">
        <v>73</v>
      </c>
      <c r="S35">
        <v>4843765</v>
      </c>
      <c r="T35">
        <v>5062608</v>
      </c>
      <c r="U35">
        <v>3740541</v>
      </c>
      <c r="V35">
        <v>7443229</v>
      </c>
      <c r="W35">
        <v>57143</v>
      </c>
      <c r="X35">
        <v>31287</v>
      </c>
      <c r="Y35">
        <v>510684</v>
      </c>
      <c r="Z35">
        <v>523539</v>
      </c>
      <c r="AA35">
        <v>316236</v>
      </c>
      <c r="AB35">
        <v>305544</v>
      </c>
      <c r="AC35">
        <v>2112720</v>
      </c>
      <c r="AD35">
        <v>163927</v>
      </c>
      <c r="AE35">
        <v>437410</v>
      </c>
      <c r="AF35">
        <v>406415</v>
      </c>
      <c r="AG35">
        <v>1167814</v>
      </c>
      <c r="AH35">
        <v>123314</v>
      </c>
    </row>
    <row r="36" spans="1:34" x14ac:dyDescent="0.4">
      <c r="A36" s="1" t="s">
        <v>60</v>
      </c>
      <c r="B36" s="1" t="s">
        <v>61</v>
      </c>
      <c r="C36">
        <v>33843791</v>
      </c>
      <c r="D36">
        <v>34118013</v>
      </c>
      <c r="E36">
        <v>6624142</v>
      </c>
      <c r="F36">
        <v>23811594</v>
      </c>
      <c r="G36" t="s">
        <v>73</v>
      </c>
      <c r="H36" t="s">
        <v>73</v>
      </c>
      <c r="I36" t="s">
        <v>73</v>
      </c>
      <c r="J36" t="s">
        <v>73</v>
      </c>
      <c r="K36">
        <v>4010564</v>
      </c>
      <c r="L36">
        <v>3034411</v>
      </c>
      <c r="M36">
        <v>1390640</v>
      </c>
      <c r="N36">
        <v>4761111</v>
      </c>
      <c r="O36" t="s">
        <v>73</v>
      </c>
      <c r="P36" t="s">
        <v>73</v>
      </c>
      <c r="Q36" t="s">
        <v>73</v>
      </c>
      <c r="R36" t="s">
        <v>73</v>
      </c>
      <c r="S36">
        <v>4547171</v>
      </c>
      <c r="T36">
        <v>4861774</v>
      </c>
      <c r="U36">
        <v>3538414</v>
      </c>
      <c r="V36">
        <v>7081341</v>
      </c>
      <c r="W36">
        <v>32418</v>
      </c>
      <c r="X36">
        <v>28927</v>
      </c>
      <c r="Y36">
        <v>522719</v>
      </c>
      <c r="Z36">
        <v>527023</v>
      </c>
      <c r="AA36">
        <v>287881</v>
      </c>
      <c r="AB36">
        <v>302661</v>
      </c>
      <c r="AC36">
        <v>2132860</v>
      </c>
      <c r="AD36">
        <v>151560</v>
      </c>
      <c r="AE36">
        <v>396610</v>
      </c>
      <c r="AF36">
        <v>410814</v>
      </c>
      <c r="AG36">
        <v>1150235</v>
      </c>
      <c r="AH36">
        <v>109110</v>
      </c>
    </row>
    <row r="37" spans="1:34" x14ac:dyDescent="0.4">
      <c r="A37" s="1" t="s">
        <v>62</v>
      </c>
      <c r="B37" s="1" t="s">
        <v>63</v>
      </c>
      <c r="C37">
        <v>32143127</v>
      </c>
      <c r="D37">
        <v>31585317</v>
      </c>
      <c r="E37">
        <v>6424804</v>
      </c>
      <c r="F37">
        <v>24343277</v>
      </c>
      <c r="G37" t="s">
        <v>73</v>
      </c>
      <c r="H37" t="s">
        <v>73</v>
      </c>
      <c r="I37" t="s">
        <v>73</v>
      </c>
      <c r="J37" t="s">
        <v>73</v>
      </c>
      <c r="K37">
        <v>3876087</v>
      </c>
      <c r="L37">
        <v>2980047</v>
      </c>
      <c r="M37">
        <v>1320645</v>
      </c>
      <c r="N37">
        <v>5141715</v>
      </c>
      <c r="O37" t="s">
        <v>73</v>
      </c>
      <c r="P37" t="s">
        <v>73</v>
      </c>
      <c r="Q37" t="s">
        <v>73</v>
      </c>
      <c r="R37" t="s">
        <v>73</v>
      </c>
      <c r="S37">
        <v>4738807</v>
      </c>
      <c r="T37">
        <v>4625711</v>
      </c>
      <c r="U37">
        <v>3313779</v>
      </c>
      <c r="V37">
        <v>7208898</v>
      </c>
      <c r="W37">
        <v>29042</v>
      </c>
      <c r="X37">
        <v>28697</v>
      </c>
      <c r="Y37">
        <v>525657</v>
      </c>
      <c r="Z37">
        <v>527355</v>
      </c>
      <c r="AA37">
        <v>269382</v>
      </c>
      <c r="AB37">
        <v>279432</v>
      </c>
      <c r="AC37">
        <v>1950227</v>
      </c>
      <c r="AD37">
        <v>141510</v>
      </c>
      <c r="AE37">
        <v>374619</v>
      </c>
      <c r="AF37">
        <v>368208</v>
      </c>
      <c r="AG37">
        <v>1046456</v>
      </c>
      <c r="AH37">
        <v>115522</v>
      </c>
    </row>
    <row r="38" spans="1:34" x14ac:dyDescent="0.4">
      <c r="A38" s="1" t="s">
        <v>64</v>
      </c>
      <c r="B38" s="1" t="s">
        <v>65</v>
      </c>
      <c r="C38">
        <v>33384754</v>
      </c>
      <c r="D38">
        <v>33687968</v>
      </c>
      <c r="E38">
        <v>6924785</v>
      </c>
      <c r="F38">
        <v>24000788</v>
      </c>
      <c r="G38" t="s">
        <v>73</v>
      </c>
      <c r="H38" t="s">
        <v>73</v>
      </c>
      <c r="I38" t="s">
        <v>73</v>
      </c>
      <c r="J38" t="s">
        <v>73</v>
      </c>
      <c r="K38">
        <v>3733437</v>
      </c>
      <c r="L38">
        <v>3063986</v>
      </c>
      <c r="M38">
        <v>1398270</v>
      </c>
      <c r="N38">
        <v>5376120</v>
      </c>
      <c r="O38" t="s">
        <v>73</v>
      </c>
      <c r="P38" t="s">
        <v>73</v>
      </c>
      <c r="Q38" t="s">
        <v>73</v>
      </c>
      <c r="R38" t="s">
        <v>73</v>
      </c>
      <c r="S38">
        <v>5242784</v>
      </c>
      <c r="T38">
        <v>4864032</v>
      </c>
      <c r="U38">
        <v>3492598</v>
      </c>
      <c r="V38">
        <v>7613718</v>
      </c>
      <c r="W38">
        <v>40177</v>
      </c>
      <c r="X38">
        <v>43939</v>
      </c>
      <c r="Y38">
        <v>811800</v>
      </c>
      <c r="Z38">
        <v>523409</v>
      </c>
      <c r="AA38">
        <v>315425</v>
      </c>
      <c r="AB38">
        <v>307268</v>
      </c>
      <c r="AC38">
        <v>2167434</v>
      </c>
      <c r="AD38">
        <v>149666</v>
      </c>
      <c r="AE38">
        <v>440140</v>
      </c>
      <c r="AF38">
        <v>470121</v>
      </c>
      <c r="AG38">
        <v>1320437</v>
      </c>
      <c r="AH38">
        <v>85541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137F3-E118-45D3-B50C-BC5717AFFD93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3021</v>
      </c>
      <c r="D3" t="s">
        <v>3021</v>
      </c>
      <c r="E3" t="s">
        <v>3021</v>
      </c>
      <c r="F3" t="s">
        <v>3021</v>
      </c>
      <c r="G3" t="s">
        <v>3023</v>
      </c>
      <c r="H3" t="s">
        <v>3023</v>
      </c>
      <c r="I3" t="s">
        <v>3023</v>
      </c>
      <c r="J3" t="s">
        <v>3023</v>
      </c>
      <c r="K3" t="s">
        <v>3025</v>
      </c>
      <c r="L3" t="s">
        <v>3025</v>
      </c>
      <c r="M3" t="s">
        <v>3025</v>
      </c>
      <c r="N3" t="s">
        <v>3025</v>
      </c>
      <c r="O3" t="s">
        <v>3027</v>
      </c>
      <c r="P3" t="s">
        <v>3027</v>
      </c>
      <c r="Q3" t="s">
        <v>3027</v>
      </c>
      <c r="R3" t="s">
        <v>3027</v>
      </c>
      <c r="S3" t="s">
        <v>3029</v>
      </c>
      <c r="T3" t="s">
        <v>3029</v>
      </c>
      <c r="U3" t="s">
        <v>3029</v>
      </c>
      <c r="V3" t="s">
        <v>3029</v>
      </c>
      <c r="W3" t="s">
        <v>3031</v>
      </c>
      <c r="X3" t="s">
        <v>3031</v>
      </c>
      <c r="Y3" t="s">
        <v>3031</v>
      </c>
      <c r="Z3" t="s">
        <v>3031</v>
      </c>
      <c r="AA3" t="s">
        <v>3033</v>
      </c>
      <c r="AB3" t="s">
        <v>3033</v>
      </c>
      <c r="AC3" t="s">
        <v>3033</v>
      </c>
      <c r="AD3" t="s">
        <v>3033</v>
      </c>
      <c r="AE3" t="s">
        <v>3035</v>
      </c>
      <c r="AF3" t="s">
        <v>3035</v>
      </c>
      <c r="AG3" t="s">
        <v>3035</v>
      </c>
      <c r="AH3" t="s">
        <v>3035</v>
      </c>
      <c r="AI3" t="s">
        <v>3037</v>
      </c>
      <c r="AJ3" t="s">
        <v>3037</v>
      </c>
      <c r="AK3" t="s">
        <v>3037</v>
      </c>
      <c r="AL3" t="s">
        <v>3037</v>
      </c>
    </row>
    <row r="4" spans="1:38" x14ac:dyDescent="0.4">
      <c r="A4" s="1"/>
      <c r="B4" s="2" t="s">
        <v>1</v>
      </c>
      <c r="C4" t="s">
        <v>3022</v>
      </c>
      <c r="D4" t="s">
        <v>3022</v>
      </c>
      <c r="E4" t="s">
        <v>3022</v>
      </c>
      <c r="F4" t="s">
        <v>3022</v>
      </c>
      <c r="G4" t="s">
        <v>3024</v>
      </c>
      <c r="H4" t="s">
        <v>3024</v>
      </c>
      <c r="I4" t="s">
        <v>3024</v>
      </c>
      <c r="J4" t="s">
        <v>3024</v>
      </c>
      <c r="K4" t="s">
        <v>3026</v>
      </c>
      <c r="L4" t="s">
        <v>3026</v>
      </c>
      <c r="M4" t="s">
        <v>3026</v>
      </c>
      <c r="N4" t="s">
        <v>3026</v>
      </c>
      <c r="O4" t="s">
        <v>3028</v>
      </c>
      <c r="P4" t="s">
        <v>3028</v>
      </c>
      <c r="Q4" t="s">
        <v>3028</v>
      </c>
      <c r="R4" t="s">
        <v>3028</v>
      </c>
      <c r="S4" t="s">
        <v>3030</v>
      </c>
      <c r="T4" t="s">
        <v>3030</v>
      </c>
      <c r="U4" t="s">
        <v>3030</v>
      </c>
      <c r="V4" t="s">
        <v>3030</v>
      </c>
      <c r="W4" t="s">
        <v>3032</v>
      </c>
      <c r="X4" t="s">
        <v>3032</v>
      </c>
      <c r="Y4" t="s">
        <v>3032</v>
      </c>
      <c r="Z4" t="s">
        <v>3032</v>
      </c>
      <c r="AA4" t="s">
        <v>3034</v>
      </c>
      <c r="AB4" t="s">
        <v>3034</v>
      </c>
      <c r="AC4" t="s">
        <v>3034</v>
      </c>
      <c r="AD4" t="s">
        <v>3034</v>
      </c>
      <c r="AE4" t="s">
        <v>3036</v>
      </c>
      <c r="AF4" t="s">
        <v>3036</v>
      </c>
      <c r="AG4" t="s">
        <v>3036</v>
      </c>
      <c r="AH4" t="s">
        <v>3036</v>
      </c>
      <c r="AI4" t="s">
        <v>3038</v>
      </c>
      <c r="AJ4" t="s">
        <v>3038</v>
      </c>
      <c r="AK4" t="s">
        <v>3038</v>
      </c>
      <c r="AL4" t="s">
        <v>3038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41004</v>
      </c>
      <c r="D9">
        <v>53284</v>
      </c>
      <c r="E9">
        <v>81545827</v>
      </c>
      <c r="F9">
        <v>3544</v>
      </c>
      <c r="G9">
        <v>27458</v>
      </c>
      <c r="H9">
        <v>35892</v>
      </c>
      <c r="I9">
        <v>68737745</v>
      </c>
      <c r="J9">
        <v>1703</v>
      </c>
      <c r="K9">
        <v>63412</v>
      </c>
      <c r="L9">
        <v>73048</v>
      </c>
      <c r="M9">
        <v>134427295</v>
      </c>
      <c r="N9">
        <v>1552</v>
      </c>
      <c r="O9">
        <v>19405</v>
      </c>
      <c r="P9">
        <v>21909</v>
      </c>
      <c r="Q9">
        <v>57446675</v>
      </c>
      <c r="R9">
        <v>558</v>
      </c>
      <c r="S9">
        <v>107242</v>
      </c>
      <c r="T9">
        <v>111137</v>
      </c>
      <c r="U9">
        <v>120701548</v>
      </c>
      <c r="V9">
        <v>7720</v>
      </c>
      <c r="W9">
        <v>32838</v>
      </c>
      <c r="X9">
        <v>33480</v>
      </c>
      <c r="Y9">
        <v>32508447</v>
      </c>
      <c r="Z9">
        <v>693</v>
      </c>
      <c r="AA9">
        <v>6445</v>
      </c>
      <c r="AB9">
        <v>6500</v>
      </c>
      <c r="AC9">
        <v>4467132</v>
      </c>
      <c r="AD9">
        <v>88</v>
      </c>
      <c r="AE9">
        <v>56294</v>
      </c>
      <c r="AF9">
        <v>73245</v>
      </c>
      <c r="AG9">
        <v>56942928</v>
      </c>
      <c r="AH9">
        <v>3074</v>
      </c>
      <c r="AI9">
        <v>96552</v>
      </c>
      <c r="AJ9">
        <v>96445</v>
      </c>
      <c r="AK9">
        <v>48228899</v>
      </c>
      <c r="AL9">
        <v>934</v>
      </c>
    </row>
    <row r="10" spans="1:38" x14ac:dyDescent="0.4">
      <c r="A10" s="1" t="s">
        <v>8</v>
      </c>
      <c r="B10" s="3" t="s">
        <v>9</v>
      </c>
      <c r="C10">
        <v>38711</v>
      </c>
      <c r="D10">
        <v>46948</v>
      </c>
      <c r="E10">
        <v>74236148</v>
      </c>
      <c r="F10">
        <v>3319</v>
      </c>
      <c r="G10">
        <v>26966</v>
      </c>
      <c r="H10">
        <v>33896</v>
      </c>
      <c r="I10">
        <v>65580630</v>
      </c>
      <c r="J10">
        <v>2288</v>
      </c>
      <c r="K10">
        <v>64044</v>
      </c>
      <c r="L10">
        <v>72869</v>
      </c>
      <c r="M10">
        <v>137101153</v>
      </c>
      <c r="N10">
        <v>1743</v>
      </c>
      <c r="O10">
        <v>18727</v>
      </c>
      <c r="P10">
        <v>20346</v>
      </c>
      <c r="Q10">
        <v>55821367</v>
      </c>
      <c r="R10">
        <v>726</v>
      </c>
      <c r="S10">
        <v>105047</v>
      </c>
      <c r="T10">
        <v>107833</v>
      </c>
      <c r="U10">
        <v>118103395</v>
      </c>
      <c r="V10">
        <v>8448</v>
      </c>
      <c r="W10">
        <v>34351</v>
      </c>
      <c r="X10">
        <v>35206</v>
      </c>
      <c r="Y10">
        <v>34308173</v>
      </c>
      <c r="Z10">
        <v>589</v>
      </c>
      <c r="AA10">
        <v>6915</v>
      </c>
      <c r="AB10">
        <v>6909</v>
      </c>
      <c r="AC10">
        <v>4707151</v>
      </c>
      <c r="AD10">
        <v>102</v>
      </c>
      <c r="AE10">
        <v>58169</v>
      </c>
      <c r="AF10">
        <v>78934</v>
      </c>
      <c r="AG10">
        <v>61909887</v>
      </c>
      <c r="AH10">
        <v>3678</v>
      </c>
      <c r="AI10">
        <v>100357</v>
      </c>
      <c r="AJ10">
        <v>100239</v>
      </c>
      <c r="AK10">
        <v>53704204</v>
      </c>
      <c r="AL10">
        <v>1052</v>
      </c>
    </row>
    <row r="11" spans="1:38" x14ac:dyDescent="0.4">
      <c r="A11" s="1" t="s">
        <v>10</v>
      </c>
      <c r="B11" s="3" t="s">
        <v>11</v>
      </c>
      <c r="C11">
        <v>34724</v>
      </c>
      <c r="D11">
        <v>42099</v>
      </c>
      <c r="E11">
        <v>70552008</v>
      </c>
      <c r="F11">
        <v>3096</v>
      </c>
      <c r="G11">
        <v>24454</v>
      </c>
      <c r="H11">
        <v>30080</v>
      </c>
      <c r="I11">
        <v>59448133</v>
      </c>
      <c r="J11">
        <v>1663</v>
      </c>
      <c r="K11">
        <v>60750</v>
      </c>
      <c r="L11">
        <v>73074</v>
      </c>
      <c r="M11">
        <v>141092275</v>
      </c>
      <c r="N11">
        <v>1964</v>
      </c>
      <c r="O11">
        <v>17629</v>
      </c>
      <c r="P11">
        <v>18894</v>
      </c>
      <c r="Q11">
        <v>53234903</v>
      </c>
      <c r="R11">
        <v>609</v>
      </c>
      <c r="S11">
        <v>92654</v>
      </c>
      <c r="T11">
        <v>96201</v>
      </c>
      <c r="U11">
        <v>112057223</v>
      </c>
      <c r="V11">
        <v>7448</v>
      </c>
      <c r="W11">
        <v>34090</v>
      </c>
      <c r="X11">
        <v>34841</v>
      </c>
      <c r="Y11">
        <v>33958640</v>
      </c>
      <c r="Z11">
        <v>667</v>
      </c>
      <c r="AA11">
        <v>7769</v>
      </c>
      <c r="AB11">
        <v>7822</v>
      </c>
      <c r="AC11">
        <v>5382052</v>
      </c>
      <c r="AD11">
        <v>64</v>
      </c>
      <c r="AE11">
        <v>61582</v>
      </c>
      <c r="AF11">
        <v>85586</v>
      </c>
      <c r="AG11">
        <v>67520635</v>
      </c>
      <c r="AH11">
        <v>3273</v>
      </c>
      <c r="AI11">
        <v>96063</v>
      </c>
      <c r="AJ11">
        <v>96177</v>
      </c>
      <c r="AK11">
        <v>53847635</v>
      </c>
      <c r="AL11">
        <v>936</v>
      </c>
    </row>
    <row r="12" spans="1:38" x14ac:dyDescent="0.4">
      <c r="A12" s="1" t="s">
        <v>12</v>
      </c>
      <c r="B12" s="3" t="s">
        <v>13</v>
      </c>
      <c r="C12">
        <v>30688</v>
      </c>
      <c r="D12">
        <v>37384</v>
      </c>
      <c r="E12">
        <v>63699286</v>
      </c>
      <c r="F12">
        <v>2693</v>
      </c>
      <c r="G12">
        <v>22972</v>
      </c>
      <c r="H12">
        <v>27983</v>
      </c>
      <c r="I12">
        <v>56884234</v>
      </c>
      <c r="J12">
        <v>1468</v>
      </c>
      <c r="K12">
        <v>55205</v>
      </c>
      <c r="L12">
        <v>61971</v>
      </c>
      <c r="M12">
        <v>132892029</v>
      </c>
      <c r="N12">
        <v>1738</v>
      </c>
      <c r="O12">
        <v>16759</v>
      </c>
      <c r="P12">
        <v>18045</v>
      </c>
      <c r="Q12">
        <v>53455671</v>
      </c>
      <c r="R12">
        <v>563</v>
      </c>
      <c r="S12">
        <v>92967</v>
      </c>
      <c r="T12">
        <v>95591</v>
      </c>
      <c r="U12">
        <v>111821833</v>
      </c>
      <c r="V12">
        <v>7291</v>
      </c>
      <c r="W12">
        <v>32166</v>
      </c>
      <c r="X12">
        <v>32940</v>
      </c>
      <c r="Y12">
        <v>33932118</v>
      </c>
      <c r="Z12">
        <v>636</v>
      </c>
      <c r="AA12">
        <v>6784</v>
      </c>
      <c r="AB12">
        <v>6837</v>
      </c>
      <c r="AC12">
        <v>5164365</v>
      </c>
      <c r="AD12">
        <v>41</v>
      </c>
      <c r="AE12">
        <v>60432</v>
      </c>
      <c r="AF12">
        <v>85210</v>
      </c>
      <c r="AG12">
        <v>67350015</v>
      </c>
      <c r="AH12">
        <v>3164</v>
      </c>
      <c r="AI12">
        <v>92381</v>
      </c>
      <c r="AJ12">
        <v>91982</v>
      </c>
      <c r="AK12">
        <v>52069399</v>
      </c>
      <c r="AL12">
        <v>1336</v>
      </c>
    </row>
    <row r="13" spans="1:38" x14ac:dyDescent="0.4">
      <c r="A13" s="1" t="s">
        <v>14</v>
      </c>
      <c r="B13" s="3" t="s">
        <v>15</v>
      </c>
      <c r="C13">
        <v>27979</v>
      </c>
      <c r="D13">
        <v>33903</v>
      </c>
      <c r="E13">
        <v>59818993</v>
      </c>
      <c r="F13">
        <v>2586</v>
      </c>
      <c r="G13">
        <v>22575</v>
      </c>
      <c r="H13">
        <v>27500</v>
      </c>
      <c r="I13">
        <v>58910263</v>
      </c>
      <c r="J13">
        <v>1472</v>
      </c>
      <c r="K13">
        <v>50259</v>
      </c>
      <c r="L13">
        <v>55419</v>
      </c>
      <c r="M13">
        <v>124819668</v>
      </c>
      <c r="N13">
        <v>1504</v>
      </c>
      <c r="O13">
        <v>15871</v>
      </c>
      <c r="P13">
        <v>17091</v>
      </c>
      <c r="Q13">
        <v>54279673</v>
      </c>
      <c r="R13">
        <v>530</v>
      </c>
      <c r="S13">
        <v>93982</v>
      </c>
      <c r="T13">
        <v>95771</v>
      </c>
      <c r="U13">
        <v>116665870</v>
      </c>
      <c r="V13">
        <v>7865</v>
      </c>
      <c r="W13">
        <v>31205</v>
      </c>
      <c r="X13">
        <v>32041</v>
      </c>
      <c r="Y13">
        <v>38044086</v>
      </c>
      <c r="Z13">
        <v>563</v>
      </c>
      <c r="AA13">
        <v>7495</v>
      </c>
      <c r="AB13">
        <v>7534</v>
      </c>
      <c r="AC13">
        <v>5967119</v>
      </c>
      <c r="AD13">
        <v>29</v>
      </c>
      <c r="AE13">
        <v>61078</v>
      </c>
      <c r="AF13">
        <v>83653</v>
      </c>
      <c r="AG13">
        <v>67911372</v>
      </c>
      <c r="AH13">
        <v>3432</v>
      </c>
      <c r="AI13">
        <v>90926</v>
      </c>
      <c r="AJ13">
        <v>91446</v>
      </c>
      <c r="AK13">
        <v>52972517</v>
      </c>
      <c r="AL13">
        <v>862</v>
      </c>
    </row>
    <row r="14" spans="1:38" x14ac:dyDescent="0.4">
      <c r="A14" s="1" t="s">
        <v>16</v>
      </c>
      <c r="B14" s="1" t="s">
        <v>17</v>
      </c>
      <c r="C14">
        <v>2677</v>
      </c>
      <c r="D14">
        <v>3237</v>
      </c>
      <c r="E14">
        <v>5400649</v>
      </c>
      <c r="F14">
        <v>3119</v>
      </c>
      <c r="G14">
        <v>1814</v>
      </c>
      <c r="H14">
        <v>2188</v>
      </c>
      <c r="I14">
        <v>4395237</v>
      </c>
      <c r="J14">
        <v>1691</v>
      </c>
      <c r="K14">
        <v>4658</v>
      </c>
      <c r="L14">
        <v>5574</v>
      </c>
      <c r="M14">
        <v>11518354</v>
      </c>
      <c r="N14">
        <v>1933</v>
      </c>
      <c r="O14">
        <v>1445</v>
      </c>
      <c r="P14">
        <v>1526</v>
      </c>
      <c r="Q14">
        <v>4238019</v>
      </c>
      <c r="R14">
        <v>631</v>
      </c>
      <c r="S14">
        <v>7565</v>
      </c>
      <c r="T14">
        <v>7989</v>
      </c>
      <c r="U14">
        <v>9385110</v>
      </c>
      <c r="V14">
        <v>7463</v>
      </c>
      <c r="W14">
        <v>2576</v>
      </c>
      <c r="X14">
        <v>2575</v>
      </c>
      <c r="Y14">
        <v>2640913</v>
      </c>
      <c r="Z14">
        <v>633</v>
      </c>
      <c r="AA14">
        <v>595</v>
      </c>
      <c r="AB14">
        <v>604</v>
      </c>
      <c r="AC14">
        <v>435550</v>
      </c>
      <c r="AD14">
        <v>57</v>
      </c>
      <c r="AE14">
        <v>4995</v>
      </c>
      <c r="AF14">
        <v>6949</v>
      </c>
      <c r="AG14">
        <v>5443235</v>
      </c>
      <c r="AH14">
        <v>3187</v>
      </c>
      <c r="AI14">
        <v>7666</v>
      </c>
      <c r="AJ14">
        <v>7919</v>
      </c>
      <c r="AK14">
        <v>4441471</v>
      </c>
      <c r="AL14">
        <v>956</v>
      </c>
    </row>
    <row r="15" spans="1:38" x14ac:dyDescent="0.4">
      <c r="A15" s="1" t="s">
        <v>18</v>
      </c>
      <c r="B15" s="1" t="s">
        <v>19</v>
      </c>
      <c r="C15">
        <v>2662</v>
      </c>
      <c r="D15">
        <v>3186</v>
      </c>
      <c r="E15">
        <v>5391316</v>
      </c>
      <c r="F15">
        <v>3166</v>
      </c>
      <c r="G15">
        <v>1860</v>
      </c>
      <c r="H15">
        <v>2307</v>
      </c>
      <c r="I15">
        <v>4624250</v>
      </c>
      <c r="J15">
        <v>1678</v>
      </c>
      <c r="K15">
        <v>4558</v>
      </c>
      <c r="L15">
        <v>5026</v>
      </c>
      <c r="M15">
        <v>10353533</v>
      </c>
      <c r="N15">
        <v>1965</v>
      </c>
      <c r="O15">
        <v>1388</v>
      </c>
      <c r="P15">
        <v>1486</v>
      </c>
      <c r="Q15">
        <v>4344101</v>
      </c>
      <c r="R15">
        <v>646</v>
      </c>
      <c r="S15">
        <v>7806</v>
      </c>
      <c r="T15">
        <v>8054</v>
      </c>
      <c r="U15">
        <v>9423562</v>
      </c>
      <c r="V15">
        <v>7423</v>
      </c>
      <c r="W15">
        <v>2707</v>
      </c>
      <c r="X15">
        <v>2722</v>
      </c>
      <c r="Y15">
        <v>2712583</v>
      </c>
      <c r="Z15">
        <v>678</v>
      </c>
      <c r="AA15">
        <v>620</v>
      </c>
      <c r="AB15">
        <v>617</v>
      </c>
      <c r="AC15">
        <v>414177</v>
      </c>
      <c r="AD15">
        <v>60</v>
      </c>
      <c r="AE15">
        <v>4636</v>
      </c>
      <c r="AF15">
        <v>6594</v>
      </c>
      <c r="AG15">
        <v>5123331</v>
      </c>
      <c r="AH15">
        <v>3137</v>
      </c>
      <c r="AI15">
        <v>7877</v>
      </c>
      <c r="AJ15">
        <v>7887</v>
      </c>
      <c r="AK15">
        <v>4253096</v>
      </c>
      <c r="AL15">
        <v>946</v>
      </c>
    </row>
    <row r="16" spans="1:38" x14ac:dyDescent="0.4">
      <c r="A16" s="1" t="s">
        <v>20</v>
      </c>
      <c r="B16" s="1" t="s">
        <v>21</v>
      </c>
      <c r="C16">
        <v>2682</v>
      </c>
      <c r="D16">
        <v>3201</v>
      </c>
      <c r="E16">
        <v>5291772</v>
      </c>
      <c r="F16">
        <v>3162</v>
      </c>
      <c r="G16">
        <v>1926</v>
      </c>
      <c r="H16">
        <v>2352</v>
      </c>
      <c r="I16">
        <v>4762190</v>
      </c>
      <c r="J16">
        <v>1680</v>
      </c>
      <c r="K16">
        <v>4559</v>
      </c>
      <c r="L16">
        <v>4874</v>
      </c>
      <c r="M16">
        <v>10557938</v>
      </c>
      <c r="N16">
        <v>2092</v>
      </c>
      <c r="O16">
        <v>1419</v>
      </c>
      <c r="P16">
        <v>1535</v>
      </c>
      <c r="Q16">
        <v>4452709</v>
      </c>
      <c r="R16">
        <v>635</v>
      </c>
      <c r="S16">
        <v>7919</v>
      </c>
      <c r="T16">
        <v>8176</v>
      </c>
      <c r="U16">
        <v>9626754</v>
      </c>
      <c r="V16">
        <v>7433</v>
      </c>
      <c r="W16">
        <v>2673</v>
      </c>
      <c r="X16">
        <v>2765</v>
      </c>
      <c r="Y16">
        <v>2749723</v>
      </c>
      <c r="Z16">
        <v>647</v>
      </c>
      <c r="AA16">
        <v>522</v>
      </c>
      <c r="AB16">
        <v>531</v>
      </c>
      <c r="AC16">
        <v>405562</v>
      </c>
      <c r="AD16">
        <v>51</v>
      </c>
      <c r="AE16">
        <v>4601</v>
      </c>
      <c r="AF16">
        <v>6353</v>
      </c>
      <c r="AG16">
        <v>4919010</v>
      </c>
      <c r="AH16">
        <v>3312</v>
      </c>
      <c r="AI16">
        <v>7580</v>
      </c>
      <c r="AJ16">
        <v>7739</v>
      </c>
      <c r="AK16">
        <v>4005973</v>
      </c>
      <c r="AL16">
        <v>786</v>
      </c>
    </row>
    <row r="17" spans="1:38" x14ac:dyDescent="0.4">
      <c r="A17" s="1" t="s">
        <v>22</v>
      </c>
      <c r="B17" s="1" t="s">
        <v>23</v>
      </c>
      <c r="C17">
        <v>2582</v>
      </c>
      <c r="D17">
        <v>3124</v>
      </c>
      <c r="E17">
        <v>5299987</v>
      </c>
      <c r="F17">
        <v>3104</v>
      </c>
      <c r="G17">
        <v>1867</v>
      </c>
      <c r="H17">
        <v>2282</v>
      </c>
      <c r="I17">
        <v>4672642</v>
      </c>
      <c r="J17">
        <v>1678</v>
      </c>
      <c r="K17">
        <v>4362</v>
      </c>
      <c r="L17">
        <v>4606</v>
      </c>
      <c r="M17">
        <v>10429339</v>
      </c>
      <c r="N17">
        <v>2157</v>
      </c>
      <c r="O17">
        <v>1384</v>
      </c>
      <c r="P17">
        <v>1496</v>
      </c>
      <c r="Q17">
        <v>4370940</v>
      </c>
      <c r="R17">
        <v>630</v>
      </c>
      <c r="S17">
        <v>7798</v>
      </c>
      <c r="T17">
        <v>8288</v>
      </c>
      <c r="U17">
        <v>9593419</v>
      </c>
      <c r="V17">
        <v>7174</v>
      </c>
      <c r="W17">
        <v>2706</v>
      </c>
      <c r="X17">
        <v>2749</v>
      </c>
      <c r="Y17">
        <v>2753563</v>
      </c>
      <c r="Z17">
        <v>657</v>
      </c>
      <c r="AA17">
        <v>583</v>
      </c>
      <c r="AB17">
        <v>588</v>
      </c>
      <c r="AC17">
        <v>410483</v>
      </c>
      <c r="AD17">
        <v>48</v>
      </c>
      <c r="AE17">
        <v>4813</v>
      </c>
      <c r="AF17">
        <v>6706</v>
      </c>
      <c r="AG17">
        <v>5259112</v>
      </c>
      <c r="AH17">
        <v>3505</v>
      </c>
      <c r="AI17">
        <v>7148</v>
      </c>
      <c r="AJ17">
        <v>7037</v>
      </c>
      <c r="AK17">
        <v>3897702</v>
      </c>
      <c r="AL17">
        <v>898</v>
      </c>
    </row>
    <row r="18" spans="1:38" x14ac:dyDescent="0.4">
      <c r="A18" s="1" t="s">
        <v>24</v>
      </c>
      <c r="B18" s="1" t="s">
        <v>25</v>
      </c>
      <c r="C18">
        <v>2815</v>
      </c>
      <c r="D18">
        <v>3435</v>
      </c>
      <c r="E18">
        <v>5840959</v>
      </c>
      <c r="F18">
        <v>3052</v>
      </c>
      <c r="G18">
        <v>2141</v>
      </c>
      <c r="H18">
        <v>2592</v>
      </c>
      <c r="I18">
        <v>5314231</v>
      </c>
      <c r="J18">
        <v>1739</v>
      </c>
      <c r="K18">
        <v>4973</v>
      </c>
      <c r="L18">
        <v>5456</v>
      </c>
      <c r="M18">
        <v>11969595</v>
      </c>
      <c r="N18">
        <v>1966</v>
      </c>
      <c r="O18">
        <v>1572</v>
      </c>
      <c r="P18">
        <v>1688</v>
      </c>
      <c r="Q18">
        <v>5025369</v>
      </c>
      <c r="R18">
        <v>641</v>
      </c>
      <c r="S18">
        <v>8822</v>
      </c>
      <c r="T18">
        <v>9024</v>
      </c>
      <c r="U18">
        <v>10471159</v>
      </c>
      <c r="V18">
        <v>7214</v>
      </c>
      <c r="W18">
        <v>3027</v>
      </c>
      <c r="X18">
        <v>3104</v>
      </c>
      <c r="Y18">
        <v>3134653</v>
      </c>
      <c r="Z18">
        <v>635</v>
      </c>
      <c r="AA18">
        <v>543</v>
      </c>
      <c r="AB18">
        <v>553</v>
      </c>
      <c r="AC18">
        <v>420736</v>
      </c>
      <c r="AD18">
        <v>39</v>
      </c>
      <c r="AE18">
        <v>5492</v>
      </c>
      <c r="AF18">
        <v>7600</v>
      </c>
      <c r="AG18">
        <v>5984116</v>
      </c>
      <c r="AH18">
        <v>3648</v>
      </c>
      <c r="AI18">
        <v>7866</v>
      </c>
      <c r="AJ18">
        <v>8043</v>
      </c>
      <c r="AK18">
        <v>4614097</v>
      </c>
      <c r="AL18">
        <v>721</v>
      </c>
    </row>
    <row r="19" spans="1:38" x14ac:dyDescent="0.4">
      <c r="A19" s="1" t="s">
        <v>26</v>
      </c>
      <c r="B19" s="1" t="s">
        <v>27</v>
      </c>
      <c r="C19">
        <v>2097</v>
      </c>
      <c r="D19">
        <v>2584</v>
      </c>
      <c r="E19">
        <v>4479156</v>
      </c>
      <c r="F19">
        <v>3051</v>
      </c>
      <c r="G19">
        <v>1673</v>
      </c>
      <c r="H19">
        <v>2067</v>
      </c>
      <c r="I19">
        <v>4229998</v>
      </c>
      <c r="J19">
        <v>1729</v>
      </c>
      <c r="K19">
        <v>4214</v>
      </c>
      <c r="L19">
        <v>4633</v>
      </c>
      <c r="M19">
        <v>10208389</v>
      </c>
      <c r="N19">
        <v>1968</v>
      </c>
      <c r="O19">
        <v>1199</v>
      </c>
      <c r="P19">
        <v>1294</v>
      </c>
      <c r="Q19">
        <v>3926671</v>
      </c>
      <c r="R19">
        <v>651</v>
      </c>
      <c r="S19">
        <v>6828</v>
      </c>
      <c r="T19">
        <v>6890</v>
      </c>
      <c r="U19">
        <v>8130465</v>
      </c>
      <c r="V19">
        <v>7339</v>
      </c>
      <c r="W19">
        <v>2271</v>
      </c>
      <c r="X19">
        <v>2411</v>
      </c>
      <c r="Y19">
        <v>2523550</v>
      </c>
      <c r="Z19">
        <v>547</v>
      </c>
      <c r="AA19">
        <v>494</v>
      </c>
      <c r="AB19">
        <v>501</v>
      </c>
      <c r="AC19">
        <v>388437</v>
      </c>
      <c r="AD19">
        <v>38</v>
      </c>
      <c r="AE19">
        <v>4630</v>
      </c>
      <c r="AF19">
        <v>6498</v>
      </c>
      <c r="AG19">
        <v>5138107</v>
      </c>
      <c r="AH19">
        <v>3701</v>
      </c>
      <c r="AI19">
        <v>6922</v>
      </c>
      <c r="AJ19">
        <v>6724</v>
      </c>
      <c r="AK19">
        <v>3852693</v>
      </c>
      <c r="AL19">
        <v>918</v>
      </c>
    </row>
    <row r="20" spans="1:38" x14ac:dyDescent="0.4">
      <c r="A20" s="1" t="s">
        <v>28</v>
      </c>
      <c r="B20" s="1" t="s">
        <v>29</v>
      </c>
      <c r="C20">
        <v>2471</v>
      </c>
      <c r="D20">
        <v>3004</v>
      </c>
      <c r="E20">
        <v>5180773</v>
      </c>
      <c r="F20">
        <v>2946</v>
      </c>
      <c r="G20">
        <v>1954</v>
      </c>
      <c r="H20">
        <v>2394</v>
      </c>
      <c r="I20">
        <v>4903460</v>
      </c>
      <c r="J20">
        <v>1635</v>
      </c>
      <c r="K20">
        <v>4918</v>
      </c>
      <c r="L20">
        <v>5536</v>
      </c>
      <c r="M20">
        <v>12341825</v>
      </c>
      <c r="N20">
        <v>1809</v>
      </c>
      <c r="O20">
        <v>1428</v>
      </c>
      <c r="P20">
        <v>1547</v>
      </c>
      <c r="Q20">
        <v>4675541</v>
      </c>
      <c r="R20">
        <v>619</v>
      </c>
      <c r="S20">
        <v>7735</v>
      </c>
      <c r="T20">
        <v>7823</v>
      </c>
      <c r="U20">
        <v>9141884</v>
      </c>
      <c r="V20">
        <v>7463</v>
      </c>
      <c r="W20">
        <v>2687</v>
      </c>
      <c r="X20">
        <v>2649</v>
      </c>
      <c r="Y20">
        <v>2871948</v>
      </c>
      <c r="Z20">
        <v>653</v>
      </c>
      <c r="AA20">
        <v>556</v>
      </c>
      <c r="AB20">
        <v>562</v>
      </c>
      <c r="AC20">
        <v>430187</v>
      </c>
      <c r="AD20">
        <v>33</v>
      </c>
      <c r="AE20">
        <v>5151</v>
      </c>
      <c r="AF20">
        <v>7403</v>
      </c>
      <c r="AG20">
        <v>5988343</v>
      </c>
      <c r="AH20">
        <v>3503</v>
      </c>
      <c r="AI20">
        <v>8095</v>
      </c>
      <c r="AJ20">
        <v>8021</v>
      </c>
      <c r="AK20">
        <v>4718008</v>
      </c>
      <c r="AL20">
        <v>993</v>
      </c>
    </row>
    <row r="21" spans="1:38" x14ac:dyDescent="0.4">
      <c r="A21" s="1" t="s">
        <v>30</v>
      </c>
      <c r="B21" s="1" t="s">
        <v>31</v>
      </c>
      <c r="C21">
        <v>2817</v>
      </c>
      <c r="D21">
        <v>3477</v>
      </c>
      <c r="E21">
        <v>6002158</v>
      </c>
      <c r="F21">
        <v>2835</v>
      </c>
      <c r="G21">
        <v>2247</v>
      </c>
      <c r="H21">
        <v>2729</v>
      </c>
      <c r="I21">
        <v>5562368</v>
      </c>
      <c r="J21">
        <v>1575</v>
      </c>
      <c r="K21">
        <v>5465</v>
      </c>
      <c r="L21">
        <v>6050</v>
      </c>
      <c r="M21">
        <v>13023222</v>
      </c>
      <c r="N21">
        <v>1864</v>
      </c>
      <c r="O21">
        <v>1598</v>
      </c>
      <c r="P21">
        <v>1722</v>
      </c>
      <c r="Q21">
        <v>5370264</v>
      </c>
      <c r="R21">
        <v>617</v>
      </c>
      <c r="S21">
        <v>8761</v>
      </c>
      <c r="T21">
        <v>8867</v>
      </c>
      <c r="U21">
        <v>10410300</v>
      </c>
      <c r="V21">
        <v>7547</v>
      </c>
      <c r="W21">
        <v>2916</v>
      </c>
      <c r="X21">
        <v>3032</v>
      </c>
      <c r="Y21">
        <v>3269612</v>
      </c>
      <c r="Z21">
        <v>612</v>
      </c>
      <c r="AA21">
        <v>584</v>
      </c>
      <c r="AB21">
        <v>577</v>
      </c>
      <c r="AC21">
        <v>484608</v>
      </c>
      <c r="AD21">
        <v>41</v>
      </c>
      <c r="AE21">
        <v>5552</v>
      </c>
      <c r="AF21">
        <v>7859</v>
      </c>
      <c r="AG21">
        <v>6389456</v>
      </c>
      <c r="AH21">
        <v>3525</v>
      </c>
      <c r="AI21">
        <v>8428</v>
      </c>
      <c r="AJ21">
        <v>8437</v>
      </c>
      <c r="AK21">
        <v>4906300</v>
      </c>
      <c r="AL21">
        <v>985</v>
      </c>
    </row>
    <row r="22" spans="1:38" x14ac:dyDescent="0.4">
      <c r="A22" s="1" t="s">
        <v>32</v>
      </c>
      <c r="B22" s="1" t="s">
        <v>33</v>
      </c>
      <c r="C22">
        <v>2629</v>
      </c>
      <c r="D22">
        <v>3188</v>
      </c>
      <c r="E22">
        <v>5649471</v>
      </c>
      <c r="F22">
        <v>2757</v>
      </c>
      <c r="G22">
        <v>2087</v>
      </c>
      <c r="H22">
        <v>2501</v>
      </c>
      <c r="I22">
        <v>5174410</v>
      </c>
      <c r="J22">
        <v>1532</v>
      </c>
      <c r="K22">
        <v>4819</v>
      </c>
      <c r="L22">
        <v>5582</v>
      </c>
      <c r="M22">
        <v>11995490</v>
      </c>
      <c r="N22">
        <v>1675</v>
      </c>
      <c r="O22">
        <v>1524</v>
      </c>
      <c r="P22">
        <v>1645</v>
      </c>
      <c r="Q22">
        <v>4999942</v>
      </c>
      <c r="R22">
        <v>606</v>
      </c>
      <c r="S22">
        <v>8106</v>
      </c>
      <c r="T22">
        <v>8683</v>
      </c>
      <c r="U22">
        <v>9992350</v>
      </c>
      <c r="V22">
        <v>7204</v>
      </c>
      <c r="W22">
        <v>2693</v>
      </c>
      <c r="X22">
        <v>2755</v>
      </c>
      <c r="Y22">
        <v>3012909</v>
      </c>
      <c r="Z22">
        <v>622</v>
      </c>
      <c r="AA22">
        <v>523</v>
      </c>
      <c r="AB22">
        <v>522</v>
      </c>
      <c r="AC22">
        <v>452332</v>
      </c>
      <c r="AD22">
        <v>49</v>
      </c>
      <c r="AE22">
        <v>5459</v>
      </c>
      <c r="AF22">
        <v>7941</v>
      </c>
      <c r="AG22">
        <v>6302668</v>
      </c>
      <c r="AH22">
        <v>3408</v>
      </c>
      <c r="AI22">
        <v>8635</v>
      </c>
      <c r="AJ22">
        <v>8452</v>
      </c>
      <c r="AK22">
        <v>4838379</v>
      </c>
      <c r="AL22">
        <v>1169</v>
      </c>
    </row>
    <row r="23" spans="1:38" x14ac:dyDescent="0.4">
      <c r="A23" s="1" t="s">
        <v>34</v>
      </c>
      <c r="B23" s="1" t="s">
        <v>35</v>
      </c>
      <c r="C23">
        <v>2412</v>
      </c>
      <c r="D23">
        <v>2962</v>
      </c>
      <c r="E23">
        <v>5230820</v>
      </c>
      <c r="F23">
        <v>2693</v>
      </c>
      <c r="G23">
        <v>1989</v>
      </c>
      <c r="H23">
        <v>2415</v>
      </c>
      <c r="I23">
        <v>4917620</v>
      </c>
      <c r="J23">
        <v>1468</v>
      </c>
      <c r="K23">
        <v>4529</v>
      </c>
      <c r="L23">
        <v>5112</v>
      </c>
      <c r="M23">
        <v>10920383</v>
      </c>
      <c r="N23">
        <v>1738</v>
      </c>
      <c r="O23">
        <v>1405</v>
      </c>
      <c r="P23">
        <v>1535</v>
      </c>
      <c r="Q23">
        <v>4716357</v>
      </c>
      <c r="R23">
        <v>563</v>
      </c>
      <c r="S23">
        <v>7792</v>
      </c>
      <c r="T23">
        <v>7914</v>
      </c>
      <c r="U23">
        <v>9237870</v>
      </c>
      <c r="V23">
        <v>7291</v>
      </c>
      <c r="W23">
        <v>2689</v>
      </c>
      <c r="X23">
        <v>2747</v>
      </c>
      <c r="Y23">
        <v>2940223</v>
      </c>
      <c r="Z23">
        <v>636</v>
      </c>
      <c r="AA23">
        <v>691</v>
      </c>
      <c r="AB23">
        <v>702</v>
      </c>
      <c r="AC23">
        <v>546034</v>
      </c>
      <c r="AD23">
        <v>41</v>
      </c>
      <c r="AE23">
        <v>5319</v>
      </c>
      <c r="AF23">
        <v>7625</v>
      </c>
      <c r="AG23">
        <v>6224600</v>
      </c>
      <c r="AH23">
        <v>3164</v>
      </c>
      <c r="AI23">
        <v>8301</v>
      </c>
      <c r="AJ23">
        <v>8133</v>
      </c>
      <c r="AK23">
        <v>4679386</v>
      </c>
      <c r="AL23">
        <v>1336</v>
      </c>
    </row>
    <row r="24" spans="1:38" x14ac:dyDescent="0.4">
      <c r="A24" s="1" t="s">
        <v>36</v>
      </c>
      <c r="B24" s="1" t="s">
        <v>37</v>
      </c>
      <c r="C24">
        <v>2279</v>
      </c>
      <c r="D24">
        <v>2717</v>
      </c>
      <c r="E24">
        <v>4648724</v>
      </c>
      <c r="F24">
        <v>2737</v>
      </c>
      <c r="G24">
        <v>1868</v>
      </c>
      <c r="H24">
        <v>2229</v>
      </c>
      <c r="I24">
        <v>4568232</v>
      </c>
      <c r="J24">
        <v>1455</v>
      </c>
      <c r="K24">
        <v>4089</v>
      </c>
      <c r="L24">
        <v>4487</v>
      </c>
      <c r="M24">
        <v>9501038</v>
      </c>
      <c r="N24">
        <v>1810</v>
      </c>
      <c r="O24">
        <v>1215</v>
      </c>
      <c r="P24">
        <v>1294</v>
      </c>
      <c r="Q24">
        <v>3965339</v>
      </c>
      <c r="R24">
        <v>577</v>
      </c>
      <c r="S24">
        <v>7217</v>
      </c>
      <c r="T24">
        <v>7338</v>
      </c>
      <c r="U24">
        <v>8497132</v>
      </c>
      <c r="V24">
        <v>7383</v>
      </c>
      <c r="W24">
        <v>2693</v>
      </c>
      <c r="X24">
        <v>2772</v>
      </c>
      <c r="Y24">
        <v>2929225</v>
      </c>
      <c r="Z24">
        <v>622</v>
      </c>
      <c r="AA24">
        <v>493</v>
      </c>
      <c r="AB24">
        <v>491</v>
      </c>
      <c r="AC24">
        <v>404837</v>
      </c>
      <c r="AD24">
        <v>44</v>
      </c>
      <c r="AE24">
        <v>4949</v>
      </c>
      <c r="AF24">
        <v>6807</v>
      </c>
      <c r="AG24">
        <v>5447153</v>
      </c>
      <c r="AH24">
        <v>3569</v>
      </c>
      <c r="AI24">
        <v>7308</v>
      </c>
      <c r="AJ24">
        <v>7293</v>
      </c>
      <c r="AK24">
        <v>4108104</v>
      </c>
      <c r="AL24">
        <v>1396</v>
      </c>
    </row>
    <row r="25" spans="1:38" x14ac:dyDescent="0.4">
      <c r="A25" s="1" t="s">
        <v>38</v>
      </c>
      <c r="B25" s="1" t="s">
        <v>39</v>
      </c>
      <c r="C25">
        <v>2084</v>
      </c>
      <c r="D25">
        <v>2553</v>
      </c>
      <c r="E25">
        <v>4377173</v>
      </c>
      <c r="F25">
        <v>2686</v>
      </c>
      <c r="G25">
        <v>1681</v>
      </c>
      <c r="H25">
        <v>2063</v>
      </c>
      <c r="I25">
        <v>4241968</v>
      </c>
      <c r="J25">
        <v>1436</v>
      </c>
      <c r="K25">
        <v>3733</v>
      </c>
      <c r="L25">
        <v>4098</v>
      </c>
      <c r="M25">
        <v>8726714</v>
      </c>
      <c r="N25">
        <v>1774</v>
      </c>
      <c r="O25">
        <v>1148</v>
      </c>
      <c r="P25">
        <v>1230</v>
      </c>
      <c r="Q25">
        <v>3737099</v>
      </c>
      <c r="R25">
        <v>573</v>
      </c>
      <c r="S25">
        <v>6645</v>
      </c>
      <c r="T25">
        <v>7080</v>
      </c>
      <c r="U25">
        <v>8361076</v>
      </c>
      <c r="V25">
        <v>7086</v>
      </c>
      <c r="W25">
        <v>2347</v>
      </c>
      <c r="X25">
        <v>2500</v>
      </c>
      <c r="Y25">
        <v>2702163</v>
      </c>
      <c r="Z25">
        <v>533</v>
      </c>
      <c r="AA25">
        <v>574</v>
      </c>
      <c r="AB25">
        <v>572</v>
      </c>
      <c r="AC25">
        <v>450992</v>
      </c>
      <c r="AD25">
        <v>49</v>
      </c>
      <c r="AE25">
        <v>5032</v>
      </c>
      <c r="AF25">
        <v>6931</v>
      </c>
      <c r="AG25">
        <v>5578618</v>
      </c>
      <c r="AH25">
        <v>3467</v>
      </c>
      <c r="AI25">
        <v>7469</v>
      </c>
      <c r="AJ25">
        <v>7582</v>
      </c>
      <c r="AK25">
        <v>4308874</v>
      </c>
      <c r="AL25">
        <v>1283</v>
      </c>
    </row>
    <row r="26" spans="1:38" x14ac:dyDescent="0.4">
      <c r="A26" s="1" t="s">
        <v>40</v>
      </c>
      <c r="B26" s="1" t="s">
        <v>41</v>
      </c>
      <c r="C26">
        <v>2401</v>
      </c>
      <c r="D26">
        <v>2877</v>
      </c>
      <c r="E26">
        <v>4884295</v>
      </c>
      <c r="F26">
        <v>2635</v>
      </c>
      <c r="G26">
        <v>1934</v>
      </c>
      <c r="H26">
        <v>2302</v>
      </c>
      <c r="I26">
        <v>4724770</v>
      </c>
      <c r="J26">
        <v>1457</v>
      </c>
      <c r="K26">
        <v>4546</v>
      </c>
      <c r="L26">
        <v>4890</v>
      </c>
      <c r="M26">
        <v>10907737</v>
      </c>
      <c r="N26">
        <v>1704</v>
      </c>
      <c r="O26">
        <v>1358</v>
      </c>
      <c r="P26">
        <v>1464</v>
      </c>
      <c r="Q26">
        <v>4440751</v>
      </c>
      <c r="R26">
        <v>550</v>
      </c>
      <c r="S26">
        <v>7741</v>
      </c>
      <c r="T26">
        <v>8102</v>
      </c>
      <c r="U26">
        <v>9532862</v>
      </c>
      <c r="V26">
        <v>6959</v>
      </c>
      <c r="W26">
        <v>2584</v>
      </c>
      <c r="X26">
        <v>2535</v>
      </c>
      <c r="Y26">
        <v>2794526</v>
      </c>
      <c r="Z26">
        <v>636</v>
      </c>
      <c r="AA26">
        <v>603</v>
      </c>
      <c r="AB26">
        <v>621</v>
      </c>
      <c r="AC26">
        <v>481307</v>
      </c>
      <c r="AD26">
        <v>40</v>
      </c>
      <c r="AE26">
        <v>5047</v>
      </c>
      <c r="AF26">
        <v>7204</v>
      </c>
      <c r="AG26">
        <v>5745602</v>
      </c>
      <c r="AH26">
        <v>3228</v>
      </c>
      <c r="AI26">
        <v>8559</v>
      </c>
      <c r="AJ26">
        <v>8881</v>
      </c>
      <c r="AK26">
        <v>4979400</v>
      </c>
      <c r="AL26">
        <v>962</v>
      </c>
    </row>
    <row r="27" spans="1:38" x14ac:dyDescent="0.4">
      <c r="A27" s="1" t="s">
        <v>42</v>
      </c>
      <c r="B27" s="1" t="s">
        <v>43</v>
      </c>
      <c r="C27">
        <v>2465</v>
      </c>
      <c r="D27">
        <v>2981</v>
      </c>
      <c r="E27">
        <v>5190252</v>
      </c>
      <c r="F27">
        <v>2641</v>
      </c>
      <c r="G27">
        <v>2013</v>
      </c>
      <c r="H27">
        <v>2442</v>
      </c>
      <c r="I27">
        <v>5230414</v>
      </c>
      <c r="J27">
        <v>1420</v>
      </c>
      <c r="K27">
        <v>4146</v>
      </c>
      <c r="L27">
        <v>4216</v>
      </c>
      <c r="M27">
        <v>9116787</v>
      </c>
      <c r="N27">
        <v>1792</v>
      </c>
      <c r="O27">
        <v>1394</v>
      </c>
      <c r="P27">
        <v>1492</v>
      </c>
      <c r="Q27">
        <v>4726515</v>
      </c>
      <c r="R27">
        <v>543</v>
      </c>
      <c r="S27">
        <v>9327</v>
      </c>
      <c r="T27">
        <v>9285</v>
      </c>
      <c r="U27">
        <v>11073334</v>
      </c>
      <c r="V27">
        <v>7192</v>
      </c>
      <c r="W27">
        <v>2714</v>
      </c>
      <c r="X27">
        <v>2778</v>
      </c>
      <c r="Y27">
        <v>3295703</v>
      </c>
      <c r="Z27">
        <v>651</v>
      </c>
      <c r="AA27">
        <v>594</v>
      </c>
      <c r="AB27">
        <v>593</v>
      </c>
      <c r="AC27">
        <v>467203</v>
      </c>
      <c r="AD27">
        <v>41</v>
      </c>
      <c r="AE27">
        <v>4704</v>
      </c>
      <c r="AF27">
        <v>6010</v>
      </c>
      <c r="AG27">
        <v>5000196</v>
      </c>
      <c r="AH27">
        <v>3522</v>
      </c>
      <c r="AI27">
        <v>7764</v>
      </c>
      <c r="AJ27">
        <v>7752</v>
      </c>
      <c r="AK27">
        <v>4289497</v>
      </c>
      <c r="AL27">
        <v>974</v>
      </c>
    </row>
    <row r="28" spans="1:38" x14ac:dyDescent="0.4">
      <c r="A28" s="1" t="s">
        <v>44</v>
      </c>
      <c r="B28" s="1" t="s">
        <v>45</v>
      </c>
      <c r="C28">
        <v>2265</v>
      </c>
      <c r="D28">
        <v>2776</v>
      </c>
      <c r="E28">
        <v>4943292</v>
      </c>
      <c r="F28">
        <v>2608</v>
      </c>
      <c r="G28">
        <v>1951</v>
      </c>
      <c r="H28">
        <v>2388</v>
      </c>
      <c r="I28">
        <v>5176130</v>
      </c>
      <c r="J28">
        <v>1416</v>
      </c>
      <c r="K28">
        <v>3996</v>
      </c>
      <c r="L28">
        <v>4330</v>
      </c>
      <c r="M28">
        <v>9704837</v>
      </c>
      <c r="N28">
        <v>1803</v>
      </c>
      <c r="O28">
        <v>1340</v>
      </c>
      <c r="P28">
        <v>1442</v>
      </c>
      <c r="Q28">
        <v>4584109</v>
      </c>
      <c r="R28">
        <v>540</v>
      </c>
      <c r="S28">
        <v>8156</v>
      </c>
      <c r="T28">
        <v>8032</v>
      </c>
      <c r="U28">
        <v>10021757</v>
      </c>
      <c r="V28">
        <v>7519</v>
      </c>
      <c r="W28">
        <v>2466</v>
      </c>
      <c r="X28">
        <v>2550</v>
      </c>
      <c r="Y28">
        <v>3098988</v>
      </c>
      <c r="Z28">
        <v>617</v>
      </c>
      <c r="AA28">
        <v>569</v>
      </c>
      <c r="AB28">
        <v>574</v>
      </c>
      <c r="AC28">
        <v>502129</v>
      </c>
      <c r="AD28">
        <v>37</v>
      </c>
      <c r="AE28">
        <v>4683</v>
      </c>
      <c r="AF28">
        <v>6074</v>
      </c>
      <c r="AG28">
        <v>4925017</v>
      </c>
      <c r="AH28">
        <v>3632</v>
      </c>
      <c r="AI28">
        <v>7118</v>
      </c>
      <c r="AJ28">
        <v>7029</v>
      </c>
      <c r="AK28">
        <v>4082093</v>
      </c>
      <c r="AL28">
        <v>1064</v>
      </c>
    </row>
    <row r="29" spans="1:38" x14ac:dyDescent="0.4">
      <c r="A29" s="1" t="s">
        <v>46</v>
      </c>
      <c r="B29" s="1" t="s">
        <v>47</v>
      </c>
      <c r="C29">
        <v>2475</v>
      </c>
      <c r="D29">
        <v>2908</v>
      </c>
      <c r="E29">
        <v>5266347</v>
      </c>
      <c r="F29">
        <v>2638</v>
      </c>
      <c r="G29">
        <v>2007</v>
      </c>
      <c r="H29">
        <v>2347</v>
      </c>
      <c r="I29">
        <v>5083579</v>
      </c>
      <c r="J29">
        <v>1483</v>
      </c>
      <c r="K29">
        <v>4357</v>
      </c>
      <c r="L29">
        <v>4662</v>
      </c>
      <c r="M29">
        <v>10325426</v>
      </c>
      <c r="N29">
        <v>1862</v>
      </c>
      <c r="O29">
        <v>1370</v>
      </c>
      <c r="P29">
        <v>1452</v>
      </c>
      <c r="Q29">
        <v>4650441</v>
      </c>
      <c r="R29">
        <v>559</v>
      </c>
      <c r="S29">
        <v>8249</v>
      </c>
      <c r="T29">
        <v>8220</v>
      </c>
      <c r="U29">
        <v>10359325</v>
      </c>
      <c r="V29">
        <v>7752</v>
      </c>
      <c r="W29">
        <v>2484</v>
      </c>
      <c r="X29">
        <v>2541</v>
      </c>
      <c r="Y29">
        <v>3197309</v>
      </c>
      <c r="Z29">
        <v>618</v>
      </c>
      <c r="AA29">
        <v>647</v>
      </c>
      <c r="AB29">
        <v>648</v>
      </c>
      <c r="AC29">
        <v>541460</v>
      </c>
      <c r="AD29">
        <v>37</v>
      </c>
      <c r="AE29">
        <v>5074</v>
      </c>
      <c r="AF29">
        <v>6819</v>
      </c>
      <c r="AG29">
        <v>5516545</v>
      </c>
      <c r="AH29">
        <v>3545</v>
      </c>
      <c r="AI29">
        <v>7459</v>
      </c>
      <c r="AJ29">
        <v>7576</v>
      </c>
      <c r="AK29">
        <v>4335210</v>
      </c>
      <c r="AL29">
        <v>947</v>
      </c>
    </row>
    <row r="30" spans="1:38" x14ac:dyDescent="0.4">
      <c r="A30" s="1" t="s">
        <v>48</v>
      </c>
      <c r="B30" s="1" t="s">
        <v>49</v>
      </c>
      <c r="C30">
        <v>2655</v>
      </c>
      <c r="D30">
        <v>3212</v>
      </c>
      <c r="E30">
        <v>5670665</v>
      </c>
      <c r="F30">
        <v>2639</v>
      </c>
      <c r="G30">
        <v>2044</v>
      </c>
      <c r="H30">
        <v>2479</v>
      </c>
      <c r="I30">
        <v>5456379</v>
      </c>
      <c r="J30">
        <v>1570</v>
      </c>
      <c r="K30">
        <v>4669</v>
      </c>
      <c r="L30">
        <v>5206</v>
      </c>
      <c r="M30">
        <v>11777397</v>
      </c>
      <c r="N30">
        <v>1771</v>
      </c>
      <c r="O30">
        <v>1464</v>
      </c>
      <c r="P30">
        <v>1561</v>
      </c>
      <c r="Q30">
        <v>4956811</v>
      </c>
      <c r="R30">
        <v>583</v>
      </c>
      <c r="S30">
        <v>8897</v>
      </c>
      <c r="T30">
        <v>8807</v>
      </c>
      <c r="U30">
        <v>10948832</v>
      </c>
      <c r="V30">
        <v>8043</v>
      </c>
      <c r="W30">
        <v>2742</v>
      </c>
      <c r="X30">
        <v>2783</v>
      </c>
      <c r="Y30">
        <v>3524539</v>
      </c>
      <c r="Z30">
        <v>646</v>
      </c>
      <c r="AA30">
        <v>652</v>
      </c>
      <c r="AB30">
        <v>652</v>
      </c>
      <c r="AC30">
        <v>505297</v>
      </c>
      <c r="AD30">
        <v>38</v>
      </c>
      <c r="AE30">
        <v>5289</v>
      </c>
      <c r="AF30">
        <v>7305</v>
      </c>
      <c r="AG30">
        <v>5925091</v>
      </c>
      <c r="AH30">
        <v>3527</v>
      </c>
      <c r="AI30">
        <v>7858</v>
      </c>
      <c r="AJ30">
        <v>7690</v>
      </c>
      <c r="AK30">
        <v>4550047</v>
      </c>
      <c r="AL30">
        <v>1113</v>
      </c>
    </row>
    <row r="31" spans="1:38" x14ac:dyDescent="0.4">
      <c r="A31" s="1" t="s">
        <v>50</v>
      </c>
      <c r="B31" s="1" t="s">
        <v>51</v>
      </c>
      <c r="C31">
        <v>1948</v>
      </c>
      <c r="D31">
        <v>2375</v>
      </c>
      <c r="E31">
        <v>4056435</v>
      </c>
      <c r="F31">
        <v>2658</v>
      </c>
      <c r="G31">
        <v>1451</v>
      </c>
      <c r="H31">
        <v>1833</v>
      </c>
      <c r="I31">
        <v>4031738</v>
      </c>
      <c r="J31">
        <v>1619</v>
      </c>
      <c r="K31">
        <v>3491</v>
      </c>
      <c r="L31">
        <v>3737</v>
      </c>
      <c r="M31">
        <v>8879548</v>
      </c>
      <c r="N31">
        <v>1715</v>
      </c>
      <c r="O31">
        <v>1050</v>
      </c>
      <c r="P31">
        <v>1140</v>
      </c>
      <c r="Q31">
        <v>3625986</v>
      </c>
      <c r="R31">
        <v>606</v>
      </c>
      <c r="S31">
        <v>6207</v>
      </c>
      <c r="T31">
        <v>6423</v>
      </c>
      <c r="U31">
        <v>8141053</v>
      </c>
      <c r="V31">
        <v>8014</v>
      </c>
      <c r="W31">
        <v>2050</v>
      </c>
      <c r="X31">
        <v>2249</v>
      </c>
      <c r="Y31">
        <v>2726490</v>
      </c>
      <c r="Z31">
        <v>500</v>
      </c>
      <c r="AA31">
        <v>567</v>
      </c>
      <c r="AB31">
        <v>575</v>
      </c>
      <c r="AC31">
        <v>488697</v>
      </c>
      <c r="AD31">
        <v>32</v>
      </c>
      <c r="AE31">
        <v>4486</v>
      </c>
      <c r="AF31">
        <v>5982</v>
      </c>
      <c r="AG31">
        <v>5138597</v>
      </c>
      <c r="AH31">
        <v>3660</v>
      </c>
      <c r="AI31">
        <v>6469</v>
      </c>
      <c r="AJ31">
        <v>6581</v>
      </c>
      <c r="AK31">
        <v>3905405</v>
      </c>
      <c r="AL31">
        <v>1001</v>
      </c>
    </row>
    <row r="32" spans="1:38" x14ac:dyDescent="0.4">
      <c r="A32" s="1" t="s">
        <v>52</v>
      </c>
      <c r="B32" s="1" t="s">
        <v>53</v>
      </c>
      <c r="C32">
        <v>2321</v>
      </c>
      <c r="D32">
        <v>2828</v>
      </c>
      <c r="E32">
        <v>5067800</v>
      </c>
      <c r="F32">
        <v>2722</v>
      </c>
      <c r="G32">
        <v>1891</v>
      </c>
      <c r="H32">
        <v>2351</v>
      </c>
      <c r="I32">
        <v>5138639</v>
      </c>
      <c r="J32">
        <v>1641</v>
      </c>
      <c r="K32">
        <v>4557</v>
      </c>
      <c r="L32">
        <v>5233</v>
      </c>
      <c r="M32">
        <v>12262813</v>
      </c>
      <c r="N32">
        <v>1667</v>
      </c>
      <c r="O32">
        <v>1325</v>
      </c>
      <c r="P32">
        <v>1448</v>
      </c>
      <c r="Q32">
        <v>4833210</v>
      </c>
      <c r="R32">
        <v>605</v>
      </c>
      <c r="S32">
        <v>8229</v>
      </c>
      <c r="T32">
        <v>8405</v>
      </c>
      <c r="U32">
        <v>10018779</v>
      </c>
      <c r="V32">
        <v>8040</v>
      </c>
      <c r="W32">
        <v>2759</v>
      </c>
      <c r="X32">
        <v>2706</v>
      </c>
      <c r="Y32">
        <v>3362117</v>
      </c>
      <c r="Z32">
        <v>621</v>
      </c>
      <c r="AA32">
        <v>693</v>
      </c>
      <c r="AB32">
        <v>690</v>
      </c>
      <c r="AC32">
        <v>550119</v>
      </c>
      <c r="AD32">
        <v>36</v>
      </c>
      <c r="AE32">
        <v>5212</v>
      </c>
      <c r="AF32">
        <v>7259</v>
      </c>
      <c r="AG32">
        <v>5755462</v>
      </c>
      <c r="AH32">
        <v>3625</v>
      </c>
      <c r="AI32">
        <v>7878</v>
      </c>
      <c r="AJ32">
        <v>8170</v>
      </c>
      <c r="AK32">
        <v>4848495</v>
      </c>
      <c r="AL32">
        <v>709</v>
      </c>
    </row>
    <row r="33" spans="1:38" x14ac:dyDescent="0.4">
      <c r="A33" s="1" t="s">
        <v>54</v>
      </c>
      <c r="B33" s="1" t="s">
        <v>55</v>
      </c>
      <c r="C33">
        <v>2604</v>
      </c>
      <c r="D33">
        <v>3157</v>
      </c>
      <c r="E33">
        <v>5703384</v>
      </c>
      <c r="F33">
        <v>2742</v>
      </c>
      <c r="G33">
        <v>2064</v>
      </c>
      <c r="H33">
        <v>2564</v>
      </c>
      <c r="I33">
        <v>5577382</v>
      </c>
      <c r="J33">
        <v>1592</v>
      </c>
      <c r="K33">
        <v>4911</v>
      </c>
      <c r="L33">
        <v>5720</v>
      </c>
      <c r="M33">
        <v>12800626</v>
      </c>
      <c r="N33">
        <v>1573</v>
      </c>
      <c r="O33">
        <v>1554</v>
      </c>
      <c r="P33">
        <v>1684</v>
      </c>
      <c r="Q33">
        <v>5394584</v>
      </c>
      <c r="R33">
        <v>591</v>
      </c>
      <c r="S33">
        <v>8591</v>
      </c>
      <c r="T33">
        <v>8776</v>
      </c>
      <c r="U33">
        <v>10868435</v>
      </c>
      <c r="V33">
        <v>8082</v>
      </c>
      <c r="W33">
        <v>3054</v>
      </c>
      <c r="X33">
        <v>3149</v>
      </c>
      <c r="Y33">
        <v>3819484</v>
      </c>
      <c r="Z33">
        <v>600</v>
      </c>
      <c r="AA33">
        <v>782</v>
      </c>
      <c r="AB33">
        <v>783</v>
      </c>
      <c r="AC33">
        <v>549558</v>
      </c>
      <c r="AD33">
        <v>35</v>
      </c>
      <c r="AE33">
        <v>5802</v>
      </c>
      <c r="AF33">
        <v>8262</v>
      </c>
      <c r="AG33">
        <v>6647031</v>
      </c>
      <c r="AH33">
        <v>3353</v>
      </c>
      <c r="AI33">
        <v>8368</v>
      </c>
      <c r="AJ33">
        <v>8096</v>
      </c>
      <c r="AK33">
        <v>4759650</v>
      </c>
      <c r="AL33">
        <v>981</v>
      </c>
    </row>
    <row r="34" spans="1:38" x14ac:dyDescent="0.4">
      <c r="A34" s="1" t="s">
        <v>56</v>
      </c>
      <c r="B34" s="1" t="s">
        <v>57</v>
      </c>
      <c r="C34">
        <v>2212</v>
      </c>
      <c r="D34">
        <v>2725</v>
      </c>
      <c r="E34">
        <v>4978483</v>
      </c>
      <c r="F34">
        <v>2673</v>
      </c>
      <c r="G34">
        <v>1799</v>
      </c>
      <c r="H34">
        <v>2170</v>
      </c>
      <c r="I34">
        <v>4684912</v>
      </c>
      <c r="J34">
        <v>1589</v>
      </c>
      <c r="K34">
        <v>3862</v>
      </c>
      <c r="L34">
        <v>4474</v>
      </c>
      <c r="M34">
        <v>10468359</v>
      </c>
      <c r="N34">
        <v>1489</v>
      </c>
      <c r="O34">
        <v>1342</v>
      </c>
      <c r="P34">
        <v>1459</v>
      </c>
      <c r="Q34">
        <v>4741972</v>
      </c>
      <c r="R34">
        <v>565</v>
      </c>
      <c r="S34">
        <v>7353</v>
      </c>
      <c r="T34">
        <v>7682</v>
      </c>
      <c r="U34">
        <v>9374415</v>
      </c>
      <c r="V34">
        <v>7934</v>
      </c>
      <c r="W34">
        <v>2579</v>
      </c>
      <c r="X34">
        <v>2685</v>
      </c>
      <c r="Y34">
        <v>3240939</v>
      </c>
      <c r="Z34">
        <v>555</v>
      </c>
      <c r="AA34">
        <v>671</v>
      </c>
      <c r="AB34">
        <v>680</v>
      </c>
      <c r="AC34">
        <v>532168</v>
      </c>
      <c r="AD34">
        <v>29</v>
      </c>
      <c r="AE34">
        <v>5324</v>
      </c>
      <c r="AF34">
        <v>7281</v>
      </c>
      <c r="AG34">
        <v>5929236</v>
      </c>
      <c r="AH34">
        <v>3506</v>
      </c>
      <c r="AI34">
        <v>7286</v>
      </c>
      <c r="AJ34">
        <v>7362</v>
      </c>
      <c r="AK34">
        <v>4365540</v>
      </c>
      <c r="AL34">
        <v>906</v>
      </c>
    </row>
    <row r="35" spans="1:38" x14ac:dyDescent="0.4">
      <c r="A35" s="1" t="s">
        <v>58</v>
      </c>
      <c r="B35" s="1" t="s">
        <v>59</v>
      </c>
      <c r="C35">
        <v>2270</v>
      </c>
      <c r="D35">
        <v>2794</v>
      </c>
      <c r="E35">
        <v>5032143</v>
      </c>
      <c r="F35">
        <v>2586</v>
      </c>
      <c r="G35">
        <v>1872</v>
      </c>
      <c r="H35">
        <v>2332</v>
      </c>
      <c r="I35">
        <v>4996120</v>
      </c>
      <c r="J35">
        <v>1472</v>
      </c>
      <c r="K35">
        <v>3902</v>
      </c>
      <c r="L35">
        <v>4366</v>
      </c>
      <c r="M35">
        <v>10348386</v>
      </c>
      <c r="N35">
        <v>1504</v>
      </c>
      <c r="O35">
        <v>1311</v>
      </c>
      <c r="P35">
        <v>1425</v>
      </c>
      <c r="Q35">
        <v>4622856</v>
      </c>
      <c r="R35">
        <v>530</v>
      </c>
      <c r="S35">
        <v>7370</v>
      </c>
      <c r="T35">
        <v>7621</v>
      </c>
      <c r="U35">
        <v>9468870</v>
      </c>
      <c r="V35">
        <v>7865</v>
      </c>
      <c r="W35">
        <v>2733</v>
      </c>
      <c r="X35">
        <v>2793</v>
      </c>
      <c r="Y35">
        <v>3352603</v>
      </c>
      <c r="Z35">
        <v>563</v>
      </c>
      <c r="AA35">
        <v>650</v>
      </c>
      <c r="AB35">
        <v>655</v>
      </c>
      <c r="AC35">
        <v>493352</v>
      </c>
      <c r="AD35">
        <v>29</v>
      </c>
      <c r="AE35">
        <v>5476</v>
      </c>
      <c r="AF35">
        <v>7719</v>
      </c>
      <c r="AG35">
        <v>6302824</v>
      </c>
      <c r="AH35">
        <v>3432</v>
      </c>
      <c r="AI35">
        <v>7390</v>
      </c>
      <c r="AJ35">
        <v>7434</v>
      </c>
      <c r="AK35">
        <v>4440202</v>
      </c>
      <c r="AL35">
        <v>862</v>
      </c>
    </row>
    <row r="36" spans="1:38" x14ac:dyDescent="0.4">
      <c r="A36" s="1" t="s">
        <v>60</v>
      </c>
      <c r="B36" s="1" t="s">
        <v>61</v>
      </c>
      <c r="C36">
        <v>2007</v>
      </c>
      <c r="D36">
        <v>2454</v>
      </c>
      <c r="E36">
        <v>4286624</v>
      </c>
      <c r="F36">
        <v>2653</v>
      </c>
      <c r="G36">
        <v>1767</v>
      </c>
      <c r="H36">
        <v>2168</v>
      </c>
      <c r="I36">
        <v>4701801</v>
      </c>
      <c r="J36">
        <v>1565</v>
      </c>
      <c r="K36">
        <v>3551</v>
      </c>
      <c r="L36">
        <v>4128</v>
      </c>
      <c r="M36">
        <v>9111502</v>
      </c>
      <c r="N36">
        <v>1569</v>
      </c>
      <c r="O36">
        <v>1166</v>
      </c>
      <c r="P36">
        <v>1246</v>
      </c>
      <c r="Q36">
        <v>4086348</v>
      </c>
      <c r="R36">
        <v>559</v>
      </c>
      <c r="S36">
        <v>6895</v>
      </c>
      <c r="T36">
        <v>6938</v>
      </c>
      <c r="U36">
        <v>8612147</v>
      </c>
      <c r="V36">
        <v>8018</v>
      </c>
      <c r="W36">
        <v>2648</v>
      </c>
      <c r="X36">
        <v>2689</v>
      </c>
      <c r="Y36">
        <v>3222669</v>
      </c>
      <c r="Z36">
        <v>581</v>
      </c>
      <c r="AA36">
        <v>625</v>
      </c>
      <c r="AB36">
        <v>629</v>
      </c>
      <c r="AC36">
        <v>452378</v>
      </c>
      <c r="AD36">
        <v>25</v>
      </c>
      <c r="AE36">
        <v>4940</v>
      </c>
      <c r="AF36">
        <v>6764</v>
      </c>
      <c r="AG36">
        <v>5353906</v>
      </c>
      <c r="AH36">
        <v>3414</v>
      </c>
      <c r="AI36">
        <v>6208</v>
      </c>
      <c r="AJ36">
        <v>6251</v>
      </c>
      <c r="AK36">
        <v>3808859</v>
      </c>
      <c r="AL36">
        <v>822</v>
      </c>
    </row>
    <row r="37" spans="1:38" x14ac:dyDescent="0.4">
      <c r="A37" s="1" t="s">
        <v>62</v>
      </c>
      <c r="B37" s="1" t="s">
        <v>63</v>
      </c>
      <c r="C37">
        <v>1746</v>
      </c>
      <c r="D37">
        <v>2229</v>
      </c>
      <c r="E37">
        <v>3999266</v>
      </c>
      <c r="F37">
        <v>2564</v>
      </c>
      <c r="G37">
        <v>1603</v>
      </c>
      <c r="H37">
        <v>2025</v>
      </c>
      <c r="I37">
        <v>4397373</v>
      </c>
      <c r="J37">
        <v>1532</v>
      </c>
      <c r="K37">
        <v>3212</v>
      </c>
      <c r="L37">
        <v>3844</v>
      </c>
      <c r="M37">
        <v>8254644</v>
      </c>
      <c r="N37">
        <v>1587</v>
      </c>
      <c r="O37">
        <v>1115</v>
      </c>
      <c r="P37">
        <v>1206</v>
      </c>
      <c r="Q37">
        <v>3856091</v>
      </c>
      <c r="R37">
        <v>552</v>
      </c>
      <c r="S37">
        <v>6231</v>
      </c>
      <c r="T37">
        <v>6875</v>
      </c>
      <c r="U37">
        <v>8486319</v>
      </c>
      <c r="V37">
        <v>7502</v>
      </c>
      <c r="W37">
        <v>2339</v>
      </c>
      <c r="X37">
        <v>2478</v>
      </c>
      <c r="Y37">
        <v>3034626</v>
      </c>
      <c r="Z37">
        <v>499</v>
      </c>
      <c r="AA37">
        <v>569</v>
      </c>
      <c r="AB37">
        <v>575</v>
      </c>
      <c r="AC37">
        <v>492046</v>
      </c>
      <c r="AD37">
        <v>19</v>
      </c>
      <c r="AE37">
        <v>5043</v>
      </c>
      <c r="AF37">
        <v>7015</v>
      </c>
      <c r="AG37">
        <v>5643434</v>
      </c>
      <c r="AH37">
        <v>3299</v>
      </c>
      <c r="AI37">
        <v>6475</v>
      </c>
      <c r="AJ37">
        <v>6566</v>
      </c>
      <c r="AK37">
        <v>4026958</v>
      </c>
      <c r="AL37">
        <v>732</v>
      </c>
    </row>
    <row r="38" spans="1:38" x14ac:dyDescent="0.4">
      <c r="A38" s="1" t="s">
        <v>64</v>
      </c>
      <c r="B38" s="1" t="s">
        <v>65</v>
      </c>
      <c r="C38">
        <v>2170</v>
      </c>
      <c r="D38">
        <v>2666</v>
      </c>
      <c r="E38">
        <v>4665725</v>
      </c>
      <c r="F38">
        <v>2513</v>
      </c>
      <c r="G38">
        <v>1918</v>
      </c>
      <c r="H38">
        <v>2281</v>
      </c>
      <c r="I38">
        <v>4904392</v>
      </c>
      <c r="J38">
        <v>1575</v>
      </c>
      <c r="K38">
        <v>4053</v>
      </c>
      <c r="L38">
        <v>4311</v>
      </c>
      <c r="M38">
        <v>9975346</v>
      </c>
      <c r="N38">
        <v>1592</v>
      </c>
      <c r="O38">
        <v>1340</v>
      </c>
      <c r="P38">
        <v>1450</v>
      </c>
      <c r="Q38">
        <v>4628335</v>
      </c>
      <c r="R38">
        <v>533</v>
      </c>
      <c r="S38">
        <v>7544</v>
      </c>
      <c r="T38">
        <v>8261</v>
      </c>
      <c r="U38">
        <v>10111053</v>
      </c>
      <c r="V38">
        <v>6923</v>
      </c>
      <c r="W38">
        <v>2737</v>
      </c>
      <c r="X38">
        <v>2729</v>
      </c>
      <c r="Y38">
        <v>3325182</v>
      </c>
      <c r="Z38">
        <v>565</v>
      </c>
      <c r="AA38">
        <v>534</v>
      </c>
      <c r="AB38">
        <v>537</v>
      </c>
      <c r="AC38">
        <v>450795</v>
      </c>
      <c r="AD38">
        <v>27</v>
      </c>
      <c r="AE38">
        <v>4929</v>
      </c>
      <c r="AF38">
        <v>7519</v>
      </c>
      <c r="AG38">
        <v>5869883</v>
      </c>
      <c r="AH38">
        <v>3264</v>
      </c>
      <c r="AI38">
        <v>7147</v>
      </c>
      <c r="AJ38">
        <v>7214</v>
      </c>
      <c r="AK38">
        <v>4346656</v>
      </c>
      <c r="AL38">
        <v>665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C928-66FA-47F2-B2A6-D4AF04243838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3039</v>
      </c>
      <c r="D3" t="s">
        <v>3039</v>
      </c>
      <c r="E3" t="s">
        <v>3039</v>
      </c>
      <c r="F3" t="s">
        <v>3039</v>
      </c>
      <c r="G3" t="s">
        <v>3041</v>
      </c>
      <c r="H3" t="s">
        <v>3041</v>
      </c>
      <c r="I3" t="s">
        <v>3041</v>
      </c>
      <c r="J3" t="s">
        <v>3041</v>
      </c>
      <c r="K3" t="s">
        <v>3043</v>
      </c>
      <c r="L3" t="s">
        <v>3043</v>
      </c>
      <c r="M3" t="s">
        <v>3043</v>
      </c>
      <c r="N3" t="s">
        <v>3043</v>
      </c>
      <c r="O3" t="s">
        <v>3045</v>
      </c>
      <c r="P3" t="s">
        <v>3045</v>
      </c>
      <c r="Q3" t="s">
        <v>3045</v>
      </c>
      <c r="R3" t="s">
        <v>3045</v>
      </c>
      <c r="S3" t="s">
        <v>3047</v>
      </c>
      <c r="T3" t="s">
        <v>3047</v>
      </c>
      <c r="U3" t="s">
        <v>3047</v>
      </c>
      <c r="V3" t="s">
        <v>3047</v>
      </c>
      <c r="W3" t="s">
        <v>3049</v>
      </c>
      <c r="X3" t="s">
        <v>3049</v>
      </c>
      <c r="Y3" t="s">
        <v>3049</v>
      </c>
      <c r="Z3" t="s">
        <v>3049</v>
      </c>
      <c r="AA3" t="s">
        <v>3051</v>
      </c>
      <c r="AB3" t="s">
        <v>3051</v>
      </c>
      <c r="AC3" t="s">
        <v>3051</v>
      </c>
      <c r="AD3" t="s">
        <v>3051</v>
      </c>
      <c r="AE3" t="s">
        <v>3053</v>
      </c>
      <c r="AF3" t="s">
        <v>3053</v>
      </c>
      <c r="AG3" t="s">
        <v>3053</v>
      </c>
      <c r="AH3" t="s">
        <v>3053</v>
      </c>
      <c r="AI3" t="s">
        <v>3055</v>
      </c>
      <c r="AJ3" t="s">
        <v>3055</v>
      </c>
      <c r="AK3" t="s">
        <v>3055</v>
      </c>
      <c r="AL3" t="s">
        <v>3055</v>
      </c>
      <c r="AM3" t="s">
        <v>3057</v>
      </c>
      <c r="AN3" t="s">
        <v>3057</v>
      </c>
      <c r="AO3" t="s">
        <v>3057</v>
      </c>
      <c r="AP3" t="s">
        <v>3057</v>
      </c>
      <c r="AQ3" t="s">
        <v>3059</v>
      </c>
      <c r="AR3" t="s">
        <v>3059</v>
      </c>
      <c r="AS3" t="s">
        <v>3059</v>
      </c>
      <c r="AT3" t="s">
        <v>3059</v>
      </c>
      <c r="AU3" t="s">
        <v>3061</v>
      </c>
      <c r="AV3" t="s">
        <v>3061</v>
      </c>
      <c r="AW3" t="s">
        <v>3061</v>
      </c>
      <c r="AX3" t="s">
        <v>3061</v>
      </c>
      <c r="AY3" t="s">
        <v>3063</v>
      </c>
      <c r="AZ3" t="s">
        <v>3063</v>
      </c>
      <c r="BA3" t="s">
        <v>3063</v>
      </c>
      <c r="BB3" t="s">
        <v>3063</v>
      </c>
      <c r="BC3" t="s">
        <v>3065</v>
      </c>
      <c r="BD3" t="s">
        <v>3065</v>
      </c>
      <c r="BE3" t="s">
        <v>3065</v>
      </c>
      <c r="BF3" t="s">
        <v>3065</v>
      </c>
      <c r="BG3" t="s">
        <v>3068</v>
      </c>
      <c r="BH3" t="s">
        <v>3068</v>
      </c>
      <c r="BI3" t="s">
        <v>3068</v>
      </c>
      <c r="BJ3" t="s">
        <v>3068</v>
      </c>
    </row>
    <row r="4" spans="1:62" x14ac:dyDescent="0.4">
      <c r="A4" s="1"/>
      <c r="B4" s="2" t="s">
        <v>1</v>
      </c>
      <c r="C4" t="s">
        <v>3040</v>
      </c>
      <c r="D4" t="s">
        <v>3040</v>
      </c>
      <c r="E4" t="s">
        <v>3040</v>
      </c>
      <c r="F4" t="s">
        <v>3040</v>
      </c>
      <c r="G4" t="s">
        <v>3042</v>
      </c>
      <c r="H4" t="s">
        <v>3042</v>
      </c>
      <c r="I4" t="s">
        <v>3042</v>
      </c>
      <c r="J4" t="s">
        <v>3042</v>
      </c>
      <c r="K4" t="s">
        <v>3044</v>
      </c>
      <c r="L4" t="s">
        <v>3044</v>
      </c>
      <c r="M4" t="s">
        <v>3044</v>
      </c>
      <c r="N4" t="s">
        <v>3044</v>
      </c>
      <c r="O4" t="s">
        <v>3046</v>
      </c>
      <c r="P4" t="s">
        <v>3046</v>
      </c>
      <c r="Q4" t="s">
        <v>3046</v>
      </c>
      <c r="R4" t="s">
        <v>3046</v>
      </c>
      <c r="S4" t="s">
        <v>3048</v>
      </c>
      <c r="T4" t="s">
        <v>3048</v>
      </c>
      <c r="U4" t="s">
        <v>3048</v>
      </c>
      <c r="V4" t="s">
        <v>3048</v>
      </c>
      <c r="W4" t="s">
        <v>3050</v>
      </c>
      <c r="X4" t="s">
        <v>3050</v>
      </c>
      <c r="Y4" t="s">
        <v>3050</v>
      </c>
      <c r="Z4" t="s">
        <v>3050</v>
      </c>
      <c r="AA4" t="s">
        <v>3052</v>
      </c>
      <c r="AB4" t="s">
        <v>3052</v>
      </c>
      <c r="AC4" t="s">
        <v>3052</v>
      </c>
      <c r="AD4" t="s">
        <v>3052</v>
      </c>
      <c r="AE4" t="s">
        <v>3054</v>
      </c>
      <c r="AF4" t="s">
        <v>3054</v>
      </c>
      <c r="AG4" t="s">
        <v>3054</v>
      </c>
      <c r="AH4" t="s">
        <v>3054</v>
      </c>
      <c r="AI4" t="s">
        <v>3056</v>
      </c>
      <c r="AJ4" t="s">
        <v>3056</v>
      </c>
      <c r="AK4" t="s">
        <v>3056</v>
      </c>
      <c r="AL4" t="s">
        <v>3056</v>
      </c>
      <c r="AM4" t="s">
        <v>3058</v>
      </c>
      <c r="AN4" t="s">
        <v>3058</v>
      </c>
      <c r="AO4" t="s">
        <v>3058</v>
      </c>
      <c r="AP4" t="s">
        <v>3058</v>
      </c>
      <c r="AQ4" t="s">
        <v>3060</v>
      </c>
      <c r="AR4" t="s">
        <v>3060</v>
      </c>
      <c r="AS4" t="s">
        <v>3060</v>
      </c>
      <c r="AT4" t="s">
        <v>3060</v>
      </c>
      <c r="AU4" t="s">
        <v>3062</v>
      </c>
      <c r="AV4" t="s">
        <v>3062</v>
      </c>
      <c r="AW4" t="s">
        <v>3062</v>
      </c>
      <c r="AX4" t="s">
        <v>3062</v>
      </c>
      <c r="AY4" t="s">
        <v>3064</v>
      </c>
      <c r="AZ4" t="s">
        <v>3064</v>
      </c>
      <c r="BA4" t="s">
        <v>3064</v>
      </c>
      <c r="BB4" t="s">
        <v>3064</v>
      </c>
      <c r="BC4" t="s">
        <v>3066</v>
      </c>
      <c r="BD4" t="s">
        <v>3066</v>
      </c>
      <c r="BE4" t="s">
        <v>3066</v>
      </c>
      <c r="BF4" t="s">
        <v>3066</v>
      </c>
      <c r="BG4" t="s">
        <v>3070</v>
      </c>
      <c r="BH4" t="s">
        <v>3070</v>
      </c>
      <c r="BI4" t="s">
        <v>3070</v>
      </c>
      <c r="BJ4" t="s">
        <v>3070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</row>
    <row r="7" spans="1:62" ht="20.25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743</v>
      </c>
      <c r="AJ7" t="s">
        <v>743</v>
      </c>
      <c r="AK7" t="s">
        <v>341</v>
      </c>
      <c r="AL7" t="s">
        <v>743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2088</v>
      </c>
      <c r="BD7" t="s">
        <v>2088</v>
      </c>
      <c r="BE7" t="s">
        <v>341</v>
      </c>
      <c r="BF7" t="s">
        <v>2088</v>
      </c>
      <c r="BG7" s="5" t="s">
        <v>3069</v>
      </c>
      <c r="BH7" s="5" t="s">
        <v>3069</v>
      </c>
      <c r="BI7" t="s">
        <v>341</v>
      </c>
      <c r="BJ7" s="5" t="s">
        <v>3069</v>
      </c>
    </row>
    <row r="8" spans="1:62" ht="20.25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745</v>
      </c>
      <c r="AJ8" t="s">
        <v>745</v>
      </c>
      <c r="AK8" t="s">
        <v>342</v>
      </c>
      <c r="AL8" t="s">
        <v>745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3067</v>
      </c>
      <c r="BD8" t="s">
        <v>3067</v>
      </c>
      <c r="BE8" t="s">
        <v>342</v>
      </c>
      <c r="BF8" t="s">
        <v>3067</v>
      </c>
      <c r="BG8" s="5" t="s">
        <v>3069</v>
      </c>
      <c r="BH8" s="5" t="s">
        <v>3069</v>
      </c>
      <c r="BI8" t="s">
        <v>342</v>
      </c>
      <c r="BJ8" s="5" t="s">
        <v>3069</v>
      </c>
    </row>
    <row r="9" spans="1:62" x14ac:dyDescent="0.4">
      <c r="A9" s="1" t="s">
        <v>6</v>
      </c>
      <c r="B9" s="3" t="s">
        <v>7</v>
      </c>
      <c r="C9">
        <v>3907832</v>
      </c>
      <c r="D9">
        <v>3671981</v>
      </c>
      <c r="E9">
        <v>32309335</v>
      </c>
      <c r="F9">
        <v>163604</v>
      </c>
      <c r="G9">
        <v>34406817</v>
      </c>
      <c r="H9">
        <v>34426443</v>
      </c>
      <c r="I9">
        <v>240829681</v>
      </c>
      <c r="J9">
        <v>806918</v>
      </c>
      <c r="K9">
        <v>10417516</v>
      </c>
      <c r="L9">
        <v>9775222</v>
      </c>
      <c r="M9">
        <v>65206942</v>
      </c>
      <c r="N9">
        <v>166899</v>
      </c>
      <c r="O9">
        <v>1351157</v>
      </c>
      <c r="P9">
        <v>1481915</v>
      </c>
      <c r="Q9">
        <v>9665873</v>
      </c>
      <c r="R9">
        <v>35820</v>
      </c>
      <c r="S9">
        <v>47234987</v>
      </c>
      <c r="T9">
        <v>5518360</v>
      </c>
      <c r="U9">
        <v>21960670</v>
      </c>
      <c r="V9">
        <v>806209</v>
      </c>
      <c r="W9">
        <v>123724</v>
      </c>
      <c r="X9">
        <v>118299</v>
      </c>
      <c r="Y9">
        <v>6610080</v>
      </c>
      <c r="Z9">
        <v>53138</v>
      </c>
      <c r="AA9">
        <v>437175</v>
      </c>
      <c r="AB9">
        <v>441790</v>
      </c>
      <c r="AC9">
        <v>31229020</v>
      </c>
      <c r="AD9">
        <v>108234</v>
      </c>
      <c r="AE9">
        <v>1357146</v>
      </c>
      <c r="AF9">
        <v>1330021</v>
      </c>
      <c r="AG9">
        <v>32866196</v>
      </c>
      <c r="AH9">
        <v>211731</v>
      </c>
      <c r="AI9">
        <v>60612</v>
      </c>
      <c r="AJ9">
        <v>65162</v>
      </c>
      <c r="AK9">
        <v>13566352</v>
      </c>
      <c r="AL9">
        <v>5502</v>
      </c>
      <c r="AM9">
        <v>472748</v>
      </c>
      <c r="AN9">
        <v>507620</v>
      </c>
      <c r="AO9">
        <v>8567291</v>
      </c>
      <c r="AP9">
        <v>196063</v>
      </c>
      <c r="AQ9">
        <v>1954027</v>
      </c>
      <c r="AR9">
        <v>2017247</v>
      </c>
      <c r="AS9">
        <v>55405281</v>
      </c>
      <c r="AT9">
        <v>831309</v>
      </c>
      <c r="AU9">
        <v>147541</v>
      </c>
      <c r="AV9">
        <v>141769</v>
      </c>
      <c r="AW9">
        <v>5882478</v>
      </c>
      <c r="AX9">
        <v>36807</v>
      </c>
      <c r="AY9">
        <v>555060</v>
      </c>
      <c r="AZ9">
        <v>540238</v>
      </c>
      <c r="BA9">
        <v>15322547</v>
      </c>
      <c r="BB9">
        <v>171676</v>
      </c>
      <c r="BC9">
        <v>26373</v>
      </c>
      <c r="BD9">
        <v>31209</v>
      </c>
      <c r="BE9">
        <v>57086591</v>
      </c>
      <c r="BF9">
        <v>2440</v>
      </c>
      <c r="BG9">
        <v>1227378</v>
      </c>
      <c r="BH9">
        <v>1222873</v>
      </c>
      <c r="BI9">
        <v>43969583</v>
      </c>
      <c r="BJ9">
        <v>45789</v>
      </c>
    </row>
    <row r="10" spans="1:62" x14ac:dyDescent="0.4">
      <c r="A10" s="1" t="s">
        <v>8</v>
      </c>
      <c r="B10" s="3" t="s">
        <v>9</v>
      </c>
      <c r="C10">
        <v>3958597</v>
      </c>
      <c r="D10">
        <v>3660018</v>
      </c>
      <c r="E10">
        <v>37995441</v>
      </c>
      <c r="F10">
        <v>173257</v>
      </c>
      <c r="G10">
        <v>33689067</v>
      </c>
      <c r="H10">
        <v>33848865</v>
      </c>
      <c r="I10">
        <v>279582338</v>
      </c>
      <c r="J10">
        <v>809083</v>
      </c>
      <c r="K10">
        <v>9925582</v>
      </c>
      <c r="L10">
        <v>9127872</v>
      </c>
      <c r="M10">
        <v>67837885</v>
      </c>
      <c r="N10">
        <v>169096</v>
      </c>
      <c r="O10">
        <v>959326</v>
      </c>
      <c r="P10">
        <v>968018</v>
      </c>
      <c r="Q10">
        <v>9025043</v>
      </c>
      <c r="R10">
        <v>36890</v>
      </c>
      <c r="S10">
        <v>45313590</v>
      </c>
      <c r="T10">
        <v>4391490</v>
      </c>
      <c r="U10">
        <v>21584049</v>
      </c>
      <c r="V10">
        <v>714195</v>
      </c>
      <c r="W10">
        <v>116991</v>
      </c>
      <c r="X10">
        <v>117868</v>
      </c>
      <c r="Y10">
        <v>7094341</v>
      </c>
      <c r="Z10">
        <v>52105</v>
      </c>
      <c r="AA10">
        <v>376653</v>
      </c>
      <c r="AB10">
        <v>382922</v>
      </c>
      <c r="AC10">
        <v>26403565</v>
      </c>
      <c r="AD10">
        <v>104056</v>
      </c>
      <c r="AE10">
        <v>1498561</v>
      </c>
      <c r="AF10">
        <v>1474146</v>
      </c>
      <c r="AG10">
        <v>42142697</v>
      </c>
      <c r="AH10">
        <v>223050</v>
      </c>
      <c r="AI10">
        <v>57361</v>
      </c>
      <c r="AJ10">
        <v>62374</v>
      </c>
      <c r="AK10">
        <v>13376059</v>
      </c>
      <c r="AL10">
        <v>5346</v>
      </c>
      <c r="AM10">
        <v>399295</v>
      </c>
      <c r="AN10">
        <v>470046</v>
      </c>
      <c r="AO10">
        <v>7933197</v>
      </c>
      <c r="AP10">
        <v>192245</v>
      </c>
      <c r="AQ10">
        <v>1769863</v>
      </c>
      <c r="AR10">
        <v>1829539</v>
      </c>
      <c r="AS10">
        <v>53090718</v>
      </c>
      <c r="AT10">
        <v>797940</v>
      </c>
      <c r="AU10">
        <v>152922</v>
      </c>
      <c r="AV10">
        <v>162431</v>
      </c>
      <c r="AW10">
        <v>6617592</v>
      </c>
      <c r="AX10">
        <v>27287</v>
      </c>
      <c r="AY10">
        <v>440132</v>
      </c>
      <c r="AZ10">
        <v>495109</v>
      </c>
      <c r="BA10">
        <v>14743818</v>
      </c>
      <c r="BB10">
        <v>111205</v>
      </c>
      <c r="BC10">
        <v>26779</v>
      </c>
      <c r="BD10">
        <v>30394</v>
      </c>
      <c r="BE10">
        <v>56723427</v>
      </c>
      <c r="BF10">
        <v>3437</v>
      </c>
      <c r="BG10">
        <v>1262593</v>
      </c>
      <c r="BH10">
        <v>1254835</v>
      </c>
      <c r="BI10">
        <v>45939587</v>
      </c>
      <c r="BJ10">
        <v>47488</v>
      </c>
    </row>
    <row r="11" spans="1:62" x14ac:dyDescent="0.4">
      <c r="A11" s="1" t="s">
        <v>10</v>
      </c>
      <c r="B11" s="3" t="s">
        <v>11</v>
      </c>
      <c r="C11">
        <v>3558462</v>
      </c>
      <c r="D11">
        <v>3314425</v>
      </c>
      <c r="E11">
        <v>41903463</v>
      </c>
      <c r="F11">
        <v>141112</v>
      </c>
      <c r="G11">
        <v>30997943</v>
      </c>
      <c r="H11">
        <v>31170343</v>
      </c>
      <c r="I11">
        <v>319346573</v>
      </c>
      <c r="J11">
        <v>814588</v>
      </c>
      <c r="K11">
        <v>9109450</v>
      </c>
      <c r="L11">
        <v>8394172</v>
      </c>
      <c r="M11">
        <v>76406373</v>
      </c>
      <c r="N11">
        <v>200190</v>
      </c>
      <c r="O11">
        <v>808983</v>
      </c>
      <c r="P11">
        <v>812881</v>
      </c>
      <c r="Q11">
        <v>9943694</v>
      </c>
      <c r="R11">
        <v>24530</v>
      </c>
      <c r="S11">
        <v>40526081</v>
      </c>
      <c r="T11">
        <v>2753436</v>
      </c>
      <c r="U11">
        <v>17101035</v>
      </c>
      <c r="V11">
        <v>709440</v>
      </c>
      <c r="W11">
        <v>106676</v>
      </c>
      <c r="X11">
        <v>110942</v>
      </c>
      <c r="Y11">
        <v>6977951</v>
      </c>
      <c r="Z11">
        <v>45557</v>
      </c>
      <c r="AA11">
        <v>353665</v>
      </c>
      <c r="AB11">
        <v>367294</v>
      </c>
      <c r="AC11">
        <v>28012410</v>
      </c>
      <c r="AD11">
        <v>92548</v>
      </c>
      <c r="AE11">
        <v>1292249</v>
      </c>
      <c r="AF11">
        <v>1270329</v>
      </c>
      <c r="AG11">
        <v>38637723</v>
      </c>
      <c r="AH11">
        <v>238419</v>
      </c>
      <c r="AI11">
        <v>56605</v>
      </c>
      <c r="AJ11">
        <v>58805</v>
      </c>
      <c r="AK11">
        <v>13307341</v>
      </c>
      <c r="AL11">
        <v>5794</v>
      </c>
      <c r="AM11">
        <v>388012</v>
      </c>
      <c r="AN11">
        <v>473443</v>
      </c>
      <c r="AO11">
        <v>8613655</v>
      </c>
      <c r="AP11">
        <v>195447</v>
      </c>
      <c r="AQ11">
        <v>1670514</v>
      </c>
      <c r="AR11">
        <v>1709964</v>
      </c>
      <c r="AS11">
        <v>55586530</v>
      </c>
      <c r="AT11">
        <v>791645</v>
      </c>
      <c r="AU11">
        <v>126347</v>
      </c>
      <c r="AV11">
        <v>122244</v>
      </c>
      <c r="AW11">
        <v>5484841</v>
      </c>
      <c r="AX11">
        <v>31321</v>
      </c>
      <c r="AY11">
        <v>395537</v>
      </c>
      <c r="AZ11">
        <v>345889</v>
      </c>
      <c r="BA11">
        <v>11753120</v>
      </c>
      <c r="BB11">
        <v>160108</v>
      </c>
      <c r="BC11">
        <v>24437</v>
      </c>
      <c r="BD11">
        <v>28350</v>
      </c>
      <c r="BE11">
        <v>57870899</v>
      </c>
      <c r="BF11">
        <v>2945</v>
      </c>
      <c r="BG11">
        <v>1251786</v>
      </c>
      <c r="BH11">
        <v>1221476</v>
      </c>
      <c r="BI11">
        <v>48755173</v>
      </c>
      <c r="BJ11">
        <v>44072</v>
      </c>
    </row>
    <row r="12" spans="1:62" x14ac:dyDescent="0.4">
      <c r="A12" s="1" t="s">
        <v>12</v>
      </c>
      <c r="B12" s="3" t="s">
        <v>13</v>
      </c>
      <c r="C12">
        <v>3686542</v>
      </c>
      <c r="D12">
        <v>3400045</v>
      </c>
      <c r="E12">
        <v>46260249</v>
      </c>
      <c r="F12">
        <v>150709</v>
      </c>
      <c r="G12">
        <v>29136528</v>
      </c>
      <c r="H12">
        <v>29336818</v>
      </c>
      <c r="I12">
        <v>318132360</v>
      </c>
      <c r="J12">
        <v>812460</v>
      </c>
      <c r="K12">
        <v>8447499</v>
      </c>
      <c r="L12">
        <v>7802344</v>
      </c>
      <c r="M12">
        <v>77204535</v>
      </c>
      <c r="N12">
        <v>165591</v>
      </c>
      <c r="O12">
        <v>757915</v>
      </c>
      <c r="P12">
        <v>743667</v>
      </c>
      <c r="Q12">
        <v>9800685</v>
      </c>
      <c r="R12">
        <v>35958</v>
      </c>
      <c r="S12">
        <v>39714831</v>
      </c>
      <c r="T12">
        <v>3940099</v>
      </c>
      <c r="U12">
        <v>21068010</v>
      </c>
      <c r="V12">
        <v>697660</v>
      </c>
      <c r="W12">
        <v>95894</v>
      </c>
      <c r="X12">
        <v>96250</v>
      </c>
      <c r="Y12">
        <v>6315548</v>
      </c>
      <c r="Z12">
        <v>45007</v>
      </c>
      <c r="AA12">
        <v>344094</v>
      </c>
      <c r="AB12">
        <v>348046</v>
      </c>
      <c r="AC12">
        <v>27346425</v>
      </c>
      <c r="AD12">
        <v>91671</v>
      </c>
      <c r="AE12">
        <v>1117554</v>
      </c>
      <c r="AF12">
        <v>1132085</v>
      </c>
      <c r="AG12">
        <v>38625209</v>
      </c>
      <c r="AH12">
        <v>218019</v>
      </c>
      <c r="AI12">
        <v>55176</v>
      </c>
      <c r="AJ12">
        <v>56987</v>
      </c>
      <c r="AK12">
        <v>13076282</v>
      </c>
      <c r="AL12">
        <v>5766</v>
      </c>
      <c r="AM12">
        <v>326464</v>
      </c>
      <c r="AN12">
        <v>393840</v>
      </c>
      <c r="AO12">
        <v>7626715</v>
      </c>
      <c r="AP12">
        <v>176119</v>
      </c>
      <c r="AQ12">
        <v>1605121</v>
      </c>
      <c r="AR12">
        <v>1633413</v>
      </c>
      <c r="AS12">
        <v>55427095</v>
      </c>
      <c r="AT12">
        <v>786914</v>
      </c>
      <c r="AU12">
        <v>119202</v>
      </c>
      <c r="AV12">
        <v>126314</v>
      </c>
      <c r="AW12">
        <v>5398637</v>
      </c>
      <c r="AX12">
        <v>23978</v>
      </c>
      <c r="AY12">
        <v>486201</v>
      </c>
      <c r="AZ12">
        <v>517842</v>
      </c>
      <c r="BA12">
        <v>16960105</v>
      </c>
      <c r="BB12">
        <v>128279</v>
      </c>
      <c r="BC12">
        <v>24628</v>
      </c>
      <c r="BD12">
        <v>27122</v>
      </c>
      <c r="BE12">
        <v>57377219</v>
      </c>
      <c r="BF12">
        <v>3237</v>
      </c>
      <c r="BG12">
        <v>1248086</v>
      </c>
      <c r="BH12">
        <v>1168423</v>
      </c>
      <c r="BI12">
        <v>50887025</v>
      </c>
      <c r="BJ12">
        <v>48704</v>
      </c>
    </row>
    <row r="13" spans="1:62" x14ac:dyDescent="0.4">
      <c r="A13" s="1" t="s">
        <v>14</v>
      </c>
      <c r="B13" s="3" t="s">
        <v>15</v>
      </c>
      <c r="C13">
        <v>3413034</v>
      </c>
      <c r="D13">
        <v>3221024</v>
      </c>
      <c r="E13">
        <v>46850723</v>
      </c>
      <c r="F13">
        <v>152409</v>
      </c>
      <c r="G13">
        <v>26985191</v>
      </c>
      <c r="H13">
        <v>27237276</v>
      </c>
      <c r="I13">
        <v>317413621</v>
      </c>
      <c r="J13">
        <v>825898</v>
      </c>
      <c r="K13">
        <v>8133388</v>
      </c>
      <c r="L13">
        <v>7561945</v>
      </c>
      <c r="M13">
        <v>79175993</v>
      </c>
      <c r="N13">
        <v>173185</v>
      </c>
      <c r="O13">
        <v>983180</v>
      </c>
      <c r="P13">
        <v>987652</v>
      </c>
      <c r="Q13">
        <v>13585941</v>
      </c>
      <c r="R13">
        <v>33214</v>
      </c>
      <c r="S13">
        <v>38442629</v>
      </c>
      <c r="T13">
        <v>4777670</v>
      </c>
      <c r="U13">
        <v>22012530</v>
      </c>
      <c r="V13">
        <v>749122</v>
      </c>
      <c r="W13">
        <v>102111</v>
      </c>
      <c r="X13">
        <v>95028</v>
      </c>
      <c r="Y13">
        <v>6583537</v>
      </c>
      <c r="Z13">
        <v>52958</v>
      </c>
      <c r="AA13">
        <v>315726</v>
      </c>
      <c r="AB13">
        <v>324292</v>
      </c>
      <c r="AC13">
        <v>27032476</v>
      </c>
      <c r="AD13">
        <v>86188</v>
      </c>
      <c r="AE13">
        <v>1392987</v>
      </c>
      <c r="AF13">
        <v>1372097</v>
      </c>
      <c r="AG13">
        <v>51590839</v>
      </c>
      <c r="AH13">
        <v>275278</v>
      </c>
      <c r="AI13">
        <v>54482</v>
      </c>
      <c r="AJ13">
        <v>56117</v>
      </c>
      <c r="AK13">
        <v>13422852</v>
      </c>
      <c r="AL13">
        <v>6060</v>
      </c>
      <c r="AM13">
        <v>277510</v>
      </c>
      <c r="AN13">
        <v>265878</v>
      </c>
      <c r="AO13">
        <v>5703245</v>
      </c>
      <c r="AP13">
        <v>147392</v>
      </c>
      <c r="AQ13">
        <v>1484389</v>
      </c>
      <c r="AR13">
        <v>1545914</v>
      </c>
      <c r="AS13">
        <v>55732021</v>
      </c>
      <c r="AT13">
        <v>750681</v>
      </c>
      <c r="AU13">
        <v>101602</v>
      </c>
      <c r="AV13">
        <v>101395</v>
      </c>
      <c r="AW13">
        <v>4693605</v>
      </c>
      <c r="AX13">
        <v>21014</v>
      </c>
      <c r="AY13">
        <v>388926</v>
      </c>
      <c r="AZ13">
        <v>368152</v>
      </c>
      <c r="BA13">
        <v>15743473</v>
      </c>
      <c r="BB13">
        <v>150975</v>
      </c>
      <c r="BC13">
        <v>23613</v>
      </c>
      <c r="BD13">
        <v>26760</v>
      </c>
      <c r="BE13">
        <v>57217129</v>
      </c>
      <c r="BF13">
        <v>3241</v>
      </c>
      <c r="BG13">
        <v>1196910</v>
      </c>
      <c r="BH13">
        <v>1132354</v>
      </c>
      <c r="BI13">
        <v>51225884</v>
      </c>
      <c r="BJ13">
        <v>46168</v>
      </c>
    </row>
    <row r="14" spans="1:62" x14ac:dyDescent="0.4">
      <c r="A14" s="1" t="s">
        <v>16</v>
      </c>
      <c r="B14" s="1" t="s">
        <v>17</v>
      </c>
      <c r="C14">
        <v>399747</v>
      </c>
      <c r="D14">
        <v>361591</v>
      </c>
      <c r="E14">
        <v>4936676</v>
      </c>
      <c r="F14">
        <v>163295</v>
      </c>
      <c r="G14">
        <v>2468626</v>
      </c>
      <c r="H14">
        <v>2391687</v>
      </c>
      <c r="I14">
        <v>26151593</v>
      </c>
      <c r="J14">
        <v>919450</v>
      </c>
      <c r="K14">
        <v>719967</v>
      </c>
      <c r="L14">
        <v>646693</v>
      </c>
      <c r="M14">
        <v>6507965</v>
      </c>
      <c r="N14">
        <v>171139</v>
      </c>
      <c r="O14">
        <v>64384</v>
      </c>
      <c r="P14">
        <v>65925</v>
      </c>
      <c r="Q14">
        <v>820584</v>
      </c>
      <c r="R14">
        <v>22608</v>
      </c>
      <c r="S14">
        <v>3519667</v>
      </c>
      <c r="T14">
        <v>520482</v>
      </c>
      <c r="U14">
        <v>2950046</v>
      </c>
      <c r="V14">
        <v>757289</v>
      </c>
      <c r="W14">
        <v>7484</v>
      </c>
      <c r="X14">
        <v>8040</v>
      </c>
      <c r="Y14">
        <v>543304</v>
      </c>
      <c r="Z14">
        <v>41793</v>
      </c>
      <c r="AA14">
        <v>27900</v>
      </c>
      <c r="AB14">
        <v>28536</v>
      </c>
      <c r="AC14">
        <v>2205660</v>
      </c>
      <c r="AD14">
        <v>93525</v>
      </c>
      <c r="AE14">
        <v>99020</v>
      </c>
      <c r="AF14">
        <v>101123</v>
      </c>
      <c r="AG14">
        <v>3471996</v>
      </c>
      <c r="AH14">
        <v>226695</v>
      </c>
      <c r="AI14">
        <v>4577</v>
      </c>
      <c r="AJ14">
        <v>4711</v>
      </c>
      <c r="AK14">
        <v>1023058</v>
      </c>
      <c r="AL14">
        <v>5952</v>
      </c>
      <c r="AM14">
        <v>27812</v>
      </c>
      <c r="AN14">
        <v>34798</v>
      </c>
      <c r="AO14">
        <v>649662</v>
      </c>
      <c r="AP14">
        <v>171652</v>
      </c>
      <c r="AQ14">
        <v>136869</v>
      </c>
      <c r="AR14">
        <v>136732</v>
      </c>
      <c r="AS14">
        <v>4635462</v>
      </c>
      <c r="AT14">
        <v>761419</v>
      </c>
      <c r="AU14">
        <v>10267</v>
      </c>
      <c r="AV14">
        <v>10733</v>
      </c>
      <c r="AW14">
        <v>431007</v>
      </c>
      <c r="AX14">
        <v>31566</v>
      </c>
      <c r="AY14">
        <v>40688</v>
      </c>
      <c r="AZ14">
        <v>39477</v>
      </c>
      <c r="BA14">
        <v>1435522</v>
      </c>
      <c r="BB14">
        <v>159038</v>
      </c>
      <c r="BC14">
        <v>2333</v>
      </c>
      <c r="BD14">
        <v>2214</v>
      </c>
      <c r="BE14">
        <v>4685816</v>
      </c>
      <c r="BF14">
        <v>3284</v>
      </c>
      <c r="BG14">
        <v>105474</v>
      </c>
      <c r="BH14">
        <v>93693</v>
      </c>
      <c r="BI14">
        <v>4017101</v>
      </c>
      <c r="BJ14">
        <v>48193</v>
      </c>
    </row>
    <row r="15" spans="1:62" x14ac:dyDescent="0.4">
      <c r="A15" s="1" t="s">
        <v>18</v>
      </c>
      <c r="B15" s="1" t="s">
        <v>19</v>
      </c>
      <c r="C15">
        <v>237059</v>
      </c>
      <c r="D15">
        <v>213585</v>
      </c>
      <c r="E15">
        <v>2815519</v>
      </c>
      <c r="F15">
        <v>158910</v>
      </c>
      <c r="G15">
        <v>2325555</v>
      </c>
      <c r="H15">
        <v>2418830</v>
      </c>
      <c r="I15">
        <v>26254679</v>
      </c>
      <c r="J15">
        <v>816780</v>
      </c>
      <c r="K15">
        <v>636657</v>
      </c>
      <c r="L15">
        <v>580668</v>
      </c>
      <c r="M15">
        <v>5625951</v>
      </c>
      <c r="N15">
        <v>177987</v>
      </c>
      <c r="O15">
        <v>35999</v>
      </c>
      <c r="P15">
        <v>38010</v>
      </c>
      <c r="Q15">
        <v>509602</v>
      </c>
      <c r="R15">
        <v>20632</v>
      </c>
      <c r="S15">
        <v>3141321</v>
      </c>
      <c r="T15">
        <v>326148</v>
      </c>
      <c r="U15">
        <v>1797906</v>
      </c>
      <c r="V15">
        <v>815017</v>
      </c>
      <c r="W15">
        <v>8212</v>
      </c>
      <c r="X15">
        <v>6049</v>
      </c>
      <c r="Y15">
        <v>406660</v>
      </c>
      <c r="Z15">
        <v>44079</v>
      </c>
      <c r="AA15">
        <v>29519</v>
      </c>
      <c r="AB15">
        <v>29309</v>
      </c>
      <c r="AC15">
        <v>2267404</v>
      </c>
      <c r="AD15">
        <v>94601</v>
      </c>
      <c r="AE15">
        <v>92321</v>
      </c>
      <c r="AF15">
        <v>110582</v>
      </c>
      <c r="AG15">
        <v>3454436</v>
      </c>
      <c r="AH15">
        <v>206428</v>
      </c>
      <c r="AI15">
        <v>5106</v>
      </c>
      <c r="AJ15">
        <v>5492</v>
      </c>
      <c r="AK15">
        <v>1210223</v>
      </c>
      <c r="AL15">
        <v>5738</v>
      </c>
      <c r="AM15">
        <v>30789</v>
      </c>
      <c r="AN15">
        <v>31947</v>
      </c>
      <c r="AO15">
        <v>586377</v>
      </c>
      <c r="AP15">
        <v>177894</v>
      </c>
      <c r="AQ15">
        <v>139938</v>
      </c>
      <c r="AR15">
        <v>125531</v>
      </c>
      <c r="AS15">
        <v>4088328</v>
      </c>
      <c r="AT15">
        <v>777619</v>
      </c>
      <c r="AU15">
        <v>10556</v>
      </c>
      <c r="AV15">
        <v>9808</v>
      </c>
      <c r="AW15">
        <v>383879</v>
      </c>
      <c r="AX15">
        <v>32311</v>
      </c>
      <c r="AY15">
        <v>39090</v>
      </c>
      <c r="AZ15">
        <v>40550</v>
      </c>
      <c r="BA15">
        <v>1210207</v>
      </c>
      <c r="BB15">
        <v>157595</v>
      </c>
      <c r="BC15">
        <v>1810</v>
      </c>
      <c r="BD15">
        <v>2174</v>
      </c>
      <c r="BE15">
        <v>4691392</v>
      </c>
      <c r="BF15">
        <v>3142</v>
      </c>
      <c r="BG15">
        <v>100386</v>
      </c>
      <c r="BH15">
        <v>93584</v>
      </c>
      <c r="BI15">
        <v>3999414</v>
      </c>
      <c r="BJ15">
        <v>48483</v>
      </c>
    </row>
    <row r="16" spans="1:62" x14ac:dyDescent="0.4">
      <c r="A16" s="1" t="s">
        <v>20</v>
      </c>
      <c r="B16" s="1" t="s">
        <v>21</v>
      </c>
      <c r="C16">
        <v>297198</v>
      </c>
      <c r="D16">
        <v>285707</v>
      </c>
      <c r="E16">
        <v>4011530</v>
      </c>
      <c r="F16">
        <v>150097</v>
      </c>
      <c r="G16">
        <v>2365964</v>
      </c>
      <c r="H16">
        <v>2453416</v>
      </c>
      <c r="I16">
        <v>26959475</v>
      </c>
      <c r="J16">
        <v>736108</v>
      </c>
      <c r="K16">
        <v>645386</v>
      </c>
      <c r="L16">
        <v>597455</v>
      </c>
      <c r="M16">
        <v>5909783</v>
      </c>
      <c r="N16">
        <v>169540</v>
      </c>
      <c r="O16">
        <v>84953</v>
      </c>
      <c r="P16">
        <v>62766</v>
      </c>
      <c r="Q16">
        <v>875575</v>
      </c>
      <c r="R16">
        <v>42786</v>
      </c>
      <c r="S16">
        <v>3307801</v>
      </c>
      <c r="T16">
        <v>401096</v>
      </c>
      <c r="U16">
        <v>2092247</v>
      </c>
      <c r="V16">
        <v>817706</v>
      </c>
      <c r="W16">
        <v>7724</v>
      </c>
      <c r="X16">
        <v>7076</v>
      </c>
      <c r="Y16">
        <v>459085</v>
      </c>
      <c r="Z16">
        <v>45021</v>
      </c>
      <c r="AA16">
        <v>29821</v>
      </c>
      <c r="AB16">
        <v>30072</v>
      </c>
      <c r="AC16">
        <v>2367423</v>
      </c>
      <c r="AD16">
        <v>94523</v>
      </c>
      <c r="AE16">
        <v>85422</v>
      </c>
      <c r="AF16">
        <v>95418</v>
      </c>
      <c r="AG16">
        <v>3106196</v>
      </c>
      <c r="AH16">
        <v>195279</v>
      </c>
      <c r="AI16">
        <v>4646</v>
      </c>
      <c r="AJ16">
        <v>4748</v>
      </c>
      <c r="AK16">
        <v>1072824</v>
      </c>
      <c r="AL16">
        <v>5753</v>
      </c>
      <c r="AM16">
        <v>28402</v>
      </c>
      <c r="AN16">
        <v>32078</v>
      </c>
      <c r="AO16">
        <v>578569</v>
      </c>
      <c r="AP16">
        <v>179642</v>
      </c>
      <c r="AQ16">
        <v>138807</v>
      </c>
      <c r="AR16">
        <v>126142</v>
      </c>
      <c r="AS16">
        <v>4100319</v>
      </c>
      <c r="AT16">
        <v>792114</v>
      </c>
      <c r="AU16">
        <v>10715</v>
      </c>
      <c r="AV16">
        <v>9985</v>
      </c>
      <c r="AW16">
        <v>424560</v>
      </c>
      <c r="AX16">
        <v>33040</v>
      </c>
      <c r="AY16">
        <v>40547</v>
      </c>
      <c r="AZ16">
        <v>43861</v>
      </c>
      <c r="BA16">
        <v>1340924</v>
      </c>
      <c r="BB16">
        <v>154281</v>
      </c>
      <c r="BC16">
        <v>1803</v>
      </c>
      <c r="BD16">
        <v>2237</v>
      </c>
      <c r="BE16">
        <v>4738938</v>
      </c>
      <c r="BF16">
        <v>2918</v>
      </c>
      <c r="BG16">
        <v>92731</v>
      </c>
      <c r="BH16">
        <v>88520</v>
      </c>
      <c r="BI16">
        <v>3825846</v>
      </c>
      <c r="BJ16">
        <v>46130</v>
      </c>
    </row>
    <row r="17" spans="1:62" x14ac:dyDescent="0.4">
      <c r="A17" s="1" t="s">
        <v>22</v>
      </c>
      <c r="B17" s="1" t="s">
        <v>23</v>
      </c>
      <c r="C17">
        <v>312970</v>
      </c>
      <c r="D17">
        <v>277203</v>
      </c>
      <c r="E17">
        <v>3841168</v>
      </c>
      <c r="F17">
        <v>165350</v>
      </c>
      <c r="G17">
        <v>2524439</v>
      </c>
      <c r="H17">
        <v>2466872</v>
      </c>
      <c r="I17">
        <v>27217647</v>
      </c>
      <c r="J17">
        <v>821215</v>
      </c>
      <c r="K17">
        <v>726167</v>
      </c>
      <c r="L17">
        <v>678076</v>
      </c>
      <c r="M17">
        <v>6760557</v>
      </c>
      <c r="N17">
        <v>154554</v>
      </c>
      <c r="O17">
        <v>54015</v>
      </c>
      <c r="P17">
        <v>70871</v>
      </c>
      <c r="Q17">
        <v>1010123</v>
      </c>
      <c r="R17">
        <v>25887</v>
      </c>
      <c r="S17">
        <v>3298309</v>
      </c>
      <c r="T17">
        <v>318027</v>
      </c>
      <c r="U17">
        <v>1636764</v>
      </c>
      <c r="V17">
        <v>705036</v>
      </c>
      <c r="W17">
        <v>8104</v>
      </c>
      <c r="X17">
        <v>6953</v>
      </c>
      <c r="Y17">
        <v>429158</v>
      </c>
      <c r="Z17">
        <v>45884</v>
      </c>
      <c r="AA17">
        <v>30046</v>
      </c>
      <c r="AB17">
        <v>29820</v>
      </c>
      <c r="AC17">
        <v>2379639</v>
      </c>
      <c r="AD17">
        <v>95028</v>
      </c>
      <c r="AE17">
        <v>91776</v>
      </c>
      <c r="AF17">
        <v>81703</v>
      </c>
      <c r="AG17">
        <v>2830549</v>
      </c>
      <c r="AH17">
        <v>204336</v>
      </c>
      <c r="AI17">
        <v>5045</v>
      </c>
      <c r="AJ17">
        <v>5139</v>
      </c>
      <c r="AK17">
        <v>1180914</v>
      </c>
      <c r="AL17">
        <v>5846</v>
      </c>
      <c r="AM17">
        <v>24750</v>
      </c>
      <c r="AN17">
        <v>22362</v>
      </c>
      <c r="AO17">
        <v>442627</v>
      </c>
      <c r="AP17">
        <v>184129</v>
      </c>
      <c r="AQ17">
        <v>132743</v>
      </c>
      <c r="AR17">
        <v>126243</v>
      </c>
      <c r="AS17">
        <v>4287685</v>
      </c>
      <c r="AT17">
        <v>800779</v>
      </c>
      <c r="AU17">
        <v>10369</v>
      </c>
      <c r="AV17">
        <v>11569</v>
      </c>
      <c r="AW17">
        <v>477954</v>
      </c>
      <c r="AX17">
        <v>31840</v>
      </c>
      <c r="AY17">
        <v>40904</v>
      </c>
      <c r="AZ17">
        <v>40759</v>
      </c>
      <c r="BA17">
        <v>1347166</v>
      </c>
      <c r="BB17">
        <v>154429</v>
      </c>
      <c r="BC17">
        <v>2215</v>
      </c>
      <c r="BD17">
        <v>2121</v>
      </c>
      <c r="BE17">
        <v>4511652</v>
      </c>
      <c r="BF17">
        <v>3111</v>
      </c>
      <c r="BG17">
        <v>103620</v>
      </c>
      <c r="BH17">
        <v>94713</v>
      </c>
      <c r="BI17">
        <v>4115023</v>
      </c>
      <c r="BJ17">
        <v>48868</v>
      </c>
    </row>
    <row r="18" spans="1:62" x14ac:dyDescent="0.4">
      <c r="A18" s="1" t="s">
        <v>24</v>
      </c>
      <c r="B18" s="1" t="s">
        <v>25</v>
      </c>
      <c r="C18">
        <v>210702</v>
      </c>
      <c r="D18">
        <v>202571</v>
      </c>
      <c r="E18">
        <v>2704199</v>
      </c>
      <c r="F18">
        <v>147491</v>
      </c>
      <c r="G18">
        <v>2526777</v>
      </c>
      <c r="H18">
        <v>2617151</v>
      </c>
      <c r="I18">
        <v>28237973</v>
      </c>
      <c r="J18">
        <v>738071</v>
      </c>
      <c r="K18">
        <v>685789</v>
      </c>
      <c r="L18">
        <v>647374</v>
      </c>
      <c r="M18">
        <v>6626065</v>
      </c>
      <c r="N18">
        <v>137648</v>
      </c>
      <c r="O18">
        <v>59325</v>
      </c>
      <c r="P18">
        <v>59395</v>
      </c>
      <c r="Q18">
        <v>836558</v>
      </c>
      <c r="R18">
        <v>25736</v>
      </c>
      <c r="S18">
        <v>3308624</v>
      </c>
      <c r="T18">
        <v>293837</v>
      </c>
      <c r="U18">
        <v>1438990</v>
      </c>
      <c r="V18">
        <v>734100</v>
      </c>
      <c r="W18">
        <v>8433</v>
      </c>
      <c r="X18">
        <v>10508</v>
      </c>
      <c r="Y18">
        <v>690517</v>
      </c>
      <c r="Z18">
        <v>43852</v>
      </c>
      <c r="AA18">
        <v>33016</v>
      </c>
      <c r="AB18">
        <v>30957</v>
      </c>
      <c r="AC18">
        <v>2470639</v>
      </c>
      <c r="AD18">
        <v>97388</v>
      </c>
      <c r="AE18">
        <v>102601</v>
      </c>
      <c r="AF18">
        <v>86319</v>
      </c>
      <c r="AG18">
        <v>3044195</v>
      </c>
      <c r="AH18">
        <v>219407</v>
      </c>
      <c r="AI18">
        <v>4613</v>
      </c>
      <c r="AJ18">
        <v>4835</v>
      </c>
      <c r="AK18">
        <v>1110207</v>
      </c>
      <c r="AL18">
        <v>5775</v>
      </c>
      <c r="AM18">
        <v>26733</v>
      </c>
      <c r="AN18">
        <v>24042</v>
      </c>
      <c r="AO18">
        <v>479890</v>
      </c>
      <c r="AP18">
        <v>188300</v>
      </c>
      <c r="AQ18">
        <v>135071</v>
      </c>
      <c r="AR18">
        <v>127726</v>
      </c>
      <c r="AS18">
        <v>4408175</v>
      </c>
      <c r="AT18">
        <v>811095</v>
      </c>
      <c r="AU18">
        <v>11592</v>
      </c>
      <c r="AV18">
        <v>13697</v>
      </c>
      <c r="AW18">
        <v>583424</v>
      </c>
      <c r="AX18">
        <v>29734</v>
      </c>
      <c r="AY18">
        <v>42232</v>
      </c>
      <c r="AZ18">
        <v>37165</v>
      </c>
      <c r="BA18">
        <v>1301264</v>
      </c>
      <c r="BB18">
        <v>159218</v>
      </c>
      <c r="BC18">
        <v>2335</v>
      </c>
      <c r="BD18">
        <v>2458</v>
      </c>
      <c r="BE18">
        <v>5110000</v>
      </c>
      <c r="BF18">
        <v>3282</v>
      </c>
      <c r="BG18">
        <v>111608</v>
      </c>
      <c r="BH18">
        <v>104503</v>
      </c>
      <c r="BI18">
        <v>4559206</v>
      </c>
      <c r="BJ18">
        <v>49385</v>
      </c>
    </row>
    <row r="19" spans="1:62" x14ac:dyDescent="0.4">
      <c r="A19" s="1" t="s">
        <v>26</v>
      </c>
      <c r="B19" s="1" t="s">
        <v>27</v>
      </c>
      <c r="C19">
        <v>246649</v>
      </c>
      <c r="D19">
        <v>218967</v>
      </c>
      <c r="E19">
        <v>3029310</v>
      </c>
      <c r="F19">
        <v>150824</v>
      </c>
      <c r="G19">
        <v>2322751</v>
      </c>
      <c r="H19">
        <v>2143098</v>
      </c>
      <c r="I19">
        <v>24012490</v>
      </c>
      <c r="J19">
        <v>915994</v>
      </c>
      <c r="K19">
        <v>613104</v>
      </c>
      <c r="L19">
        <v>544518</v>
      </c>
      <c r="M19">
        <v>5611457</v>
      </c>
      <c r="N19">
        <v>157229</v>
      </c>
      <c r="O19">
        <v>57886</v>
      </c>
      <c r="P19">
        <v>57293</v>
      </c>
      <c r="Q19">
        <v>716885</v>
      </c>
      <c r="R19">
        <v>26331</v>
      </c>
      <c r="S19">
        <v>3252026</v>
      </c>
      <c r="T19">
        <v>332189</v>
      </c>
      <c r="U19">
        <v>1842614</v>
      </c>
      <c r="V19">
        <v>877605</v>
      </c>
      <c r="W19">
        <v>6324</v>
      </c>
      <c r="X19">
        <v>5610</v>
      </c>
      <c r="Y19">
        <v>384958</v>
      </c>
      <c r="Z19">
        <v>44513</v>
      </c>
      <c r="AA19">
        <v>24510</v>
      </c>
      <c r="AB19">
        <v>25294</v>
      </c>
      <c r="AC19">
        <v>2032352</v>
      </c>
      <c r="AD19">
        <v>96940</v>
      </c>
      <c r="AE19">
        <v>78364</v>
      </c>
      <c r="AF19">
        <v>71997</v>
      </c>
      <c r="AG19">
        <v>2391931</v>
      </c>
      <c r="AH19">
        <v>224986</v>
      </c>
      <c r="AI19">
        <v>3806</v>
      </c>
      <c r="AJ19">
        <v>4036</v>
      </c>
      <c r="AK19">
        <v>947394</v>
      </c>
      <c r="AL19">
        <v>5664</v>
      </c>
      <c r="AM19">
        <v>21088</v>
      </c>
      <c r="AN19">
        <v>20423</v>
      </c>
      <c r="AO19">
        <v>418282</v>
      </c>
      <c r="AP19">
        <v>190898</v>
      </c>
      <c r="AQ19">
        <v>101388</v>
      </c>
      <c r="AR19">
        <v>106336</v>
      </c>
      <c r="AS19">
        <v>3697279</v>
      </c>
      <c r="AT19">
        <v>807978</v>
      </c>
      <c r="AU19">
        <v>8590</v>
      </c>
      <c r="AV19">
        <v>8737</v>
      </c>
      <c r="AW19">
        <v>392566</v>
      </c>
      <c r="AX19">
        <v>29589</v>
      </c>
      <c r="AY19">
        <v>40578</v>
      </c>
      <c r="AZ19">
        <v>38257</v>
      </c>
      <c r="BA19">
        <v>1150913</v>
      </c>
      <c r="BB19">
        <v>161551</v>
      </c>
      <c r="BC19">
        <v>1524</v>
      </c>
      <c r="BD19">
        <v>1948</v>
      </c>
      <c r="BE19">
        <v>4115719</v>
      </c>
      <c r="BF19">
        <v>3050</v>
      </c>
      <c r="BG19">
        <v>97451</v>
      </c>
      <c r="BH19">
        <v>91336</v>
      </c>
      <c r="BI19">
        <v>3935562</v>
      </c>
      <c r="BJ19">
        <v>48256</v>
      </c>
    </row>
    <row r="20" spans="1:62" x14ac:dyDescent="0.4">
      <c r="A20" s="1" t="s">
        <v>28</v>
      </c>
      <c r="B20" s="1" t="s">
        <v>29</v>
      </c>
      <c r="C20">
        <v>297805</v>
      </c>
      <c r="D20">
        <v>263855</v>
      </c>
      <c r="E20">
        <v>3613045</v>
      </c>
      <c r="F20">
        <v>159594</v>
      </c>
      <c r="G20">
        <v>2484260</v>
      </c>
      <c r="H20">
        <v>2560828</v>
      </c>
      <c r="I20">
        <v>27645644</v>
      </c>
      <c r="J20">
        <v>855834</v>
      </c>
      <c r="K20">
        <v>715206</v>
      </c>
      <c r="L20">
        <v>672368</v>
      </c>
      <c r="M20">
        <v>6752994</v>
      </c>
      <c r="N20">
        <v>136786</v>
      </c>
      <c r="O20">
        <v>76671</v>
      </c>
      <c r="P20">
        <v>78273</v>
      </c>
      <c r="Q20">
        <v>1075058</v>
      </c>
      <c r="R20">
        <v>23851</v>
      </c>
      <c r="S20">
        <v>3154938</v>
      </c>
      <c r="T20">
        <v>225771</v>
      </c>
      <c r="U20">
        <v>1226993</v>
      </c>
      <c r="V20">
        <v>768242</v>
      </c>
      <c r="W20">
        <v>7839</v>
      </c>
      <c r="X20">
        <v>7564</v>
      </c>
      <c r="Y20">
        <v>480751</v>
      </c>
      <c r="Z20">
        <v>44688</v>
      </c>
      <c r="AA20">
        <v>25413</v>
      </c>
      <c r="AB20">
        <v>28566</v>
      </c>
      <c r="AC20">
        <v>2233646</v>
      </c>
      <c r="AD20">
        <v>94072</v>
      </c>
      <c r="AE20">
        <v>89990</v>
      </c>
      <c r="AF20">
        <v>101800</v>
      </c>
      <c r="AG20">
        <v>3669982</v>
      </c>
      <c r="AH20">
        <v>212668</v>
      </c>
      <c r="AI20">
        <v>4592</v>
      </c>
      <c r="AJ20">
        <v>4846</v>
      </c>
      <c r="AK20">
        <v>1133111</v>
      </c>
      <c r="AL20">
        <v>5548</v>
      </c>
      <c r="AM20">
        <v>23855</v>
      </c>
      <c r="AN20">
        <v>26102</v>
      </c>
      <c r="AO20">
        <v>533137</v>
      </c>
      <c r="AP20">
        <v>191326</v>
      </c>
      <c r="AQ20">
        <v>119723</v>
      </c>
      <c r="AR20">
        <v>133994</v>
      </c>
      <c r="AS20">
        <v>4656968</v>
      </c>
      <c r="AT20">
        <v>795336</v>
      </c>
      <c r="AU20">
        <v>10015</v>
      </c>
      <c r="AV20">
        <v>12206</v>
      </c>
      <c r="AW20">
        <v>585276</v>
      </c>
      <c r="AX20">
        <v>27397</v>
      </c>
      <c r="AY20">
        <v>44861</v>
      </c>
      <c r="AZ20">
        <v>50449</v>
      </c>
      <c r="BA20">
        <v>1520093</v>
      </c>
      <c r="BB20">
        <v>155934</v>
      </c>
      <c r="BC20">
        <v>2330</v>
      </c>
      <c r="BD20">
        <v>2326</v>
      </c>
      <c r="BE20">
        <v>4943902</v>
      </c>
      <c r="BF20">
        <v>3277</v>
      </c>
      <c r="BG20">
        <v>111884</v>
      </c>
      <c r="BH20">
        <v>105207</v>
      </c>
      <c r="BI20">
        <v>4653815</v>
      </c>
      <c r="BJ20">
        <v>48369</v>
      </c>
    </row>
    <row r="21" spans="1:62" x14ac:dyDescent="0.4">
      <c r="A21" s="1" t="s">
        <v>30</v>
      </c>
      <c r="B21" s="1" t="s">
        <v>31</v>
      </c>
      <c r="C21">
        <v>286782</v>
      </c>
      <c r="D21">
        <v>276438</v>
      </c>
      <c r="E21">
        <v>3702924</v>
      </c>
      <c r="F21">
        <v>147431</v>
      </c>
      <c r="G21">
        <v>2551542</v>
      </c>
      <c r="H21">
        <v>2697310</v>
      </c>
      <c r="I21">
        <v>28578651</v>
      </c>
      <c r="J21">
        <v>745554</v>
      </c>
      <c r="K21">
        <v>855491</v>
      </c>
      <c r="L21">
        <v>794378</v>
      </c>
      <c r="M21">
        <v>7753002</v>
      </c>
      <c r="N21">
        <v>132704</v>
      </c>
      <c r="O21">
        <v>58389</v>
      </c>
      <c r="P21">
        <v>56215</v>
      </c>
      <c r="Q21">
        <v>759003</v>
      </c>
      <c r="R21">
        <v>25109</v>
      </c>
      <c r="S21">
        <v>3460889</v>
      </c>
      <c r="T21">
        <v>304185</v>
      </c>
      <c r="U21">
        <v>1662967</v>
      </c>
      <c r="V21">
        <v>775669</v>
      </c>
      <c r="W21">
        <v>10060</v>
      </c>
      <c r="X21">
        <v>9332</v>
      </c>
      <c r="Y21">
        <v>586741</v>
      </c>
      <c r="Z21">
        <v>45472</v>
      </c>
      <c r="AA21">
        <v>30235</v>
      </c>
      <c r="AB21">
        <v>32893</v>
      </c>
      <c r="AC21">
        <v>2547715</v>
      </c>
      <c r="AD21">
        <v>91756</v>
      </c>
      <c r="AE21">
        <v>103190</v>
      </c>
      <c r="AF21">
        <v>114776</v>
      </c>
      <c r="AG21">
        <v>4061671</v>
      </c>
      <c r="AH21">
        <v>202169</v>
      </c>
      <c r="AI21">
        <v>4902</v>
      </c>
      <c r="AJ21">
        <v>4725</v>
      </c>
      <c r="AK21">
        <v>1085957</v>
      </c>
      <c r="AL21">
        <v>5887</v>
      </c>
      <c r="AM21">
        <v>28757</v>
      </c>
      <c r="AN21">
        <v>35199</v>
      </c>
      <c r="AO21">
        <v>678904</v>
      </c>
      <c r="AP21">
        <v>187372</v>
      </c>
      <c r="AQ21">
        <v>146615</v>
      </c>
      <c r="AR21">
        <v>147981</v>
      </c>
      <c r="AS21">
        <v>5290093</v>
      </c>
      <c r="AT21">
        <v>796939</v>
      </c>
      <c r="AU21">
        <v>9349</v>
      </c>
      <c r="AV21">
        <v>9597</v>
      </c>
      <c r="AW21">
        <v>414316</v>
      </c>
      <c r="AX21">
        <v>27148</v>
      </c>
      <c r="AY21">
        <v>47656</v>
      </c>
      <c r="AZ21">
        <v>60188</v>
      </c>
      <c r="BA21">
        <v>2008907</v>
      </c>
      <c r="BB21">
        <v>143371</v>
      </c>
      <c r="BC21">
        <v>2287</v>
      </c>
      <c r="BD21">
        <v>2575</v>
      </c>
      <c r="BE21">
        <v>5409672</v>
      </c>
      <c r="BF21">
        <v>3276</v>
      </c>
      <c r="BG21">
        <v>120734</v>
      </c>
      <c r="BH21">
        <v>114986</v>
      </c>
      <c r="BI21">
        <v>5097567</v>
      </c>
      <c r="BJ21">
        <v>48150</v>
      </c>
    </row>
    <row r="22" spans="1:62" x14ac:dyDescent="0.4">
      <c r="A22" s="1" t="s">
        <v>32</v>
      </c>
      <c r="B22" s="1" t="s">
        <v>33</v>
      </c>
      <c r="C22">
        <v>341476</v>
      </c>
      <c r="D22">
        <v>319386</v>
      </c>
      <c r="E22">
        <v>4379815</v>
      </c>
      <c r="F22">
        <v>143564</v>
      </c>
      <c r="G22">
        <v>2524928</v>
      </c>
      <c r="H22">
        <v>2498270</v>
      </c>
      <c r="I22">
        <v>27276727</v>
      </c>
      <c r="J22">
        <v>808283</v>
      </c>
      <c r="K22">
        <v>769451</v>
      </c>
      <c r="L22">
        <v>700746</v>
      </c>
      <c r="M22">
        <v>6833677</v>
      </c>
      <c r="N22">
        <v>146162</v>
      </c>
      <c r="O22">
        <v>71895</v>
      </c>
      <c r="P22">
        <v>68061</v>
      </c>
      <c r="Q22">
        <v>839444</v>
      </c>
      <c r="R22">
        <v>28750</v>
      </c>
      <c r="S22">
        <v>3526596</v>
      </c>
      <c r="T22">
        <v>364894</v>
      </c>
      <c r="U22">
        <v>1916355</v>
      </c>
      <c r="V22">
        <v>794117</v>
      </c>
      <c r="W22">
        <v>9255</v>
      </c>
      <c r="X22">
        <v>9216</v>
      </c>
      <c r="Y22">
        <v>638408</v>
      </c>
      <c r="Z22">
        <v>45426</v>
      </c>
      <c r="AA22">
        <v>29161</v>
      </c>
      <c r="AB22">
        <v>30804</v>
      </c>
      <c r="AC22">
        <v>2434521</v>
      </c>
      <c r="AD22">
        <v>90444</v>
      </c>
      <c r="AE22">
        <v>95654</v>
      </c>
      <c r="AF22">
        <v>88212</v>
      </c>
      <c r="AG22">
        <v>3142853</v>
      </c>
      <c r="AH22">
        <v>209310</v>
      </c>
      <c r="AI22">
        <v>4885</v>
      </c>
      <c r="AJ22">
        <v>5066</v>
      </c>
      <c r="AK22">
        <v>1174527</v>
      </c>
      <c r="AL22">
        <v>5926</v>
      </c>
      <c r="AM22">
        <v>28005</v>
      </c>
      <c r="AN22">
        <v>35543</v>
      </c>
      <c r="AO22">
        <v>720785</v>
      </c>
      <c r="AP22">
        <v>183876</v>
      </c>
      <c r="AQ22">
        <v>144615</v>
      </c>
      <c r="AR22">
        <v>153284</v>
      </c>
      <c r="AS22">
        <v>5224502</v>
      </c>
      <c r="AT22">
        <v>790170</v>
      </c>
      <c r="AU22">
        <v>10027</v>
      </c>
      <c r="AV22">
        <v>9700</v>
      </c>
      <c r="AW22">
        <v>390044</v>
      </c>
      <c r="AX22">
        <v>27475</v>
      </c>
      <c r="AY22">
        <v>39773</v>
      </c>
      <c r="AZ22">
        <v>48721</v>
      </c>
      <c r="BA22">
        <v>1619524</v>
      </c>
      <c r="BB22">
        <v>134397</v>
      </c>
      <c r="BC22">
        <v>2282</v>
      </c>
      <c r="BD22">
        <v>2393</v>
      </c>
      <c r="BE22">
        <v>5137834</v>
      </c>
      <c r="BF22">
        <v>3331</v>
      </c>
      <c r="BG22">
        <v>113557</v>
      </c>
      <c r="BH22">
        <v>106518</v>
      </c>
      <c r="BI22">
        <v>4794402</v>
      </c>
      <c r="BJ22">
        <v>49614</v>
      </c>
    </row>
    <row r="23" spans="1:62" x14ac:dyDescent="0.4">
      <c r="A23" s="1" t="s">
        <v>34</v>
      </c>
      <c r="B23" s="1" t="s">
        <v>35</v>
      </c>
      <c r="C23">
        <v>360223</v>
      </c>
      <c r="D23">
        <v>325527</v>
      </c>
      <c r="E23">
        <v>4420613</v>
      </c>
      <c r="F23">
        <v>150709</v>
      </c>
      <c r="G23">
        <v>2483227</v>
      </c>
      <c r="H23">
        <v>2537822</v>
      </c>
      <c r="I23">
        <v>27369396</v>
      </c>
      <c r="J23">
        <v>812460</v>
      </c>
      <c r="K23">
        <v>739094</v>
      </c>
      <c r="L23">
        <v>673545</v>
      </c>
      <c r="M23">
        <v>6599822</v>
      </c>
      <c r="N23">
        <v>165591</v>
      </c>
      <c r="O23">
        <v>73240</v>
      </c>
      <c r="P23">
        <v>65701</v>
      </c>
      <c r="Q23">
        <v>836549</v>
      </c>
      <c r="R23">
        <v>35958</v>
      </c>
      <c r="S23">
        <v>3497365</v>
      </c>
      <c r="T23">
        <v>485746</v>
      </c>
      <c r="U23">
        <v>2510776</v>
      </c>
      <c r="V23">
        <v>697660</v>
      </c>
      <c r="W23">
        <v>7976</v>
      </c>
      <c r="X23">
        <v>8411</v>
      </c>
      <c r="Y23">
        <v>590020</v>
      </c>
      <c r="Z23">
        <v>45007</v>
      </c>
      <c r="AA23">
        <v>28242</v>
      </c>
      <c r="AB23">
        <v>27236</v>
      </c>
      <c r="AC23">
        <v>2140795</v>
      </c>
      <c r="AD23">
        <v>91671</v>
      </c>
      <c r="AE23">
        <v>93072</v>
      </c>
      <c r="AF23">
        <v>84231</v>
      </c>
      <c r="AG23">
        <v>2943750</v>
      </c>
      <c r="AH23">
        <v>218019</v>
      </c>
      <c r="AI23">
        <v>4577</v>
      </c>
      <c r="AJ23">
        <v>4875</v>
      </c>
      <c r="AK23">
        <v>1135390</v>
      </c>
      <c r="AL23">
        <v>5766</v>
      </c>
      <c r="AM23">
        <v>27161</v>
      </c>
      <c r="AN23">
        <v>38584</v>
      </c>
      <c r="AO23">
        <v>777454</v>
      </c>
      <c r="AP23">
        <v>176119</v>
      </c>
      <c r="AQ23">
        <v>141576</v>
      </c>
      <c r="AR23">
        <v>146469</v>
      </c>
      <c r="AS23">
        <v>5022708</v>
      </c>
      <c r="AT23">
        <v>786914</v>
      </c>
      <c r="AU23">
        <v>7702</v>
      </c>
      <c r="AV23">
        <v>11199</v>
      </c>
      <c r="AW23">
        <v>527891</v>
      </c>
      <c r="AX23">
        <v>23978</v>
      </c>
      <c r="AY23">
        <v>32702</v>
      </c>
      <c r="AZ23">
        <v>38891</v>
      </c>
      <c r="BA23">
        <v>1469596</v>
      </c>
      <c r="BB23">
        <v>128279</v>
      </c>
      <c r="BC23">
        <v>1854</v>
      </c>
      <c r="BD23">
        <v>2360</v>
      </c>
      <c r="BE23">
        <v>5028826</v>
      </c>
      <c r="BF23">
        <v>3237</v>
      </c>
      <c r="BG23">
        <v>104840</v>
      </c>
      <c r="BH23">
        <v>100209</v>
      </c>
      <c r="BI23">
        <v>4491963</v>
      </c>
      <c r="BJ23">
        <v>48704</v>
      </c>
    </row>
    <row r="24" spans="1:62" x14ac:dyDescent="0.4">
      <c r="A24" s="1" t="s">
        <v>36</v>
      </c>
      <c r="B24" s="1" t="s">
        <v>37</v>
      </c>
      <c r="C24">
        <v>317268</v>
      </c>
      <c r="D24">
        <v>308953</v>
      </c>
      <c r="E24">
        <v>4229905</v>
      </c>
      <c r="F24">
        <v>132293</v>
      </c>
      <c r="G24">
        <v>2124204</v>
      </c>
      <c r="H24">
        <v>2066436</v>
      </c>
      <c r="I24">
        <v>22647383</v>
      </c>
      <c r="J24">
        <v>894459</v>
      </c>
      <c r="K24">
        <v>637616</v>
      </c>
      <c r="L24">
        <v>617085</v>
      </c>
      <c r="M24">
        <v>5874699</v>
      </c>
      <c r="N24">
        <v>148536</v>
      </c>
      <c r="O24">
        <v>85903</v>
      </c>
      <c r="P24">
        <v>88073</v>
      </c>
      <c r="Q24">
        <v>1125972</v>
      </c>
      <c r="R24">
        <v>42244</v>
      </c>
      <c r="S24">
        <v>3092763</v>
      </c>
      <c r="T24">
        <v>322538</v>
      </c>
      <c r="U24">
        <v>1565464</v>
      </c>
      <c r="V24">
        <v>778091</v>
      </c>
      <c r="W24">
        <v>7297</v>
      </c>
      <c r="X24">
        <v>7368</v>
      </c>
      <c r="Y24">
        <v>524939</v>
      </c>
      <c r="Z24">
        <v>44934</v>
      </c>
      <c r="AA24">
        <v>27050</v>
      </c>
      <c r="AB24">
        <v>26179</v>
      </c>
      <c r="AC24">
        <v>2087052</v>
      </c>
      <c r="AD24">
        <v>92668</v>
      </c>
      <c r="AE24">
        <v>105648</v>
      </c>
      <c r="AF24">
        <v>102391</v>
      </c>
      <c r="AG24">
        <v>3855665</v>
      </c>
      <c r="AH24">
        <v>257873</v>
      </c>
      <c r="AI24">
        <v>3753</v>
      </c>
      <c r="AJ24">
        <v>3812</v>
      </c>
      <c r="AK24">
        <v>868309</v>
      </c>
      <c r="AL24">
        <v>5840</v>
      </c>
      <c r="AM24">
        <v>22789</v>
      </c>
      <c r="AN24">
        <v>30767</v>
      </c>
      <c r="AO24">
        <v>646508</v>
      </c>
      <c r="AP24">
        <v>131375</v>
      </c>
      <c r="AQ24">
        <v>124316</v>
      </c>
      <c r="AR24">
        <v>142402</v>
      </c>
      <c r="AS24">
        <v>5130404</v>
      </c>
      <c r="AT24">
        <v>766498</v>
      </c>
      <c r="AU24">
        <v>7122</v>
      </c>
      <c r="AV24">
        <v>5848</v>
      </c>
      <c r="AW24">
        <v>251699</v>
      </c>
      <c r="AX24">
        <v>22089</v>
      </c>
      <c r="AY24">
        <v>29115</v>
      </c>
      <c r="AZ24">
        <v>32058</v>
      </c>
      <c r="BA24">
        <v>1215807</v>
      </c>
      <c r="BB24">
        <v>126027</v>
      </c>
      <c r="BC24">
        <v>1770</v>
      </c>
      <c r="BD24">
        <v>2212</v>
      </c>
      <c r="BE24">
        <v>4703277</v>
      </c>
      <c r="BF24">
        <v>3023</v>
      </c>
      <c r="BG24">
        <v>94030</v>
      </c>
      <c r="BH24">
        <v>90897</v>
      </c>
      <c r="BI24">
        <v>4037435</v>
      </c>
      <c r="BJ24">
        <v>46031</v>
      </c>
    </row>
    <row r="25" spans="1:62" x14ac:dyDescent="0.4">
      <c r="A25" s="1" t="s">
        <v>38</v>
      </c>
      <c r="B25" s="1" t="s">
        <v>39</v>
      </c>
      <c r="C25">
        <v>339244</v>
      </c>
      <c r="D25">
        <v>310577</v>
      </c>
      <c r="E25">
        <v>4266385</v>
      </c>
      <c r="F25">
        <v>147557</v>
      </c>
      <c r="G25">
        <v>1954537</v>
      </c>
      <c r="H25">
        <v>2132536</v>
      </c>
      <c r="I25">
        <v>23031140</v>
      </c>
      <c r="J25">
        <v>720897</v>
      </c>
      <c r="K25">
        <v>638346</v>
      </c>
      <c r="L25">
        <v>601457</v>
      </c>
      <c r="M25">
        <v>5883026</v>
      </c>
      <c r="N25">
        <v>141252</v>
      </c>
      <c r="O25">
        <v>68598</v>
      </c>
      <c r="P25">
        <v>75096</v>
      </c>
      <c r="Q25">
        <v>924590</v>
      </c>
      <c r="R25">
        <v>32536</v>
      </c>
      <c r="S25">
        <v>2814339</v>
      </c>
      <c r="T25">
        <v>244115</v>
      </c>
      <c r="U25">
        <v>1119235</v>
      </c>
      <c r="V25">
        <v>799017</v>
      </c>
      <c r="W25">
        <v>7610</v>
      </c>
      <c r="X25">
        <v>6847</v>
      </c>
      <c r="Y25">
        <v>493749</v>
      </c>
      <c r="Z25">
        <v>45924</v>
      </c>
      <c r="AA25">
        <v>25828</v>
      </c>
      <c r="AB25">
        <v>23040</v>
      </c>
      <c r="AC25">
        <v>1878044</v>
      </c>
      <c r="AD25">
        <v>95465</v>
      </c>
      <c r="AE25">
        <v>115563</v>
      </c>
      <c r="AF25">
        <v>111814</v>
      </c>
      <c r="AG25">
        <v>3914189</v>
      </c>
      <c r="AH25">
        <v>261710</v>
      </c>
      <c r="AI25">
        <v>4707</v>
      </c>
      <c r="AJ25">
        <v>4828</v>
      </c>
      <c r="AK25">
        <v>1095323</v>
      </c>
      <c r="AL25">
        <v>5913</v>
      </c>
      <c r="AM25">
        <v>20510</v>
      </c>
      <c r="AN25">
        <v>27788</v>
      </c>
      <c r="AO25">
        <v>585850</v>
      </c>
      <c r="AP25">
        <v>124069</v>
      </c>
      <c r="AQ25">
        <v>128653</v>
      </c>
      <c r="AR25">
        <v>146483</v>
      </c>
      <c r="AS25">
        <v>4970238</v>
      </c>
      <c r="AT25">
        <v>751265</v>
      </c>
      <c r="AU25">
        <v>8291</v>
      </c>
      <c r="AV25">
        <v>6524</v>
      </c>
      <c r="AW25">
        <v>281167</v>
      </c>
      <c r="AX25">
        <v>23860</v>
      </c>
      <c r="AY25">
        <v>27170</v>
      </c>
      <c r="AZ25">
        <v>31324</v>
      </c>
      <c r="BA25">
        <v>1248578</v>
      </c>
      <c r="BB25">
        <v>122204</v>
      </c>
      <c r="BC25">
        <v>1991</v>
      </c>
      <c r="BD25">
        <v>2196</v>
      </c>
      <c r="BE25">
        <v>4638618</v>
      </c>
      <c r="BF25">
        <v>3084</v>
      </c>
      <c r="BG25">
        <v>93535</v>
      </c>
      <c r="BH25">
        <v>85682</v>
      </c>
      <c r="BI25">
        <v>3838225</v>
      </c>
      <c r="BJ25">
        <v>48400</v>
      </c>
    </row>
    <row r="26" spans="1:62" x14ac:dyDescent="0.4">
      <c r="A26" s="1" t="s">
        <v>40</v>
      </c>
      <c r="B26" s="1" t="s">
        <v>41</v>
      </c>
      <c r="C26">
        <v>327496</v>
      </c>
      <c r="D26">
        <v>316032</v>
      </c>
      <c r="E26">
        <v>4336197</v>
      </c>
      <c r="F26">
        <v>142488</v>
      </c>
      <c r="G26">
        <v>2438627</v>
      </c>
      <c r="H26">
        <v>2353512</v>
      </c>
      <c r="I26">
        <v>26027401</v>
      </c>
      <c r="J26">
        <v>800680</v>
      </c>
      <c r="K26">
        <v>706012</v>
      </c>
      <c r="L26">
        <v>621366</v>
      </c>
      <c r="M26">
        <v>6117102</v>
      </c>
      <c r="N26">
        <v>164398</v>
      </c>
      <c r="O26">
        <v>60332</v>
      </c>
      <c r="P26">
        <v>60711</v>
      </c>
      <c r="Q26">
        <v>821480</v>
      </c>
      <c r="R26">
        <v>32137</v>
      </c>
      <c r="S26">
        <v>3380298</v>
      </c>
      <c r="T26">
        <v>436151</v>
      </c>
      <c r="U26">
        <v>2188712</v>
      </c>
      <c r="V26">
        <v>722264</v>
      </c>
      <c r="W26">
        <v>8761</v>
      </c>
      <c r="X26">
        <v>7464</v>
      </c>
      <c r="Y26">
        <v>513289</v>
      </c>
      <c r="Z26">
        <v>47431</v>
      </c>
      <c r="AA26">
        <v>25504</v>
      </c>
      <c r="AB26">
        <v>23881</v>
      </c>
      <c r="AC26">
        <v>1934157</v>
      </c>
      <c r="AD26">
        <v>97259</v>
      </c>
      <c r="AE26">
        <v>118845</v>
      </c>
      <c r="AF26">
        <v>124913</v>
      </c>
      <c r="AG26">
        <v>4343236</v>
      </c>
      <c r="AH26">
        <v>255893</v>
      </c>
      <c r="AI26">
        <v>4475</v>
      </c>
      <c r="AJ26">
        <v>4676</v>
      </c>
      <c r="AK26">
        <v>1050818</v>
      </c>
      <c r="AL26">
        <v>5766</v>
      </c>
      <c r="AM26">
        <v>20884</v>
      </c>
      <c r="AN26">
        <v>23485</v>
      </c>
      <c r="AO26">
        <v>505125</v>
      </c>
      <c r="AP26">
        <v>122368</v>
      </c>
      <c r="AQ26">
        <v>125876</v>
      </c>
      <c r="AR26">
        <v>129498</v>
      </c>
      <c r="AS26">
        <v>4472218</v>
      </c>
      <c r="AT26">
        <v>750742</v>
      </c>
      <c r="AU26">
        <v>9194</v>
      </c>
      <c r="AV26">
        <v>13089</v>
      </c>
      <c r="AW26">
        <v>597380</v>
      </c>
      <c r="AX26">
        <v>19965</v>
      </c>
      <c r="AY26">
        <v>28605</v>
      </c>
      <c r="AZ26">
        <v>35610</v>
      </c>
      <c r="BA26">
        <v>1857717</v>
      </c>
      <c r="BB26">
        <v>115368</v>
      </c>
      <c r="BC26">
        <v>2208</v>
      </c>
      <c r="BD26">
        <v>2287</v>
      </c>
      <c r="BE26">
        <v>4809467</v>
      </c>
      <c r="BF26">
        <v>3276</v>
      </c>
      <c r="BG26">
        <v>99666</v>
      </c>
      <c r="BH26">
        <v>93448</v>
      </c>
      <c r="BI26">
        <v>4220870</v>
      </c>
      <c r="BJ26">
        <v>48286</v>
      </c>
    </row>
    <row r="27" spans="1:62" x14ac:dyDescent="0.4">
      <c r="A27" s="1" t="s">
        <v>42</v>
      </c>
      <c r="B27" s="1" t="s">
        <v>43</v>
      </c>
      <c r="C27">
        <v>265791</v>
      </c>
      <c r="D27">
        <v>240436</v>
      </c>
      <c r="E27">
        <v>3389365</v>
      </c>
      <c r="F27">
        <v>147047</v>
      </c>
      <c r="G27">
        <v>2193042</v>
      </c>
      <c r="H27">
        <v>2239274</v>
      </c>
      <c r="I27">
        <v>25754549</v>
      </c>
      <c r="J27">
        <v>756507</v>
      </c>
      <c r="K27">
        <v>655419</v>
      </c>
      <c r="L27">
        <v>601389</v>
      </c>
      <c r="M27">
        <v>6085521</v>
      </c>
      <c r="N27">
        <v>158257</v>
      </c>
      <c r="O27">
        <v>97129</v>
      </c>
      <c r="P27">
        <v>84826</v>
      </c>
      <c r="Q27">
        <v>1210721</v>
      </c>
      <c r="R27">
        <v>44453</v>
      </c>
      <c r="S27">
        <v>3151126</v>
      </c>
      <c r="T27">
        <v>398365</v>
      </c>
      <c r="U27">
        <v>1852262</v>
      </c>
      <c r="V27">
        <v>746435</v>
      </c>
      <c r="W27">
        <v>9548</v>
      </c>
      <c r="X27">
        <v>6000</v>
      </c>
      <c r="Y27">
        <v>422476</v>
      </c>
      <c r="Z27">
        <v>51018</v>
      </c>
      <c r="AA27">
        <v>26960</v>
      </c>
      <c r="AB27">
        <v>25827</v>
      </c>
      <c r="AC27">
        <v>2116362</v>
      </c>
      <c r="AD27">
        <v>98623</v>
      </c>
      <c r="AE27">
        <v>123566</v>
      </c>
      <c r="AF27">
        <v>137565</v>
      </c>
      <c r="AG27">
        <v>5197014</v>
      </c>
      <c r="AH27">
        <v>241433</v>
      </c>
      <c r="AI27">
        <v>5219</v>
      </c>
      <c r="AJ27">
        <v>5422</v>
      </c>
      <c r="AK27">
        <v>1229021</v>
      </c>
      <c r="AL27">
        <v>5722</v>
      </c>
      <c r="AM27">
        <v>21096</v>
      </c>
      <c r="AN27">
        <v>20874</v>
      </c>
      <c r="AO27">
        <v>441259</v>
      </c>
      <c r="AP27">
        <v>122858</v>
      </c>
      <c r="AQ27">
        <v>130412</v>
      </c>
      <c r="AR27">
        <v>122420</v>
      </c>
      <c r="AS27">
        <v>4420797</v>
      </c>
      <c r="AT27">
        <v>760866</v>
      </c>
      <c r="AU27">
        <v>9370</v>
      </c>
      <c r="AV27">
        <v>6491</v>
      </c>
      <c r="AW27">
        <v>291878</v>
      </c>
      <c r="AX27">
        <v>22832</v>
      </c>
      <c r="AY27">
        <v>29530</v>
      </c>
      <c r="AZ27">
        <v>27872</v>
      </c>
      <c r="BA27">
        <v>1083812</v>
      </c>
      <c r="BB27">
        <v>117420</v>
      </c>
      <c r="BC27">
        <v>1890</v>
      </c>
      <c r="BD27">
        <v>2299</v>
      </c>
      <c r="BE27">
        <v>4930125</v>
      </c>
      <c r="BF27">
        <v>3227</v>
      </c>
      <c r="BG27">
        <v>100017</v>
      </c>
      <c r="BH27">
        <v>93805</v>
      </c>
      <c r="BI27">
        <v>4169882</v>
      </c>
      <c r="BJ27">
        <v>49108</v>
      </c>
    </row>
    <row r="28" spans="1:62" x14ac:dyDescent="0.4">
      <c r="A28" s="1" t="s">
        <v>44</v>
      </c>
      <c r="B28" s="1" t="s">
        <v>45</v>
      </c>
      <c r="C28">
        <v>267501</v>
      </c>
      <c r="D28">
        <v>242242</v>
      </c>
      <c r="E28">
        <v>3569622</v>
      </c>
      <c r="F28">
        <v>149744</v>
      </c>
      <c r="G28">
        <v>2311215</v>
      </c>
      <c r="H28">
        <v>2353563</v>
      </c>
      <c r="I28">
        <v>27475912</v>
      </c>
      <c r="J28">
        <v>770122</v>
      </c>
      <c r="K28">
        <v>597469</v>
      </c>
      <c r="L28">
        <v>547199</v>
      </c>
      <c r="M28">
        <v>5433818</v>
      </c>
      <c r="N28">
        <v>159819</v>
      </c>
      <c r="O28">
        <v>80392</v>
      </c>
      <c r="P28">
        <v>84518</v>
      </c>
      <c r="Q28">
        <v>1223515</v>
      </c>
      <c r="R28">
        <v>39660</v>
      </c>
      <c r="S28">
        <v>3338252</v>
      </c>
      <c r="T28">
        <v>594384</v>
      </c>
      <c r="U28">
        <v>2707317</v>
      </c>
      <c r="V28">
        <v>706231</v>
      </c>
      <c r="W28">
        <v>9124</v>
      </c>
      <c r="X28">
        <v>5392</v>
      </c>
      <c r="Y28">
        <v>347365</v>
      </c>
      <c r="Z28">
        <v>54780</v>
      </c>
      <c r="AA28">
        <v>26280</v>
      </c>
      <c r="AB28">
        <v>26936</v>
      </c>
      <c r="AC28">
        <v>2248448</v>
      </c>
      <c r="AD28">
        <v>98324</v>
      </c>
      <c r="AE28">
        <v>113351</v>
      </c>
      <c r="AF28">
        <v>128285</v>
      </c>
      <c r="AG28">
        <v>4805720</v>
      </c>
      <c r="AH28">
        <v>226078</v>
      </c>
      <c r="AI28">
        <v>4859</v>
      </c>
      <c r="AJ28">
        <v>4831</v>
      </c>
      <c r="AK28">
        <v>1099439</v>
      </c>
      <c r="AL28">
        <v>5904</v>
      </c>
      <c r="AM28">
        <v>21611</v>
      </c>
      <c r="AN28">
        <v>19828</v>
      </c>
      <c r="AO28">
        <v>410875</v>
      </c>
      <c r="AP28">
        <v>124764</v>
      </c>
      <c r="AQ28">
        <v>121260</v>
      </c>
      <c r="AR28">
        <v>115241</v>
      </c>
      <c r="AS28">
        <v>4191411</v>
      </c>
      <c r="AT28">
        <v>770359</v>
      </c>
      <c r="AU28">
        <v>9373</v>
      </c>
      <c r="AV28">
        <v>6189</v>
      </c>
      <c r="AW28">
        <v>296182</v>
      </c>
      <c r="AX28">
        <v>26017</v>
      </c>
      <c r="AY28">
        <v>32583</v>
      </c>
      <c r="AZ28">
        <v>26291</v>
      </c>
      <c r="BA28">
        <v>1001600</v>
      </c>
      <c r="BB28">
        <v>123217</v>
      </c>
      <c r="BC28">
        <v>1691</v>
      </c>
      <c r="BD28">
        <v>2054</v>
      </c>
      <c r="BE28">
        <v>4493542</v>
      </c>
      <c r="BF28">
        <v>3059</v>
      </c>
      <c r="BG28">
        <v>91060</v>
      </c>
      <c r="BH28">
        <v>89590</v>
      </c>
      <c r="BI28">
        <v>4008232</v>
      </c>
      <c r="BJ28">
        <v>45834</v>
      </c>
    </row>
    <row r="29" spans="1:62" x14ac:dyDescent="0.4">
      <c r="A29" s="1" t="s">
        <v>46</v>
      </c>
      <c r="B29" s="1" t="s">
        <v>47</v>
      </c>
      <c r="C29">
        <v>260990</v>
      </c>
      <c r="D29">
        <v>259078</v>
      </c>
      <c r="E29">
        <v>3828847</v>
      </c>
      <c r="F29">
        <v>138680</v>
      </c>
      <c r="G29">
        <v>2274012</v>
      </c>
      <c r="H29">
        <v>2298609</v>
      </c>
      <c r="I29">
        <v>26693027</v>
      </c>
      <c r="J29">
        <v>782436</v>
      </c>
      <c r="K29">
        <v>666014</v>
      </c>
      <c r="L29">
        <v>607913</v>
      </c>
      <c r="M29">
        <v>6357242</v>
      </c>
      <c r="N29">
        <v>166386</v>
      </c>
      <c r="O29">
        <v>85292</v>
      </c>
      <c r="P29">
        <v>84853</v>
      </c>
      <c r="Q29">
        <v>1193274</v>
      </c>
      <c r="R29">
        <v>39301</v>
      </c>
      <c r="S29">
        <v>3109979</v>
      </c>
      <c r="T29">
        <v>293906</v>
      </c>
      <c r="U29">
        <v>1329191</v>
      </c>
      <c r="V29">
        <v>726712</v>
      </c>
      <c r="W29">
        <v>9301</v>
      </c>
      <c r="X29">
        <v>6992</v>
      </c>
      <c r="Y29">
        <v>485614</v>
      </c>
      <c r="Z29">
        <v>57113</v>
      </c>
      <c r="AA29">
        <v>28413</v>
      </c>
      <c r="AB29">
        <v>28228</v>
      </c>
      <c r="AC29">
        <v>2342329</v>
      </c>
      <c r="AD29">
        <v>98950</v>
      </c>
      <c r="AE29">
        <v>117534</v>
      </c>
      <c r="AF29">
        <v>120026</v>
      </c>
      <c r="AG29">
        <v>4447995</v>
      </c>
      <c r="AH29">
        <v>223446</v>
      </c>
      <c r="AI29">
        <v>4758</v>
      </c>
      <c r="AJ29">
        <v>4983</v>
      </c>
      <c r="AK29">
        <v>1201205</v>
      </c>
      <c r="AL29">
        <v>5848</v>
      </c>
      <c r="AM29">
        <v>23384</v>
      </c>
      <c r="AN29">
        <v>17113</v>
      </c>
      <c r="AO29">
        <v>382066</v>
      </c>
      <c r="AP29">
        <v>130702</v>
      </c>
      <c r="AQ29">
        <v>127775</v>
      </c>
      <c r="AR29">
        <v>119998</v>
      </c>
      <c r="AS29">
        <v>4229604</v>
      </c>
      <c r="AT29">
        <v>780537</v>
      </c>
      <c r="AU29">
        <v>9998</v>
      </c>
      <c r="AV29">
        <v>9332</v>
      </c>
      <c r="AW29">
        <v>477083</v>
      </c>
      <c r="AX29">
        <v>26683</v>
      </c>
      <c r="AY29">
        <v>36479</v>
      </c>
      <c r="AZ29">
        <v>29446</v>
      </c>
      <c r="BA29">
        <v>1444645</v>
      </c>
      <c r="BB29">
        <v>130390</v>
      </c>
      <c r="BC29">
        <v>2177</v>
      </c>
      <c r="BD29">
        <v>2202</v>
      </c>
      <c r="BE29">
        <v>4705249</v>
      </c>
      <c r="BF29">
        <v>3249</v>
      </c>
      <c r="BG29">
        <v>108019</v>
      </c>
      <c r="BH29">
        <v>102267</v>
      </c>
      <c r="BI29">
        <v>4662924</v>
      </c>
      <c r="BJ29">
        <v>45749</v>
      </c>
    </row>
    <row r="30" spans="1:62" x14ac:dyDescent="0.4">
      <c r="A30" s="1" t="s">
        <v>48</v>
      </c>
      <c r="B30" s="1" t="s">
        <v>49</v>
      </c>
      <c r="C30">
        <v>254799</v>
      </c>
      <c r="D30">
        <v>235406</v>
      </c>
      <c r="E30">
        <v>3422788</v>
      </c>
      <c r="F30">
        <v>148339</v>
      </c>
      <c r="G30">
        <v>2246806</v>
      </c>
      <c r="H30">
        <v>2276627</v>
      </c>
      <c r="I30">
        <v>26756240</v>
      </c>
      <c r="J30">
        <v>753848</v>
      </c>
      <c r="K30">
        <v>669823</v>
      </c>
      <c r="L30">
        <v>656093</v>
      </c>
      <c r="M30">
        <v>7040835</v>
      </c>
      <c r="N30">
        <v>133624</v>
      </c>
      <c r="O30">
        <v>81362</v>
      </c>
      <c r="P30">
        <v>85463</v>
      </c>
      <c r="Q30">
        <v>1192334</v>
      </c>
      <c r="R30">
        <v>34979</v>
      </c>
      <c r="S30">
        <v>3230241</v>
      </c>
      <c r="T30">
        <v>444772</v>
      </c>
      <c r="U30">
        <v>1905502</v>
      </c>
      <c r="V30">
        <v>753465</v>
      </c>
      <c r="W30">
        <v>9036</v>
      </c>
      <c r="X30">
        <v>8480</v>
      </c>
      <c r="Y30">
        <v>548035</v>
      </c>
      <c r="Z30">
        <v>57442</v>
      </c>
      <c r="AA30">
        <v>28198</v>
      </c>
      <c r="AB30">
        <v>29648</v>
      </c>
      <c r="AC30">
        <v>2426008</v>
      </c>
      <c r="AD30">
        <v>97617</v>
      </c>
      <c r="AE30">
        <v>123933</v>
      </c>
      <c r="AF30">
        <v>110344</v>
      </c>
      <c r="AG30">
        <v>4091531</v>
      </c>
      <c r="AH30">
        <v>236563</v>
      </c>
      <c r="AI30">
        <v>4754</v>
      </c>
      <c r="AJ30">
        <v>4861</v>
      </c>
      <c r="AK30">
        <v>1200431</v>
      </c>
      <c r="AL30">
        <v>5927</v>
      </c>
      <c r="AM30">
        <v>24381</v>
      </c>
      <c r="AN30">
        <v>19946</v>
      </c>
      <c r="AO30">
        <v>434032</v>
      </c>
      <c r="AP30">
        <v>133928</v>
      </c>
      <c r="AQ30">
        <v>124237</v>
      </c>
      <c r="AR30">
        <v>127509</v>
      </c>
      <c r="AS30">
        <v>4551723</v>
      </c>
      <c r="AT30">
        <v>779265</v>
      </c>
      <c r="AU30">
        <v>9597</v>
      </c>
      <c r="AV30">
        <v>9170</v>
      </c>
      <c r="AW30">
        <v>387896</v>
      </c>
      <c r="AX30">
        <v>27111</v>
      </c>
      <c r="AY30">
        <v>37123</v>
      </c>
      <c r="AZ30">
        <v>27258</v>
      </c>
      <c r="BA30">
        <v>1102846</v>
      </c>
      <c r="BB30">
        <v>140177</v>
      </c>
      <c r="BC30">
        <v>2168</v>
      </c>
      <c r="BD30">
        <v>2394</v>
      </c>
      <c r="BE30">
        <v>5023168</v>
      </c>
      <c r="BF30">
        <v>3267</v>
      </c>
      <c r="BG30">
        <v>113975</v>
      </c>
      <c r="BH30">
        <v>105786</v>
      </c>
      <c r="BI30">
        <v>4785485</v>
      </c>
      <c r="BJ30">
        <v>47746</v>
      </c>
    </row>
    <row r="31" spans="1:62" x14ac:dyDescent="0.4">
      <c r="A31" s="1" t="s">
        <v>50</v>
      </c>
      <c r="B31" s="1" t="s">
        <v>51</v>
      </c>
      <c r="C31">
        <v>260694</v>
      </c>
      <c r="D31">
        <v>235076</v>
      </c>
      <c r="E31">
        <v>3622214</v>
      </c>
      <c r="F31">
        <v>160219</v>
      </c>
      <c r="G31">
        <v>2151345</v>
      </c>
      <c r="H31">
        <v>2171916</v>
      </c>
      <c r="I31">
        <v>25633423</v>
      </c>
      <c r="J31">
        <v>757075</v>
      </c>
      <c r="K31">
        <v>610980</v>
      </c>
      <c r="L31">
        <v>568998</v>
      </c>
      <c r="M31">
        <v>6238334</v>
      </c>
      <c r="N31">
        <v>149087</v>
      </c>
      <c r="O31">
        <v>91638</v>
      </c>
      <c r="P31">
        <v>90089</v>
      </c>
      <c r="Q31">
        <v>1322114</v>
      </c>
      <c r="R31">
        <v>36078</v>
      </c>
      <c r="S31">
        <v>3159598</v>
      </c>
      <c r="T31">
        <v>463702</v>
      </c>
      <c r="U31">
        <v>2141611</v>
      </c>
      <c r="V31">
        <v>790664</v>
      </c>
      <c r="W31">
        <v>6791</v>
      </c>
      <c r="X31">
        <v>6987</v>
      </c>
      <c r="Y31">
        <v>439450</v>
      </c>
      <c r="Z31">
        <v>57306</v>
      </c>
      <c r="AA31">
        <v>20638</v>
      </c>
      <c r="AB31">
        <v>24596</v>
      </c>
      <c r="AC31">
        <v>2077222</v>
      </c>
      <c r="AD31">
        <v>93551</v>
      </c>
      <c r="AE31">
        <v>98730</v>
      </c>
      <c r="AF31">
        <v>79512</v>
      </c>
      <c r="AG31">
        <v>2998353</v>
      </c>
      <c r="AH31">
        <v>255790</v>
      </c>
      <c r="AI31">
        <v>3716</v>
      </c>
      <c r="AJ31">
        <v>3888</v>
      </c>
      <c r="AK31">
        <v>974158</v>
      </c>
      <c r="AL31">
        <v>5890</v>
      </c>
      <c r="AM31">
        <v>19843</v>
      </c>
      <c r="AN31">
        <v>15274</v>
      </c>
      <c r="AO31">
        <v>341608</v>
      </c>
      <c r="AP31">
        <v>137336</v>
      </c>
      <c r="AQ31">
        <v>91982</v>
      </c>
      <c r="AR31">
        <v>99342</v>
      </c>
      <c r="AS31">
        <v>3622125</v>
      </c>
      <c r="AT31">
        <v>773156</v>
      </c>
      <c r="AU31">
        <v>7294</v>
      </c>
      <c r="AV31">
        <v>10897</v>
      </c>
      <c r="AW31">
        <v>499305</v>
      </c>
      <c r="AX31">
        <v>23507</v>
      </c>
      <c r="AY31">
        <v>27185</v>
      </c>
      <c r="AZ31">
        <v>20826</v>
      </c>
      <c r="BA31">
        <v>815833</v>
      </c>
      <c r="BB31">
        <v>146325</v>
      </c>
      <c r="BC31">
        <v>1502</v>
      </c>
      <c r="BD31">
        <v>1815</v>
      </c>
      <c r="BE31">
        <v>3918230</v>
      </c>
      <c r="BF31">
        <v>3090</v>
      </c>
      <c r="BG31">
        <v>92790</v>
      </c>
      <c r="BH31">
        <v>86810</v>
      </c>
      <c r="BI31">
        <v>3925632</v>
      </c>
      <c r="BJ31">
        <v>49148</v>
      </c>
    </row>
    <row r="32" spans="1:62" x14ac:dyDescent="0.4">
      <c r="A32" s="1" t="s">
        <v>52</v>
      </c>
      <c r="B32" s="1" t="s">
        <v>53</v>
      </c>
      <c r="C32">
        <v>219149</v>
      </c>
      <c r="D32">
        <v>219154</v>
      </c>
      <c r="E32">
        <v>3192307</v>
      </c>
      <c r="F32">
        <v>136127</v>
      </c>
      <c r="G32">
        <v>2231001</v>
      </c>
      <c r="H32">
        <v>2243426</v>
      </c>
      <c r="I32">
        <v>26813879</v>
      </c>
      <c r="J32">
        <v>736425</v>
      </c>
      <c r="K32">
        <v>703924</v>
      </c>
      <c r="L32">
        <v>644771</v>
      </c>
      <c r="M32">
        <v>7090375</v>
      </c>
      <c r="N32">
        <v>159759</v>
      </c>
      <c r="O32">
        <v>82671</v>
      </c>
      <c r="P32">
        <v>73405</v>
      </c>
      <c r="Q32">
        <v>995333</v>
      </c>
      <c r="R32">
        <v>45395</v>
      </c>
      <c r="S32">
        <v>3075985</v>
      </c>
      <c r="T32">
        <v>372613</v>
      </c>
      <c r="U32">
        <v>1611822</v>
      </c>
      <c r="V32">
        <v>748279</v>
      </c>
      <c r="W32">
        <v>8719</v>
      </c>
      <c r="X32">
        <v>11160</v>
      </c>
      <c r="Y32">
        <v>884897</v>
      </c>
      <c r="Z32">
        <v>54858</v>
      </c>
      <c r="AA32">
        <v>24420</v>
      </c>
      <c r="AB32">
        <v>27987</v>
      </c>
      <c r="AC32">
        <v>2384434</v>
      </c>
      <c r="AD32">
        <v>89967</v>
      </c>
      <c r="AE32">
        <v>121105</v>
      </c>
      <c r="AF32">
        <v>114262</v>
      </c>
      <c r="AG32">
        <v>4512987</v>
      </c>
      <c r="AH32">
        <v>262541</v>
      </c>
      <c r="AI32">
        <v>4631</v>
      </c>
      <c r="AJ32">
        <v>4737</v>
      </c>
      <c r="AK32">
        <v>1174406</v>
      </c>
      <c r="AL32">
        <v>5939</v>
      </c>
      <c r="AM32">
        <v>24788</v>
      </c>
      <c r="AN32">
        <v>16387</v>
      </c>
      <c r="AO32">
        <v>361878</v>
      </c>
      <c r="AP32">
        <v>145619</v>
      </c>
      <c r="AQ32">
        <v>123219</v>
      </c>
      <c r="AR32">
        <v>127330</v>
      </c>
      <c r="AS32">
        <v>4558211</v>
      </c>
      <c r="AT32">
        <v>771154</v>
      </c>
      <c r="AU32">
        <v>8213</v>
      </c>
      <c r="AV32">
        <v>11074</v>
      </c>
      <c r="AW32">
        <v>531981</v>
      </c>
      <c r="AX32">
        <v>20645</v>
      </c>
      <c r="AY32">
        <v>34059</v>
      </c>
      <c r="AZ32">
        <v>39198</v>
      </c>
      <c r="BA32">
        <v>1438057</v>
      </c>
      <c r="BB32">
        <v>141609</v>
      </c>
      <c r="BC32">
        <v>1968</v>
      </c>
      <c r="BD32">
        <v>2328</v>
      </c>
      <c r="BE32">
        <v>4923200</v>
      </c>
      <c r="BF32">
        <v>3110</v>
      </c>
      <c r="BG32">
        <v>103522</v>
      </c>
      <c r="BH32">
        <v>97728</v>
      </c>
      <c r="BI32">
        <v>4522296</v>
      </c>
      <c r="BJ32">
        <v>48850</v>
      </c>
    </row>
    <row r="33" spans="1:62" x14ac:dyDescent="0.4">
      <c r="A33" s="1" t="s">
        <v>54</v>
      </c>
      <c r="B33" s="1" t="s">
        <v>55</v>
      </c>
      <c r="C33">
        <v>271340</v>
      </c>
      <c r="D33">
        <v>264658</v>
      </c>
      <c r="E33">
        <v>4078399</v>
      </c>
      <c r="F33">
        <v>132359</v>
      </c>
      <c r="G33">
        <v>2312407</v>
      </c>
      <c r="H33">
        <v>2350979</v>
      </c>
      <c r="I33">
        <v>28116763</v>
      </c>
      <c r="J33">
        <v>715662</v>
      </c>
      <c r="K33">
        <v>765583</v>
      </c>
      <c r="L33">
        <v>732756</v>
      </c>
      <c r="M33">
        <v>8292708</v>
      </c>
      <c r="N33">
        <v>140197</v>
      </c>
      <c r="O33">
        <v>69107</v>
      </c>
      <c r="P33">
        <v>75709</v>
      </c>
      <c r="Q33">
        <v>1025288</v>
      </c>
      <c r="R33">
        <v>37315</v>
      </c>
      <c r="S33">
        <v>3337124</v>
      </c>
      <c r="T33">
        <v>424907</v>
      </c>
      <c r="U33">
        <v>2034833</v>
      </c>
      <c r="V33">
        <v>771838</v>
      </c>
      <c r="W33">
        <v>9660</v>
      </c>
      <c r="X33">
        <v>11347</v>
      </c>
      <c r="Y33">
        <v>817106</v>
      </c>
      <c r="Z33">
        <v>53161</v>
      </c>
      <c r="AA33">
        <v>29366</v>
      </c>
      <c r="AB33">
        <v>32270</v>
      </c>
      <c r="AC33">
        <v>2775999</v>
      </c>
      <c r="AD33">
        <v>87542</v>
      </c>
      <c r="AE33">
        <v>134402</v>
      </c>
      <c r="AF33">
        <v>132010</v>
      </c>
      <c r="AG33">
        <v>5038928</v>
      </c>
      <c r="AH33">
        <v>265662</v>
      </c>
      <c r="AI33">
        <v>4469</v>
      </c>
      <c r="AJ33">
        <v>4582</v>
      </c>
      <c r="AK33">
        <v>1148790</v>
      </c>
      <c r="AL33">
        <v>5987</v>
      </c>
      <c r="AM33">
        <v>27331</v>
      </c>
      <c r="AN33">
        <v>22187</v>
      </c>
      <c r="AO33">
        <v>450505</v>
      </c>
      <c r="AP33">
        <v>150306</v>
      </c>
      <c r="AQ33">
        <v>138072</v>
      </c>
      <c r="AR33">
        <v>142068</v>
      </c>
      <c r="AS33">
        <v>5255998</v>
      </c>
      <c r="AT33">
        <v>769939</v>
      </c>
      <c r="AU33">
        <v>9113</v>
      </c>
      <c r="AV33">
        <v>6505</v>
      </c>
      <c r="AW33">
        <v>274059</v>
      </c>
      <c r="AX33">
        <v>23252</v>
      </c>
      <c r="AY33">
        <v>39334</v>
      </c>
      <c r="AZ33">
        <v>28995</v>
      </c>
      <c r="BA33">
        <v>1516925</v>
      </c>
      <c r="BB33">
        <v>152090</v>
      </c>
      <c r="BC33">
        <v>2141</v>
      </c>
      <c r="BD33">
        <v>2253</v>
      </c>
      <c r="BE33">
        <v>4932189</v>
      </c>
      <c r="BF33">
        <v>3043</v>
      </c>
      <c r="BG33">
        <v>111447</v>
      </c>
      <c r="BH33">
        <v>106532</v>
      </c>
      <c r="BI33">
        <v>4813012</v>
      </c>
      <c r="BJ33">
        <v>46979</v>
      </c>
    </row>
    <row r="34" spans="1:62" x14ac:dyDescent="0.4">
      <c r="A34" s="1" t="s">
        <v>56</v>
      </c>
      <c r="B34" s="1" t="s">
        <v>57</v>
      </c>
      <c r="C34">
        <v>315200</v>
      </c>
      <c r="D34">
        <v>295591</v>
      </c>
      <c r="E34">
        <v>4442447</v>
      </c>
      <c r="F34">
        <v>140680</v>
      </c>
      <c r="G34">
        <v>2348147</v>
      </c>
      <c r="H34">
        <v>2347797</v>
      </c>
      <c r="I34">
        <v>28562971</v>
      </c>
      <c r="J34">
        <v>755496</v>
      </c>
      <c r="K34">
        <v>715052</v>
      </c>
      <c r="L34">
        <v>686502</v>
      </c>
      <c r="M34">
        <v>7420424</v>
      </c>
      <c r="N34">
        <v>128442</v>
      </c>
      <c r="O34">
        <v>82283</v>
      </c>
      <c r="P34">
        <v>87945</v>
      </c>
      <c r="Q34">
        <v>1256496</v>
      </c>
      <c r="R34">
        <v>31698</v>
      </c>
      <c r="S34">
        <v>3314462</v>
      </c>
      <c r="T34">
        <v>407099</v>
      </c>
      <c r="U34">
        <v>1922810</v>
      </c>
      <c r="V34">
        <v>712909</v>
      </c>
      <c r="W34">
        <v>7983</v>
      </c>
      <c r="X34">
        <v>8504</v>
      </c>
      <c r="Y34">
        <v>567430</v>
      </c>
      <c r="Z34">
        <v>52950</v>
      </c>
      <c r="AA34">
        <v>26139</v>
      </c>
      <c r="AB34">
        <v>28737</v>
      </c>
      <c r="AC34">
        <v>2500595</v>
      </c>
      <c r="AD34">
        <v>85559</v>
      </c>
      <c r="AE34">
        <v>106029</v>
      </c>
      <c r="AF34">
        <v>111475</v>
      </c>
      <c r="AG34">
        <v>4414866</v>
      </c>
      <c r="AH34">
        <v>259835</v>
      </c>
      <c r="AI34">
        <v>4697</v>
      </c>
      <c r="AJ34">
        <v>4822</v>
      </c>
      <c r="AK34">
        <v>1234821</v>
      </c>
      <c r="AL34">
        <v>6094</v>
      </c>
      <c r="AM34">
        <v>23552</v>
      </c>
      <c r="AN34">
        <v>23861</v>
      </c>
      <c r="AO34">
        <v>535635</v>
      </c>
      <c r="AP34">
        <v>148817</v>
      </c>
      <c r="AQ34">
        <v>123287</v>
      </c>
      <c r="AR34">
        <v>136515</v>
      </c>
      <c r="AS34">
        <v>5133348</v>
      </c>
      <c r="AT34">
        <v>760022</v>
      </c>
      <c r="AU34">
        <v>7005</v>
      </c>
      <c r="AV34">
        <v>7008</v>
      </c>
      <c r="AW34">
        <v>304877</v>
      </c>
      <c r="AX34">
        <v>23249</v>
      </c>
      <c r="AY34">
        <v>33345</v>
      </c>
      <c r="AZ34">
        <v>32279</v>
      </c>
      <c r="BA34">
        <v>1246943</v>
      </c>
      <c r="BB34">
        <v>153508</v>
      </c>
      <c r="BC34">
        <v>2190</v>
      </c>
      <c r="BD34">
        <v>2331</v>
      </c>
      <c r="BE34">
        <v>4998731</v>
      </c>
      <c r="BF34">
        <v>3216</v>
      </c>
      <c r="BG34">
        <v>95888</v>
      </c>
      <c r="BH34">
        <v>91854</v>
      </c>
      <c r="BI34">
        <v>4212232</v>
      </c>
      <c r="BJ34">
        <v>46012</v>
      </c>
    </row>
    <row r="35" spans="1:62" x14ac:dyDescent="0.4">
      <c r="A35" s="1" t="s">
        <v>58</v>
      </c>
      <c r="B35" s="1" t="s">
        <v>59</v>
      </c>
      <c r="C35">
        <v>313562</v>
      </c>
      <c r="D35">
        <v>293821</v>
      </c>
      <c r="E35">
        <v>4472247</v>
      </c>
      <c r="F35">
        <v>152409</v>
      </c>
      <c r="G35">
        <v>2399848</v>
      </c>
      <c r="H35">
        <v>2402601</v>
      </c>
      <c r="I35">
        <v>29900933</v>
      </c>
      <c r="J35">
        <v>825898</v>
      </c>
      <c r="K35">
        <v>767150</v>
      </c>
      <c r="L35">
        <v>676416</v>
      </c>
      <c r="M35">
        <v>7341909</v>
      </c>
      <c r="N35">
        <v>173185</v>
      </c>
      <c r="O35">
        <v>98473</v>
      </c>
      <c r="P35">
        <v>96964</v>
      </c>
      <c r="Q35">
        <v>1294824</v>
      </c>
      <c r="R35">
        <v>33214</v>
      </c>
      <c r="S35">
        <v>3438462</v>
      </c>
      <c r="T35">
        <v>375118</v>
      </c>
      <c r="U35">
        <v>1633771</v>
      </c>
      <c r="V35">
        <v>749122</v>
      </c>
      <c r="W35">
        <v>8281</v>
      </c>
      <c r="X35">
        <v>8487</v>
      </c>
      <c r="Y35">
        <v>539187</v>
      </c>
      <c r="Z35">
        <v>52958</v>
      </c>
      <c r="AA35">
        <v>26930</v>
      </c>
      <c r="AB35">
        <v>26963</v>
      </c>
      <c r="AC35">
        <v>2261826</v>
      </c>
      <c r="AD35">
        <v>86188</v>
      </c>
      <c r="AE35">
        <v>114281</v>
      </c>
      <c r="AF35">
        <v>99500</v>
      </c>
      <c r="AG35">
        <v>3970355</v>
      </c>
      <c r="AH35">
        <v>275278</v>
      </c>
      <c r="AI35">
        <v>4444</v>
      </c>
      <c r="AJ35">
        <v>4675</v>
      </c>
      <c r="AK35">
        <v>1146131</v>
      </c>
      <c r="AL35">
        <v>6060</v>
      </c>
      <c r="AM35">
        <v>27341</v>
      </c>
      <c r="AN35">
        <v>28368</v>
      </c>
      <c r="AO35">
        <v>607904</v>
      </c>
      <c r="AP35">
        <v>147392</v>
      </c>
      <c r="AQ35">
        <v>125300</v>
      </c>
      <c r="AR35">
        <v>137108</v>
      </c>
      <c r="AS35">
        <v>5195944</v>
      </c>
      <c r="AT35">
        <v>750681</v>
      </c>
      <c r="AU35">
        <v>7032</v>
      </c>
      <c r="AV35">
        <v>9268</v>
      </c>
      <c r="AW35">
        <v>500098</v>
      </c>
      <c r="AX35">
        <v>21014</v>
      </c>
      <c r="AY35">
        <v>34398</v>
      </c>
      <c r="AZ35">
        <v>36995</v>
      </c>
      <c r="BA35">
        <v>1770710</v>
      </c>
      <c r="BB35">
        <v>150975</v>
      </c>
      <c r="BC35">
        <v>1917</v>
      </c>
      <c r="BD35">
        <v>2389</v>
      </c>
      <c r="BE35">
        <v>5141333</v>
      </c>
      <c r="BF35">
        <v>3241</v>
      </c>
      <c r="BG35">
        <v>92961</v>
      </c>
      <c r="BH35">
        <v>87955</v>
      </c>
      <c r="BI35">
        <v>4029659</v>
      </c>
      <c r="BJ35">
        <v>46168</v>
      </c>
    </row>
    <row r="36" spans="1:62" x14ac:dyDescent="0.4">
      <c r="A36" s="1" t="s">
        <v>60</v>
      </c>
      <c r="B36" s="1" t="s">
        <v>61</v>
      </c>
      <c r="C36">
        <v>293571</v>
      </c>
      <c r="D36">
        <v>292017</v>
      </c>
      <c r="E36">
        <v>4412622</v>
      </c>
      <c r="F36">
        <v>143076</v>
      </c>
      <c r="G36">
        <v>1935218</v>
      </c>
      <c r="H36">
        <v>2010832</v>
      </c>
      <c r="I36">
        <v>23850654</v>
      </c>
      <c r="J36">
        <v>761453</v>
      </c>
      <c r="K36">
        <v>572979</v>
      </c>
      <c r="L36">
        <v>569009</v>
      </c>
      <c r="M36">
        <v>6153366</v>
      </c>
      <c r="N36">
        <v>149796</v>
      </c>
      <c r="O36">
        <v>65913</v>
      </c>
      <c r="P36">
        <v>69771</v>
      </c>
      <c r="Q36">
        <v>952647</v>
      </c>
      <c r="R36">
        <v>29361</v>
      </c>
      <c r="S36">
        <v>2851272</v>
      </c>
      <c r="T36">
        <v>387251</v>
      </c>
      <c r="U36">
        <v>1776125</v>
      </c>
      <c r="V36">
        <v>762339</v>
      </c>
      <c r="W36">
        <v>7726</v>
      </c>
      <c r="X36">
        <v>8477</v>
      </c>
      <c r="Y36">
        <v>584592</v>
      </c>
      <c r="Z36">
        <v>51919</v>
      </c>
      <c r="AA36">
        <v>24227</v>
      </c>
      <c r="AB36">
        <v>24405</v>
      </c>
      <c r="AC36">
        <v>2070601</v>
      </c>
      <c r="AD36">
        <v>86408</v>
      </c>
      <c r="AE36">
        <v>110924</v>
      </c>
      <c r="AF36">
        <v>86921</v>
      </c>
      <c r="AG36">
        <v>3641390</v>
      </c>
      <c r="AH36">
        <v>299815</v>
      </c>
      <c r="AI36">
        <v>3658</v>
      </c>
      <c r="AJ36">
        <v>3766</v>
      </c>
      <c r="AK36">
        <v>946940</v>
      </c>
      <c r="AL36">
        <v>6127</v>
      </c>
      <c r="AM36">
        <v>23061</v>
      </c>
      <c r="AN36">
        <v>29777</v>
      </c>
      <c r="AO36">
        <v>646242</v>
      </c>
      <c r="AP36">
        <v>139361</v>
      </c>
      <c r="AQ36">
        <v>111920</v>
      </c>
      <c r="AR36">
        <v>135078</v>
      </c>
      <c r="AS36">
        <v>5221166</v>
      </c>
      <c r="AT36">
        <v>729942</v>
      </c>
      <c r="AU36">
        <v>7999</v>
      </c>
      <c r="AV36">
        <v>5815</v>
      </c>
      <c r="AW36">
        <v>282580</v>
      </c>
      <c r="AX36">
        <v>23200</v>
      </c>
      <c r="AY36">
        <v>32521</v>
      </c>
      <c r="AZ36">
        <v>35970</v>
      </c>
      <c r="BA36">
        <v>1554053</v>
      </c>
      <c r="BB36">
        <v>147607</v>
      </c>
      <c r="BC36">
        <v>1706</v>
      </c>
      <c r="BD36">
        <v>2090</v>
      </c>
      <c r="BE36">
        <v>4693830</v>
      </c>
      <c r="BF36">
        <v>3030</v>
      </c>
      <c r="BG36">
        <v>85723</v>
      </c>
      <c r="BH36">
        <v>81817</v>
      </c>
      <c r="BI36">
        <v>3707000</v>
      </c>
      <c r="BJ36">
        <v>44936</v>
      </c>
    </row>
    <row r="37" spans="1:62" x14ac:dyDescent="0.4">
      <c r="A37" s="1" t="s">
        <v>62</v>
      </c>
      <c r="B37" s="1" t="s">
        <v>63</v>
      </c>
      <c r="C37">
        <v>312161</v>
      </c>
      <c r="D37">
        <v>304812</v>
      </c>
      <c r="E37">
        <v>4791966</v>
      </c>
      <c r="F37">
        <v>138192</v>
      </c>
      <c r="G37">
        <v>1924030</v>
      </c>
      <c r="H37">
        <v>1939352</v>
      </c>
      <c r="I37">
        <v>23774731</v>
      </c>
      <c r="J37">
        <v>752894</v>
      </c>
      <c r="K37">
        <v>665592</v>
      </c>
      <c r="L37">
        <v>615357</v>
      </c>
      <c r="M37">
        <v>6561758</v>
      </c>
      <c r="N37">
        <v>161464</v>
      </c>
      <c r="O37">
        <v>75367</v>
      </c>
      <c r="P37">
        <v>71774</v>
      </c>
      <c r="Q37">
        <v>1067325</v>
      </c>
      <c r="R37">
        <v>32878</v>
      </c>
      <c r="S37">
        <v>2830998</v>
      </c>
      <c r="T37">
        <v>309905</v>
      </c>
      <c r="U37">
        <v>1388717</v>
      </c>
      <c r="V37">
        <v>755615</v>
      </c>
      <c r="W37">
        <v>7560</v>
      </c>
      <c r="X37">
        <v>9544</v>
      </c>
      <c r="Y37">
        <v>662889</v>
      </c>
      <c r="Z37">
        <v>50174</v>
      </c>
      <c r="AA37">
        <v>25340</v>
      </c>
      <c r="AB37">
        <v>22541</v>
      </c>
      <c r="AC37">
        <v>1950843</v>
      </c>
      <c r="AD37">
        <v>89797</v>
      </c>
      <c r="AE37">
        <v>107763</v>
      </c>
      <c r="AF37">
        <v>109593</v>
      </c>
      <c r="AG37">
        <v>4563113</v>
      </c>
      <c r="AH37">
        <v>298521</v>
      </c>
      <c r="AI37">
        <v>4289</v>
      </c>
      <c r="AJ37">
        <v>4548</v>
      </c>
      <c r="AK37">
        <v>1178946</v>
      </c>
      <c r="AL37">
        <v>6088</v>
      </c>
      <c r="AM37">
        <v>21047</v>
      </c>
      <c r="AN37">
        <v>28909</v>
      </c>
      <c r="AO37">
        <v>625758</v>
      </c>
      <c r="AP37">
        <v>130405</v>
      </c>
      <c r="AQ37">
        <v>112341</v>
      </c>
      <c r="AR37">
        <v>131602</v>
      </c>
      <c r="AS37">
        <v>5082990</v>
      </c>
      <c r="AT37">
        <v>713733</v>
      </c>
      <c r="AU37">
        <v>7244</v>
      </c>
      <c r="AV37">
        <v>7203</v>
      </c>
      <c r="AW37">
        <v>322633</v>
      </c>
      <c r="AX37">
        <v>23240</v>
      </c>
      <c r="AY37">
        <v>31636</v>
      </c>
      <c r="AZ37">
        <v>37252</v>
      </c>
      <c r="BA37">
        <v>1414918</v>
      </c>
      <c r="BB37">
        <v>142180</v>
      </c>
      <c r="BC37">
        <v>1935</v>
      </c>
      <c r="BD37">
        <v>2015</v>
      </c>
      <c r="BE37">
        <v>4411641</v>
      </c>
      <c r="BF37">
        <v>3231</v>
      </c>
      <c r="BG37">
        <v>82603</v>
      </c>
      <c r="BH37">
        <v>76190</v>
      </c>
      <c r="BI37">
        <v>3479761</v>
      </c>
      <c r="BJ37">
        <v>46701</v>
      </c>
    </row>
    <row r="38" spans="1:62" x14ac:dyDescent="0.4">
      <c r="A38" s="1" t="s">
        <v>64</v>
      </c>
      <c r="B38" s="1" t="s">
        <v>65</v>
      </c>
      <c r="C38">
        <v>287512</v>
      </c>
      <c r="D38">
        <v>281613</v>
      </c>
      <c r="E38">
        <v>4268336</v>
      </c>
      <c r="F38">
        <v>134774</v>
      </c>
      <c r="G38">
        <v>2158218</v>
      </c>
      <c r="H38">
        <v>2222856</v>
      </c>
      <c r="I38">
        <v>27324508</v>
      </c>
      <c r="J38">
        <v>704539</v>
      </c>
      <c r="K38">
        <v>679406</v>
      </c>
      <c r="L38">
        <v>639113</v>
      </c>
      <c r="M38">
        <v>6896638</v>
      </c>
      <c r="N38">
        <v>164491</v>
      </c>
      <c r="O38">
        <v>85270</v>
      </c>
      <c r="P38">
        <v>73380</v>
      </c>
      <c r="Q38">
        <v>826205</v>
      </c>
      <c r="R38">
        <v>44751</v>
      </c>
      <c r="S38">
        <v>3279206</v>
      </c>
      <c r="T38">
        <v>512082</v>
      </c>
      <c r="U38">
        <v>2452285</v>
      </c>
      <c r="V38">
        <v>783917</v>
      </c>
      <c r="W38">
        <v>7777</v>
      </c>
      <c r="X38">
        <v>10111</v>
      </c>
      <c r="Y38">
        <v>807471</v>
      </c>
      <c r="Z38">
        <v>47573</v>
      </c>
      <c r="AA38">
        <v>27071</v>
      </c>
      <c r="AB38">
        <v>24325</v>
      </c>
      <c r="AC38">
        <v>2157386</v>
      </c>
      <c r="AD38">
        <v>93137</v>
      </c>
      <c r="AE38">
        <v>130106</v>
      </c>
      <c r="AF38">
        <v>148221</v>
      </c>
      <c r="AG38">
        <v>6151214</v>
      </c>
      <c r="AH38">
        <v>280089</v>
      </c>
      <c r="AI38">
        <v>4421</v>
      </c>
      <c r="AJ38">
        <v>4582</v>
      </c>
      <c r="AK38">
        <v>1123686</v>
      </c>
      <c r="AL38">
        <v>6093</v>
      </c>
      <c r="AM38">
        <v>19245</v>
      </c>
      <c r="AN38">
        <v>22779</v>
      </c>
      <c r="AO38">
        <v>494030</v>
      </c>
      <c r="AP38">
        <v>126150</v>
      </c>
      <c r="AQ38">
        <v>117059</v>
      </c>
      <c r="AR38">
        <v>120541</v>
      </c>
      <c r="AS38">
        <v>4482637</v>
      </c>
      <c r="AT38">
        <v>712805</v>
      </c>
      <c r="AU38">
        <v>7315</v>
      </c>
      <c r="AV38">
        <v>10087</v>
      </c>
      <c r="AW38">
        <v>468223</v>
      </c>
      <c r="AX38">
        <v>20467</v>
      </c>
      <c r="AY38">
        <v>34900</v>
      </c>
      <c r="AZ38">
        <v>40728</v>
      </c>
      <c r="BA38">
        <v>1797673</v>
      </c>
      <c r="BB38">
        <v>136407</v>
      </c>
      <c r="BC38">
        <v>2243</v>
      </c>
      <c r="BD38">
        <v>2257</v>
      </c>
      <c r="BE38">
        <v>4896147</v>
      </c>
      <c r="BF38">
        <v>3521</v>
      </c>
      <c r="BG38">
        <v>92767</v>
      </c>
      <c r="BH38">
        <v>88932</v>
      </c>
      <c r="BI38">
        <v>4074758</v>
      </c>
      <c r="BJ38">
        <v>44650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0A2FB-9774-418F-AE42-37A3431CF425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3071</v>
      </c>
      <c r="D3" t="s">
        <v>3071</v>
      </c>
      <c r="E3" t="s">
        <v>3071</v>
      </c>
      <c r="F3" t="s">
        <v>3071</v>
      </c>
      <c r="G3" t="s">
        <v>3073</v>
      </c>
      <c r="H3" t="s">
        <v>3073</v>
      </c>
      <c r="I3" t="s">
        <v>3073</v>
      </c>
      <c r="J3" t="s">
        <v>3073</v>
      </c>
      <c r="K3" t="s">
        <v>3075</v>
      </c>
      <c r="L3" t="s">
        <v>3075</v>
      </c>
      <c r="M3" t="s">
        <v>3075</v>
      </c>
      <c r="N3" t="s">
        <v>3075</v>
      </c>
      <c r="O3" t="s">
        <v>3077</v>
      </c>
      <c r="P3" t="s">
        <v>3077</v>
      </c>
      <c r="Q3" t="s">
        <v>3077</v>
      </c>
      <c r="R3" t="s">
        <v>3077</v>
      </c>
      <c r="S3" t="s">
        <v>3079</v>
      </c>
      <c r="T3" t="s">
        <v>3079</v>
      </c>
      <c r="U3" t="s">
        <v>3079</v>
      </c>
      <c r="V3" t="s">
        <v>3079</v>
      </c>
      <c r="W3" t="s">
        <v>3081</v>
      </c>
      <c r="X3" t="s">
        <v>3084</v>
      </c>
      <c r="Y3" t="s">
        <v>3086</v>
      </c>
      <c r="Z3" t="s">
        <v>3088</v>
      </c>
      <c r="AA3" t="s">
        <v>3081</v>
      </c>
      <c r="AB3" t="s">
        <v>3084</v>
      </c>
      <c r="AC3" t="s">
        <v>3086</v>
      </c>
      <c r="AD3" t="s">
        <v>3088</v>
      </c>
      <c r="AE3" t="s">
        <v>3081</v>
      </c>
      <c r="AF3" t="s">
        <v>3084</v>
      </c>
      <c r="AG3" t="s">
        <v>3086</v>
      </c>
      <c r="AH3" t="s">
        <v>3088</v>
      </c>
    </row>
    <row r="4" spans="1:34" x14ac:dyDescent="0.4">
      <c r="A4" s="1"/>
      <c r="B4" s="2" t="s">
        <v>1</v>
      </c>
      <c r="C4" t="s">
        <v>3072</v>
      </c>
      <c r="D4" t="s">
        <v>3072</v>
      </c>
      <c r="E4" t="s">
        <v>3072</v>
      </c>
      <c r="F4" t="s">
        <v>3072</v>
      </c>
      <c r="G4" t="s">
        <v>3074</v>
      </c>
      <c r="H4" t="s">
        <v>3074</v>
      </c>
      <c r="I4" t="s">
        <v>3074</v>
      </c>
      <c r="J4" t="s">
        <v>3074</v>
      </c>
      <c r="K4" t="s">
        <v>3076</v>
      </c>
      <c r="L4" t="s">
        <v>3076</v>
      </c>
      <c r="M4" t="s">
        <v>3076</v>
      </c>
      <c r="N4" t="s">
        <v>3076</v>
      </c>
      <c r="O4" t="s">
        <v>3078</v>
      </c>
      <c r="P4" t="s">
        <v>3078</v>
      </c>
      <c r="Q4" t="s">
        <v>3078</v>
      </c>
      <c r="R4" t="s">
        <v>3078</v>
      </c>
      <c r="S4" t="s">
        <v>3080</v>
      </c>
      <c r="T4" t="s">
        <v>3080</v>
      </c>
      <c r="U4" t="s">
        <v>3080</v>
      </c>
      <c r="V4" t="s">
        <v>3080</v>
      </c>
      <c r="W4" t="s">
        <v>3083</v>
      </c>
      <c r="X4" t="s">
        <v>3085</v>
      </c>
      <c r="Y4" t="s">
        <v>3087</v>
      </c>
      <c r="Z4" t="s">
        <v>3089</v>
      </c>
      <c r="AA4" t="s">
        <v>3083</v>
      </c>
      <c r="AB4" t="s">
        <v>3085</v>
      </c>
      <c r="AC4" t="s">
        <v>3087</v>
      </c>
      <c r="AD4" t="s">
        <v>3089</v>
      </c>
      <c r="AE4" t="s">
        <v>3083</v>
      </c>
      <c r="AF4" t="s">
        <v>3085</v>
      </c>
      <c r="AG4" t="s">
        <v>3087</v>
      </c>
      <c r="AH4" t="s">
        <v>3089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69</v>
      </c>
      <c r="Y5" t="s">
        <v>69</v>
      </c>
      <c r="Z5" t="s">
        <v>69</v>
      </c>
      <c r="AA5" t="s">
        <v>3090</v>
      </c>
      <c r="AB5" t="s">
        <v>3090</v>
      </c>
      <c r="AC5" t="s">
        <v>3090</v>
      </c>
      <c r="AD5" t="s">
        <v>3090</v>
      </c>
      <c r="AE5" t="s">
        <v>76</v>
      </c>
      <c r="AF5" t="s">
        <v>76</v>
      </c>
      <c r="AG5" t="s">
        <v>76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72</v>
      </c>
      <c r="Y6" t="s">
        <v>72</v>
      </c>
      <c r="Z6" t="s">
        <v>72</v>
      </c>
      <c r="AA6" t="s">
        <v>3091</v>
      </c>
      <c r="AB6" t="s">
        <v>3091</v>
      </c>
      <c r="AC6" t="s">
        <v>3091</v>
      </c>
      <c r="AD6" t="s">
        <v>3091</v>
      </c>
      <c r="AE6" t="s">
        <v>77</v>
      </c>
      <c r="AF6" t="s">
        <v>77</v>
      </c>
      <c r="AG6" t="s">
        <v>77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3082</v>
      </c>
      <c r="X7" t="s">
        <v>339</v>
      </c>
      <c r="Y7" t="s">
        <v>70</v>
      </c>
      <c r="Z7" t="s">
        <v>70</v>
      </c>
      <c r="AA7" t="s">
        <v>3082</v>
      </c>
      <c r="AB7" t="s">
        <v>339</v>
      </c>
      <c r="AC7" t="s">
        <v>70</v>
      </c>
      <c r="AD7" t="s">
        <v>70</v>
      </c>
      <c r="AE7" t="s">
        <v>3082</v>
      </c>
      <c r="AF7" t="s">
        <v>339</v>
      </c>
      <c r="AG7" t="s">
        <v>70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3082</v>
      </c>
      <c r="X8" t="s">
        <v>339</v>
      </c>
      <c r="Y8" t="s">
        <v>70</v>
      </c>
      <c r="Z8" t="s">
        <v>70</v>
      </c>
      <c r="AA8" t="s">
        <v>3082</v>
      </c>
      <c r="AB8" t="s">
        <v>339</v>
      </c>
      <c r="AC8" t="s">
        <v>70</v>
      </c>
      <c r="AD8" t="s">
        <v>70</v>
      </c>
      <c r="AE8" t="s">
        <v>3082</v>
      </c>
      <c r="AF8" t="s">
        <v>339</v>
      </c>
      <c r="AG8" t="s">
        <v>70</v>
      </c>
      <c r="AH8" t="s">
        <v>70</v>
      </c>
    </row>
    <row r="9" spans="1:34" x14ac:dyDescent="0.4">
      <c r="A9" s="1" t="s">
        <v>6</v>
      </c>
      <c r="B9" s="3" t="s">
        <v>7</v>
      </c>
      <c r="C9">
        <v>8375465</v>
      </c>
      <c r="D9">
        <v>7657094</v>
      </c>
      <c r="E9">
        <v>8827821</v>
      </c>
      <c r="F9">
        <v>564729</v>
      </c>
      <c r="G9">
        <v>131829866</v>
      </c>
      <c r="H9">
        <v>107043746</v>
      </c>
      <c r="I9">
        <v>105217249</v>
      </c>
      <c r="J9">
        <v>8491770</v>
      </c>
      <c r="K9">
        <v>2925643</v>
      </c>
      <c r="L9">
        <v>2472015</v>
      </c>
      <c r="M9">
        <v>2906290</v>
      </c>
      <c r="N9">
        <v>142525</v>
      </c>
      <c r="O9">
        <v>2044706</v>
      </c>
      <c r="P9">
        <v>2188271</v>
      </c>
      <c r="Q9">
        <v>10959619</v>
      </c>
      <c r="R9">
        <v>123396</v>
      </c>
      <c r="S9">
        <v>30461154</v>
      </c>
      <c r="T9">
        <v>7535229</v>
      </c>
      <c r="U9">
        <v>243565857</v>
      </c>
      <c r="V9">
        <v>1882924</v>
      </c>
      <c r="W9">
        <v>6225213</v>
      </c>
      <c r="X9">
        <v>3339</v>
      </c>
      <c r="Y9">
        <v>0</v>
      </c>
      <c r="Z9">
        <v>0</v>
      </c>
      <c r="AA9">
        <v>6152365</v>
      </c>
      <c r="AB9">
        <v>3302</v>
      </c>
      <c r="AC9">
        <v>0</v>
      </c>
      <c r="AD9">
        <v>0</v>
      </c>
      <c r="AE9">
        <v>672770</v>
      </c>
      <c r="AF9">
        <v>361</v>
      </c>
      <c r="AG9">
        <v>0</v>
      </c>
      <c r="AH9">
        <v>0</v>
      </c>
    </row>
    <row r="10" spans="1:34" x14ac:dyDescent="0.4">
      <c r="A10" s="1" t="s">
        <v>8</v>
      </c>
      <c r="B10" s="3" t="s">
        <v>9</v>
      </c>
      <c r="C10">
        <v>7977190</v>
      </c>
      <c r="D10">
        <v>7444942</v>
      </c>
      <c r="E10">
        <v>9228997</v>
      </c>
      <c r="F10">
        <v>553673</v>
      </c>
      <c r="G10">
        <v>129085745</v>
      </c>
      <c r="H10">
        <v>104237209</v>
      </c>
      <c r="I10">
        <v>108072672</v>
      </c>
      <c r="J10">
        <v>9043944</v>
      </c>
      <c r="K10">
        <v>2919380</v>
      </c>
      <c r="L10">
        <v>2467512</v>
      </c>
      <c r="M10">
        <v>2948204</v>
      </c>
      <c r="N10">
        <v>146057</v>
      </c>
      <c r="O10">
        <v>2013616</v>
      </c>
      <c r="P10">
        <v>2140404</v>
      </c>
      <c r="Q10">
        <v>10881898</v>
      </c>
      <c r="R10">
        <v>131937</v>
      </c>
      <c r="S10">
        <v>29089410</v>
      </c>
      <c r="T10">
        <v>6784590</v>
      </c>
      <c r="U10">
        <v>435714964</v>
      </c>
      <c r="V10">
        <v>2305195</v>
      </c>
      <c r="W10">
        <v>4886419</v>
      </c>
      <c r="X10">
        <v>2923</v>
      </c>
      <c r="Y10">
        <v>0</v>
      </c>
      <c r="Z10">
        <v>0</v>
      </c>
      <c r="AA10">
        <v>5040636</v>
      </c>
      <c r="AB10">
        <v>3001</v>
      </c>
      <c r="AC10">
        <v>0</v>
      </c>
      <c r="AD10">
        <v>0</v>
      </c>
      <c r="AE10">
        <v>485540</v>
      </c>
      <c r="AF10">
        <v>271</v>
      </c>
      <c r="AG10">
        <v>0</v>
      </c>
      <c r="AH10">
        <v>0</v>
      </c>
    </row>
    <row r="11" spans="1:34" x14ac:dyDescent="0.4">
      <c r="A11" s="1" t="s">
        <v>10</v>
      </c>
      <c r="B11" s="3" t="s">
        <v>11</v>
      </c>
      <c r="C11">
        <v>7624672</v>
      </c>
      <c r="D11">
        <v>7164714</v>
      </c>
      <c r="E11">
        <v>10237091</v>
      </c>
      <c r="F11">
        <v>618639</v>
      </c>
      <c r="G11">
        <v>120138858</v>
      </c>
      <c r="H11">
        <v>98596965</v>
      </c>
      <c r="I11">
        <v>110454223</v>
      </c>
      <c r="J11">
        <v>9521958</v>
      </c>
      <c r="K11">
        <v>2874211</v>
      </c>
      <c r="L11">
        <v>2482050</v>
      </c>
      <c r="M11">
        <v>3061998</v>
      </c>
      <c r="N11">
        <v>134974</v>
      </c>
      <c r="O11">
        <v>1989555</v>
      </c>
      <c r="P11">
        <v>2100947</v>
      </c>
      <c r="Q11">
        <v>11172656</v>
      </c>
      <c r="R11">
        <v>149885</v>
      </c>
      <c r="S11">
        <v>27733884</v>
      </c>
      <c r="T11">
        <v>6516269</v>
      </c>
      <c r="U11">
        <v>383788080</v>
      </c>
      <c r="V11">
        <v>2062495</v>
      </c>
      <c r="W11">
        <v>4138577</v>
      </c>
      <c r="X11">
        <v>2604</v>
      </c>
      <c r="Y11">
        <v>0</v>
      </c>
      <c r="Z11">
        <v>0</v>
      </c>
      <c r="AA11">
        <v>4141282</v>
      </c>
      <c r="AB11">
        <v>2622</v>
      </c>
      <c r="AC11">
        <v>0</v>
      </c>
      <c r="AD11">
        <v>0</v>
      </c>
      <c r="AE11">
        <v>482835</v>
      </c>
      <c r="AF11">
        <v>253</v>
      </c>
      <c r="AG11">
        <v>0</v>
      </c>
      <c r="AH11">
        <v>0</v>
      </c>
    </row>
    <row r="12" spans="1:34" x14ac:dyDescent="0.4">
      <c r="A12" s="1" t="s">
        <v>12</v>
      </c>
      <c r="B12" s="3" t="s">
        <v>13</v>
      </c>
      <c r="C12">
        <v>7277865</v>
      </c>
      <c r="D12">
        <v>6704119</v>
      </c>
      <c r="E12">
        <v>9572611</v>
      </c>
      <c r="F12">
        <v>675340</v>
      </c>
      <c r="G12">
        <v>117235395</v>
      </c>
      <c r="H12">
        <v>97169574</v>
      </c>
      <c r="I12">
        <v>115445151</v>
      </c>
      <c r="J12">
        <v>8566498</v>
      </c>
      <c r="K12">
        <v>2631403</v>
      </c>
      <c r="L12">
        <v>2272135</v>
      </c>
      <c r="M12">
        <v>3000417</v>
      </c>
      <c r="N12">
        <v>129284</v>
      </c>
      <c r="O12">
        <v>1791687</v>
      </c>
      <c r="P12">
        <v>1906416</v>
      </c>
      <c r="Q12">
        <v>11769966</v>
      </c>
      <c r="R12">
        <v>161506</v>
      </c>
      <c r="S12">
        <v>25958666</v>
      </c>
      <c r="T12">
        <v>5823688</v>
      </c>
      <c r="U12">
        <v>333823379</v>
      </c>
      <c r="V12">
        <v>2041748</v>
      </c>
      <c r="W12">
        <v>4488890</v>
      </c>
      <c r="X12">
        <v>2691</v>
      </c>
      <c r="Y12">
        <v>0</v>
      </c>
      <c r="Z12">
        <v>0</v>
      </c>
      <c r="AA12">
        <v>4422993</v>
      </c>
      <c r="AB12">
        <v>2653</v>
      </c>
      <c r="AC12">
        <v>0</v>
      </c>
      <c r="AD12">
        <v>0</v>
      </c>
      <c r="AE12">
        <v>548732</v>
      </c>
      <c r="AF12">
        <v>291</v>
      </c>
      <c r="AG12">
        <v>0</v>
      </c>
      <c r="AH12">
        <v>0</v>
      </c>
    </row>
    <row r="13" spans="1:34" x14ac:dyDescent="0.4">
      <c r="A13" s="1" t="s">
        <v>14</v>
      </c>
      <c r="B13" s="3" t="s">
        <v>15</v>
      </c>
      <c r="C13">
        <v>7090210</v>
      </c>
      <c r="D13">
        <v>6559873</v>
      </c>
      <c r="E13">
        <v>9751669</v>
      </c>
      <c r="F13">
        <v>645615</v>
      </c>
      <c r="G13">
        <v>113665754</v>
      </c>
      <c r="H13">
        <v>97430464</v>
      </c>
      <c r="I13">
        <v>120102392</v>
      </c>
      <c r="J13">
        <v>7632650</v>
      </c>
      <c r="K13">
        <v>2299437</v>
      </c>
      <c r="L13">
        <v>1924609</v>
      </c>
      <c r="M13">
        <v>2947517</v>
      </c>
      <c r="N13">
        <v>119732</v>
      </c>
      <c r="O13">
        <v>1564574</v>
      </c>
      <c r="P13">
        <v>1681226</v>
      </c>
      <c r="Q13">
        <v>12085607</v>
      </c>
      <c r="R13">
        <v>169634</v>
      </c>
      <c r="S13">
        <v>24575940</v>
      </c>
      <c r="T13">
        <v>5448609</v>
      </c>
      <c r="U13">
        <v>252310203</v>
      </c>
      <c r="V13">
        <v>1980537</v>
      </c>
      <c r="W13">
        <v>3662875</v>
      </c>
      <c r="X13">
        <v>1924</v>
      </c>
      <c r="Y13">
        <v>0</v>
      </c>
      <c r="Z13">
        <v>0</v>
      </c>
      <c r="AA13">
        <v>3901569</v>
      </c>
      <c r="AB13">
        <v>2032</v>
      </c>
      <c r="AC13">
        <v>0</v>
      </c>
      <c r="AD13">
        <v>0</v>
      </c>
      <c r="AE13">
        <v>310038</v>
      </c>
      <c r="AF13">
        <v>183</v>
      </c>
      <c r="AG13">
        <v>0</v>
      </c>
      <c r="AH13">
        <v>0</v>
      </c>
    </row>
    <row r="14" spans="1:34" x14ac:dyDescent="0.4">
      <c r="A14" s="1" t="s">
        <v>16</v>
      </c>
      <c r="B14" s="1" t="s">
        <v>17</v>
      </c>
      <c r="C14">
        <v>587041</v>
      </c>
      <c r="D14">
        <v>573533</v>
      </c>
      <c r="E14">
        <v>832897</v>
      </c>
      <c r="F14">
        <v>552822</v>
      </c>
      <c r="G14">
        <v>10081004</v>
      </c>
      <c r="H14">
        <v>8242826</v>
      </c>
      <c r="I14">
        <v>9392232</v>
      </c>
      <c r="J14">
        <v>8576101</v>
      </c>
      <c r="K14">
        <v>227269</v>
      </c>
      <c r="L14">
        <v>194037</v>
      </c>
      <c r="M14">
        <v>252728</v>
      </c>
      <c r="N14">
        <v>147034</v>
      </c>
      <c r="O14">
        <v>166350</v>
      </c>
      <c r="P14">
        <v>172195</v>
      </c>
      <c r="Q14">
        <v>1002695</v>
      </c>
      <c r="R14">
        <v>147728</v>
      </c>
      <c r="S14">
        <v>2243922</v>
      </c>
      <c r="T14">
        <v>535807</v>
      </c>
      <c r="U14">
        <v>31696039</v>
      </c>
      <c r="V14">
        <v>2114341</v>
      </c>
      <c r="W14">
        <v>457845</v>
      </c>
      <c r="X14">
        <v>242</v>
      </c>
      <c r="Y14">
        <v>0</v>
      </c>
      <c r="Z14">
        <v>0</v>
      </c>
      <c r="AA14">
        <v>590907</v>
      </c>
      <c r="AB14">
        <v>313</v>
      </c>
      <c r="AC14">
        <v>0</v>
      </c>
      <c r="AD14">
        <v>0</v>
      </c>
      <c r="AE14">
        <v>417343</v>
      </c>
      <c r="AF14">
        <v>226</v>
      </c>
      <c r="AG14">
        <v>0</v>
      </c>
      <c r="AH14">
        <v>0</v>
      </c>
    </row>
    <row r="15" spans="1:34" x14ac:dyDescent="0.4">
      <c r="A15" s="1" t="s">
        <v>18</v>
      </c>
      <c r="B15" s="1" t="s">
        <v>19</v>
      </c>
      <c r="C15">
        <v>645608</v>
      </c>
      <c r="D15">
        <v>576446</v>
      </c>
      <c r="E15">
        <v>856135</v>
      </c>
      <c r="F15">
        <v>582219</v>
      </c>
      <c r="G15">
        <v>9360952</v>
      </c>
      <c r="H15">
        <v>8093505</v>
      </c>
      <c r="I15">
        <v>9510236</v>
      </c>
      <c r="J15">
        <v>8438920</v>
      </c>
      <c r="K15">
        <v>250577</v>
      </c>
      <c r="L15">
        <v>200837</v>
      </c>
      <c r="M15">
        <v>259473</v>
      </c>
      <c r="N15">
        <v>162500</v>
      </c>
      <c r="O15">
        <v>160025</v>
      </c>
      <c r="P15">
        <v>169257</v>
      </c>
      <c r="Q15">
        <v>1018695</v>
      </c>
      <c r="R15">
        <v>153867</v>
      </c>
      <c r="S15">
        <v>2155598</v>
      </c>
      <c r="T15">
        <v>485826</v>
      </c>
      <c r="U15">
        <v>27341697</v>
      </c>
      <c r="V15">
        <v>2120664</v>
      </c>
      <c r="W15">
        <v>588358</v>
      </c>
      <c r="X15">
        <v>332</v>
      </c>
      <c r="Y15">
        <v>0</v>
      </c>
      <c r="Z15">
        <v>0</v>
      </c>
      <c r="AA15">
        <v>399954</v>
      </c>
      <c r="AB15">
        <v>229</v>
      </c>
      <c r="AC15">
        <v>0</v>
      </c>
      <c r="AD15">
        <v>0</v>
      </c>
      <c r="AE15">
        <v>605747</v>
      </c>
      <c r="AF15">
        <v>329</v>
      </c>
      <c r="AG15">
        <v>0</v>
      </c>
      <c r="AH15">
        <v>0</v>
      </c>
    </row>
    <row r="16" spans="1:34" x14ac:dyDescent="0.4">
      <c r="A16" s="1" t="s">
        <v>20</v>
      </c>
      <c r="B16" s="1" t="s">
        <v>21</v>
      </c>
      <c r="C16">
        <v>570816</v>
      </c>
      <c r="D16">
        <v>500055</v>
      </c>
      <c r="E16">
        <v>789243</v>
      </c>
      <c r="F16">
        <v>627653</v>
      </c>
      <c r="G16">
        <v>9956061</v>
      </c>
      <c r="H16">
        <v>8025740</v>
      </c>
      <c r="I16">
        <v>9691352</v>
      </c>
      <c r="J16">
        <v>8553093</v>
      </c>
      <c r="K16">
        <v>216440</v>
      </c>
      <c r="L16">
        <v>191741</v>
      </c>
      <c r="M16">
        <v>240800</v>
      </c>
      <c r="N16">
        <v>156877</v>
      </c>
      <c r="O16">
        <v>153256</v>
      </c>
      <c r="P16">
        <v>160435</v>
      </c>
      <c r="Q16">
        <v>982543</v>
      </c>
      <c r="R16">
        <v>156513</v>
      </c>
      <c r="S16">
        <v>2224132</v>
      </c>
      <c r="T16">
        <v>412588</v>
      </c>
      <c r="U16">
        <v>26721052</v>
      </c>
      <c r="V16">
        <v>2212458</v>
      </c>
      <c r="W16">
        <v>262384</v>
      </c>
      <c r="X16">
        <v>152</v>
      </c>
      <c r="Y16">
        <v>0</v>
      </c>
      <c r="Z16">
        <v>0</v>
      </c>
      <c r="AA16">
        <v>228515</v>
      </c>
      <c r="AB16">
        <v>142</v>
      </c>
      <c r="AC16">
        <v>0</v>
      </c>
      <c r="AD16">
        <v>0</v>
      </c>
      <c r="AE16">
        <v>639616</v>
      </c>
      <c r="AF16">
        <v>339</v>
      </c>
      <c r="AG16">
        <v>0</v>
      </c>
      <c r="AH16">
        <v>0</v>
      </c>
    </row>
    <row r="17" spans="1:34" x14ac:dyDescent="0.4">
      <c r="A17" s="1" t="s">
        <v>22</v>
      </c>
      <c r="B17" s="1" t="s">
        <v>23</v>
      </c>
      <c r="C17">
        <v>569906</v>
      </c>
      <c r="D17">
        <v>551977</v>
      </c>
      <c r="E17">
        <v>824670</v>
      </c>
      <c r="F17">
        <v>618299</v>
      </c>
      <c r="G17">
        <v>9680629</v>
      </c>
      <c r="H17">
        <v>8040472</v>
      </c>
      <c r="I17">
        <v>9710711</v>
      </c>
      <c r="J17">
        <v>8365121</v>
      </c>
      <c r="K17">
        <v>216663</v>
      </c>
      <c r="L17">
        <v>201419</v>
      </c>
      <c r="M17">
        <v>234301</v>
      </c>
      <c r="N17">
        <v>146855</v>
      </c>
      <c r="O17">
        <v>136918</v>
      </c>
      <c r="P17">
        <v>148175</v>
      </c>
      <c r="Q17">
        <v>958263</v>
      </c>
      <c r="R17">
        <v>153957</v>
      </c>
      <c r="S17">
        <v>2118551</v>
      </c>
      <c r="T17">
        <v>531085</v>
      </c>
      <c r="U17">
        <v>33557369</v>
      </c>
      <c r="V17">
        <v>2122712</v>
      </c>
      <c r="W17">
        <v>67359</v>
      </c>
      <c r="X17">
        <v>58</v>
      </c>
      <c r="Y17">
        <v>0</v>
      </c>
      <c r="Z17">
        <v>0</v>
      </c>
      <c r="AA17">
        <v>255859</v>
      </c>
      <c r="AB17">
        <v>155</v>
      </c>
      <c r="AC17">
        <v>0</v>
      </c>
      <c r="AD17">
        <v>0</v>
      </c>
      <c r="AE17">
        <v>451116</v>
      </c>
      <c r="AF17">
        <v>242</v>
      </c>
      <c r="AG17">
        <v>0</v>
      </c>
      <c r="AH17">
        <v>0</v>
      </c>
    </row>
    <row r="18" spans="1:34" x14ac:dyDescent="0.4">
      <c r="A18" s="1" t="s">
        <v>24</v>
      </c>
      <c r="B18" s="1" t="s">
        <v>25</v>
      </c>
      <c r="C18">
        <v>649759</v>
      </c>
      <c r="D18">
        <v>574833</v>
      </c>
      <c r="E18">
        <v>836942</v>
      </c>
      <c r="F18">
        <v>620795</v>
      </c>
      <c r="G18">
        <v>9981915</v>
      </c>
      <c r="H18">
        <v>8086465</v>
      </c>
      <c r="I18">
        <v>9900956</v>
      </c>
      <c r="J18">
        <v>8283189</v>
      </c>
      <c r="K18">
        <v>229905</v>
      </c>
      <c r="L18">
        <v>192374</v>
      </c>
      <c r="M18">
        <v>240829</v>
      </c>
      <c r="N18">
        <v>152012</v>
      </c>
      <c r="O18">
        <v>147113</v>
      </c>
      <c r="P18">
        <v>157526</v>
      </c>
      <c r="Q18">
        <v>1041270</v>
      </c>
      <c r="R18">
        <v>160887</v>
      </c>
      <c r="S18">
        <v>2178859</v>
      </c>
      <c r="T18">
        <v>491346</v>
      </c>
      <c r="U18">
        <v>30446815</v>
      </c>
      <c r="V18">
        <v>2092262</v>
      </c>
      <c r="W18">
        <v>200530</v>
      </c>
      <c r="X18">
        <v>145</v>
      </c>
      <c r="Y18">
        <v>0</v>
      </c>
      <c r="Z18">
        <v>0</v>
      </c>
      <c r="AA18">
        <v>174428</v>
      </c>
      <c r="AB18">
        <v>133</v>
      </c>
      <c r="AC18">
        <v>0</v>
      </c>
      <c r="AD18">
        <v>0</v>
      </c>
      <c r="AE18">
        <v>477218</v>
      </c>
      <c r="AF18">
        <v>254</v>
      </c>
      <c r="AG18">
        <v>0</v>
      </c>
      <c r="AH18">
        <v>0</v>
      </c>
    </row>
    <row r="19" spans="1:34" x14ac:dyDescent="0.4">
      <c r="A19" s="1" t="s">
        <v>26</v>
      </c>
      <c r="B19" s="1" t="s">
        <v>27</v>
      </c>
      <c r="C19">
        <v>541992</v>
      </c>
      <c r="D19">
        <v>488851</v>
      </c>
      <c r="E19">
        <v>698979</v>
      </c>
      <c r="F19">
        <v>639951</v>
      </c>
      <c r="G19">
        <v>9219022</v>
      </c>
      <c r="H19">
        <v>7435380</v>
      </c>
      <c r="I19">
        <v>8923556</v>
      </c>
      <c r="J19">
        <v>8258506</v>
      </c>
      <c r="K19">
        <v>176871</v>
      </c>
      <c r="L19">
        <v>146626</v>
      </c>
      <c r="M19">
        <v>209622</v>
      </c>
      <c r="N19">
        <v>151034</v>
      </c>
      <c r="O19">
        <v>118097</v>
      </c>
      <c r="P19">
        <v>132910</v>
      </c>
      <c r="Q19">
        <v>900336</v>
      </c>
      <c r="R19">
        <v>154277</v>
      </c>
      <c r="S19">
        <v>2164029</v>
      </c>
      <c r="T19">
        <v>490292</v>
      </c>
      <c r="U19">
        <v>28847437</v>
      </c>
      <c r="V19">
        <v>2031440</v>
      </c>
      <c r="W19">
        <v>232386</v>
      </c>
      <c r="X19">
        <v>149</v>
      </c>
      <c r="Y19">
        <v>0</v>
      </c>
      <c r="Z19">
        <v>0</v>
      </c>
      <c r="AA19">
        <v>233583</v>
      </c>
      <c r="AB19">
        <v>146</v>
      </c>
      <c r="AC19">
        <v>0</v>
      </c>
      <c r="AD19">
        <v>0</v>
      </c>
      <c r="AE19">
        <v>476021</v>
      </c>
      <c r="AF19">
        <v>257</v>
      </c>
      <c r="AG19">
        <v>0</v>
      </c>
      <c r="AH19">
        <v>0</v>
      </c>
    </row>
    <row r="20" spans="1:34" x14ac:dyDescent="0.4">
      <c r="A20" s="1" t="s">
        <v>28</v>
      </c>
      <c r="B20" s="1" t="s">
        <v>29</v>
      </c>
      <c r="C20">
        <v>622823</v>
      </c>
      <c r="D20">
        <v>557445</v>
      </c>
      <c r="E20">
        <v>764853</v>
      </c>
      <c r="F20">
        <v>674240</v>
      </c>
      <c r="G20">
        <v>9675825</v>
      </c>
      <c r="H20">
        <v>8028986</v>
      </c>
      <c r="I20">
        <v>9550875</v>
      </c>
      <c r="J20">
        <v>8217016</v>
      </c>
      <c r="K20">
        <v>210559</v>
      </c>
      <c r="L20">
        <v>184265</v>
      </c>
      <c r="M20">
        <v>277386</v>
      </c>
      <c r="N20">
        <v>146194</v>
      </c>
      <c r="O20">
        <v>151096</v>
      </c>
      <c r="P20">
        <v>161514</v>
      </c>
      <c r="Q20">
        <v>1020364</v>
      </c>
      <c r="R20">
        <v>157754</v>
      </c>
      <c r="S20">
        <v>2099820</v>
      </c>
      <c r="T20">
        <v>418443</v>
      </c>
      <c r="U20">
        <v>22680002</v>
      </c>
      <c r="V20">
        <v>2023525</v>
      </c>
      <c r="W20">
        <v>592881</v>
      </c>
      <c r="X20">
        <v>372</v>
      </c>
      <c r="Y20">
        <v>0</v>
      </c>
      <c r="Z20">
        <v>0</v>
      </c>
      <c r="AA20">
        <v>704348</v>
      </c>
      <c r="AB20">
        <v>431</v>
      </c>
      <c r="AC20">
        <v>0</v>
      </c>
      <c r="AD20">
        <v>0</v>
      </c>
      <c r="AE20">
        <v>364554</v>
      </c>
      <c r="AF20">
        <v>198</v>
      </c>
      <c r="AG20">
        <v>0</v>
      </c>
      <c r="AH20">
        <v>0</v>
      </c>
    </row>
    <row r="21" spans="1:34" x14ac:dyDescent="0.4">
      <c r="A21" s="1" t="s">
        <v>30</v>
      </c>
      <c r="B21" s="1" t="s">
        <v>31</v>
      </c>
      <c r="C21">
        <v>681269</v>
      </c>
      <c r="D21">
        <v>625723</v>
      </c>
      <c r="E21">
        <v>840886</v>
      </c>
      <c r="F21">
        <v>683067</v>
      </c>
      <c r="G21">
        <v>10606167</v>
      </c>
      <c r="H21">
        <v>8908527</v>
      </c>
      <c r="I21">
        <v>10717282</v>
      </c>
      <c r="J21">
        <v>8487666</v>
      </c>
      <c r="K21">
        <v>232705</v>
      </c>
      <c r="L21">
        <v>210628</v>
      </c>
      <c r="M21">
        <v>307472</v>
      </c>
      <c r="N21">
        <v>137294</v>
      </c>
      <c r="O21">
        <v>170653</v>
      </c>
      <c r="P21">
        <v>177113</v>
      </c>
      <c r="Q21">
        <v>1072424</v>
      </c>
      <c r="R21">
        <v>158924</v>
      </c>
      <c r="S21">
        <v>2218104</v>
      </c>
      <c r="T21">
        <v>528170</v>
      </c>
      <c r="U21">
        <v>25999426</v>
      </c>
      <c r="V21">
        <v>2041987</v>
      </c>
      <c r="W21">
        <v>467924</v>
      </c>
      <c r="X21">
        <v>287</v>
      </c>
      <c r="Y21">
        <v>0</v>
      </c>
      <c r="Z21">
        <v>0</v>
      </c>
      <c r="AA21">
        <v>408735</v>
      </c>
      <c r="AB21">
        <v>256</v>
      </c>
      <c r="AC21">
        <v>0</v>
      </c>
      <c r="AD21">
        <v>0</v>
      </c>
      <c r="AE21">
        <v>423743</v>
      </c>
      <c r="AF21">
        <v>229</v>
      </c>
      <c r="AG21">
        <v>0</v>
      </c>
      <c r="AH21">
        <v>0</v>
      </c>
    </row>
    <row r="22" spans="1:34" x14ac:dyDescent="0.4">
      <c r="A22" s="1" t="s">
        <v>32</v>
      </c>
      <c r="B22" s="1" t="s">
        <v>33</v>
      </c>
      <c r="C22">
        <v>660266</v>
      </c>
      <c r="D22">
        <v>611548</v>
      </c>
      <c r="E22">
        <v>822266</v>
      </c>
      <c r="F22">
        <v>676857</v>
      </c>
      <c r="G22">
        <v>9862083</v>
      </c>
      <c r="H22">
        <v>8521377</v>
      </c>
      <c r="I22">
        <v>9963480</v>
      </c>
      <c r="J22">
        <v>8443553</v>
      </c>
      <c r="K22">
        <v>217978</v>
      </c>
      <c r="L22">
        <v>202423</v>
      </c>
      <c r="M22">
        <v>262624</v>
      </c>
      <c r="N22">
        <v>125421</v>
      </c>
      <c r="O22">
        <v>150176</v>
      </c>
      <c r="P22">
        <v>159326</v>
      </c>
      <c r="Q22">
        <v>1024860</v>
      </c>
      <c r="R22">
        <v>158563</v>
      </c>
      <c r="S22">
        <v>2102271</v>
      </c>
      <c r="T22">
        <v>485574</v>
      </c>
      <c r="U22">
        <v>24366721</v>
      </c>
      <c r="V22">
        <v>2017869</v>
      </c>
      <c r="W22">
        <v>524900</v>
      </c>
      <c r="X22">
        <v>327</v>
      </c>
      <c r="Y22">
        <v>0</v>
      </c>
      <c r="Z22">
        <v>0</v>
      </c>
      <c r="AA22">
        <v>468133</v>
      </c>
      <c r="AB22">
        <v>303</v>
      </c>
      <c r="AC22">
        <v>0</v>
      </c>
      <c r="AD22">
        <v>0</v>
      </c>
      <c r="AE22">
        <v>480510</v>
      </c>
      <c r="AF22">
        <v>253</v>
      </c>
      <c r="AG22">
        <v>0</v>
      </c>
      <c r="AH22">
        <v>0</v>
      </c>
    </row>
    <row r="23" spans="1:34" x14ac:dyDescent="0.4">
      <c r="A23" s="1" t="s">
        <v>34</v>
      </c>
      <c r="B23" s="1" t="s">
        <v>35</v>
      </c>
      <c r="C23">
        <v>658146</v>
      </c>
      <c r="D23">
        <v>612974</v>
      </c>
      <c r="E23">
        <v>832545</v>
      </c>
      <c r="F23">
        <v>675340</v>
      </c>
      <c r="G23">
        <v>10425809</v>
      </c>
      <c r="H23">
        <v>8748899</v>
      </c>
      <c r="I23">
        <v>10301620</v>
      </c>
      <c r="J23">
        <v>8566498</v>
      </c>
      <c r="K23">
        <v>195698</v>
      </c>
      <c r="L23">
        <v>158613</v>
      </c>
      <c r="M23">
        <v>212538</v>
      </c>
      <c r="N23">
        <v>129284</v>
      </c>
      <c r="O23">
        <v>150667</v>
      </c>
      <c r="P23">
        <v>157781</v>
      </c>
      <c r="Q23">
        <v>984110</v>
      </c>
      <c r="R23">
        <v>161506</v>
      </c>
      <c r="S23">
        <v>2181410</v>
      </c>
      <c r="T23">
        <v>517982</v>
      </c>
      <c r="U23">
        <v>26237254</v>
      </c>
      <c r="V23">
        <v>2041748</v>
      </c>
      <c r="W23">
        <v>410103</v>
      </c>
      <c r="X23">
        <v>229</v>
      </c>
      <c r="Y23">
        <v>0</v>
      </c>
      <c r="Z23">
        <v>0</v>
      </c>
      <c r="AA23">
        <v>341881</v>
      </c>
      <c r="AB23">
        <v>191</v>
      </c>
      <c r="AC23">
        <v>0</v>
      </c>
      <c r="AD23">
        <v>0</v>
      </c>
      <c r="AE23">
        <v>548732</v>
      </c>
      <c r="AF23">
        <v>291</v>
      </c>
      <c r="AG23">
        <v>0</v>
      </c>
      <c r="AH23">
        <v>0</v>
      </c>
    </row>
    <row r="24" spans="1:34" x14ac:dyDescent="0.4">
      <c r="A24" s="1" t="s">
        <v>36</v>
      </c>
      <c r="B24" s="1" t="s">
        <v>37</v>
      </c>
      <c r="C24">
        <v>555252</v>
      </c>
      <c r="D24">
        <v>544118</v>
      </c>
      <c r="E24">
        <v>778796</v>
      </c>
      <c r="F24">
        <v>635497</v>
      </c>
      <c r="G24">
        <v>9143425</v>
      </c>
      <c r="H24">
        <v>7606769</v>
      </c>
      <c r="I24">
        <v>9278073</v>
      </c>
      <c r="J24">
        <v>8501778</v>
      </c>
      <c r="K24">
        <v>182069</v>
      </c>
      <c r="L24">
        <v>138299</v>
      </c>
      <c r="M24">
        <v>216786</v>
      </c>
      <c r="N24">
        <v>142353</v>
      </c>
      <c r="O24">
        <v>119539</v>
      </c>
      <c r="P24">
        <v>131555</v>
      </c>
      <c r="Q24">
        <v>938197</v>
      </c>
      <c r="R24">
        <v>158195</v>
      </c>
      <c r="S24">
        <v>2147799</v>
      </c>
      <c r="T24">
        <v>376055</v>
      </c>
      <c r="U24">
        <v>18835471</v>
      </c>
      <c r="V24">
        <v>2127321</v>
      </c>
      <c r="W24">
        <v>382852</v>
      </c>
      <c r="X24">
        <v>223</v>
      </c>
      <c r="Y24">
        <v>0</v>
      </c>
      <c r="Z24">
        <v>0</v>
      </c>
      <c r="AA24">
        <v>363980</v>
      </c>
      <c r="AB24">
        <v>212</v>
      </c>
      <c r="AC24">
        <v>0</v>
      </c>
      <c r="AD24">
        <v>0</v>
      </c>
      <c r="AE24">
        <v>567604</v>
      </c>
      <c r="AF24">
        <v>302</v>
      </c>
      <c r="AG24">
        <v>0</v>
      </c>
      <c r="AH24">
        <v>0</v>
      </c>
    </row>
    <row r="25" spans="1:34" x14ac:dyDescent="0.4">
      <c r="A25" s="1" t="s">
        <v>38</v>
      </c>
      <c r="B25" s="1" t="s">
        <v>39</v>
      </c>
      <c r="C25">
        <v>550604</v>
      </c>
      <c r="D25">
        <v>541218</v>
      </c>
      <c r="E25">
        <v>756151</v>
      </c>
      <c r="F25">
        <v>606012</v>
      </c>
      <c r="G25">
        <v>8630799</v>
      </c>
      <c r="H25">
        <v>7298902</v>
      </c>
      <c r="I25">
        <v>9040835</v>
      </c>
      <c r="J25">
        <v>8449043</v>
      </c>
      <c r="K25">
        <v>177017</v>
      </c>
      <c r="L25">
        <v>140977</v>
      </c>
      <c r="M25">
        <v>218319</v>
      </c>
      <c r="N25">
        <v>149588</v>
      </c>
      <c r="O25">
        <v>117078</v>
      </c>
      <c r="P25">
        <v>121430</v>
      </c>
      <c r="Q25">
        <v>880764</v>
      </c>
      <c r="R25">
        <v>165375</v>
      </c>
      <c r="S25">
        <v>1902061</v>
      </c>
      <c r="T25">
        <v>407166</v>
      </c>
      <c r="U25">
        <v>20190983</v>
      </c>
      <c r="V25">
        <v>2077736</v>
      </c>
      <c r="W25">
        <v>296934</v>
      </c>
      <c r="X25">
        <v>166</v>
      </c>
      <c r="Y25">
        <v>0</v>
      </c>
      <c r="Z25">
        <v>0</v>
      </c>
      <c r="AA25">
        <v>453295</v>
      </c>
      <c r="AB25">
        <v>244</v>
      </c>
      <c r="AC25">
        <v>0</v>
      </c>
      <c r="AD25">
        <v>0</v>
      </c>
      <c r="AE25">
        <v>411243</v>
      </c>
      <c r="AF25">
        <v>224</v>
      </c>
      <c r="AG25">
        <v>0</v>
      </c>
      <c r="AH25">
        <v>0</v>
      </c>
    </row>
    <row r="26" spans="1:34" x14ac:dyDescent="0.4">
      <c r="A26" s="1" t="s">
        <v>40</v>
      </c>
      <c r="B26" s="1" t="s">
        <v>41</v>
      </c>
      <c r="C26">
        <v>603464</v>
      </c>
      <c r="D26">
        <v>582220</v>
      </c>
      <c r="E26">
        <v>841497</v>
      </c>
      <c r="F26">
        <v>588439</v>
      </c>
      <c r="G26">
        <v>9761877</v>
      </c>
      <c r="H26">
        <v>8493656</v>
      </c>
      <c r="I26">
        <v>10258254</v>
      </c>
      <c r="J26">
        <v>8180949</v>
      </c>
      <c r="K26">
        <v>175737</v>
      </c>
      <c r="L26">
        <v>162640</v>
      </c>
      <c r="M26">
        <v>270787</v>
      </c>
      <c r="N26">
        <v>126733</v>
      </c>
      <c r="O26">
        <v>136243</v>
      </c>
      <c r="P26">
        <v>149178</v>
      </c>
      <c r="Q26">
        <v>1014773</v>
      </c>
      <c r="R26">
        <v>166951</v>
      </c>
      <c r="S26">
        <v>2128311</v>
      </c>
      <c r="T26">
        <v>498017</v>
      </c>
      <c r="U26">
        <v>23267711</v>
      </c>
      <c r="V26">
        <v>1946903</v>
      </c>
      <c r="W26">
        <v>297593</v>
      </c>
      <c r="X26">
        <v>160</v>
      </c>
      <c r="Y26">
        <v>0</v>
      </c>
      <c r="Z26">
        <v>0</v>
      </c>
      <c r="AA26">
        <v>279242</v>
      </c>
      <c r="AB26">
        <v>149</v>
      </c>
      <c r="AC26">
        <v>0</v>
      </c>
      <c r="AD26">
        <v>0</v>
      </c>
      <c r="AE26">
        <v>429594</v>
      </c>
      <c r="AF26">
        <v>235</v>
      </c>
      <c r="AG26">
        <v>0</v>
      </c>
      <c r="AH26">
        <v>0</v>
      </c>
    </row>
    <row r="27" spans="1:34" x14ac:dyDescent="0.4">
      <c r="A27" s="1" t="s">
        <v>42</v>
      </c>
      <c r="B27" s="1" t="s">
        <v>43</v>
      </c>
      <c r="C27">
        <v>634223</v>
      </c>
      <c r="D27">
        <v>594001</v>
      </c>
      <c r="E27">
        <v>882553</v>
      </c>
      <c r="F27">
        <v>582548</v>
      </c>
      <c r="G27">
        <v>9554208</v>
      </c>
      <c r="H27">
        <v>8161804</v>
      </c>
      <c r="I27">
        <v>10297779</v>
      </c>
      <c r="J27">
        <v>8237426</v>
      </c>
      <c r="K27">
        <v>199774</v>
      </c>
      <c r="L27">
        <v>153488</v>
      </c>
      <c r="M27">
        <v>245739</v>
      </c>
      <c r="N27">
        <v>136315</v>
      </c>
      <c r="O27">
        <v>124549</v>
      </c>
      <c r="P27">
        <v>137020</v>
      </c>
      <c r="Q27">
        <v>996131</v>
      </c>
      <c r="R27">
        <v>166303</v>
      </c>
      <c r="S27">
        <v>1979006</v>
      </c>
      <c r="T27">
        <v>440801</v>
      </c>
      <c r="U27">
        <v>20243778</v>
      </c>
      <c r="V27">
        <v>1891535</v>
      </c>
      <c r="W27">
        <v>531402</v>
      </c>
      <c r="X27">
        <v>294</v>
      </c>
      <c r="Y27">
        <v>0</v>
      </c>
      <c r="Z27">
        <v>0</v>
      </c>
      <c r="AA27">
        <v>566536</v>
      </c>
      <c r="AB27">
        <v>313</v>
      </c>
      <c r="AC27">
        <v>0</v>
      </c>
      <c r="AD27">
        <v>0</v>
      </c>
      <c r="AE27">
        <v>394460</v>
      </c>
      <c r="AF27">
        <v>216</v>
      </c>
      <c r="AG27">
        <v>0</v>
      </c>
      <c r="AH27">
        <v>0</v>
      </c>
    </row>
    <row r="28" spans="1:34" x14ac:dyDescent="0.4">
      <c r="A28" s="1" t="s">
        <v>44</v>
      </c>
      <c r="B28" s="1" t="s">
        <v>45</v>
      </c>
      <c r="C28">
        <v>660404</v>
      </c>
      <c r="D28">
        <v>596596</v>
      </c>
      <c r="E28">
        <v>841350</v>
      </c>
      <c r="F28">
        <v>592113</v>
      </c>
      <c r="G28">
        <v>9843161</v>
      </c>
      <c r="H28">
        <v>8289992</v>
      </c>
      <c r="I28">
        <v>10370961</v>
      </c>
      <c r="J28">
        <v>8219193</v>
      </c>
      <c r="K28">
        <v>168241</v>
      </c>
      <c r="L28">
        <v>147832</v>
      </c>
      <c r="M28">
        <v>225880</v>
      </c>
      <c r="N28">
        <v>131028</v>
      </c>
      <c r="O28">
        <v>113318</v>
      </c>
      <c r="P28">
        <v>127669</v>
      </c>
      <c r="Q28">
        <v>968795</v>
      </c>
      <c r="R28">
        <v>167756</v>
      </c>
      <c r="S28">
        <v>2108672</v>
      </c>
      <c r="T28">
        <v>488745</v>
      </c>
      <c r="U28">
        <v>22741799</v>
      </c>
      <c r="V28">
        <v>1894441</v>
      </c>
      <c r="W28">
        <v>294887</v>
      </c>
      <c r="X28">
        <v>118</v>
      </c>
      <c r="Y28">
        <v>0</v>
      </c>
      <c r="Z28">
        <v>0</v>
      </c>
      <c r="AA28">
        <v>294525</v>
      </c>
      <c r="AB28">
        <v>118</v>
      </c>
      <c r="AC28">
        <v>0</v>
      </c>
      <c r="AD28">
        <v>0</v>
      </c>
      <c r="AE28">
        <v>394822</v>
      </c>
      <c r="AF28">
        <v>216</v>
      </c>
      <c r="AG28">
        <v>0</v>
      </c>
      <c r="AH28">
        <v>0</v>
      </c>
    </row>
    <row r="29" spans="1:34" x14ac:dyDescent="0.4">
      <c r="A29" s="1" t="s">
        <v>46</v>
      </c>
      <c r="B29" s="1" t="s">
        <v>47</v>
      </c>
      <c r="C29">
        <v>637569</v>
      </c>
      <c r="D29">
        <v>591185</v>
      </c>
      <c r="E29">
        <v>817971</v>
      </c>
      <c r="F29">
        <v>595721</v>
      </c>
      <c r="G29">
        <v>9054047</v>
      </c>
      <c r="H29">
        <v>8174785</v>
      </c>
      <c r="I29">
        <v>9951216</v>
      </c>
      <c r="J29">
        <v>7776863</v>
      </c>
      <c r="K29">
        <v>177607</v>
      </c>
      <c r="L29">
        <v>154920</v>
      </c>
      <c r="M29">
        <v>220283</v>
      </c>
      <c r="N29">
        <v>126489</v>
      </c>
      <c r="O29">
        <v>129857</v>
      </c>
      <c r="P29">
        <v>143130</v>
      </c>
      <c r="Q29">
        <v>1067755</v>
      </c>
      <c r="R29">
        <v>164520</v>
      </c>
      <c r="S29">
        <v>2014294</v>
      </c>
      <c r="T29">
        <v>472168</v>
      </c>
      <c r="U29">
        <v>22529948</v>
      </c>
      <c r="V29">
        <v>1863255</v>
      </c>
      <c r="W29">
        <v>194141</v>
      </c>
      <c r="X29">
        <v>136</v>
      </c>
      <c r="Y29">
        <v>0</v>
      </c>
      <c r="Z29">
        <v>0</v>
      </c>
      <c r="AA29">
        <v>245711</v>
      </c>
      <c r="AB29">
        <v>159</v>
      </c>
      <c r="AC29">
        <v>0</v>
      </c>
      <c r="AD29">
        <v>0</v>
      </c>
      <c r="AE29">
        <v>343252</v>
      </c>
      <c r="AF29">
        <v>193</v>
      </c>
      <c r="AG29">
        <v>0</v>
      </c>
      <c r="AH29">
        <v>0</v>
      </c>
    </row>
    <row r="30" spans="1:34" x14ac:dyDescent="0.4">
      <c r="A30" s="1" t="s">
        <v>48</v>
      </c>
      <c r="B30" s="1" t="s">
        <v>49</v>
      </c>
      <c r="C30">
        <v>675229</v>
      </c>
      <c r="D30">
        <v>584970</v>
      </c>
      <c r="E30">
        <v>821672</v>
      </c>
      <c r="F30">
        <v>614688</v>
      </c>
      <c r="G30">
        <v>9704091</v>
      </c>
      <c r="H30">
        <v>8248194</v>
      </c>
      <c r="I30">
        <v>10246376</v>
      </c>
      <c r="J30">
        <v>7731505</v>
      </c>
      <c r="K30">
        <v>212285</v>
      </c>
      <c r="L30">
        <v>187698</v>
      </c>
      <c r="M30">
        <v>239556</v>
      </c>
      <c r="N30">
        <v>131785</v>
      </c>
      <c r="O30">
        <v>161673</v>
      </c>
      <c r="P30">
        <v>168713</v>
      </c>
      <c r="Q30">
        <v>1155115</v>
      </c>
      <c r="R30">
        <v>166115</v>
      </c>
      <c r="S30">
        <v>2064743</v>
      </c>
      <c r="T30">
        <v>440450</v>
      </c>
      <c r="U30">
        <v>20710363</v>
      </c>
      <c r="V30">
        <v>1884201</v>
      </c>
      <c r="W30">
        <v>495996</v>
      </c>
      <c r="X30">
        <v>255</v>
      </c>
      <c r="Y30">
        <v>0</v>
      </c>
      <c r="Z30">
        <v>0</v>
      </c>
      <c r="AA30">
        <v>275381</v>
      </c>
      <c r="AB30">
        <v>141</v>
      </c>
      <c r="AC30">
        <v>0</v>
      </c>
      <c r="AD30">
        <v>0</v>
      </c>
      <c r="AE30">
        <v>563867</v>
      </c>
      <c r="AF30">
        <v>307</v>
      </c>
      <c r="AG30">
        <v>0</v>
      </c>
      <c r="AH30">
        <v>0</v>
      </c>
    </row>
    <row r="31" spans="1:34" x14ac:dyDescent="0.4">
      <c r="A31" s="1" t="s">
        <v>50</v>
      </c>
      <c r="B31" s="1" t="s">
        <v>51</v>
      </c>
      <c r="C31">
        <v>515580</v>
      </c>
      <c r="D31">
        <v>488016</v>
      </c>
      <c r="E31">
        <v>729417</v>
      </c>
      <c r="F31">
        <v>609627</v>
      </c>
      <c r="G31">
        <v>9193835</v>
      </c>
      <c r="H31">
        <v>7883206</v>
      </c>
      <c r="I31">
        <v>9744157</v>
      </c>
      <c r="J31">
        <v>7607513</v>
      </c>
      <c r="K31">
        <v>175994</v>
      </c>
      <c r="L31">
        <v>149949</v>
      </c>
      <c r="M31">
        <v>224194</v>
      </c>
      <c r="N31">
        <v>123947</v>
      </c>
      <c r="O31">
        <v>116042</v>
      </c>
      <c r="P31">
        <v>125928</v>
      </c>
      <c r="Q31">
        <v>911002</v>
      </c>
      <c r="R31">
        <v>161869</v>
      </c>
      <c r="S31">
        <v>2048952</v>
      </c>
      <c r="T31">
        <v>452254</v>
      </c>
      <c r="U31">
        <v>21341665</v>
      </c>
      <c r="V31">
        <v>1853985</v>
      </c>
      <c r="W31">
        <v>94244</v>
      </c>
      <c r="X31">
        <v>31</v>
      </c>
      <c r="Y31">
        <v>0</v>
      </c>
      <c r="Z31">
        <v>0</v>
      </c>
      <c r="AA31">
        <v>265833</v>
      </c>
      <c r="AB31">
        <v>130</v>
      </c>
      <c r="AC31">
        <v>0</v>
      </c>
      <c r="AD31">
        <v>0</v>
      </c>
      <c r="AE31">
        <v>392278</v>
      </c>
      <c r="AF31">
        <v>208</v>
      </c>
      <c r="AG31">
        <v>0</v>
      </c>
      <c r="AH31">
        <v>0</v>
      </c>
    </row>
    <row r="32" spans="1:34" x14ac:dyDescent="0.4">
      <c r="A32" s="1" t="s">
        <v>52</v>
      </c>
      <c r="B32" s="1" t="s">
        <v>53</v>
      </c>
      <c r="C32">
        <v>574415</v>
      </c>
      <c r="D32">
        <v>524262</v>
      </c>
      <c r="E32">
        <v>832073</v>
      </c>
      <c r="F32">
        <v>620205</v>
      </c>
      <c r="G32">
        <v>9491508</v>
      </c>
      <c r="H32">
        <v>8088473</v>
      </c>
      <c r="I32">
        <v>10042495</v>
      </c>
      <c r="J32">
        <v>7779985</v>
      </c>
      <c r="K32">
        <v>202777</v>
      </c>
      <c r="L32">
        <v>178039</v>
      </c>
      <c r="M32">
        <v>295841</v>
      </c>
      <c r="N32">
        <v>116312</v>
      </c>
      <c r="O32">
        <v>138637</v>
      </c>
      <c r="P32">
        <v>151967</v>
      </c>
      <c r="Q32">
        <v>1112268</v>
      </c>
      <c r="R32">
        <v>156369</v>
      </c>
      <c r="S32">
        <v>1972425</v>
      </c>
      <c r="T32">
        <v>467311</v>
      </c>
      <c r="U32">
        <v>20059824</v>
      </c>
      <c r="V32">
        <v>1858431</v>
      </c>
      <c r="W32">
        <v>390426</v>
      </c>
      <c r="X32">
        <v>224</v>
      </c>
      <c r="Y32">
        <v>0</v>
      </c>
      <c r="Z32">
        <v>0</v>
      </c>
      <c r="AA32">
        <v>274200</v>
      </c>
      <c r="AB32">
        <v>162</v>
      </c>
      <c r="AC32">
        <v>0</v>
      </c>
      <c r="AD32">
        <v>0</v>
      </c>
      <c r="AE32">
        <v>508504</v>
      </c>
      <c r="AF32">
        <v>270</v>
      </c>
      <c r="AG32">
        <v>0</v>
      </c>
      <c r="AH32">
        <v>0</v>
      </c>
    </row>
    <row r="33" spans="1:34" x14ac:dyDescent="0.4">
      <c r="A33" s="1" t="s">
        <v>54</v>
      </c>
      <c r="B33" s="1" t="s">
        <v>55</v>
      </c>
      <c r="C33">
        <v>536706</v>
      </c>
      <c r="D33">
        <v>496046</v>
      </c>
      <c r="E33">
        <v>805990</v>
      </c>
      <c r="F33">
        <v>610364</v>
      </c>
      <c r="G33">
        <v>9906924</v>
      </c>
      <c r="H33">
        <v>8530399</v>
      </c>
      <c r="I33">
        <v>10583215</v>
      </c>
      <c r="J33">
        <v>7815799</v>
      </c>
      <c r="K33">
        <v>223769</v>
      </c>
      <c r="L33">
        <v>180886</v>
      </c>
      <c r="M33">
        <v>310309</v>
      </c>
      <c r="N33">
        <v>118935</v>
      </c>
      <c r="O33">
        <v>150369</v>
      </c>
      <c r="P33">
        <v>159277</v>
      </c>
      <c r="Q33">
        <v>1136952</v>
      </c>
      <c r="R33">
        <v>154331</v>
      </c>
      <c r="S33">
        <v>2055246</v>
      </c>
      <c r="T33">
        <v>469340</v>
      </c>
      <c r="U33">
        <v>20430907</v>
      </c>
      <c r="V33">
        <v>1870870</v>
      </c>
      <c r="W33">
        <v>300834</v>
      </c>
      <c r="X33">
        <v>90</v>
      </c>
      <c r="Y33">
        <v>0</v>
      </c>
      <c r="Z33">
        <v>0</v>
      </c>
      <c r="AA33">
        <v>403205</v>
      </c>
      <c r="AB33">
        <v>128</v>
      </c>
      <c r="AC33">
        <v>0</v>
      </c>
      <c r="AD33">
        <v>0</v>
      </c>
      <c r="AE33">
        <v>406133</v>
      </c>
      <c r="AF33">
        <v>232</v>
      </c>
      <c r="AG33">
        <v>0</v>
      </c>
      <c r="AH33">
        <v>0</v>
      </c>
    </row>
    <row r="34" spans="1:34" x14ac:dyDescent="0.4">
      <c r="A34" s="1" t="s">
        <v>56</v>
      </c>
      <c r="B34" s="1" t="s">
        <v>57</v>
      </c>
      <c r="C34">
        <v>556767</v>
      </c>
      <c r="D34">
        <v>497211</v>
      </c>
      <c r="E34">
        <v>785744</v>
      </c>
      <c r="F34">
        <v>624619</v>
      </c>
      <c r="G34">
        <v>9489708</v>
      </c>
      <c r="H34">
        <v>8130717</v>
      </c>
      <c r="I34">
        <v>9871282</v>
      </c>
      <c r="J34">
        <v>7657447</v>
      </c>
      <c r="K34">
        <v>201473</v>
      </c>
      <c r="L34">
        <v>165634</v>
      </c>
      <c r="M34">
        <v>242813</v>
      </c>
      <c r="N34">
        <v>116023</v>
      </c>
      <c r="O34">
        <v>126033</v>
      </c>
      <c r="P34">
        <v>130651</v>
      </c>
      <c r="Q34">
        <v>936106</v>
      </c>
      <c r="R34">
        <v>165652</v>
      </c>
      <c r="S34">
        <v>2063157</v>
      </c>
      <c r="T34">
        <v>470127</v>
      </c>
      <c r="U34">
        <v>20955602</v>
      </c>
      <c r="V34">
        <v>1902781</v>
      </c>
      <c r="W34">
        <v>230037</v>
      </c>
      <c r="X34">
        <v>133</v>
      </c>
      <c r="Y34">
        <v>0</v>
      </c>
      <c r="Z34">
        <v>0</v>
      </c>
      <c r="AA34">
        <v>196840</v>
      </c>
      <c r="AB34">
        <v>119</v>
      </c>
      <c r="AC34">
        <v>0</v>
      </c>
      <c r="AD34">
        <v>0</v>
      </c>
      <c r="AE34">
        <v>439330</v>
      </c>
      <c r="AF34">
        <v>246</v>
      </c>
      <c r="AG34">
        <v>0</v>
      </c>
      <c r="AH34">
        <v>0</v>
      </c>
    </row>
    <row r="35" spans="1:34" x14ac:dyDescent="0.4">
      <c r="A35" s="1" t="s">
        <v>58</v>
      </c>
      <c r="B35" s="1" t="s">
        <v>59</v>
      </c>
      <c r="C35">
        <v>589997</v>
      </c>
      <c r="D35">
        <v>520030</v>
      </c>
      <c r="E35">
        <v>858455</v>
      </c>
      <c r="F35">
        <v>645615</v>
      </c>
      <c r="G35">
        <v>9892171</v>
      </c>
      <c r="H35">
        <v>8523567</v>
      </c>
      <c r="I35">
        <v>10417749</v>
      </c>
      <c r="J35">
        <v>7632650</v>
      </c>
      <c r="K35">
        <v>202694</v>
      </c>
      <c r="L35">
        <v>164247</v>
      </c>
      <c r="M35">
        <v>237010</v>
      </c>
      <c r="N35">
        <v>119732</v>
      </c>
      <c r="O35">
        <v>131236</v>
      </c>
      <c r="P35">
        <v>134708</v>
      </c>
      <c r="Q35">
        <v>967749</v>
      </c>
      <c r="R35">
        <v>169634</v>
      </c>
      <c r="S35">
        <v>2091274</v>
      </c>
      <c r="T35">
        <v>466175</v>
      </c>
      <c r="U35">
        <v>21002152</v>
      </c>
      <c r="V35">
        <v>1980537</v>
      </c>
      <c r="W35">
        <v>153529</v>
      </c>
      <c r="X35">
        <v>94</v>
      </c>
      <c r="Y35">
        <v>0</v>
      </c>
      <c r="Z35">
        <v>0</v>
      </c>
      <c r="AA35">
        <v>282821</v>
      </c>
      <c r="AB35">
        <v>157</v>
      </c>
      <c r="AC35">
        <v>0</v>
      </c>
      <c r="AD35">
        <v>0</v>
      </c>
      <c r="AE35">
        <v>310038</v>
      </c>
      <c r="AF35">
        <v>183</v>
      </c>
      <c r="AG35">
        <v>0</v>
      </c>
      <c r="AH35">
        <v>0</v>
      </c>
    </row>
    <row r="36" spans="1:34" x14ac:dyDescent="0.4">
      <c r="A36" s="1" t="s">
        <v>60</v>
      </c>
      <c r="B36" s="1" t="s">
        <v>61</v>
      </c>
      <c r="C36">
        <v>482048</v>
      </c>
      <c r="D36">
        <v>462387</v>
      </c>
      <c r="E36">
        <v>759087</v>
      </c>
      <c r="F36">
        <v>635314</v>
      </c>
      <c r="G36">
        <v>8757929</v>
      </c>
      <c r="H36">
        <v>7325445</v>
      </c>
      <c r="I36">
        <v>9623023</v>
      </c>
      <c r="J36">
        <v>7682380</v>
      </c>
      <c r="K36">
        <v>192387</v>
      </c>
      <c r="L36">
        <v>163982</v>
      </c>
      <c r="M36">
        <v>226690</v>
      </c>
      <c r="N36">
        <v>113830</v>
      </c>
      <c r="O36">
        <v>110658</v>
      </c>
      <c r="P36">
        <v>123124</v>
      </c>
      <c r="Q36">
        <v>949969</v>
      </c>
      <c r="R36">
        <v>162595</v>
      </c>
      <c r="S36">
        <v>2022969</v>
      </c>
      <c r="T36">
        <v>449925</v>
      </c>
      <c r="U36">
        <v>20828169</v>
      </c>
      <c r="V36">
        <v>1950571</v>
      </c>
      <c r="W36">
        <v>264416</v>
      </c>
      <c r="X36">
        <v>155</v>
      </c>
      <c r="Y36">
        <v>0</v>
      </c>
      <c r="Z36">
        <v>0</v>
      </c>
      <c r="AA36">
        <v>214906</v>
      </c>
      <c r="AB36">
        <v>130</v>
      </c>
      <c r="AC36">
        <v>0</v>
      </c>
      <c r="AD36">
        <v>0</v>
      </c>
      <c r="AE36">
        <v>359548</v>
      </c>
      <c r="AF36">
        <v>209</v>
      </c>
      <c r="AG36">
        <v>0</v>
      </c>
      <c r="AH36">
        <v>0</v>
      </c>
    </row>
    <row r="37" spans="1:34" x14ac:dyDescent="0.4">
      <c r="A37" s="1" t="s">
        <v>62</v>
      </c>
      <c r="B37" s="1" t="s">
        <v>63</v>
      </c>
      <c r="C37">
        <v>477637</v>
      </c>
      <c r="D37">
        <v>459697</v>
      </c>
      <c r="E37">
        <v>782524</v>
      </c>
      <c r="F37">
        <v>605938</v>
      </c>
      <c r="G37">
        <v>8692470</v>
      </c>
      <c r="H37">
        <v>7368557</v>
      </c>
      <c r="I37">
        <v>9546946</v>
      </c>
      <c r="J37">
        <v>7640002</v>
      </c>
      <c r="K37">
        <v>199855</v>
      </c>
      <c r="L37">
        <v>158814</v>
      </c>
      <c r="M37">
        <v>229763</v>
      </c>
      <c r="N37">
        <v>120376</v>
      </c>
      <c r="O37">
        <v>124718</v>
      </c>
      <c r="P37">
        <v>128795</v>
      </c>
      <c r="Q37">
        <v>959744</v>
      </c>
      <c r="R37">
        <v>165425</v>
      </c>
      <c r="S37">
        <v>1809800</v>
      </c>
      <c r="T37">
        <v>391848</v>
      </c>
      <c r="U37">
        <v>17729476</v>
      </c>
      <c r="V37">
        <v>1873474</v>
      </c>
      <c r="W37">
        <v>474284</v>
      </c>
      <c r="X37">
        <v>287</v>
      </c>
      <c r="Y37">
        <v>0</v>
      </c>
      <c r="Z37">
        <v>0</v>
      </c>
      <c r="AA37">
        <v>359658</v>
      </c>
      <c r="AB37">
        <v>235</v>
      </c>
      <c r="AC37">
        <v>0</v>
      </c>
      <c r="AD37">
        <v>0</v>
      </c>
      <c r="AE37">
        <v>474174</v>
      </c>
      <c r="AF37">
        <v>261</v>
      </c>
      <c r="AG37">
        <v>0</v>
      </c>
      <c r="AH37">
        <v>0</v>
      </c>
    </row>
    <row r="38" spans="1:34" x14ac:dyDescent="0.4">
      <c r="A38" s="1" t="s">
        <v>64</v>
      </c>
      <c r="B38" s="1" t="s">
        <v>65</v>
      </c>
      <c r="C38">
        <v>582077</v>
      </c>
      <c r="D38">
        <v>529883</v>
      </c>
      <c r="E38">
        <v>814210</v>
      </c>
      <c r="F38">
        <v>610262</v>
      </c>
      <c r="G38">
        <v>9842020</v>
      </c>
      <c r="H38">
        <v>8171035</v>
      </c>
      <c r="I38">
        <v>10613845</v>
      </c>
      <c r="J38">
        <v>7869556</v>
      </c>
      <c r="K38">
        <v>227726</v>
      </c>
      <c r="L38">
        <v>174883</v>
      </c>
      <c r="M38">
        <v>275376</v>
      </c>
      <c r="N38">
        <v>133474</v>
      </c>
      <c r="O38">
        <v>137574</v>
      </c>
      <c r="P38">
        <v>146805</v>
      </c>
      <c r="Q38">
        <v>1082066</v>
      </c>
      <c r="R38">
        <v>158077</v>
      </c>
      <c r="S38">
        <v>2002314</v>
      </c>
      <c r="T38">
        <v>502106</v>
      </c>
      <c r="U38">
        <v>24295501</v>
      </c>
      <c r="V38">
        <v>1815053</v>
      </c>
      <c r="W38">
        <v>436511</v>
      </c>
      <c r="X38">
        <v>254</v>
      </c>
      <c r="Y38">
        <v>0</v>
      </c>
      <c r="Z38">
        <v>0</v>
      </c>
      <c r="AA38">
        <v>419741</v>
      </c>
      <c r="AB38">
        <v>237</v>
      </c>
      <c r="AC38">
        <v>0</v>
      </c>
      <c r="AD38">
        <v>0</v>
      </c>
      <c r="AE38">
        <v>490944</v>
      </c>
      <c r="AF38">
        <v>278</v>
      </c>
      <c r="AG38">
        <v>0</v>
      </c>
      <c r="AH38">
        <v>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15DF6-498D-4FD9-A278-BBEA542E98B6}">
  <dimension ref="A1:J40"/>
  <sheetViews>
    <sheetView workbookViewId="0">
      <selection activeCell="C9" sqref="C9"/>
    </sheetView>
  </sheetViews>
  <sheetFormatPr defaultColWidth="15.62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3092</v>
      </c>
      <c r="D3" t="s">
        <v>3092</v>
      </c>
      <c r="E3" t="s">
        <v>3092</v>
      </c>
      <c r="F3" t="s">
        <v>3092</v>
      </c>
      <c r="G3" t="s">
        <v>3094</v>
      </c>
      <c r="H3" t="s">
        <v>3094</v>
      </c>
      <c r="I3" t="s">
        <v>3094</v>
      </c>
      <c r="J3" t="s">
        <v>3094</v>
      </c>
    </row>
    <row r="4" spans="1:10" x14ac:dyDescent="0.4">
      <c r="A4" s="1"/>
      <c r="B4" s="2" t="s">
        <v>1</v>
      </c>
      <c r="C4" t="s">
        <v>3093</v>
      </c>
      <c r="D4" t="s">
        <v>3093</v>
      </c>
      <c r="E4" t="s">
        <v>3093</v>
      </c>
      <c r="F4" t="s">
        <v>3093</v>
      </c>
      <c r="G4" t="s">
        <v>3096</v>
      </c>
      <c r="H4" t="s">
        <v>3096</v>
      </c>
      <c r="I4" t="s">
        <v>3096</v>
      </c>
      <c r="J4" t="s">
        <v>3096</v>
      </c>
    </row>
    <row r="5" spans="1: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</row>
    <row r="6" spans="1: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</row>
    <row r="7" spans="1:10" ht="20.25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s="5" t="s">
        <v>3095</v>
      </c>
      <c r="H7" s="5" t="s">
        <v>3095</v>
      </c>
      <c r="I7" t="s">
        <v>341</v>
      </c>
      <c r="J7" s="5" t="s">
        <v>3095</v>
      </c>
    </row>
    <row r="8" spans="1:10" ht="20.25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s="5" t="s">
        <v>3097</v>
      </c>
      <c r="H8" s="5" t="s">
        <v>3097</v>
      </c>
      <c r="I8" t="s">
        <v>342</v>
      </c>
      <c r="J8" s="5" t="s">
        <v>3097</v>
      </c>
    </row>
    <row r="9" spans="1:10" x14ac:dyDescent="0.4">
      <c r="A9" s="1" t="s">
        <v>6</v>
      </c>
      <c r="B9" s="3" t="s">
        <v>7</v>
      </c>
      <c r="C9">
        <v>490195</v>
      </c>
      <c r="D9">
        <v>496239</v>
      </c>
      <c r="E9">
        <v>22587285</v>
      </c>
      <c r="F9">
        <v>34522</v>
      </c>
      <c r="G9">
        <v>2304510</v>
      </c>
      <c r="H9">
        <v>3878346</v>
      </c>
      <c r="I9">
        <v>179924464</v>
      </c>
      <c r="J9">
        <v>208416</v>
      </c>
    </row>
    <row r="10" spans="1:10" x14ac:dyDescent="0.4">
      <c r="A10" s="1" t="s">
        <v>8</v>
      </c>
      <c r="B10" s="3" t="s">
        <v>9</v>
      </c>
      <c r="C10">
        <v>420775</v>
      </c>
      <c r="D10">
        <v>420168</v>
      </c>
      <c r="E10">
        <v>33509574</v>
      </c>
      <c r="F10">
        <v>27611</v>
      </c>
      <c r="G10">
        <v>2147814</v>
      </c>
      <c r="H10">
        <v>3816000</v>
      </c>
      <c r="I10">
        <v>308970161</v>
      </c>
      <c r="J10">
        <v>238239</v>
      </c>
    </row>
    <row r="11" spans="1:10" x14ac:dyDescent="0.4">
      <c r="A11" s="1" t="s">
        <v>10</v>
      </c>
      <c r="B11" s="3" t="s">
        <v>11</v>
      </c>
      <c r="C11">
        <v>395138</v>
      </c>
      <c r="D11">
        <v>395725</v>
      </c>
      <c r="E11">
        <v>28908054</v>
      </c>
      <c r="F11">
        <v>30174</v>
      </c>
      <c r="G11">
        <v>2019358</v>
      </c>
      <c r="H11">
        <v>3565935</v>
      </c>
      <c r="I11">
        <v>320427570</v>
      </c>
      <c r="J11">
        <v>248858</v>
      </c>
    </row>
    <row r="12" spans="1:10" x14ac:dyDescent="0.4">
      <c r="A12" s="1" t="s">
        <v>12</v>
      </c>
      <c r="B12" s="3" t="s">
        <v>13</v>
      </c>
      <c r="C12">
        <v>385431</v>
      </c>
      <c r="D12">
        <v>383203</v>
      </c>
      <c r="E12">
        <v>29088021</v>
      </c>
      <c r="F12">
        <v>29360</v>
      </c>
      <c r="G12">
        <v>1902602</v>
      </c>
      <c r="H12">
        <v>3601699</v>
      </c>
      <c r="I12">
        <v>283098635</v>
      </c>
      <c r="J12">
        <v>259829</v>
      </c>
    </row>
    <row r="13" spans="1:10" x14ac:dyDescent="0.4">
      <c r="A13" s="1" t="s">
        <v>14</v>
      </c>
      <c r="B13" s="3" t="s">
        <v>15</v>
      </c>
      <c r="C13">
        <v>367403</v>
      </c>
      <c r="D13">
        <v>371310</v>
      </c>
      <c r="E13">
        <v>24136021</v>
      </c>
      <c r="F13">
        <v>31384</v>
      </c>
      <c r="G13">
        <v>1795029</v>
      </c>
      <c r="H13">
        <v>3587930</v>
      </c>
      <c r="I13">
        <v>273147255</v>
      </c>
      <c r="J13">
        <v>232377</v>
      </c>
    </row>
    <row r="14" spans="1:10" x14ac:dyDescent="0.4">
      <c r="A14" s="1" t="s">
        <v>16</v>
      </c>
      <c r="B14" s="1" t="s">
        <v>17</v>
      </c>
      <c r="C14">
        <v>33820</v>
      </c>
      <c r="D14">
        <v>40129</v>
      </c>
      <c r="E14">
        <v>3042350</v>
      </c>
      <c r="F14">
        <v>32327</v>
      </c>
      <c r="G14">
        <v>166729</v>
      </c>
      <c r="H14">
        <v>368075</v>
      </c>
      <c r="I14">
        <v>29878442</v>
      </c>
      <c r="J14">
        <v>242068</v>
      </c>
    </row>
    <row r="15" spans="1:10" x14ac:dyDescent="0.4">
      <c r="A15" s="1" t="s">
        <v>18</v>
      </c>
      <c r="B15" s="1" t="s">
        <v>19</v>
      </c>
      <c r="C15">
        <v>32978</v>
      </c>
      <c r="D15">
        <v>30507</v>
      </c>
      <c r="E15">
        <v>2468243</v>
      </c>
      <c r="F15">
        <v>36492</v>
      </c>
      <c r="G15">
        <v>149563</v>
      </c>
      <c r="H15">
        <v>273064</v>
      </c>
      <c r="I15">
        <v>22045944</v>
      </c>
      <c r="J15">
        <v>242768</v>
      </c>
    </row>
    <row r="16" spans="1:10" x14ac:dyDescent="0.4">
      <c r="A16" s="1" t="s">
        <v>20</v>
      </c>
      <c r="B16" s="1" t="s">
        <v>21</v>
      </c>
      <c r="C16">
        <v>32491</v>
      </c>
      <c r="D16">
        <v>28215</v>
      </c>
      <c r="E16">
        <v>2216772</v>
      </c>
      <c r="F16">
        <v>37347</v>
      </c>
      <c r="G16">
        <v>162288</v>
      </c>
      <c r="H16">
        <v>249861</v>
      </c>
      <c r="I16">
        <v>20038216</v>
      </c>
      <c r="J16">
        <v>244724</v>
      </c>
    </row>
    <row r="17" spans="1:10" x14ac:dyDescent="0.4">
      <c r="A17" s="1" t="s">
        <v>22</v>
      </c>
      <c r="B17" s="1" t="s">
        <v>23</v>
      </c>
      <c r="C17">
        <v>32472</v>
      </c>
      <c r="D17">
        <v>31356</v>
      </c>
      <c r="E17">
        <v>2534381</v>
      </c>
      <c r="F17">
        <v>35865</v>
      </c>
      <c r="G17">
        <v>154626</v>
      </c>
      <c r="H17">
        <v>246216</v>
      </c>
      <c r="I17">
        <v>19305645</v>
      </c>
      <c r="J17">
        <v>245000</v>
      </c>
    </row>
    <row r="18" spans="1:10" x14ac:dyDescent="0.4">
      <c r="A18" s="1" t="s">
        <v>24</v>
      </c>
      <c r="B18" s="1" t="s">
        <v>25</v>
      </c>
      <c r="C18">
        <v>31279</v>
      </c>
      <c r="D18">
        <v>43220</v>
      </c>
      <c r="E18">
        <v>3640664</v>
      </c>
      <c r="F18">
        <v>30810</v>
      </c>
      <c r="G18">
        <v>151931</v>
      </c>
      <c r="H18">
        <v>274161</v>
      </c>
      <c r="I18">
        <v>21179400</v>
      </c>
      <c r="J18">
        <v>244893</v>
      </c>
    </row>
    <row r="19" spans="1:10" x14ac:dyDescent="0.4">
      <c r="A19" s="1" t="s">
        <v>26</v>
      </c>
      <c r="B19" s="1" t="s">
        <v>27</v>
      </c>
      <c r="C19">
        <v>31642</v>
      </c>
      <c r="D19">
        <v>26718</v>
      </c>
      <c r="E19">
        <v>2178855</v>
      </c>
      <c r="F19">
        <v>32059</v>
      </c>
      <c r="G19">
        <v>155108</v>
      </c>
      <c r="H19">
        <v>272140</v>
      </c>
      <c r="I19">
        <v>20679990</v>
      </c>
      <c r="J19">
        <v>250420</v>
      </c>
    </row>
    <row r="20" spans="1:10" x14ac:dyDescent="0.4">
      <c r="A20" s="1" t="s">
        <v>28</v>
      </c>
      <c r="B20" s="1" t="s">
        <v>29</v>
      </c>
      <c r="C20">
        <v>29081</v>
      </c>
      <c r="D20">
        <v>20914</v>
      </c>
      <c r="E20">
        <v>1302234</v>
      </c>
      <c r="F20">
        <v>35410</v>
      </c>
      <c r="G20">
        <v>145286</v>
      </c>
      <c r="H20">
        <v>267570</v>
      </c>
      <c r="I20">
        <v>20323923</v>
      </c>
      <c r="J20">
        <v>257801</v>
      </c>
    </row>
    <row r="21" spans="1:10" x14ac:dyDescent="0.4">
      <c r="A21" s="1" t="s">
        <v>30</v>
      </c>
      <c r="B21" s="1" t="s">
        <v>31</v>
      </c>
      <c r="C21">
        <v>28096</v>
      </c>
      <c r="D21">
        <v>36655</v>
      </c>
      <c r="E21">
        <v>2633205</v>
      </c>
      <c r="F21">
        <v>29226</v>
      </c>
      <c r="G21">
        <v>144788</v>
      </c>
      <c r="H21">
        <v>260785</v>
      </c>
      <c r="I21">
        <v>20058881</v>
      </c>
      <c r="J21">
        <v>259404</v>
      </c>
    </row>
    <row r="22" spans="1:10" x14ac:dyDescent="0.4">
      <c r="A22" s="1" t="s">
        <v>32</v>
      </c>
      <c r="B22" s="1" t="s">
        <v>33</v>
      </c>
      <c r="C22">
        <v>30838</v>
      </c>
      <c r="D22">
        <v>25776</v>
      </c>
      <c r="E22">
        <v>1789497</v>
      </c>
      <c r="F22">
        <v>33690</v>
      </c>
      <c r="G22">
        <v>155520</v>
      </c>
      <c r="H22">
        <v>292064</v>
      </c>
      <c r="I22">
        <v>22859256</v>
      </c>
      <c r="J22">
        <v>259957</v>
      </c>
    </row>
    <row r="23" spans="1:10" x14ac:dyDescent="0.4">
      <c r="A23" s="1" t="s">
        <v>34</v>
      </c>
      <c r="B23" s="1" t="s">
        <v>35</v>
      </c>
      <c r="C23">
        <v>33753</v>
      </c>
      <c r="D23">
        <v>36007</v>
      </c>
      <c r="E23">
        <v>2511140</v>
      </c>
      <c r="F23">
        <v>29360</v>
      </c>
      <c r="G23">
        <v>171388</v>
      </c>
      <c r="H23">
        <v>362599</v>
      </c>
      <c r="I23">
        <v>28843150</v>
      </c>
      <c r="J23">
        <v>259829</v>
      </c>
    </row>
    <row r="24" spans="1:10" x14ac:dyDescent="0.4">
      <c r="A24" s="1" t="s">
        <v>36</v>
      </c>
      <c r="B24" s="1" t="s">
        <v>37</v>
      </c>
      <c r="C24">
        <v>34733</v>
      </c>
      <c r="D24">
        <v>31242</v>
      </c>
      <c r="E24">
        <v>2352558</v>
      </c>
      <c r="F24">
        <v>36941</v>
      </c>
      <c r="G24">
        <v>176877</v>
      </c>
      <c r="H24">
        <v>380161</v>
      </c>
      <c r="I24">
        <v>30113107</v>
      </c>
      <c r="J24">
        <v>249056</v>
      </c>
    </row>
    <row r="25" spans="1:10" x14ac:dyDescent="0.4">
      <c r="A25" s="1" t="s">
        <v>38</v>
      </c>
      <c r="B25" s="1" t="s">
        <v>39</v>
      </c>
      <c r="C25">
        <v>30328</v>
      </c>
      <c r="D25">
        <v>37678</v>
      </c>
      <c r="E25">
        <v>2775971</v>
      </c>
      <c r="F25">
        <v>29707</v>
      </c>
      <c r="G25">
        <v>151796</v>
      </c>
      <c r="H25">
        <v>367874</v>
      </c>
      <c r="I25">
        <v>29169235</v>
      </c>
      <c r="J25">
        <v>227776</v>
      </c>
    </row>
    <row r="26" spans="1:10" x14ac:dyDescent="0.4">
      <c r="A26" s="1" t="s">
        <v>40</v>
      </c>
      <c r="B26" s="1" t="s">
        <v>41</v>
      </c>
      <c r="C26">
        <v>32918</v>
      </c>
      <c r="D26">
        <v>29647</v>
      </c>
      <c r="E26">
        <v>1946409</v>
      </c>
      <c r="F26">
        <v>32384</v>
      </c>
      <c r="G26">
        <v>168384</v>
      </c>
      <c r="H26">
        <v>347904</v>
      </c>
      <c r="I26">
        <v>27691761</v>
      </c>
      <c r="J26">
        <v>207520</v>
      </c>
    </row>
    <row r="27" spans="1:10" x14ac:dyDescent="0.4">
      <c r="A27" s="1" t="s">
        <v>42</v>
      </c>
      <c r="B27" s="1" t="s">
        <v>43</v>
      </c>
      <c r="C27">
        <v>31248</v>
      </c>
      <c r="D27">
        <v>29381</v>
      </c>
      <c r="E27">
        <v>1893712</v>
      </c>
      <c r="F27">
        <v>31561</v>
      </c>
      <c r="G27">
        <v>148633</v>
      </c>
      <c r="H27">
        <v>281961</v>
      </c>
      <c r="I27">
        <v>22434024</v>
      </c>
      <c r="J27">
        <v>202882</v>
      </c>
    </row>
    <row r="28" spans="1:10" x14ac:dyDescent="0.4">
      <c r="A28" s="1" t="s">
        <v>44</v>
      </c>
      <c r="B28" s="1" t="s">
        <v>45</v>
      </c>
      <c r="C28">
        <v>28118</v>
      </c>
      <c r="D28">
        <v>26316</v>
      </c>
      <c r="E28">
        <v>1681796</v>
      </c>
      <c r="F28">
        <v>34034</v>
      </c>
      <c r="G28">
        <v>136230</v>
      </c>
      <c r="H28">
        <v>254962</v>
      </c>
      <c r="I28">
        <v>19925522</v>
      </c>
      <c r="J28">
        <v>199027</v>
      </c>
    </row>
    <row r="29" spans="1:10" x14ac:dyDescent="0.4">
      <c r="A29" s="1" t="s">
        <v>46</v>
      </c>
      <c r="B29" s="1" t="s">
        <v>47</v>
      </c>
      <c r="C29">
        <v>30174</v>
      </c>
      <c r="D29">
        <v>30356</v>
      </c>
      <c r="E29">
        <v>1967059</v>
      </c>
      <c r="F29">
        <v>32220</v>
      </c>
      <c r="G29">
        <v>144409</v>
      </c>
      <c r="H29">
        <v>252380</v>
      </c>
      <c r="I29">
        <v>19496766</v>
      </c>
      <c r="J29">
        <v>203892</v>
      </c>
    </row>
    <row r="30" spans="1:10" x14ac:dyDescent="0.4">
      <c r="A30" s="1" t="s">
        <v>48</v>
      </c>
      <c r="B30" s="1" t="s">
        <v>49</v>
      </c>
      <c r="C30">
        <v>31858</v>
      </c>
      <c r="D30">
        <v>35585</v>
      </c>
      <c r="E30">
        <v>2188362</v>
      </c>
      <c r="F30">
        <v>32694</v>
      </c>
      <c r="G30">
        <v>145868</v>
      </c>
      <c r="H30">
        <v>274312</v>
      </c>
      <c r="I30">
        <v>20475105</v>
      </c>
      <c r="J30">
        <v>210399</v>
      </c>
    </row>
    <row r="31" spans="1:10" x14ac:dyDescent="0.4">
      <c r="A31" s="1" t="s">
        <v>50</v>
      </c>
      <c r="B31" s="1" t="s">
        <v>51</v>
      </c>
      <c r="C31">
        <v>30433</v>
      </c>
      <c r="D31">
        <v>33792</v>
      </c>
      <c r="E31">
        <v>2041289</v>
      </c>
      <c r="F31">
        <v>28168</v>
      </c>
      <c r="G31">
        <v>143760</v>
      </c>
      <c r="H31">
        <v>259563</v>
      </c>
      <c r="I31">
        <v>18957934</v>
      </c>
      <c r="J31">
        <v>222306</v>
      </c>
    </row>
    <row r="32" spans="1:10" x14ac:dyDescent="0.4">
      <c r="A32" s="1" t="s">
        <v>52</v>
      </c>
      <c r="B32" s="1" t="s">
        <v>53</v>
      </c>
      <c r="C32">
        <v>27295</v>
      </c>
      <c r="D32">
        <v>33001</v>
      </c>
      <c r="E32">
        <v>2023295</v>
      </c>
      <c r="F32">
        <v>25921</v>
      </c>
      <c r="G32">
        <v>135237</v>
      </c>
      <c r="H32">
        <v>257421</v>
      </c>
      <c r="I32">
        <v>18653979</v>
      </c>
      <c r="J32">
        <v>231769</v>
      </c>
    </row>
    <row r="33" spans="1:10" x14ac:dyDescent="0.4">
      <c r="A33" s="1" t="s">
        <v>54</v>
      </c>
      <c r="B33" s="1" t="s">
        <v>55</v>
      </c>
      <c r="C33">
        <v>27337</v>
      </c>
      <c r="D33">
        <v>22200</v>
      </c>
      <c r="E33">
        <v>1390565</v>
      </c>
      <c r="F33">
        <v>29293</v>
      </c>
      <c r="G33">
        <v>131768</v>
      </c>
      <c r="H33">
        <v>264221</v>
      </c>
      <c r="I33">
        <v>19090910</v>
      </c>
      <c r="J33">
        <v>232048</v>
      </c>
    </row>
    <row r="34" spans="1:10" x14ac:dyDescent="0.4">
      <c r="A34" s="1" t="s">
        <v>56</v>
      </c>
      <c r="B34" s="1" t="s">
        <v>57</v>
      </c>
      <c r="C34">
        <v>29581</v>
      </c>
      <c r="D34">
        <v>25454</v>
      </c>
      <c r="E34">
        <v>1548943</v>
      </c>
      <c r="F34">
        <v>28850</v>
      </c>
      <c r="G34">
        <v>149311</v>
      </c>
      <c r="H34">
        <v>295138</v>
      </c>
      <c r="I34">
        <v>21413339</v>
      </c>
      <c r="J34">
        <v>232467</v>
      </c>
    </row>
    <row r="35" spans="1:10" x14ac:dyDescent="0.4">
      <c r="A35" s="1" t="s">
        <v>58</v>
      </c>
      <c r="B35" s="1" t="s">
        <v>59</v>
      </c>
      <c r="C35">
        <v>33380</v>
      </c>
      <c r="D35">
        <v>36658</v>
      </c>
      <c r="E35">
        <v>2326062</v>
      </c>
      <c r="F35">
        <v>31384</v>
      </c>
      <c r="G35">
        <v>162756</v>
      </c>
      <c r="H35">
        <v>352033</v>
      </c>
      <c r="I35">
        <v>25725573</v>
      </c>
      <c r="J35">
        <v>232377</v>
      </c>
    </row>
    <row r="36" spans="1:10" x14ac:dyDescent="0.4">
      <c r="A36" s="1" t="s">
        <v>60</v>
      </c>
      <c r="B36" s="1" t="s">
        <v>61</v>
      </c>
      <c r="C36">
        <v>32590</v>
      </c>
      <c r="D36">
        <v>31917</v>
      </c>
      <c r="E36">
        <v>1916336</v>
      </c>
      <c r="F36">
        <v>32085</v>
      </c>
      <c r="G36">
        <v>162549</v>
      </c>
      <c r="H36">
        <v>389163</v>
      </c>
      <c r="I36">
        <v>28519786</v>
      </c>
      <c r="J36">
        <v>233305</v>
      </c>
    </row>
    <row r="37" spans="1:10" x14ac:dyDescent="0.4">
      <c r="A37" s="1" t="s">
        <v>62</v>
      </c>
      <c r="B37" s="1" t="s">
        <v>63</v>
      </c>
      <c r="C37">
        <v>29618</v>
      </c>
      <c r="D37">
        <v>28720</v>
      </c>
      <c r="E37">
        <v>1913698</v>
      </c>
      <c r="F37">
        <v>34370</v>
      </c>
      <c r="G37">
        <v>145539</v>
      </c>
      <c r="H37">
        <v>350460</v>
      </c>
      <c r="I37">
        <v>25575319</v>
      </c>
      <c r="J37">
        <v>233729</v>
      </c>
    </row>
    <row r="38" spans="1:10" x14ac:dyDescent="0.4">
      <c r="A38" s="1" t="s">
        <v>64</v>
      </c>
      <c r="B38" s="1" t="s">
        <v>65</v>
      </c>
      <c r="C38">
        <v>30894</v>
      </c>
      <c r="D38">
        <v>32676</v>
      </c>
      <c r="E38">
        <v>3553422</v>
      </c>
      <c r="F38">
        <v>28902</v>
      </c>
      <c r="G38">
        <v>145974</v>
      </c>
      <c r="H38">
        <v>352141</v>
      </c>
      <c r="I38">
        <v>25869334</v>
      </c>
      <c r="J38">
        <v>233641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9B72F-A2FE-4C25-92B1-C4604C605421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3098</v>
      </c>
      <c r="D3" t="s">
        <v>3098</v>
      </c>
      <c r="E3" t="s">
        <v>3098</v>
      </c>
      <c r="F3" t="s">
        <v>3102</v>
      </c>
      <c r="G3" t="s">
        <v>3102</v>
      </c>
      <c r="H3" t="s">
        <v>3102</v>
      </c>
      <c r="I3" t="s">
        <v>3104</v>
      </c>
      <c r="J3" t="s">
        <v>3104</v>
      </c>
      <c r="K3" t="s">
        <v>3104</v>
      </c>
      <c r="L3" t="s">
        <v>3106</v>
      </c>
      <c r="M3" t="s">
        <v>3106</v>
      </c>
      <c r="N3" t="s">
        <v>3106</v>
      </c>
      <c r="O3" t="s">
        <v>3108</v>
      </c>
      <c r="P3" t="s">
        <v>3108</v>
      </c>
      <c r="Q3" t="s">
        <v>3108</v>
      </c>
      <c r="R3" t="s">
        <v>3110</v>
      </c>
      <c r="S3" t="s">
        <v>3110</v>
      </c>
      <c r="T3" t="s">
        <v>3110</v>
      </c>
      <c r="U3" t="s">
        <v>3112</v>
      </c>
      <c r="V3" t="s">
        <v>3112</v>
      </c>
      <c r="W3" t="s">
        <v>3112</v>
      </c>
      <c r="X3" t="s">
        <v>3114</v>
      </c>
      <c r="Y3" t="s">
        <v>3114</v>
      </c>
      <c r="Z3" t="s">
        <v>3114</v>
      </c>
      <c r="AA3" t="s">
        <v>3116</v>
      </c>
      <c r="AB3" t="s">
        <v>3116</v>
      </c>
      <c r="AC3" t="s">
        <v>3116</v>
      </c>
      <c r="AD3" t="s">
        <v>3118</v>
      </c>
      <c r="AE3" t="s">
        <v>3118</v>
      </c>
      <c r="AF3" t="s">
        <v>3118</v>
      </c>
      <c r="AG3" t="s">
        <v>3120</v>
      </c>
      <c r="AH3" t="s">
        <v>3120</v>
      </c>
      <c r="AI3" t="s">
        <v>3120</v>
      </c>
      <c r="AJ3" t="s">
        <v>3122</v>
      </c>
      <c r="AK3" t="s">
        <v>3122</v>
      </c>
      <c r="AL3" t="s">
        <v>3122</v>
      </c>
      <c r="AM3" t="s">
        <v>3124</v>
      </c>
      <c r="AN3" t="s">
        <v>3124</v>
      </c>
      <c r="AO3" t="s">
        <v>3124</v>
      </c>
      <c r="AP3" t="s">
        <v>3126</v>
      </c>
      <c r="AQ3" t="s">
        <v>3126</v>
      </c>
      <c r="AR3" t="s">
        <v>3126</v>
      </c>
      <c r="AS3" t="s">
        <v>3128</v>
      </c>
      <c r="AT3" t="s">
        <v>3128</v>
      </c>
      <c r="AU3" t="s">
        <v>3128</v>
      </c>
      <c r="AV3" t="s">
        <v>3130</v>
      </c>
      <c r="AW3" t="s">
        <v>3130</v>
      </c>
      <c r="AX3" t="s">
        <v>3130</v>
      </c>
      <c r="AY3" t="s">
        <v>3132</v>
      </c>
      <c r="AZ3" t="s">
        <v>3132</v>
      </c>
      <c r="BA3" t="s">
        <v>3132</v>
      </c>
      <c r="BB3" t="s">
        <v>3134</v>
      </c>
      <c r="BC3" t="s">
        <v>3134</v>
      </c>
      <c r="BD3" t="s">
        <v>3134</v>
      </c>
      <c r="BE3" t="s">
        <v>3136</v>
      </c>
      <c r="BF3" t="s">
        <v>3136</v>
      </c>
      <c r="BG3" t="s">
        <v>3136</v>
      </c>
      <c r="BH3" t="s">
        <v>3138</v>
      </c>
      <c r="BI3" t="s">
        <v>3138</v>
      </c>
      <c r="BJ3" t="s">
        <v>3138</v>
      </c>
    </row>
    <row r="4" spans="1:62" x14ac:dyDescent="0.4">
      <c r="A4" s="1"/>
      <c r="B4" s="2" t="s">
        <v>1</v>
      </c>
      <c r="C4" t="s">
        <v>3099</v>
      </c>
      <c r="D4" t="s">
        <v>3099</v>
      </c>
      <c r="E4" t="s">
        <v>3099</v>
      </c>
      <c r="F4" t="s">
        <v>3103</v>
      </c>
      <c r="G4" t="s">
        <v>3103</v>
      </c>
      <c r="H4" t="s">
        <v>3103</v>
      </c>
      <c r="I4" t="s">
        <v>3105</v>
      </c>
      <c r="J4" t="s">
        <v>3105</v>
      </c>
      <c r="K4" t="s">
        <v>3105</v>
      </c>
      <c r="L4" t="s">
        <v>3107</v>
      </c>
      <c r="M4" t="s">
        <v>3107</v>
      </c>
      <c r="N4" t="s">
        <v>3107</v>
      </c>
      <c r="O4" t="s">
        <v>3109</v>
      </c>
      <c r="P4" t="s">
        <v>3109</v>
      </c>
      <c r="Q4" t="s">
        <v>3109</v>
      </c>
      <c r="R4" t="s">
        <v>3111</v>
      </c>
      <c r="S4" t="s">
        <v>3111</v>
      </c>
      <c r="T4" t="s">
        <v>3111</v>
      </c>
      <c r="U4" t="s">
        <v>3113</v>
      </c>
      <c r="V4" t="s">
        <v>3113</v>
      </c>
      <c r="W4" t="s">
        <v>3113</v>
      </c>
      <c r="X4" t="s">
        <v>3115</v>
      </c>
      <c r="Y4" t="s">
        <v>3115</v>
      </c>
      <c r="Z4" t="s">
        <v>3115</v>
      </c>
      <c r="AA4" t="s">
        <v>3117</v>
      </c>
      <c r="AB4" t="s">
        <v>3117</v>
      </c>
      <c r="AC4" t="s">
        <v>3117</v>
      </c>
      <c r="AD4" t="s">
        <v>3119</v>
      </c>
      <c r="AE4" t="s">
        <v>3119</v>
      </c>
      <c r="AF4" t="s">
        <v>3119</v>
      </c>
      <c r="AG4" t="s">
        <v>3121</v>
      </c>
      <c r="AH4" t="s">
        <v>3121</v>
      </c>
      <c r="AI4" t="s">
        <v>3121</v>
      </c>
      <c r="AJ4" t="s">
        <v>3123</v>
      </c>
      <c r="AK4" t="s">
        <v>3123</v>
      </c>
      <c r="AL4" t="s">
        <v>3123</v>
      </c>
      <c r="AM4" t="s">
        <v>3125</v>
      </c>
      <c r="AN4" t="s">
        <v>3125</v>
      </c>
      <c r="AO4" t="s">
        <v>3125</v>
      </c>
      <c r="AP4" t="s">
        <v>3127</v>
      </c>
      <c r="AQ4" t="s">
        <v>3127</v>
      </c>
      <c r="AR4" t="s">
        <v>3127</v>
      </c>
      <c r="AS4" t="s">
        <v>3129</v>
      </c>
      <c r="AT4" t="s">
        <v>3129</v>
      </c>
      <c r="AU4" t="s">
        <v>3129</v>
      </c>
      <c r="AV4" t="s">
        <v>3131</v>
      </c>
      <c r="AW4" t="s">
        <v>3131</v>
      </c>
      <c r="AX4" t="s">
        <v>3131</v>
      </c>
      <c r="AY4" t="s">
        <v>3133</v>
      </c>
      <c r="AZ4" t="s">
        <v>3133</v>
      </c>
      <c r="BA4" t="s">
        <v>3133</v>
      </c>
      <c r="BB4" t="s">
        <v>3135</v>
      </c>
      <c r="BC4" t="s">
        <v>3135</v>
      </c>
      <c r="BD4" t="s">
        <v>3135</v>
      </c>
      <c r="BE4" t="s">
        <v>3137</v>
      </c>
      <c r="BF4" t="s">
        <v>3137</v>
      </c>
      <c r="BG4" t="s">
        <v>3137</v>
      </c>
      <c r="BH4" t="s">
        <v>3139</v>
      </c>
      <c r="BI4" t="s">
        <v>3139</v>
      </c>
      <c r="BJ4" t="s">
        <v>3139</v>
      </c>
    </row>
    <row r="5" spans="1:62" x14ac:dyDescent="0.4">
      <c r="A5" s="1"/>
      <c r="B5" s="2" t="s">
        <v>2</v>
      </c>
      <c r="C5" t="s">
        <v>69</v>
      </c>
      <c r="D5" t="s">
        <v>3100</v>
      </c>
      <c r="E5" t="s">
        <v>76</v>
      </c>
      <c r="F5" t="s">
        <v>69</v>
      </c>
      <c r="G5" t="s">
        <v>3100</v>
      </c>
      <c r="H5" t="s">
        <v>76</v>
      </c>
      <c r="I5" t="s">
        <v>69</v>
      </c>
      <c r="J5" t="s">
        <v>3100</v>
      </c>
      <c r="K5" t="s">
        <v>76</v>
      </c>
      <c r="L5" t="s">
        <v>69</v>
      </c>
      <c r="M5" t="s">
        <v>3100</v>
      </c>
      <c r="N5" t="s">
        <v>76</v>
      </c>
      <c r="O5" t="s">
        <v>69</v>
      </c>
      <c r="P5" t="s">
        <v>3100</v>
      </c>
      <c r="Q5" t="s">
        <v>76</v>
      </c>
      <c r="R5" t="s">
        <v>69</v>
      </c>
      <c r="S5" t="s">
        <v>3100</v>
      </c>
      <c r="T5" t="s">
        <v>76</v>
      </c>
      <c r="U5" t="s">
        <v>69</v>
      </c>
      <c r="V5" t="s">
        <v>3100</v>
      </c>
      <c r="W5" t="s">
        <v>76</v>
      </c>
      <c r="X5" t="s">
        <v>69</v>
      </c>
      <c r="Y5" t="s">
        <v>3100</v>
      </c>
      <c r="Z5" t="s">
        <v>76</v>
      </c>
      <c r="AA5" t="s">
        <v>69</v>
      </c>
      <c r="AB5" t="s">
        <v>3100</v>
      </c>
      <c r="AC5" t="s">
        <v>76</v>
      </c>
      <c r="AD5" t="s">
        <v>69</v>
      </c>
      <c r="AE5" t="s">
        <v>3100</v>
      </c>
      <c r="AF5" t="s">
        <v>76</v>
      </c>
      <c r="AG5" t="s">
        <v>69</v>
      </c>
      <c r="AH5" t="s">
        <v>3100</v>
      </c>
      <c r="AI5" t="s">
        <v>76</v>
      </c>
      <c r="AJ5" t="s">
        <v>69</v>
      </c>
      <c r="AK5" t="s">
        <v>3100</v>
      </c>
      <c r="AL5" t="s">
        <v>76</v>
      </c>
      <c r="AM5" t="s">
        <v>69</v>
      </c>
      <c r="AN5" t="s">
        <v>3100</v>
      </c>
      <c r="AO5" t="s">
        <v>76</v>
      </c>
      <c r="AP5" t="s">
        <v>69</v>
      </c>
      <c r="AQ5" t="s">
        <v>3100</v>
      </c>
      <c r="AR5" t="s">
        <v>76</v>
      </c>
      <c r="AS5" t="s">
        <v>69</v>
      </c>
      <c r="AT5" t="s">
        <v>3100</v>
      </c>
      <c r="AU5" t="s">
        <v>76</v>
      </c>
      <c r="AV5" t="s">
        <v>69</v>
      </c>
      <c r="AW5" t="s">
        <v>3100</v>
      </c>
      <c r="AX5" t="s">
        <v>76</v>
      </c>
      <c r="AY5" t="s">
        <v>69</v>
      </c>
      <c r="AZ5" t="s">
        <v>3100</v>
      </c>
      <c r="BA5" t="s">
        <v>76</v>
      </c>
      <c r="BB5" t="s">
        <v>69</v>
      </c>
      <c r="BC5" t="s">
        <v>3100</v>
      </c>
      <c r="BD5" t="s">
        <v>76</v>
      </c>
      <c r="BE5" t="s">
        <v>69</v>
      </c>
      <c r="BF5" t="s">
        <v>3100</v>
      </c>
      <c r="BG5" t="s">
        <v>76</v>
      </c>
      <c r="BH5" t="s">
        <v>69</v>
      </c>
      <c r="BI5" t="s">
        <v>3100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3101</v>
      </c>
      <c r="E6" t="s">
        <v>77</v>
      </c>
      <c r="F6" t="s">
        <v>72</v>
      </c>
      <c r="G6" t="s">
        <v>3101</v>
      </c>
      <c r="H6" t="s">
        <v>77</v>
      </c>
      <c r="I6" t="s">
        <v>72</v>
      </c>
      <c r="J6" t="s">
        <v>3101</v>
      </c>
      <c r="K6" t="s">
        <v>77</v>
      </c>
      <c r="L6" t="s">
        <v>72</v>
      </c>
      <c r="M6" t="s">
        <v>3101</v>
      </c>
      <c r="N6" t="s">
        <v>77</v>
      </c>
      <c r="O6" t="s">
        <v>72</v>
      </c>
      <c r="P6" t="s">
        <v>3101</v>
      </c>
      <c r="Q6" t="s">
        <v>77</v>
      </c>
      <c r="R6" t="s">
        <v>72</v>
      </c>
      <c r="S6" t="s">
        <v>3101</v>
      </c>
      <c r="T6" t="s">
        <v>77</v>
      </c>
      <c r="U6" t="s">
        <v>72</v>
      </c>
      <c r="V6" t="s">
        <v>3101</v>
      </c>
      <c r="W6" t="s">
        <v>77</v>
      </c>
      <c r="X6" t="s">
        <v>72</v>
      </c>
      <c r="Y6" t="s">
        <v>3101</v>
      </c>
      <c r="Z6" t="s">
        <v>77</v>
      </c>
      <c r="AA6" t="s">
        <v>72</v>
      </c>
      <c r="AB6" t="s">
        <v>3101</v>
      </c>
      <c r="AC6" t="s">
        <v>77</v>
      </c>
      <c r="AD6" t="s">
        <v>72</v>
      </c>
      <c r="AE6" t="s">
        <v>3101</v>
      </c>
      <c r="AF6" t="s">
        <v>77</v>
      </c>
      <c r="AG6" t="s">
        <v>72</v>
      </c>
      <c r="AH6" t="s">
        <v>3101</v>
      </c>
      <c r="AI6" t="s">
        <v>77</v>
      </c>
      <c r="AJ6" t="s">
        <v>72</v>
      </c>
      <c r="AK6" t="s">
        <v>3101</v>
      </c>
      <c r="AL6" t="s">
        <v>77</v>
      </c>
      <c r="AM6" t="s">
        <v>72</v>
      </c>
      <c r="AN6" t="s">
        <v>3101</v>
      </c>
      <c r="AO6" t="s">
        <v>77</v>
      </c>
      <c r="AP6" t="s">
        <v>72</v>
      </c>
      <c r="AQ6" t="s">
        <v>3101</v>
      </c>
      <c r="AR6" t="s">
        <v>77</v>
      </c>
      <c r="AS6" t="s">
        <v>72</v>
      </c>
      <c r="AT6" t="s">
        <v>3101</v>
      </c>
      <c r="AU6" t="s">
        <v>77</v>
      </c>
      <c r="AV6" t="s">
        <v>72</v>
      </c>
      <c r="AW6" t="s">
        <v>3101</v>
      </c>
      <c r="AX6" t="s">
        <v>77</v>
      </c>
      <c r="AY6" t="s">
        <v>72</v>
      </c>
      <c r="AZ6" t="s">
        <v>3101</v>
      </c>
      <c r="BA6" t="s">
        <v>77</v>
      </c>
      <c r="BB6" t="s">
        <v>72</v>
      </c>
      <c r="BC6" t="s">
        <v>3101</v>
      </c>
      <c r="BD6" t="s">
        <v>77</v>
      </c>
      <c r="BE6" t="s">
        <v>72</v>
      </c>
      <c r="BF6" t="s">
        <v>3101</v>
      </c>
      <c r="BG6" t="s">
        <v>77</v>
      </c>
      <c r="BH6" t="s">
        <v>72</v>
      </c>
      <c r="BI6" t="s">
        <v>3101</v>
      </c>
      <c r="BJ6" t="s">
        <v>77</v>
      </c>
    </row>
    <row r="7" spans="1:62" x14ac:dyDescent="0.4">
      <c r="A7" s="1"/>
      <c r="B7" s="2" t="s">
        <v>4</v>
      </c>
      <c r="C7" t="s">
        <v>2372</v>
      </c>
      <c r="D7" t="s">
        <v>2372</v>
      </c>
      <c r="E7" t="s">
        <v>2372</v>
      </c>
      <c r="F7" t="s">
        <v>2372</v>
      </c>
      <c r="G7" t="s">
        <v>2372</v>
      </c>
      <c r="H7" t="s">
        <v>2372</v>
      </c>
      <c r="I7" t="s">
        <v>2372</v>
      </c>
      <c r="J7" t="s">
        <v>2372</v>
      </c>
      <c r="K7" t="s">
        <v>2372</v>
      </c>
      <c r="L7" t="s">
        <v>2372</v>
      </c>
      <c r="M7" t="s">
        <v>2372</v>
      </c>
      <c r="N7" t="s">
        <v>2372</v>
      </c>
      <c r="O7" t="s">
        <v>2372</v>
      </c>
      <c r="P7" t="s">
        <v>2372</v>
      </c>
      <c r="Q7" t="s">
        <v>2372</v>
      </c>
      <c r="R7" t="s">
        <v>2372</v>
      </c>
      <c r="S7" t="s">
        <v>2372</v>
      </c>
      <c r="T7" t="s">
        <v>2372</v>
      </c>
      <c r="U7" t="s">
        <v>2372</v>
      </c>
      <c r="V7" t="s">
        <v>2372</v>
      </c>
      <c r="W7" t="s">
        <v>2372</v>
      </c>
      <c r="X7" t="s">
        <v>2372</v>
      </c>
      <c r="Y7" t="s">
        <v>2372</v>
      </c>
      <c r="Z7" t="s">
        <v>2372</v>
      </c>
      <c r="AA7" t="s">
        <v>2372</v>
      </c>
      <c r="AB7" t="s">
        <v>2372</v>
      </c>
      <c r="AC7" t="s">
        <v>2372</v>
      </c>
      <c r="AD7" t="s">
        <v>2372</v>
      </c>
      <c r="AE7" t="s">
        <v>2372</v>
      </c>
      <c r="AF7" t="s">
        <v>2372</v>
      </c>
      <c r="AG7" t="s">
        <v>2372</v>
      </c>
      <c r="AH7" t="s">
        <v>2372</v>
      </c>
      <c r="AI7" t="s">
        <v>2372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2372</v>
      </c>
      <c r="BC7" t="s">
        <v>2372</v>
      </c>
      <c r="BD7" t="s">
        <v>2372</v>
      </c>
      <c r="BE7" t="s">
        <v>2372</v>
      </c>
      <c r="BF7" t="s">
        <v>2372</v>
      </c>
      <c r="BG7" t="s">
        <v>2372</v>
      </c>
      <c r="BH7" t="s">
        <v>2372</v>
      </c>
      <c r="BI7" t="s">
        <v>2372</v>
      </c>
      <c r="BJ7" t="s">
        <v>2372</v>
      </c>
    </row>
    <row r="8" spans="1:62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2372</v>
      </c>
      <c r="F8" t="s">
        <v>2372</v>
      </c>
      <c r="G8" t="s">
        <v>2372</v>
      </c>
      <c r="H8" t="s">
        <v>2372</v>
      </c>
      <c r="I8" t="s">
        <v>2372</v>
      </c>
      <c r="J8" t="s">
        <v>2372</v>
      </c>
      <c r="K8" t="s">
        <v>2372</v>
      </c>
      <c r="L8" t="s">
        <v>2372</v>
      </c>
      <c r="M8" t="s">
        <v>2372</v>
      </c>
      <c r="N8" t="s">
        <v>2372</v>
      </c>
      <c r="O8" t="s">
        <v>2372</v>
      </c>
      <c r="P8" t="s">
        <v>2372</v>
      </c>
      <c r="Q8" t="s">
        <v>2372</v>
      </c>
      <c r="R8" t="s">
        <v>2372</v>
      </c>
      <c r="S8" t="s">
        <v>2372</v>
      </c>
      <c r="T8" t="s">
        <v>2372</v>
      </c>
      <c r="U8" t="s">
        <v>2372</v>
      </c>
      <c r="V8" t="s">
        <v>2372</v>
      </c>
      <c r="W8" t="s">
        <v>2372</v>
      </c>
      <c r="X8" t="s">
        <v>2372</v>
      </c>
      <c r="Y8" t="s">
        <v>2372</v>
      </c>
      <c r="Z8" t="s">
        <v>2372</v>
      </c>
      <c r="AA8" t="s">
        <v>2372</v>
      </c>
      <c r="AB8" t="s">
        <v>2372</v>
      </c>
      <c r="AC8" t="s">
        <v>2372</v>
      </c>
      <c r="AD8" t="s">
        <v>2372</v>
      </c>
      <c r="AE8" t="s">
        <v>2372</v>
      </c>
      <c r="AF8" t="s">
        <v>2372</v>
      </c>
      <c r="AG8" t="s">
        <v>2372</v>
      </c>
      <c r="AH8" t="s">
        <v>2372</v>
      </c>
      <c r="AI8" t="s">
        <v>2372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2372</v>
      </c>
      <c r="BC8" t="s">
        <v>2372</v>
      </c>
      <c r="BD8" t="s">
        <v>2372</v>
      </c>
      <c r="BE8" t="s">
        <v>2372</v>
      </c>
      <c r="BF8" t="s">
        <v>2372</v>
      </c>
      <c r="BG8" t="s">
        <v>2372</v>
      </c>
      <c r="BH8" t="s">
        <v>2372</v>
      </c>
      <c r="BI8" t="s">
        <v>2372</v>
      </c>
      <c r="BJ8" t="s">
        <v>2372</v>
      </c>
    </row>
    <row r="9" spans="1:62" x14ac:dyDescent="0.4">
      <c r="A9" s="1" t="s">
        <v>6</v>
      </c>
      <c r="B9" s="3" t="s">
        <v>7</v>
      </c>
      <c r="C9">
        <v>5465590</v>
      </c>
      <c r="D9">
        <v>5590451</v>
      </c>
      <c r="E9">
        <v>170716</v>
      </c>
      <c r="F9">
        <v>39277109</v>
      </c>
      <c r="G9">
        <v>41345822</v>
      </c>
      <c r="H9">
        <v>720891</v>
      </c>
      <c r="I9">
        <v>70195</v>
      </c>
      <c r="J9">
        <v>66711</v>
      </c>
      <c r="K9">
        <v>12334</v>
      </c>
      <c r="L9">
        <v>12884122</v>
      </c>
      <c r="M9">
        <v>36776885</v>
      </c>
      <c r="N9">
        <v>986696</v>
      </c>
      <c r="O9">
        <v>30697</v>
      </c>
      <c r="P9">
        <v>508</v>
      </c>
      <c r="Q9">
        <v>1967</v>
      </c>
      <c r="R9">
        <v>8083533</v>
      </c>
      <c r="S9">
        <v>8173058</v>
      </c>
      <c r="T9">
        <v>513465</v>
      </c>
      <c r="U9">
        <v>11685250</v>
      </c>
      <c r="V9">
        <v>13076871</v>
      </c>
      <c r="W9">
        <v>775865</v>
      </c>
      <c r="X9">
        <v>34802388</v>
      </c>
      <c r="Y9">
        <v>36100853</v>
      </c>
      <c r="Z9">
        <v>759428</v>
      </c>
      <c r="AA9">
        <v>10710150</v>
      </c>
      <c r="AB9">
        <v>10817100</v>
      </c>
      <c r="AC9">
        <v>304433</v>
      </c>
      <c r="AD9">
        <v>15422747</v>
      </c>
      <c r="AE9">
        <v>16025873</v>
      </c>
      <c r="AF9">
        <v>810018</v>
      </c>
      <c r="AG9">
        <v>2008464</v>
      </c>
      <c r="AH9">
        <v>2183554</v>
      </c>
      <c r="AI9">
        <v>168202</v>
      </c>
      <c r="AJ9">
        <v>76924</v>
      </c>
      <c r="AK9">
        <v>87395</v>
      </c>
      <c r="AL9">
        <v>4418</v>
      </c>
      <c r="AM9">
        <v>2257863</v>
      </c>
      <c r="AN9">
        <v>1957902</v>
      </c>
      <c r="AO9">
        <v>162164</v>
      </c>
      <c r="AP9">
        <v>1725169</v>
      </c>
      <c r="AQ9">
        <v>2521915</v>
      </c>
      <c r="AR9">
        <v>69766</v>
      </c>
      <c r="AS9">
        <v>1422757</v>
      </c>
      <c r="AT9">
        <v>1765211</v>
      </c>
      <c r="AU9">
        <v>142671</v>
      </c>
      <c r="AV9">
        <v>1104176</v>
      </c>
      <c r="AW9">
        <v>619273</v>
      </c>
      <c r="AX9">
        <v>16495</v>
      </c>
      <c r="AY9">
        <v>1420094</v>
      </c>
      <c r="AZ9">
        <v>1402577</v>
      </c>
      <c r="BA9">
        <v>130779</v>
      </c>
      <c r="BB9">
        <v>393373</v>
      </c>
      <c r="BC9">
        <v>324022</v>
      </c>
      <c r="BD9">
        <v>15935</v>
      </c>
      <c r="BE9">
        <v>14483003</v>
      </c>
      <c r="BF9">
        <v>3655590</v>
      </c>
      <c r="BG9">
        <v>0</v>
      </c>
      <c r="BH9">
        <v>7504383</v>
      </c>
      <c r="BI9">
        <v>189580</v>
      </c>
      <c r="BJ9">
        <v>0</v>
      </c>
    </row>
    <row r="10" spans="1:62" x14ac:dyDescent="0.4">
      <c r="A10" s="1" t="s">
        <v>8</v>
      </c>
      <c r="B10" s="3" t="s">
        <v>9</v>
      </c>
      <c r="C10">
        <v>5095512</v>
      </c>
      <c r="D10">
        <v>5126457</v>
      </c>
      <c r="E10">
        <v>159805</v>
      </c>
      <c r="F10">
        <v>41185655</v>
      </c>
      <c r="G10">
        <v>42651237</v>
      </c>
      <c r="H10">
        <v>684624</v>
      </c>
      <c r="I10">
        <v>57448</v>
      </c>
      <c r="J10">
        <v>58406</v>
      </c>
      <c r="K10">
        <v>12817</v>
      </c>
      <c r="L10">
        <v>14146261</v>
      </c>
      <c r="M10">
        <v>35238082</v>
      </c>
      <c r="N10">
        <v>1101031</v>
      </c>
      <c r="O10">
        <v>40015</v>
      </c>
      <c r="P10">
        <v>35</v>
      </c>
      <c r="Q10">
        <v>1705</v>
      </c>
      <c r="R10">
        <v>10441872</v>
      </c>
      <c r="S10">
        <v>10642412</v>
      </c>
      <c r="T10">
        <v>431266</v>
      </c>
      <c r="U10">
        <v>12196789</v>
      </c>
      <c r="V10">
        <v>13592454</v>
      </c>
      <c r="W10">
        <v>790935</v>
      </c>
      <c r="X10">
        <v>38957748</v>
      </c>
      <c r="Y10">
        <v>39731854</v>
      </c>
      <c r="Z10">
        <v>841368</v>
      </c>
      <c r="AA10">
        <v>10421213</v>
      </c>
      <c r="AB10">
        <v>10513561</v>
      </c>
      <c r="AC10">
        <v>278932</v>
      </c>
      <c r="AD10">
        <v>17536992</v>
      </c>
      <c r="AE10">
        <v>17569812</v>
      </c>
      <c r="AF10">
        <v>814410</v>
      </c>
      <c r="AG10">
        <v>2126305</v>
      </c>
      <c r="AH10">
        <v>2288956</v>
      </c>
      <c r="AI10">
        <v>171799</v>
      </c>
      <c r="AJ10">
        <v>71141</v>
      </c>
      <c r="AK10">
        <v>84399</v>
      </c>
      <c r="AL10">
        <v>3036</v>
      </c>
      <c r="AM10">
        <v>2349836</v>
      </c>
      <c r="AN10">
        <v>1797567</v>
      </c>
      <c r="AO10">
        <v>184950</v>
      </c>
      <c r="AP10">
        <v>1728169</v>
      </c>
      <c r="AQ10">
        <v>2561771</v>
      </c>
      <c r="AR10">
        <v>73934</v>
      </c>
      <c r="AS10">
        <v>1341602</v>
      </c>
      <c r="AT10">
        <v>1602481</v>
      </c>
      <c r="AU10">
        <v>124273</v>
      </c>
      <c r="AV10">
        <v>1333176</v>
      </c>
      <c r="AW10">
        <v>740813</v>
      </c>
      <c r="AX10">
        <v>5921</v>
      </c>
      <c r="AY10">
        <v>1542244</v>
      </c>
      <c r="AZ10">
        <v>1583474</v>
      </c>
      <c r="BA10">
        <v>99402</v>
      </c>
      <c r="BB10">
        <v>539338</v>
      </c>
      <c r="BC10">
        <v>430616</v>
      </c>
      <c r="BD10">
        <v>17060</v>
      </c>
      <c r="BE10">
        <v>14768488</v>
      </c>
      <c r="BF10">
        <v>2803330</v>
      </c>
      <c r="BG10">
        <v>0</v>
      </c>
      <c r="BH10">
        <v>8018129</v>
      </c>
      <c r="BI10">
        <v>74253</v>
      </c>
      <c r="BJ10">
        <v>0</v>
      </c>
    </row>
    <row r="11" spans="1:62" x14ac:dyDescent="0.4">
      <c r="A11" s="1" t="s">
        <v>10</v>
      </c>
      <c r="B11" s="3" t="s">
        <v>11</v>
      </c>
      <c r="C11">
        <v>4765025</v>
      </c>
      <c r="D11">
        <v>4915526</v>
      </c>
      <c r="E11">
        <v>139473</v>
      </c>
      <c r="F11">
        <v>40258403</v>
      </c>
      <c r="G11">
        <v>42505904</v>
      </c>
      <c r="H11">
        <v>669020</v>
      </c>
      <c r="I11">
        <v>43463</v>
      </c>
      <c r="J11">
        <v>49001</v>
      </c>
      <c r="K11">
        <v>7413</v>
      </c>
      <c r="L11">
        <v>13166296</v>
      </c>
      <c r="M11">
        <v>33879086</v>
      </c>
      <c r="N11">
        <v>990072</v>
      </c>
      <c r="O11">
        <v>31367</v>
      </c>
      <c r="P11">
        <v>12</v>
      </c>
      <c r="Q11">
        <v>2695</v>
      </c>
      <c r="R11">
        <v>11694486</v>
      </c>
      <c r="S11">
        <v>11901231</v>
      </c>
      <c r="T11">
        <v>391127</v>
      </c>
      <c r="U11">
        <v>11324156</v>
      </c>
      <c r="V11">
        <v>12639479</v>
      </c>
      <c r="W11">
        <v>924450</v>
      </c>
      <c r="X11">
        <v>36098292</v>
      </c>
      <c r="Y11">
        <v>37858826</v>
      </c>
      <c r="Z11">
        <v>631653</v>
      </c>
      <c r="AA11">
        <v>10099488</v>
      </c>
      <c r="AB11">
        <v>10159416</v>
      </c>
      <c r="AC11">
        <v>311613</v>
      </c>
      <c r="AD11">
        <v>16142662</v>
      </c>
      <c r="AE11">
        <v>15929437</v>
      </c>
      <c r="AF11">
        <v>896105</v>
      </c>
      <c r="AG11">
        <v>1799309</v>
      </c>
      <c r="AH11">
        <v>1995342</v>
      </c>
      <c r="AI11">
        <v>143009</v>
      </c>
      <c r="AJ11">
        <v>33903</v>
      </c>
      <c r="AK11">
        <v>48193</v>
      </c>
      <c r="AL11">
        <v>3495</v>
      </c>
      <c r="AM11">
        <v>1920717</v>
      </c>
      <c r="AN11">
        <v>1581529</v>
      </c>
      <c r="AO11">
        <v>181077</v>
      </c>
      <c r="AP11">
        <v>1568681</v>
      </c>
      <c r="AQ11">
        <v>2337993</v>
      </c>
      <c r="AR11">
        <v>76639</v>
      </c>
      <c r="AS11">
        <v>1045934</v>
      </c>
      <c r="AT11">
        <v>1304074</v>
      </c>
      <c r="AU11">
        <v>130993</v>
      </c>
      <c r="AV11">
        <v>990069</v>
      </c>
      <c r="AW11">
        <v>483816</v>
      </c>
      <c r="AX11">
        <v>29431</v>
      </c>
      <c r="AY11">
        <v>1367438</v>
      </c>
      <c r="AZ11">
        <v>1392821</v>
      </c>
      <c r="BA11">
        <v>73414</v>
      </c>
      <c r="BB11">
        <v>481254</v>
      </c>
      <c r="BC11">
        <v>382767</v>
      </c>
      <c r="BD11">
        <v>21980</v>
      </c>
      <c r="BE11">
        <v>12899171</v>
      </c>
      <c r="BF11">
        <v>2614800</v>
      </c>
      <c r="BG11">
        <v>0</v>
      </c>
      <c r="BH11">
        <v>7369572</v>
      </c>
      <c r="BI11">
        <v>63053</v>
      </c>
      <c r="BJ11">
        <v>0</v>
      </c>
    </row>
    <row r="12" spans="1:62" x14ac:dyDescent="0.4">
      <c r="A12" s="1" t="s">
        <v>12</v>
      </c>
      <c r="B12" s="3" t="s">
        <v>13</v>
      </c>
      <c r="C12">
        <v>4325298</v>
      </c>
      <c r="D12">
        <v>4481143</v>
      </c>
      <c r="E12">
        <v>151868</v>
      </c>
      <c r="F12">
        <v>38197059</v>
      </c>
      <c r="G12">
        <v>41343581</v>
      </c>
      <c r="H12">
        <v>691513</v>
      </c>
      <c r="I12">
        <v>20859</v>
      </c>
      <c r="J12">
        <v>22277</v>
      </c>
      <c r="K12">
        <v>6284</v>
      </c>
      <c r="L12">
        <v>13341949</v>
      </c>
      <c r="M12">
        <v>32414249</v>
      </c>
      <c r="N12">
        <v>1140554</v>
      </c>
      <c r="O12">
        <v>30323</v>
      </c>
      <c r="P12">
        <v>12</v>
      </c>
      <c r="Q12">
        <v>1749</v>
      </c>
      <c r="R12">
        <v>11807736</v>
      </c>
      <c r="S12">
        <v>12152016</v>
      </c>
      <c r="T12">
        <v>372884</v>
      </c>
      <c r="U12">
        <v>9932139</v>
      </c>
      <c r="V12">
        <v>11470889</v>
      </c>
      <c r="W12">
        <v>748159</v>
      </c>
      <c r="X12">
        <v>33970609</v>
      </c>
      <c r="Y12">
        <v>36065692</v>
      </c>
      <c r="Z12">
        <v>728110</v>
      </c>
      <c r="AA12">
        <v>9759730</v>
      </c>
      <c r="AB12">
        <v>9800068</v>
      </c>
      <c r="AC12">
        <v>306899</v>
      </c>
      <c r="AD12">
        <v>13609071</v>
      </c>
      <c r="AE12">
        <v>13851003</v>
      </c>
      <c r="AF12">
        <v>747850</v>
      </c>
      <c r="AG12">
        <v>1551012</v>
      </c>
      <c r="AH12">
        <v>1702397</v>
      </c>
      <c r="AI12">
        <v>157701</v>
      </c>
      <c r="AJ12">
        <v>25376</v>
      </c>
      <c r="AK12">
        <v>38351</v>
      </c>
      <c r="AL12">
        <v>2205</v>
      </c>
      <c r="AM12">
        <v>1663469</v>
      </c>
      <c r="AN12">
        <v>1468120</v>
      </c>
      <c r="AO12">
        <v>133975</v>
      </c>
      <c r="AP12">
        <v>1461544</v>
      </c>
      <c r="AQ12">
        <v>2192034</v>
      </c>
      <c r="AR12">
        <v>63311</v>
      </c>
      <c r="AS12">
        <v>908432</v>
      </c>
      <c r="AT12">
        <v>1099027</v>
      </c>
      <c r="AU12">
        <v>140205</v>
      </c>
      <c r="AV12">
        <v>960448</v>
      </c>
      <c r="AW12">
        <v>549641</v>
      </c>
      <c r="AX12">
        <v>6870</v>
      </c>
      <c r="AY12">
        <v>1251292</v>
      </c>
      <c r="AZ12">
        <v>1240431</v>
      </c>
      <c r="BA12">
        <v>86428</v>
      </c>
      <c r="BB12">
        <v>507676</v>
      </c>
      <c r="BC12">
        <v>403221</v>
      </c>
      <c r="BD12">
        <v>13520</v>
      </c>
      <c r="BE12">
        <v>12420135</v>
      </c>
      <c r="BF12">
        <v>2979608</v>
      </c>
      <c r="BG12">
        <v>0</v>
      </c>
      <c r="BH12">
        <v>6807379</v>
      </c>
      <c r="BI12">
        <v>92506</v>
      </c>
      <c r="BJ12">
        <v>0</v>
      </c>
    </row>
    <row r="13" spans="1:62" x14ac:dyDescent="0.4">
      <c r="A13" s="1" t="s">
        <v>14</v>
      </c>
      <c r="B13" s="3" t="s">
        <v>15</v>
      </c>
      <c r="C13">
        <v>4033538</v>
      </c>
      <c r="D13">
        <v>4218198</v>
      </c>
      <c r="E13">
        <v>139966</v>
      </c>
      <c r="F13">
        <v>37985117</v>
      </c>
      <c r="G13">
        <v>40309992</v>
      </c>
      <c r="H13">
        <v>600423</v>
      </c>
      <c r="I13">
        <v>22230</v>
      </c>
      <c r="J13">
        <v>25164</v>
      </c>
      <c r="K13">
        <v>4817</v>
      </c>
      <c r="L13">
        <v>13098473</v>
      </c>
      <c r="M13">
        <v>31949182</v>
      </c>
      <c r="N13">
        <v>1187715</v>
      </c>
      <c r="O13">
        <v>34965</v>
      </c>
      <c r="P13">
        <v>12</v>
      </c>
      <c r="Q13">
        <v>1494</v>
      </c>
      <c r="R13">
        <v>12106208</v>
      </c>
      <c r="S13">
        <v>12354161</v>
      </c>
      <c r="T13">
        <v>399919</v>
      </c>
      <c r="U13">
        <v>9722742</v>
      </c>
      <c r="V13">
        <v>10852619</v>
      </c>
      <c r="W13">
        <v>780269</v>
      </c>
      <c r="X13">
        <v>34609202</v>
      </c>
      <c r="Y13">
        <v>36057434</v>
      </c>
      <c r="Z13">
        <v>815591</v>
      </c>
      <c r="AA13">
        <v>9291169</v>
      </c>
      <c r="AB13">
        <v>9320202</v>
      </c>
      <c r="AC13">
        <v>329046</v>
      </c>
      <c r="AD13">
        <v>12687234</v>
      </c>
      <c r="AE13">
        <v>12696790</v>
      </c>
      <c r="AF13">
        <v>743065</v>
      </c>
      <c r="AG13">
        <v>1432699</v>
      </c>
      <c r="AH13">
        <v>1600974</v>
      </c>
      <c r="AI13">
        <v>144355</v>
      </c>
      <c r="AJ13">
        <v>22269</v>
      </c>
      <c r="AK13">
        <v>32510</v>
      </c>
      <c r="AL13">
        <v>3006</v>
      </c>
      <c r="AM13">
        <v>1781065</v>
      </c>
      <c r="AN13">
        <v>1275663</v>
      </c>
      <c r="AO13">
        <v>169237</v>
      </c>
      <c r="AP13">
        <v>1394878</v>
      </c>
      <c r="AQ13">
        <v>2210393</v>
      </c>
      <c r="AR13">
        <v>66710</v>
      </c>
      <c r="AS13">
        <v>852216</v>
      </c>
      <c r="AT13">
        <v>1051146</v>
      </c>
      <c r="AU13">
        <v>131652</v>
      </c>
      <c r="AV13">
        <v>986426</v>
      </c>
      <c r="AW13">
        <v>561141</v>
      </c>
      <c r="AX13">
        <v>10497</v>
      </c>
      <c r="AY13">
        <v>1260081</v>
      </c>
      <c r="AZ13">
        <v>1256446</v>
      </c>
      <c r="BA13">
        <v>89068</v>
      </c>
      <c r="BB13">
        <v>390020</v>
      </c>
      <c r="BC13">
        <v>299887</v>
      </c>
      <c r="BD13">
        <v>23344</v>
      </c>
      <c r="BE13">
        <v>12048579</v>
      </c>
      <c r="BF13">
        <v>2885402</v>
      </c>
      <c r="BG13">
        <v>0</v>
      </c>
      <c r="BH13">
        <v>6900347</v>
      </c>
      <c r="BI13">
        <v>103046</v>
      </c>
      <c r="BJ13">
        <v>0</v>
      </c>
    </row>
    <row r="14" spans="1:62" x14ac:dyDescent="0.4">
      <c r="A14" s="1" t="s">
        <v>16</v>
      </c>
      <c r="B14" s="1" t="s">
        <v>17</v>
      </c>
      <c r="C14">
        <v>426493</v>
      </c>
      <c r="D14">
        <v>446025</v>
      </c>
      <c r="E14">
        <v>125875</v>
      </c>
      <c r="F14">
        <v>3410682</v>
      </c>
      <c r="G14">
        <v>3703890</v>
      </c>
      <c r="H14">
        <v>681921</v>
      </c>
      <c r="I14">
        <v>643</v>
      </c>
      <c r="J14">
        <v>1372</v>
      </c>
      <c r="K14">
        <v>7463</v>
      </c>
      <c r="L14">
        <v>1172868</v>
      </c>
      <c r="M14">
        <v>2781321</v>
      </c>
      <c r="N14">
        <v>1017176</v>
      </c>
      <c r="O14">
        <v>2642</v>
      </c>
      <c r="P14">
        <v>0</v>
      </c>
      <c r="Q14">
        <v>1494</v>
      </c>
      <c r="R14">
        <v>985863</v>
      </c>
      <c r="S14">
        <v>943333</v>
      </c>
      <c r="T14">
        <v>395341</v>
      </c>
      <c r="U14">
        <v>988523</v>
      </c>
      <c r="V14">
        <v>1276288</v>
      </c>
      <c r="W14">
        <v>606068</v>
      </c>
      <c r="X14">
        <v>3139696</v>
      </c>
      <c r="Y14">
        <v>3494934</v>
      </c>
      <c r="Z14">
        <v>707472</v>
      </c>
      <c r="AA14">
        <v>933040</v>
      </c>
      <c r="AB14">
        <v>943840</v>
      </c>
      <c r="AC14">
        <v>290384</v>
      </c>
      <c r="AD14">
        <v>1373800</v>
      </c>
      <c r="AE14">
        <v>1409532</v>
      </c>
      <c r="AF14">
        <v>790827</v>
      </c>
      <c r="AG14">
        <v>142281</v>
      </c>
      <c r="AH14">
        <v>149942</v>
      </c>
      <c r="AI14">
        <v>154085</v>
      </c>
      <c r="AJ14">
        <v>1869</v>
      </c>
      <c r="AK14">
        <v>3855</v>
      </c>
      <c r="AL14">
        <v>3570</v>
      </c>
      <c r="AM14">
        <v>148703</v>
      </c>
      <c r="AN14">
        <v>145620</v>
      </c>
      <c r="AO14">
        <v>150692</v>
      </c>
      <c r="AP14">
        <v>120357</v>
      </c>
      <c r="AQ14">
        <v>188777</v>
      </c>
      <c r="AR14">
        <v>74096</v>
      </c>
      <c r="AS14">
        <v>81628</v>
      </c>
      <c r="AT14">
        <v>79830</v>
      </c>
      <c r="AU14">
        <v>149905</v>
      </c>
      <c r="AV14">
        <v>80461</v>
      </c>
      <c r="AW14">
        <v>38713</v>
      </c>
      <c r="AX14">
        <v>9946</v>
      </c>
      <c r="AY14">
        <v>114389</v>
      </c>
      <c r="AZ14">
        <v>126757</v>
      </c>
      <c r="BA14">
        <v>70322</v>
      </c>
      <c r="BB14">
        <v>43356</v>
      </c>
      <c r="BC14">
        <v>33278</v>
      </c>
      <c r="BD14">
        <v>15596</v>
      </c>
      <c r="BE14">
        <v>874781</v>
      </c>
      <c r="BF14">
        <v>217427</v>
      </c>
      <c r="BG14">
        <v>0</v>
      </c>
      <c r="BH14">
        <v>579847</v>
      </c>
      <c r="BI14">
        <v>3539</v>
      </c>
      <c r="BJ14">
        <v>0</v>
      </c>
    </row>
    <row r="15" spans="1:62" x14ac:dyDescent="0.4">
      <c r="A15" s="1" t="s">
        <v>18</v>
      </c>
      <c r="B15" s="1" t="s">
        <v>19</v>
      </c>
      <c r="C15">
        <v>367012</v>
      </c>
      <c r="D15">
        <v>386487</v>
      </c>
      <c r="E15">
        <v>130933</v>
      </c>
      <c r="F15">
        <v>3219127</v>
      </c>
      <c r="G15">
        <v>3458461</v>
      </c>
      <c r="H15">
        <v>659860</v>
      </c>
      <c r="I15">
        <v>2220</v>
      </c>
      <c r="J15">
        <v>2473</v>
      </c>
      <c r="K15">
        <v>7349</v>
      </c>
      <c r="L15">
        <v>1112641</v>
      </c>
      <c r="M15">
        <v>2735142</v>
      </c>
      <c r="N15">
        <v>1109447</v>
      </c>
      <c r="O15">
        <v>3188</v>
      </c>
      <c r="P15">
        <v>2</v>
      </c>
      <c r="Q15">
        <v>1465</v>
      </c>
      <c r="R15">
        <v>1060454</v>
      </c>
      <c r="S15">
        <v>1055288</v>
      </c>
      <c r="T15">
        <v>407031</v>
      </c>
      <c r="U15">
        <v>736667</v>
      </c>
      <c r="V15">
        <v>822835</v>
      </c>
      <c r="W15">
        <v>626632</v>
      </c>
      <c r="X15">
        <v>2724888</v>
      </c>
      <c r="Y15">
        <v>2915701</v>
      </c>
      <c r="Z15">
        <v>655146</v>
      </c>
      <c r="AA15">
        <v>858980</v>
      </c>
      <c r="AB15">
        <v>859571</v>
      </c>
      <c r="AC15">
        <v>321106</v>
      </c>
      <c r="AD15">
        <v>1161068</v>
      </c>
      <c r="AE15">
        <v>1103458</v>
      </c>
      <c r="AF15">
        <v>846140</v>
      </c>
      <c r="AG15">
        <v>138563</v>
      </c>
      <c r="AH15">
        <v>153787</v>
      </c>
      <c r="AI15">
        <v>151806</v>
      </c>
      <c r="AJ15">
        <v>2408</v>
      </c>
      <c r="AK15">
        <v>3425</v>
      </c>
      <c r="AL15">
        <v>3578</v>
      </c>
      <c r="AM15">
        <v>97632</v>
      </c>
      <c r="AN15">
        <v>106739</v>
      </c>
      <c r="AO15">
        <v>138103</v>
      </c>
      <c r="AP15">
        <v>130401</v>
      </c>
      <c r="AQ15">
        <v>198288</v>
      </c>
      <c r="AR15">
        <v>66773</v>
      </c>
      <c r="AS15">
        <v>92641</v>
      </c>
      <c r="AT15">
        <v>97879</v>
      </c>
      <c r="AU15">
        <v>152130</v>
      </c>
      <c r="AV15">
        <v>89138</v>
      </c>
      <c r="AW15">
        <v>56402</v>
      </c>
      <c r="AX15">
        <v>11099</v>
      </c>
      <c r="AY15">
        <v>108449</v>
      </c>
      <c r="AZ15">
        <v>118992</v>
      </c>
      <c r="BA15">
        <v>61005</v>
      </c>
      <c r="BB15">
        <v>44967</v>
      </c>
      <c r="BC15">
        <v>36664</v>
      </c>
      <c r="BD15">
        <v>13637</v>
      </c>
      <c r="BE15">
        <v>1094604</v>
      </c>
      <c r="BF15">
        <v>286909</v>
      </c>
      <c r="BG15">
        <v>0</v>
      </c>
      <c r="BH15">
        <v>578585</v>
      </c>
      <c r="BI15">
        <v>16986</v>
      </c>
      <c r="BJ15">
        <v>0</v>
      </c>
    </row>
    <row r="16" spans="1:62" x14ac:dyDescent="0.4">
      <c r="A16" s="1" t="s">
        <v>20</v>
      </c>
      <c r="B16" s="1" t="s">
        <v>21</v>
      </c>
      <c r="C16">
        <v>389911</v>
      </c>
      <c r="D16">
        <v>398569</v>
      </c>
      <c r="E16">
        <v>135306</v>
      </c>
      <c r="F16">
        <v>3185018</v>
      </c>
      <c r="G16">
        <v>3317097</v>
      </c>
      <c r="H16">
        <v>799114</v>
      </c>
      <c r="I16">
        <v>1282</v>
      </c>
      <c r="J16">
        <v>1654</v>
      </c>
      <c r="K16">
        <v>7102</v>
      </c>
      <c r="L16">
        <v>1268089</v>
      </c>
      <c r="M16">
        <v>2809808</v>
      </c>
      <c r="N16">
        <v>1131883</v>
      </c>
      <c r="O16">
        <v>2602</v>
      </c>
      <c r="P16">
        <v>0</v>
      </c>
      <c r="Q16">
        <v>1162</v>
      </c>
      <c r="R16">
        <v>1157052</v>
      </c>
      <c r="S16">
        <v>1061958</v>
      </c>
      <c r="T16">
        <v>507123</v>
      </c>
      <c r="U16">
        <v>679305</v>
      </c>
      <c r="V16">
        <v>660649</v>
      </c>
      <c r="W16">
        <v>704155</v>
      </c>
      <c r="X16">
        <v>2801640</v>
      </c>
      <c r="Y16">
        <v>2826705</v>
      </c>
      <c r="Z16">
        <v>760602</v>
      </c>
      <c r="AA16">
        <v>722066</v>
      </c>
      <c r="AB16">
        <v>753444</v>
      </c>
      <c r="AC16">
        <v>305861</v>
      </c>
      <c r="AD16">
        <v>842992</v>
      </c>
      <c r="AE16">
        <v>811426</v>
      </c>
      <c r="AF16">
        <v>821323</v>
      </c>
      <c r="AG16">
        <v>136278</v>
      </c>
      <c r="AH16">
        <v>145693</v>
      </c>
      <c r="AI16">
        <v>154444</v>
      </c>
      <c r="AJ16">
        <v>1591</v>
      </c>
      <c r="AK16">
        <v>3217</v>
      </c>
      <c r="AL16">
        <v>3567</v>
      </c>
      <c r="AM16">
        <v>129280</v>
      </c>
      <c r="AN16">
        <v>103122</v>
      </c>
      <c r="AO16">
        <v>156705</v>
      </c>
      <c r="AP16">
        <v>133632</v>
      </c>
      <c r="AQ16">
        <v>184406</v>
      </c>
      <c r="AR16">
        <v>68892</v>
      </c>
      <c r="AS16">
        <v>96242</v>
      </c>
      <c r="AT16">
        <v>114954</v>
      </c>
      <c r="AU16">
        <v>153975</v>
      </c>
      <c r="AV16">
        <v>102148</v>
      </c>
      <c r="AW16">
        <v>60147</v>
      </c>
      <c r="AX16">
        <v>8576</v>
      </c>
      <c r="AY16">
        <v>106840</v>
      </c>
      <c r="AZ16">
        <v>91329</v>
      </c>
      <c r="BA16">
        <v>77946</v>
      </c>
      <c r="BB16">
        <v>47865</v>
      </c>
      <c r="BC16">
        <v>35930</v>
      </c>
      <c r="BD16">
        <v>14806</v>
      </c>
      <c r="BE16">
        <v>1159003</v>
      </c>
      <c r="BF16">
        <v>183963</v>
      </c>
      <c r="BG16">
        <v>0</v>
      </c>
      <c r="BH16">
        <v>552224</v>
      </c>
      <c r="BI16">
        <v>7874</v>
      </c>
      <c r="BJ16">
        <v>0</v>
      </c>
    </row>
    <row r="17" spans="1:62" x14ac:dyDescent="0.4">
      <c r="A17" s="1" t="s">
        <v>22</v>
      </c>
      <c r="B17" s="1" t="s">
        <v>23</v>
      </c>
      <c r="C17">
        <v>319534</v>
      </c>
      <c r="D17">
        <v>328221</v>
      </c>
      <c r="E17">
        <v>142537</v>
      </c>
      <c r="F17">
        <v>2755573</v>
      </c>
      <c r="G17">
        <v>3181278</v>
      </c>
      <c r="H17">
        <v>719518</v>
      </c>
      <c r="I17">
        <v>2301</v>
      </c>
      <c r="J17">
        <v>1628</v>
      </c>
      <c r="K17">
        <v>6901</v>
      </c>
      <c r="L17">
        <v>965262</v>
      </c>
      <c r="M17">
        <v>2456219</v>
      </c>
      <c r="N17">
        <v>1096839</v>
      </c>
      <c r="O17">
        <v>1674</v>
      </c>
      <c r="P17">
        <v>2</v>
      </c>
      <c r="Q17">
        <v>666</v>
      </c>
      <c r="R17">
        <v>940568</v>
      </c>
      <c r="S17">
        <v>1021974</v>
      </c>
      <c r="T17">
        <v>437867</v>
      </c>
      <c r="U17">
        <v>422617</v>
      </c>
      <c r="V17">
        <v>538002</v>
      </c>
      <c r="W17">
        <v>599116</v>
      </c>
      <c r="X17">
        <v>2860655</v>
      </c>
      <c r="Y17">
        <v>2971389</v>
      </c>
      <c r="Z17">
        <v>800299</v>
      </c>
      <c r="AA17">
        <v>714780</v>
      </c>
      <c r="AB17">
        <v>688460</v>
      </c>
      <c r="AC17">
        <v>319908</v>
      </c>
      <c r="AD17">
        <v>876584</v>
      </c>
      <c r="AE17">
        <v>925692</v>
      </c>
      <c r="AF17">
        <v>820889</v>
      </c>
      <c r="AG17">
        <v>126299</v>
      </c>
      <c r="AH17">
        <v>144442</v>
      </c>
      <c r="AI17">
        <v>151215</v>
      </c>
      <c r="AJ17">
        <v>3191</v>
      </c>
      <c r="AK17">
        <v>2798</v>
      </c>
      <c r="AL17">
        <v>3980</v>
      </c>
      <c r="AM17">
        <v>127298</v>
      </c>
      <c r="AN17">
        <v>110641</v>
      </c>
      <c r="AO17">
        <v>171898</v>
      </c>
      <c r="AP17">
        <v>102489</v>
      </c>
      <c r="AQ17">
        <v>155698</v>
      </c>
      <c r="AR17">
        <v>59261</v>
      </c>
      <c r="AS17">
        <v>76741</v>
      </c>
      <c r="AT17">
        <v>87469</v>
      </c>
      <c r="AU17">
        <v>148856</v>
      </c>
      <c r="AV17">
        <v>102122</v>
      </c>
      <c r="AW17">
        <v>53892</v>
      </c>
      <c r="AX17">
        <v>12751</v>
      </c>
      <c r="AY17">
        <v>85408</v>
      </c>
      <c r="AZ17">
        <v>94004</v>
      </c>
      <c r="BA17">
        <v>69406</v>
      </c>
      <c r="BB17">
        <v>44756</v>
      </c>
      <c r="BC17">
        <v>37494</v>
      </c>
      <c r="BD17">
        <v>12584</v>
      </c>
      <c r="BE17">
        <v>1222913</v>
      </c>
      <c r="BF17">
        <v>327511</v>
      </c>
      <c r="BG17">
        <v>0</v>
      </c>
      <c r="BH17">
        <v>475070</v>
      </c>
      <c r="BI17">
        <v>6150</v>
      </c>
      <c r="BJ17">
        <v>0</v>
      </c>
    </row>
    <row r="18" spans="1:62" x14ac:dyDescent="0.4">
      <c r="A18" s="1" t="s">
        <v>24</v>
      </c>
      <c r="B18" s="1" t="s">
        <v>25</v>
      </c>
      <c r="C18">
        <v>294958</v>
      </c>
      <c r="D18">
        <v>322745</v>
      </c>
      <c r="E18">
        <v>125252</v>
      </c>
      <c r="F18">
        <v>3029598</v>
      </c>
      <c r="G18">
        <v>3514629</v>
      </c>
      <c r="H18">
        <v>638488</v>
      </c>
      <c r="I18">
        <v>1344</v>
      </c>
      <c r="J18">
        <v>2232</v>
      </c>
      <c r="K18">
        <v>6111</v>
      </c>
      <c r="L18">
        <v>742376</v>
      </c>
      <c r="M18">
        <v>2389385</v>
      </c>
      <c r="N18">
        <v>941614</v>
      </c>
      <c r="O18">
        <v>2545</v>
      </c>
      <c r="P18">
        <v>0</v>
      </c>
      <c r="Q18">
        <v>991</v>
      </c>
      <c r="R18">
        <v>1005667</v>
      </c>
      <c r="S18">
        <v>1042479</v>
      </c>
      <c r="T18">
        <v>441743</v>
      </c>
      <c r="U18">
        <v>381102</v>
      </c>
      <c r="V18">
        <v>373112</v>
      </c>
      <c r="W18">
        <v>607010</v>
      </c>
      <c r="X18">
        <v>2555439</v>
      </c>
      <c r="Y18">
        <v>2943379</v>
      </c>
      <c r="Z18">
        <v>740168</v>
      </c>
      <c r="AA18">
        <v>627449</v>
      </c>
      <c r="AB18">
        <v>653086</v>
      </c>
      <c r="AC18">
        <v>289943</v>
      </c>
      <c r="AD18">
        <v>949373</v>
      </c>
      <c r="AE18">
        <v>988222</v>
      </c>
      <c r="AF18">
        <v>846627</v>
      </c>
      <c r="AG18">
        <v>133624</v>
      </c>
      <c r="AH18">
        <v>156049</v>
      </c>
      <c r="AI18">
        <v>141584</v>
      </c>
      <c r="AJ18">
        <v>3032</v>
      </c>
      <c r="AK18">
        <v>3167</v>
      </c>
      <c r="AL18">
        <v>3931</v>
      </c>
      <c r="AM18">
        <v>144192</v>
      </c>
      <c r="AN18">
        <v>127195</v>
      </c>
      <c r="AO18">
        <v>155664</v>
      </c>
      <c r="AP18">
        <v>100158</v>
      </c>
      <c r="AQ18">
        <v>140331</v>
      </c>
      <c r="AR18">
        <v>61954</v>
      </c>
      <c r="AS18">
        <v>77605</v>
      </c>
      <c r="AT18">
        <v>105844</v>
      </c>
      <c r="AU18">
        <v>140086</v>
      </c>
      <c r="AV18">
        <v>117576</v>
      </c>
      <c r="AW18">
        <v>56838</v>
      </c>
      <c r="AX18">
        <v>10379</v>
      </c>
      <c r="AY18">
        <v>93343</v>
      </c>
      <c r="AZ18">
        <v>92545</v>
      </c>
      <c r="BA18">
        <v>69827</v>
      </c>
      <c r="BB18">
        <v>36830</v>
      </c>
      <c r="BC18">
        <v>25923</v>
      </c>
      <c r="BD18">
        <v>14445</v>
      </c>
      <c r="BE18">
        <v>1264628</v>
      </c>
      <c r="BF18">
        <v>321774</v>
      </c>
      <c r="BG18">
        <v>0</v>
      </c>
      <c r="BH18">
        <v>497706</v>
      </c>
      <c r="BI18">
        <v>9793</v>
      </c>
      <c r="BJ18">
        <v>0</v>
      </c>
    </row>
    <row r="19" spans="1:62" x14ac:dyDescent="0.4">
      <c r="A19" s="1" t="s">
        <v>26</v>
      </c>
      <c r="B19" s="1" t="s">
        <v>27</v>
      </c>
      <c r="C19">
        <v>375680</v>
      </c>
      <c r="D19">
        <v>393162</v>
      </c>
      <c r="E19">
        <v>125042</v>
      </c>
      <c r="F19">
        <v>3280001</v>
      </c>
      <c r="G19">
        <v>3744691</v>
      </c>
      <c r="H19">
        <v>694948</v>
      </c>
      <c r="I19">
        <v>2614</v>
      </c>
      <c r="J19">
        <v>2039</v>
      </c>
      <c r="K19">
        <v>6795</v>
      </c>
      <c r="L19">
        <v>943772</v>
      </c>
      <c r="M19">
        <v>2490535</v>
      </c>
      <c r="N19">
        <v>899464</v>
      </c>
      <c r="O19">
        <v>2269</v>
      </c>
      <c r="P19">
        <v>2</v>
      </c>
      <c r="Q19">
        <v>1590</v>
      </c>
      <c r="R19">
        <v>955789</v>
      </c>
      <c r="S19">
        <v>1023506</v>
      </c>
      <c r="T19">
        <v>433278</v>
      </c>
      <c r="U19">
        <v>579276</v>
      </c>
      <c r="V19">
        <v>549035</v>
      </c>
      <c r="W19">
        <v>741254</v>
      </c>
      <c r="X19">
        <v>2718803</v>
      </c>
      <c r="Y19">
        <v>2802857</v>
      </c>
      <c r="Z19">
        <v>926974</v>
      </c>
      <c r="AA19">
        <v>634730</v>
      </c>
      <c r="AB19">
        <v>618176</v>
      </c>
      <c r="AC19">
        <v>308452</v>
      </c>
      <c r="AD19">
        <v>1027967</v>
      </c>
      <c r="AE19">
        <v>1013844</v>
      </c>
      <c r="AF19">
        <v>809538</v>
      </c>
      <c r="AG19">
        <v>111784</v>
      </c>
      <c r="AH19">
        <v>122773</v>
      </c>
      <c r="AI19">
        <v>144302</v>
      </c>
      <c r="AJ19">
        <v>133</v>
      </c>
      <c r="AK19">
        <v>2613</v>
      </c>
      <c r="AL19">
        <v>3230</v>
      </c>
      <c r="AM19">
        <v>137892</v>
      </c>
      <c r="AN19">
        <v>79992</v>
      </c>
      <c r="AO19">
        <v>176058</v>
      </c>
      <c r="AP19">
        <v>120473</v>
      </c>
      <c r="AQ19">
        <v>166770</v>
      </c>
      <c r="AR19">
        <v>59048</v>
      </c>
      <c r="AS19">
        <v>90719</v>
      </c>
      <c r="AT19">
        <v>102373</v>
      </c>
      <c r="AU19">
        <v>135256</v>
      </c>
      <c r="AV19">
        <v>108379</v>
      </c>
      <c r="AW19">
        <v>67138</v>
      </c>
      <c r="AX19">
        <v>8824</v>
      </c>
      <c r="AY19">
        <v>104441</v>
      </c>
      <c r="AZ19">
        <v>97178</v>
      </c>
      <c r="BA19">
        <v>76802</v>
      </c>
      <c r="BB19">
        <v>41531</v>
      </c>
      <c r="BC19">
        <v>31925</v>
      </c>
      <c r="BD19">
        <v>16174</v>
      </c>
      <c r="BE19">
        <v>1055914</v>
      </c>
      <c r="BF19">
        <v>229148</v>
      </c>
      <c r="BG19">
        <v>0</v>
      </c>
      <c r="BH19">
        <v>557320</v>
      </c>
      <c r="BI19">
        <v>5156</v>
      </c>
      <c r="BJ19">
        <v>0</v>
      </c>
    </row>
    <row r="20" spans="1:62" x14ac:dyDescent="0.4">
      <c r="A20" s="1" t="s">
        <v>28</v>
      </c>
      <c r="B20" s="1" t="s">
        <v>29</v>
      </c>
      <c r="C20">
        <v>317570</v>
      </c>
      <c r="D20">
        <v>352533</v>
      </c>
      <c r="E20">
        <v>108983</v>
      </c>
      <c r="F20">
        <v>2961058</v>
      </c>
      <c r="G20">
        <v>3360958</v>
      </c>
      <c r="H20">
        <v>702113</v>
      </c>
      <c r="I20">
        <v>1550</v>
      </c>
      <c r="J20">
        <v>2329</v>
      </c>
      <c r="K20">
        <v>5994</v>
      </c>
      <c r="L20">
        <v>985304</v>
      </c>
      <c r="M20">
        <v>2409880</v>
      </c>
      <c r="N20">
        <v>1108866</v>
      </c>
      <c r="O20">
        <v>2187</v>
      </c>
      <c r="P20">
        <v>0</v>
      </c>
      <c r="Q20">
        <v>2282</v>
      </c>
      <c r="R20">
        <v>1177684</v>
      </c>
      <c r="S20">
        <v>1087260</v>
      </c>
      <c r="T20">
        <v>559909</v>
      </c>
      <c r="U20">
        <v>689332</v>
      </c>
      <c r="V20">
        <v>589516</v>
      </c>
      <c r="W20">
        <v>878606</v>
      </c>
      <c r="X20">
        <v>2737675</v>
      </c>
      <c r="Y20">
        <v>3001044</v>
      </c>
      <c r="Z20">
        <v>928804</v>
      </c>
      <c r="AA20">
        <v>652335</v>
      </c>
      <c r="AB20">
        <v>702455</v>
      </c>
      <c r="AC20">
        <v>273782</v>
      </c>
      <c r="AD20">
        <v>1130849</v>
      </c>
      <c r="AE20">
        <v>1160158</v>
      </c>
      <c r="AF20">
        <v>791390</v>
      </c>
      <c r="AG20">
        <v>121305</v>
      </c>
      <c r="AH20">
        <v>128670</v>
      </c>
      <c r="AI20">
        <v>148861</v>
      </c>
      <c r="AJ20">
        <v>2955</v>
      </c>
      <c r="AK20">
        <v>2786</v>
      </c>
      <c r="AL20">
        <v>3435</v>
      </c>
      <c r="AM20">
        <v>107944</v>
      </c>
      <c r="AN20">
        <v>119777</v>
      </c>
      <c r="AO20">
        <v>154608</v>
      </c>
      <c r="AP20">
        <v>116651</v>
      </c>
      <c r="AQ20">
        <v>158988</v>
      </c>
      <c r="AR20">
        <v>61292</v>
      </c>
      <c r="AS20">
        <v>84064</v>
      </c>
      <c r="AT20">
        <v>103807</v>
      </c>
      <c r="AU20">
        <v>126038</v>
      </c>
      <c r="AV20">
        <v>54314</v>
      </c>
      <c r="AW20">
        <v>31853</v>
      </c>
      <c r="AX20">
        <v>9184</v>
      </c>
      <c r="AY20">
        <v>94782</v>
      </c>
      <c r="AZ20">
        <v>90011</v>
      </c>
      <c r="BA20">
        <v>81223</v>
      </c>
      <c r="BB20">
        <v>42125</v>
      </c>
      <c r="BC20">
        <v>31433</v>
      </c>
      <c r="BD20">
        <v>17164</v>
      </c>
      <c r="BE20">
        <v>941341</v>
      </c>
      <c r="BF20">
        <v>231633</v>
      </c>
      <c r="BG20">
        <v>0</v>
      </c>
      <c r="BH20">
        <v>562445</v>
      </c>
      <c r="BI20">
        <v>6383</v>
      </c>
      <c r="BJ20">
        <v>0</v>
      </c>
    </row>
    <row r="21" spans="1:62" x14ac:dyDescent="0.4">
      <c r="A21" s="1" t="s">
        <v>30</v>
      </c>
      <c r="B21" s="1" t="s">
        <v>31</v>
      </c>
      <c r="C21">
        <v>372358</v>
      </c>
      <c r="D21">
        <v>367766</v>
      </c>
      <c r="E21">
        <v>136113</v>
      </c>
      <c r="F21">
        <v>3007677</v>
      </c>
      <c r="G21">
        <v>3361132</v>
      </c>
      <c r="H21">
        <v>722101</v>
      </c>
      <c r="I21">
        <v>1826</v>
      </c>
      <c r="J21">
        <v>1619</v>
      </c>
      <c r="K21">
        <v>6355</v>
      </c>
      <c r="L21">
        <v>1341065</v>
      </c>
      <c r="M21">
        <v>2768097</v>
      </c>
      <c r="N21">
        <v>1052865</v>
      </c>
      <c r="O21">
        <v>1878</v>
      </c>
      <c r="P21">
        <v>2</v>
      </c>
      <c r="Q21">
        <v>2083</v>
      </c>
      <c r="R21">
        <v>1049422</v>
      </c>
      <c r="S21">
        <v>1104724</v>
      </c>
      <c r="T21">
        <v>526640</v>
      </c>
      <c r="U21">
        <v>770166</v>
      </c>
      <c r="V21">
        <v>869125</v>
      </c>
      <c r="W21">
        <v>920815</v>
      </c>
      <c r="X21">
        <v>2694880</v>
      </c>
      <c r="Y21">
        <v>3052953</v>
      </c>
      <c r="Z21">
        <v>802344</v>
      </c>
      <c r="AA21">
        <v>825114</v>
      </c>
      <c r="AB21">
        <v>807970</v>
      </c>
      <c r="AC21">
        <v>283955</v>
      </c>
      <c r="AD21">
        <v>1203861</v>
      </c>
      <c r="AE21">
        <v>1152229</v>
      </c>
      <c r="AF21">
        <v>863975</v>
      </c>
      <c r="AG21">
        <v>133803</v>
      </c>
      <c r="AH21">
        <v>151123</v>
      </c>
      <c r="AI21">
        <v>146476</v>
      </c>
      <c r="AJ21">
        <v>2020</v>
      </c>
      <c r="AK21">
        <v>3409</v>
      </c>
      <c r="AL21">
        <v>3645</v>
      </c>
      <c r="AM21">
        <v>129839</v>
      </c>
      <c r="AN21">
        <v>140069</v>
      </c>
      <c r="AO21">
        <v>133789</v>
      </c>
      <c r="AP21">
        <v>127177</v>
      </c>
      <c r="AQ21">
        <v>174223</v>
      </c>
      <c r="AR21">
        <v>62772</v>
      </c>
      <c r="AS21">
        <v>39855</v>
      </c>
      <c r="AT21">
        <v>82045</v>
      </c>
      <c r="AU21">
        <v>128362</v>
      </c>
      <c r="AV21">
        <v>39502</v>
      </c>
      <c r="AW21">
        <v>28684</v>
      </c>
      <c r="AX21">
        <v>8558</v>
      </c>
      <c r="AY21">
        <v>101760</v>
      </c>
      <c r="AZ21">
        <v>105908</v>
      </c>
      <c r="BA21">
        <v>77033</v>
      </c>
      <c r="BB21">
        <v>42427</v>
      </c>
      <c r="BC21">
        <v>33488</v>
      </c>
      <c r="BD21">
        <v>15085</v>
      </c>
      <c r="BE21">
        <v>955316</v>
      </c>
      <c r="BF21">
        <v>220331</v>
      </c>
      <c r="BG21">
        <v>0</v>
      </c>
      <c r="BH21">
        <v>561728</v>
      </c>
      <c r="BI21">
        <v>4859</v>
      </c>
      <c r="BJ21">
        <v>0</v>
      </c>
    </row>
    <row r="22" spans="1:62" x14ac:dyDescent="0.4">
      <c r="A22" s="1" t="s">
        <v>32</v>
      </c>
      <c r="B22" s="1" t="s">
        <v>33</v>
      </c>
      <c r="C22">
        <v>362024</v>
      </c>
      <c r="D22">
        <v>372975</v>
      </c>
      <c r="E22">
        <v>130153</v>
      </c>
      <c r="F22">
        <v>3174331</v>
      </c>
      <c r="G22">
        <v>3321972</v>
      </c>
      <c r="H22">
        <v>691295</v>
      </c>
      <c r="I22">
        <v>1892</v>
      </c>
      <c r="J22">
        <v>1986</v>
      </c>
      <c r="K22">
        <v>6299</v>
      </c>
      <c r="L22">
        <v>1180289</v>
      </c>
      <c r="M22">
        <v>2795680</v>
      </c>
      <c r="N22">
        <v>1089960</v>
      </c>
      <c r="O22">
        <v>2146</v>
      </c>
      <c r="P22">
        <v>2</v>
      </c>
      <c r="Q22">
        <v>1638</v>
      </c>
      <c r="R22">
        <v>900070</v>
      </c>
      <c r="S22">
        <v>1014790</v>
      </c>
      <c r="T22">
        <v>454797</v>
      </c>
      <c r="U22">
        <v>1058248</v>
      </c>
      <c r="V22">
        <v>1173575</v>
      </c>
      <c r="W22">
        <v>894785</v>
      </c>
      <c r="X22">
        <v>2939898</v>
      </c>
      <c r="Y22">
        <v>3062044</v>
      </c>
      <c r="Z22">
        <v>833232</v>
      </c>
      <c r="AA22">
        <v>851658</v>
      </c>
      <c r="AB22">
        <v>852727</v>
      </c>
      <c r="AC22">
        <v>285784</v>
      </c>
      <c r="AD22">
        <v>1112529</v>
      </c>
      <c r="AE22">
        <v>1239064</v>
      </c>
      <c r="AF22">
        <v>770293</v>
      </c>
      <c r="AG22">
        <v>133817</v>
      </c>
      <c r="AH22">
        <v>142085</v>
      </c>
      <c r="AI22">
        <v>152541</v>
      </c>
      <c r="AJ22">
        <v>1062</v>
      </c>
      <c r="AK22">
        <v>2638</v>
      </c>
      <c r="AL22">
        <v>3368</v>
      </c>
      <c r="AM22">
        <v>159625</v>
      </c>
      <c r="AN22">
        <v>141127</v>
      </c>
      <c r="AO22">
        <v>138176</v>
      </c>
      <c r="AP22">
        <v>125754</v>
      </c>
      <c r="AQ22">
        <v>192241</v>
      </c>
      <c r="AR22">
        <v>64097</v>
      </c>
      <c r="AS22">
        <v>59819</v>
      </c>
      <c r="AT22">
        <v>82783</v>
      </c>
      <c r="AU22">
        <v>138848</v>
      </c>
      <c r="AV22">
        <v>58774</v>
      </c>
      <c r="AW22">
        <v>35388</v>
      </c>
      <c r="AX22">
        <v>8409</v>
      </c>
      <c r="AY22">
        <v>101649</v>
      </c>
      <c r="AZ22">
        <v>110006</v>
      </c>
      <c r="BA22">
        <v>68602</v>
      </c>
      <c r="BB22">
        <v>43861</v>
      </c>
      <c r="BC22">
        <v>35126</v>
      </c>
      <c r="BD22">
        <v>19204</v>
      </c>
      <c r="BE22">
        <v>962024</v>
      </c>
      <c r="BF22">
        <v>284555</v>
      </c>
      <c r="BG22">
        <v>0</v>
      </c>
      <c r="BH22">
        <v>604642</v>
      </c>
      <c r="BI22">
        <v>4323</v>
      </c>
      <c r="BJ22">
        <v>0</v>
      </c>
    </row>
    <row r="23" spans="1:62" x14ac:dyDescent="0.4">
      <c r="A23" s="1" t="s">
        <v>34</v>
      </c>
      <c r="B23" s="1" t="s">
        <v>35</v>
      </c>
      <c r="C23">
        <v>436286</v>
      </c>
      <c r="D23">
        <v>425023</v>
      </c>
      <c r="E23">
        <v>151868</v>
      </c>
      <c r="F23">
        <v>3533114</v>
      </c>
      <c r="G23">
        <v>3588098</v>
      </c>
      <c r="H23">
        <v>691513</v>
      </c>
      <c r="I23">
        <v>1822</v>
      </c>
      <c r="J23">
        <v>1978</v>
      </c>
      <c r="K23">
        <v>6284</v>
      </c>
      <c r="L23">
        <v>1216131</v>
      </c>
      <c r="M23">
        <v>2895947</v>
      </c>
      <c r="N23">
        <v>1140554</v>
      </c>
      <c r="O23">
        <v>4445</v>
      </c>
      <c r="P23">
        <v>0</v>
      </c>
      <c r="Q23">
        <v>1749</v>
      </c>
      <c r="R23">
        <v>883550</v>
      </c>
      <c r="S23">
        <v>978289</v>
      </c>
      <c r="T23">
        <v>372884</v>
      </c>
      <c r="U23">
        <v>1236332</v>
      </c>
      <c r="V23">
        <v>1619982</v>
      </c>
      <c r="W23">
        <v>748159</v>
      </c>
      <c r="X23">
        <v>2992083</v>
      </c>
      <c r="Y23">
        <v>3254572</v>
      </c>
      <c r="Z23">
        <v>728110</v>
      </c>
      <c r="AA23">
        <v>1087353</v>
      </c>
      <c r="AB23">
        <v>1060959</v>
      </c>
      <c r="AC23">
        <v>306899</v>
      </c>
      <c r="AD23">
        <v>1395842</v>
      </c>
      <c r="AE23">
        <v>1414514</v>
      </c>
      <c r="AF23">
        <v>747850</v>
      </c>
      <c r="AG23">
        <v>131610</v>
      </c>
      <c r="AH23">
        <v>138863</v>
      </c>
      <c r="AI23">
        <v>157701</v>
      </c>
      <c r="AJ23">
        <v>622</v>
      </c>
      <c r="AK23">
        <v>3854</v>
      </c>
      <c r="AL23">
        <v>2205</v>
      </c>
      <c r="AM23">
        <v>179725</v>
      </c>
      <c r="AN23">
        <v>130777</v>
      </c>
      <c r="AO23">
        <v>133975</v>
      </c>
      <c r="AP23">
        <v>127219</v>
      </c>
      <c r="AQ23">
        <v>215062</v>
      </c>
      <c r="AR23">
        <v>63311</v>
      </c>
      <c r="AS23">
        <v>62954</v>
      </c>
      <c r="AT23">
        <v>76140</v>
      </c>
      <c r="AU23">
        <v>140205</v>
      </c>
      <c r="AV23">
        <v>85609</v>
      </c>
      <c r="AW23">
        <v>55733</v>
      </c>
      <c r="AX23">
        <v>6870</v>
      </c>
      <c r="AY23">
        <v>119976</v>
      </c>
      <c r="AZ23">
        <v>102154</v>
      </c>
      <c r="BA23">
        <v>86428</v>
      </c>
      <c r="BB23">
        <v>42325</v>
      </c>
      <c r="BC23">
        <v>37989</v>
      </c>
      <c r="BD23">
        <v>13520</v>
      </c>
      <c r="BE23">
        <v>865037</v>
      </c>
      <c r="BF23">
        <v>212310</v>
      </c>
      <c r="BG23">
        <v>0</v>
      </c>
      <c r="BH23">
        <v>654301</v>
      </c>
      <c r="BI23">
        <v>6343</v>
      </c>
      <c r="BJ23">
        <v>0</v>
      </c>
    </row>
    <row r="24" spans="1:62" x14ac:dyDescent="0.4">
      <c r="A24" s="1" t="s">
        <v>36</v>
      </c>
      <c r="B24" s="1" t="s">
        <v>37</v>
      </c>
      <c r="C24">
        <v>355185</v>
      </c>
      <c r="D24">
        <v>365301</v>
      </c>
      <c r="E24">
        <v>144209</v>
      </c>
      <c r="F24">
        <v>3322634</v>
      </c>
      <c r="G24">
        <v>3372693</v>
      </c>
      <c r="H24">
        <v>757768</v>
      </c>
      <c r="I24">
        <v>2869</v>
      </c>
      <c r="J24">
        <v>1662</v>
      </c>
      <c r="K24">
        <v>7613</v>
      </c>
      <c r="L24">
        <v>1069083</v>
      </c>
      <c r="M24">
        <v>2794373</v>
      </c>
      <c r="N24">
        <v>1136039</v>
      </c>
      <c r="O24">
        <v>3801</v>
      </c>
      <c r="P24">
        <v>2</v>
      </c>
      <c r="Q24">
        <v>1294</v>
      </c>
      <c r="R24">
        <v>788178</v>
      </c>
      <c r="S24">
        <v>859573</v>
      </c>
      <c r="T24">
        <v>345723</v>
      </c>
      <c r="U24">
        <v>1379317</v>
      </c>
      <c r="V24">
        <v>1539297</v>
      </c>
      <c r="W24">
        <v>830449</v>
      </c>
      <c r="X24">
        <v>2829550</v>
      </c>
      <c r="Y24">
        <v>2853036</v>
      </c>
      <c r="Z24">
        <v>812845</v>
      </c>
      <c r="AA24">
        <v>974406</v>
      </c>
      <c r="AB24">
        <v>995986</v>
      </c>
      <c r="AC24">
        <v>296014</v>
      </c>
      <c r="AD24">
        <v>1162204</v>
      </c>
      <c r="AE24">
        <v>1063465</v>
      </c>
      <c r="AF24">
        <v>784126</v>
      </c>
      <c r="AG24">
        <v>116140</v>
      </c>
      <c r="AH24">
        <v>136120</v>
      </c>
      <c r="AI24">
        <v>148094</v>
      </c>
      <c r="AJ24">
        <v>3226</v>
      </c>
      <c r="AK24">
        <v>3058</v>
      </c>
      <c r="AL24">
        <v>3353</v>
      </c>
      <c r="AM24">
        <v>203237</v>
      </c>
      <c r="AN24">
        <v>124844</v>
      </c>
      <c r="AO24">
        <v>150339</v>
      </c>
      <c r="AP24">
        <v>135023</v>
      </c>
      <c r="AQ24">
        <v>218054</v>
      </c>
      <c r="AR24">
        <v>66273</v>
      </c>
      <c r="AS24">
        <v>66282</v>
      </c>
      <c r="AT24">
        <v>78170</v>
      </c>
      <c r="AU24">
        <v>148637</v>
      </c>
      <c r="AV24">
        <v>68048</v>
      </c>
      <c r="AW24">
        <v>30694</v>
      </c>
      <c r="AX24">
        <v>6632</v>
      </c>
      <c r="AY24">
        <v>122735</v>
      </c>
      <c r="AZ24">
        <v>125027</v>
      </c>
      <c r="BA24">
        <v>84330</v>
      </c>
      <c r="BB24">
        <v>43398</v>
      </c>
      <c r="BC24">
        <v>30390</v>
      </c>
      <c r="BD24">
        <v>17623</v>
      </c>
      <c r="BE24">
        <v>899689</v>
      </c>
      <c r="BF24">
        <v>225891</v>
      </c>
      <c r="BG24">
        <v>0</v>
      </c>
      <c r="BH24">
        <v>638323</v>
      </c>
      <c r="BI24">
        <v>5373</v>
      </c>
      <c r="BJ24">
        <v>0</v>
      </c>
    </row>
    <row r="25" spans="1:62" x14ac:dyDescent="0.4">
      <c r="A25" s="1" t="s">
        <v>38</v>
      </c>
      <c r="B25" s="1" t="s">
        <v>39</v>
      </c>
      <c r="C25">
        <v>313679</v>
      </c>
      <c r="D25">
        <v>328105</v>
      </c>
      <c r="E25">
        <v>129540</v>
      </c>
      <c r="F25">
        <v>2869520</v>
      </c>
      <c r="G25">
        <v>3161111</v>
      </c>
      <c r="H25">
        <v>598316</v>
      </c>
      <c r="I25">
        <v>871</v>
      </c>
      <c r="J25">
        <v>1766</v>
      </c>
      <c r="K25">
        <v>6838</v>
      </c>
      <c r="L25">
        <v>1034835</v>
      </c>
      <c r="M25">
        <v>2433232</v>
      </c>
      <c r="N25">
        <v>1139273</v>
      </c>
      <c r="O25">
        <v>3222</v>
      </c>
      <c r="P25">
        <v>0</v>
      </c>
      <c r="Q25">
        <v>976</v>
      </c>
      <c r="R25">
        <v>846686</v>
      </c>
      <c r="S25">
        <v>896864</v>
      </c>
      <c r="T25">
        <v>392126</v>
      </c>
      <c r="U25">
        <v>990577</v>
      </c>
      <c r="V25">
        <v>1463537</v>
      </c>
      <c r="W25">
        <v>638636</v>
      </c>
      <c r="X25">
        <v>2555571</v>
      </c>
      <c r="Y25">
        <v>2784463</v>
      </c>
      <c r="Z25">
        <v>684971</v>
      </c>
      <c r="AA25">
        <v>878526</v>
      </c>
      <c r="AB25">
        <v>912199</v>
      </c>
      <c r="AC25">
        <v>274445</v>
      </c>
      <c r="AD25">
        <v>949484</v>
      </c>
      <c r="AE25">
        <v>935295</v>
      </c>
      <c r="AF25">
        <v>770734</v>
      </c>
      <c r="AG25">
        <v>110033</v>
      </c>
      <c r="AH25">
        <v>122709</v>
      </c>
      <c r="AI25">
        <v>148651</v>
      </c>
      <c r="AJ25">
        <v>632</v>
      </c>
      <c r="AK25">
        <v>1215</v>
      </c>
      <c r="AL25">
        <v>4374</v>
      </c>
      <c r="AM25">
        <v>157140</v>
      </c>
      <c r="AN25">
        <v>114265</v>
      </c>
      <c r="AO25">
        <v>144687</v>
      </c>
      <c r="AP25">
        <v>103365</v>
      </c>
      <c r="AQ25">
        <v>189040</v>
      </c>
      <c r="AR25">
        <v>64334</v>
      </c>
      <c r="AS25">
        <v>34461</v>
      </c>
      <c r="AT25">
        <v>58555</v>
      </c>
      <c r="AU25">
        <v>131007</v>
      </c>
      <c r="AV25">
        <v>93787</v>
      </c>
      <c r="AW25">
        <v>62885</v>
      </c>
      <c r="AX25">
        <v>13839</v>
      </c>
      <c r="AY25">
        <v>108727</v>
      </c>
      <c r="AZ25">
        <v>111709</v>
      </c>
      <c r="BA25">
        <v>81370</v>
      </c>
      <c r="BB25">
        <v>42010</v>
      </c>
      <c r="BC25">
        <v>35851</v>
      </c>
      <c r="BD25">
        <v>14764</v>
      </c>
      <c r="BE25">
        <v>923643</v>
      </c>
      <c r="BF25">
        <v>271018</v>
      </c>
      <c r="BG25">
        <v>0</v>
      </c>
      <c r="BH25">
        <v>550452</v>
      </c>
      <c r="BI25">
        <v>4949</v>
      </c>
      <c r="BJ25">
        <v>0</v>
      </c>
    </row>
    <row r="26" spans="1:62" x14ac:dyDescent="0.4">
      <c r="A26" s="1" t="s">
        <v>40</v>
      </c>
      <c r="B26" s="1" t="s">
        <v>41</v>
      </c>
      <c r="C26">
        <v>318311</v>
      </c>
      <c r="D26">
        <v>346472</v>
      </c>
      <c r="E26">
        <v>117103</v>
      </c>
      <c r="F26">
        <v>3236963</v>
      </c>
      <c r="G26">
        <v>3350608</v>
      </c>
      <c r="H26">
        <v>564760</v>
      </c>
      <c r="I26">
        <v>1883</v>
      </c>
      <c r="J26">
        <v>1644</v>
      </c>
      <c r="K26">
        <v>7174</v>
      </c>
      <c r="L26">
        <v>994758</v>
      </c>
      <c r="M26">
        <v>2713155</v>
      </c>
      <c r="N26">
        <v>1165252</v>
      </c>
      <c r="O26">
        <v>4387</v>
      </c>
      <c r="P26">
        <v>0</v>
      </c>
      <c r="Q26">
        <v>1029</v>
      </c>
      <c r="R26">
        <v>955418</v>
      </c>
      <c r="S26">
        <v>1018862</v>
      </c>
      <c r="T26">
        <v>339869</v>
      </c>
      <c r="U26">
        <v>985685</v>
      </c>
      <c r="V26">
        <v>1189091</v>
      </c>
      <c r="W26">
        <v>761078</v>
      </c>
      <c r="X26">
        <v>2720663</v>
      </c>
      <c r="Y26">
        <v>2899909</v>
      </c>
      <c r="Z26">
        <v>612028</v>
      </c>
      <c r="AA26">
        <v>932106</v>
      </c>
      <c r="AB26">
        <v>929044</v>
      </c>
      <c r="AC26">
        <v>287318</v>
      </c>
      <c r="AD26">
        <v>1156618</v>
      </c>
      <c r="AE26">
        <v>1196633</v>
      </c>
      <c r="AF26">
        <v>690015</v>
      </c>
      <c r="AG26">
        <v>133610</v>
      </c>
      <c r="AH26">
        <v>146711</v>
      </c>
      <c r="AI26">
        <v>149942</v>
      </c>
      <c r="AJ26">
        <v>19</v>
      </c>
      <c r="AK26">
        <v>2371</v>
      </c>
      <c r="AL26">
        <v>4121</v>
      </c>
      <c r="AM26">
        <v>180809</v>
      </c>
      <c r="AN26">
        <v>124685</v>
      </c>
      <c r="AO26">
        <v>149101</v>
      </c>
      <c r="AP26">
        <v>123150</v>
      </c>
      <c r="AQ26">
        <v>185554</v>
      </c>
      <c r="AR26">
        <v>69181</v>
      </c>
      <c r="AS26">
        <v>62273</v>
      </c>
      <c r="AT26">
        <v>79721</v>
      </c>
      <c r="AU26">
        <v>122449</v>
      </c>
      <c r="AV26">
        <v>66745</v>
      </c>
      <c r="AW26">
        <v>36524</v>
      </c>
      <c r="AX26">
        <v>14052</v>
      </c>
      <c r="AY26">
        <v>115918</v>
      </c>
      <c r="AZ26">
        <v>123451</v>
      </c>
      <c r="BA26">
        <v>73970</v>
      </c>
      <c r="BB26">
        <v>37758</v>
      </c>
      <c r="BC26">
        <v>27133</v>
      </c>
      <c r="BD26">
        <v>16029</v>
      </c>
      <c r="BE26">
        <v>959310</v>
      </c>
      <c r="BF26">
        <v>264182</v>
      </c>
      <c r="BG26">
        <v>0</v>
      </c>
      <c r="BH26">
        <v>587394</v>
      </c>
      <c r="BI26">
        <v>4785</v>
      </c>
      <c r="BJ26">
        <v>0</v>
      </c>
    </row>
    <row r="27" spans="1:62" x14ac:dyDescent="0.4">
      <c r="A27" s="1" t="s">
        <v>42</v>
      </c>
      <c r="B27" s="1" t="s">
        <v>43</v>
      </c>
      <c r="C27">
        <v>395179</v>
      </c>
      <c r="D27">
        <v>377255</v>
      </c>
      <c r="E27">
        <v>142626</v>
      </c>
      <c r="F27">
        <v>3085237</v>
      </c>
      <c r="G27">
        <v>3090311</v>
      </c>
      <c r="H27">
        <v>628839</v>
      </c>
      <c r="I27">
        <v>1562</v>
      </c>
      <c r="J27">
        <v>1917</v>
      </c>
      <c r="K27">
        <v>6955</v>
      </c>
      <c r="L27">
        <v>1171192</v>
      </c>
      <c r="M27">
        <v>2906515</v>
      </c>
      <c r="N27">
        <v>994125</v>
      </c>
      <c r="O27">
        <v>3720</v>
      </c>
      <c r="P27">
        <v>2</v>
      </c>
      <c r="Q27">
        <v>1117</v>
      </c>
      <c r="R27">
        <v>1043884</v>
      </c>
      <c r="S27">
        <v>1018100</v>
      </c>
      <c r="T27">
        <v>426460</v>
      </c>
      <c r="U27">
        <v>600943</v>
      </c>
      <c r="V27">
        <v>614937</v>
      </c>
      <c r="W27">
        <v>694019</v>
      </c>
      <c r="X27">
        <v>3133015</v>
      </c>
      <c r="Y27">
        <v>2993997</v>
      </c>
      <c r="Z27">
        <v>838055</v>
      </c>
      <c r="AA27">
        <v>741205</v>
      </c>
      <c r="AB27">
        <v>730826</v>
      </c>
      <c r="AC27">
        <v>301167</v>
      </c>
      <c r="AD27">
        <v>1025511</v>
      </c>
      <c r="AE27">
        <v>978948</v>
      </c>
      <c r="AF27">
        <v>829736</v>
      </c>
      <c r="AG27">
        <v>132467</v>
      </c>
      <c r="AH27">
        <v>145431</v>
      </c>
      <c r="AI27">
        <v>150866</v>
      </c>
      <c r="AJ27">
        <v>1657</v>
      </c>
      <c r="AK27">
        <v>4066</v>
      </c>
      <c r="AL27">
        <v>2625</v>
      </c>
      <c r="AM27">
        <v>122830</v>
      </c>
      <c r="AN27">
        <v>120345</v>
      </c>
      <c r="AO27">
        <v>138957</v>
      </c>
      <c r="AP27">
        <v>123697</v>
      </c>
      <c r="AQ27">
        <v>188509</v>
      </c>
      <c r="AR27">
        <v>60882</v>
      </c>
      <c r="AS27">
        <v>91310</v>
      </c>
      <c r="AT27">
        <v>92666</v>
      </c>
      <c r="AU27">
        <v>127031</v>
      </c>
      <c r="AV27">
        <v>94952</v>
      </c>
      <c r="AW27">
        <v>64604</v>
      </c>
      <c r="AX27">
        <v>11478</v>
      </c>
      <c r="AY27">
        <v>115861</v>
      </c>
      <c r="AZ27">
        <v>101923</v>
      </c>
      <c r="BA27">
        <v>87762</v>
      </c>
      <c r="BB27">
        <v>37603</v>
      </c>
      <c r="BC27">
        <v>33693</v>
      </c>
      <c r="BD27">
        <v>17046</v>
      </c>
      <c r="BE27">
        <v>1116794</v>
      </c>
      <c r="BF27">
        <v>277427</v>
      </c>
      <c r="BG27">
        <v>0</v>
      </c>
      <c r="BH27">
        <v>632726</v>
      </c>
      <c r="BI27">
        <v>44197</v>
      </c>
      <c r="BJ27">
        <v>0</v>
      </c>
    </row>
    <row r="28" spans="1:62" x14ac:dyDescent="0.4">
      <c r="A28" s="1" t="s">
        <v>44</v>
      </c>
      <c r="B28" s="1" t="s">
        <v>45</v>
      </c>
      <c r="C28">
        <v>284934</v>
      </c>
      <c r="D28">
        <v>292043</v>
      </c>
      <c r="E28">
        <v>144385</v>
      </c>
      <c r="F28">
        <v>2906159</v>
      </c>
      <c r="G28">
        <v>2994933</v>
      </c>
      <c r="H28">
        <v>735554</v>
      </c>
      <c r="I28">
        <v>1333</v>
      </c>
      <c r="J28">
        <v>1996</v>
      </c>
      <c r="K28">
        <v>6419</v>
      </c>
      <c r="L28">
        <v>1011089</v>
      </c>
      <c r="M28">
        <v>2497941</v>
      </c>
      <c r="N28">
        <v>1159824</v>
      </c>
      <c r="O28">
        <v>2187</v>
      </c>
      <c r="P28">
        <v>0</v>
      </c>
      <c r="Q28">
        <v>1206</v>
      </c>
      <c r="R28">
        <v>1073808</v>
      </c>
      <c r="S28">
        <v>1007660</v>
      </c>
      <c r="T28">
        <v>503889</v>
      </c>
      <c r="U28">
        <v>570612</v>
      </c>
      <c r="V28">
        <v>524277</v>
      </c>
      <c r="W28">
        <v>767004</v>
      </c>
      <c r="X28">
        <v>2643438</v>
      </c>
      <c r="Y28">
        <v>2742532</v>
      </c>
      <c r="Z28">
        <v>867521</v>
      </c>
      <c r="AA28">
        <v>642528</v>
      </c>
      <c r="AB28">
        <v>645852</v>
      </c>
      <c r="AC28">
        <v>297170</v>
      </c>
      <c r="AD28">
        <v>929882</v>
      </c>
      <c r="AE28">
        <v>919926</v>
      </c>
      <c r="AF28">
        <v>857439</v>
      </c>
      <c r="AG28">
        <v>107296</v>
      </c>
      <c r="AH28">
        <v>126770</v>
      </c>
      <c r="AI28">
        <v>142687</v>
      </c>
      <c r="AJ28">
        <v>3151</v>
      </c>
      <c r="AK28">
        <v>2387</v>
      </c>
      <c r="AL28">
        <v>3425</v>
      </c>
      <c r="AM28">
        <v>79024</v>
      </c>
      <c r="AN28">
        <v>79442</v>
      </c>
      <c r="AO28">
        <v>136181</v>
      </c>
      <c r="AP28">
        <v>109150</v>
      </c>
      <c r="AQ28">
        <v>158448</v>
      </c>
      <c r="AR28">
        <v>69711</v>
      </c>
      <c r="AS28">
        <v>74333</v>
      </c>
      <c r="AT28">
        <v>91768</v>
      </c>
      <c r="AU28">
        <v>142195</v>
      </c>
      <c r="AV28">
        <v>96205</v>
      </c>
      <c r="AW28">
        <v>53430</v>
      </c>
      <c r="AX28">
        <v>14277</v>
      </c>
      <c r="AY28">
        <v>92540</v>
      </c>
      <c r="AZ28">
        <v>99896</v>
      </c>
      <c r="BA28">
        <v>80089</v>
      </c>
      <c r="BB28">
        <v>6907</v>
      </c>
      <c r="BC28">
        <v>11988</v>
      </c>
      <c r="BD28">
        <v>12246</v>
      </c>
      <c r="BE28">
        <v>1148227</v>
      </c>
      <c r="BF28">
        <v>172433</v>
      </c>
      <c r="BG28">
        <v>0</v>
      </c>
      <c r="BH28">
        <v>556014</v>
      </c>
      <c r="BI28">
        <v>5489</v>
      </c>
      <c r="BJ28">
        <v>0</v>
      </c>
    </row>
    <row r="29" spans="1:62" x14ac:dyDescent="0.4">
      <c r="A29" s="1" t="s">
        <v>46</v>
      </c>
      <c r="B29" s="1" t="s">
        <v>47</v>
      </c>
      <c r="C29">
        <v>282297</v>
      </c>
      <c r="D29">
        <v>304012</v>
      </c>
      <c r="E29">
        <v>134131</v>
      </c>
      <c r="F29">
        <v>2869790</v>
      </c>
      <c r="G29">
        <v>3219130</v>
      </c>
      <c r="H29">
        <v>629827</v>
      </c>
      <c r="I29">
        <v>1852</v>
      </c>
      <c r="J29">
        <v>2291</v>
      </c>
      <c r="K29">
        <v>6084</v>
      </c>
      <c r="L29">
        <v>1008382</v>
      </c>
      <c r="M29">
        <v>2201032</v>
      </c>
      <c r="N29">
        <v>1131075</v>
      </c>
      <c r="O29">
        <v>2549</v>
      </c>
      <c r="P29">
        <v>2</v>
      </c>
      <c r="Q29">
        <v>1203</v>
      </c>
      <c r="R29">
        <v>1067036</v>
      </c>
      <c r="S29">
        <v>1086748</v>
      </c>
      <c r="T29">
        <v>489585</v>
      </c>
      <c r="U29">
        <v>484736</v>
      </c>
      <c r="V29">
        <v>605151</v>
      </c>
      <c r="W29">
        <v>621343</v>
      </c>
      <c r="X29">
        <v>2743751</v>
      </c>
      <c r="Y29">
        <v>2946102</v>
      </c>
      <c r="Z29">
        <v>820992</v>
      </c>
      <c r="AA29">
        <v>690738</v>
      </c>
      <c r="AB29">
        <v>685963</v>
      </c>
      <c r="AC29">
        <v>301417</v>
      </c>
      <c r="AD29">
        <v>772871</v>
      </c>
      <c r="AE29">
        <v>904108</v>
      </c>
      <c r="AF29">
        <v>814850</v>
      </c>
      <c r="AG29">
        <v>103841</v>
      </c>
      <c r="AH29">
        <v>127906</v>
      </c>
      <c r="AI29">
        <v>130318</v>
      </c>
      <c r="AJ29">
        <v>3297</v>
      </c>
      <c r="AK29">
        <v>3021</v>
      </c>
      <c r="AL29">
        <v>3753</v>
      </c>
      <c r="AM29">
        <v>135429</v>
      </c>
      <c r="AN29">
        <v>93934</v>
      </c>
      <c r="AO29">
        <v>124828</v>
      </c>
      <c r="AP29">
        <v>95177</v>
      </c>
      <c r="AQ29">
        <v>146831</v>
      </c>
      <c r="AR29">
        <v>67373</v>
      </c>
      <c r="AS29">
        <v>76647</v>
      </c>
      <c r="AT29">
        <v>80428</v>
      </c>
      <c r="AU29">
        <v>145465</v>
      </c>
      <c r="AV29">
        <v>97963</v>
      </c>
      <c r="AW29">
        <v>57018</v>
      </c>
      <c r="AX29">
        <v>10770</v>
      </c>
      <c r="AY29">
        <v>90062</v>
      </c>
      <c r="AZ29">
        <v>95272</v>
      </c>
      <c r="BA29">
        <v>74661</v>
      </c>
      <c r="BB29">
        <v>4834</v>
      </c>
      <c r="BC29">
        <v>5749</v>
      </c>
      <c r="BD29">
        <v>11636</v>
      </c>
      <c r="BE29">
        <v>1232493</v>
      </c>
      <c r="BF29">
        <v>301263</v>
      </c>
      <c r="BG29">
        <v>0</v>
      </c>
      <c r="BH29">
        <v>514755</v>
      </c>
      <c r="BI29">
        <v>3846</v>
      </c>
      <c r="BJ29">
        <v>0</v>
      </c>
    </row>
    <row r="30" spans="1:62" x14ac:dyDescent="0.4">
      <c r="A30" s="1" t="s">
        <v>48</v>
      </c>
      <c r="B30" s="1" t="s">
        <v>49</v>
      </c>
      <c r="C30">
        <v>299608</v>
      </c>
      <c r="D30">
        <v>327215</v>
      </c>
      <c r="E30">
        <v>132812</v>
      </c>
      <c r="F30">
        <v>3109135</v>
      </c>
      <c r="G30">
        <v>3490549</v>
      </c>
      <c r="H30">
        <v>511825</v>
      </c>
      <c r="I30">
        <v>972</v>
      </c>
      <c r="J30">
        <v>2316</v>
      </c>
      <c r="K30">
        <v>4877</v>
      </c>
      <c r="L30">
        <v>1017310</v>
      </c>
      <c r="M30">
        <v>2435408</v>
      </c>
      <c r="N30">
        <v>1102468</v>
      </c>
      <c r="O30">
        <v>2650</v>
      </c>
      <c r="P30">
        <v>0</v>
      </c>
      <c r="Q30">
        <v>1452</v>
      </c>
      <c r="R30">
        <v>1041927</v>
      </c>
      <c r="S30">
        <v>1001962</v>
      </c>
      <c r="T30">
        <v>535197</v>
      </c>
      <c r="U30">
        <v>573023</v>
      </c>
      <c r="V30">
        <v>469468</v>
      </c>
      <c r="W30">
        <v>751348</v>
      </c>
      <c r="X30">
        <v>2664466</v>
      </c>
      <c r="Y30">
        <v>2927092</v>
      </c>
      <c r="Z30">
        <v>652029</v>
      </c>
      <c r="AA30">
        <v>664134</v>
      </c>
      <c r="AB30">
        <v>647326</v>
      </c>
      <c r="AC30">
        <v>314762</v>
      </c>
      <c r="AD30">
        <v>951880</v>
      </c>
      <c r="AE30">
        <v>999396</v>
      </c>
      <c r="AF30">
        <v>757829</v>
      </c>
      <c r="AG30">
        <v>107133</v>
      </c>
      <c r="AH30">
        <v>129886</v>
      </c>
      <c r="AI30">
        <v>119816</v>
      </c>
      <c r="AJ30">
        <v>456</v>
      </c>
      <c r="AK30">
        <v>3365</v>
      </c>
      <c r="AL30">
        <v>3083</v>
      </c>
      <c r="AM30">
        <v>173453</v>
      </c>
      <c r="AN30">
        <v>98262</v>
      </c>
      <c r="AO30">
        <v>141095</v>
      </c>
      <c r="AP30">
        <v>92970</v>
      </c>
      <c r="AQ30">
        <v>152677</v>
      </c>
      <c r="AR30">
        <v>67238</v>
      </c>
      <c r="AS30">
        <v>76383</v>
      </c>
      <c r="AT30">
        <v>85360</v>
      </c>
      <c r="AU30">
        <v>128404</v>
      </c>
      <c r="AV30">
        <v>63658</v>
      </c>
      <c r="AW30">
        <v>44293</v>
      </c>
      <c r="AX30">
        <v>13429</v>
      </c>
      <c r="AY30">
        <v>93582</v>
      </c>
      <c r="AZ30">
        <v>84047</v>
      </c>
      <c r="BA30">
        <v>83774</v>
      </c>
      <c r="BB30">
        <v>10243</v>
      </c>
      <c r="BC30">
        <v>5083</v>
      </c>
      <c r="BD30">
        <v>17087</v>
      </c>
      <c r="BE30">
        <v>964733</v>
      </c>
      <c r="BF30">
        <v>191835</v>
      </c>
      <c r="BG30">
        <v>0</v>
      </c>
      <c r="BH30">
        <v>538705</v>
      </c>
      <c r="BI30">
        <v>4455</v>
      </c>
      <c r="BJ30">
        <v>0</v>
      </c>
    </row>
    <row r="31" spans="1:62" x14ac:dyDescent="0.4">
      <c r="A31" s="1" t="s">
        <v>50</v>
      </c>
      <c r="B31" s="1" t="s">
        <v>51</v>
      </c>
      <c r="C31">
        <v>323649</v>
      </c>
      <c r="D31">
        <v>356498</v>
      </c>
      <c r="E31">
        <v>119587</v>
      </c>
      <c r="F31">
        <v>3340851</v>
      </c>
      <c r="G31">
        <v>3592417</v>
      </c>
      <c r="H31">
        <v>657897</v>
      </c>
      <c r="I31">
        <v>1570</v>
      </c>
      <c r="J31">
        <v>1880</v>
      </c>
      <c r="K31">
        <v>4708</v>
      </c>
      <c r="L31">
        <v>1109076</v>
      </c>
      <c r="M31">
        <v>2775431</v>
      </c>
      <c r="N31">
        <v>1118419</v>
      </c>
      <c r="O31">
        <v>3715</v>
      </c>
      <c r="P31">
        <v>2</v>
      </c>
      <c r="Q31">
        <v>2057</v>
      </c>
      <c r="R31">
        <v>1064047</v>
      </c>
      <c r="S31">
        <v>1070894</v>
      </c>
      <c r="T31">
        <v>537162</v>
      </c>
      <c r="U31">
        <v>638358</v>
      </c>
      <c r="V31">
        <v>514738</v>
      </c>
      <c r="W31">
        <v>926596</v>
      </c>
      <c r="X31">
        <v>3047768</v>
      </c>
      <c r="Y31">
        <v>3097338</v>
      </c>
      <c r="Z31">
        <v>870504</v>
      </c>
      <c r="AA31">
        <v>644055</v>
      </c>
      <c r="AB31">
        <v>646351</v>
      </c>
      <c r="AC31">
        <v>308403</v>
      </c>
      <c r="AD31">
        <v>1151437</v>
      </c>
      <c r="AE31">
        <v>1182634</v>
      </c>
      <c r="AF31">
        <v>819851</v>
      </c>
      <c r="AG31">
        <v>106835</v>
      </c>
      <c r="AH31">
        <v>105557</v>
      </c>
      <c r="AI31">
        <v>132302</v>
      </c>
      <c r="AJ31">
        <v>3006</v>
      </c>
      <c r="AK31">
        <v>2145</v>
      </c>
      <c r="AL31">
        <v>3966</v>
      </c>
      <c r="AM31">
        <v>174653</v>
      </c>
      <c r="AN31">
        <v>102159</v>
      </c>
      <c r="AO31">
        <v>144921</v>
      </c>
      <c r="AP31">
        <v>110842</v>
      </c>
      <c r="AQ31">
        <v>157278</v>
      </c>
      <c r="AR31">
        <v>62625</v>
      </c>
      <c r="AS31">
        <v>92247</v>
      </c>
      <c r="AT31">
        <v>100399</v>
      </c>
      <c r="AU31">
        <v>123013</v>
      </c>
      <c r="AV31">
        <v>115047</v>
      </c>
      <c r="AW31">
        <v>62790</v>
      </c>
      <c r="AX31">
        <v>12538</v>
      </c>
      <c r="AY31">
        <v>105284</v>
      </c>
      <c r="AZ31">
        <v>103513</v>
      </c>
      <c r="BA31">
        <v>85430</v>
      </c>
      <c r="BB31">
        <v>35783</v>
      </c>
      <c r="BC31">
        <v>25061</v>
      </c>
      <c r="BD31">
        <v>20960</v>
      </c>
      <c r="BE31">
        <v>1080961</v>
      </c>
      <c r="BF31">
        <v>214572</v>
      </c>
      <c r="BG31">
        <v>0</v>
      </c>
      <c r="BH31">
        <v>582489</v>
      </c>
      <c r="BI31">
        <v>5813</v>
      </c>
      <c r="BJ31">
        <v>0</v>
      </c>
    </row>
    <row r="32" spans="1:62" x14ac:dyDescent="0.4">
      <c r="A32" s="1" t="s">
        <v>52</v>
      </c>
      <c r="B32" s="1" t="s">
        <v>53</v>
      </c>
      <c r="C32">
        <v>364959</v>
      </c>
      <c r="D32">
        <v>384096</v>
      </c>
      <c r="E32">
        <v>125009</v>
      </c>
      <c r="F32">
        <v>3130809</v>
      </c>
      <c r="G32">
        <v>3441557</v>
      </c>
      <c r="H32">
        <v>651461</v>
      </c>
      <c r="I32">
        <v>1994</v>
      </c>
      <c r="J32">
        <v>1951</v>
      </c>
      <c r="K32">
        <v>4825</v>
      </c>
      <c r="L32">
        <v>1074203</v>
      </c>
      <c r="M32">
        <v>2809314</v>
      </c>
      <c r="N32">
        <v>1118968</v>
      </c>
      <c r="O32">
        <v>3827</v>
      </c>
      <c r="P32">
        <v>2</v>
      </c>
      <c r="Q32">
        <v>2397</v>
      </c>
      <c r="R32">
        <v>1155875</v>
      </c>
      <c r="S32">
        <v>1131836</v>
      </c>
      <c r="T32">
        <v>583871</v>
      </c>
      <c r="U32">
        <v>561040</v>
      </c>
      <c r="V32">
        <v>469364</v>
      </c>
      <c r="W32">
        <v>934338</v>
      </c>
      <c r="X32">
        <v>3019662</v>
      </c>
      <c r="Y32">
        <v>3187231</v>
      </c>
      <c r="Z32">
        <v>836985</v>
      </c>
      <c r="AA32">
        <v>637559</v>
      </c>
      <c r="AB32">
        <v>619880</v>
      </c>
      <c r="AC32">
        <v>336751</v>
      </c>
      <c r="AD32">
        <v>1010104</v>
      </c>
      <c r="AE32">
        <v>1109047</v>
      </c>
      <c r="AF32">
        <v>688932</v>
      </c>
      <c r="AG32">
        <v>130233</v>
      </c>
      <c r="AH32">
        <v>136051</v>
      </c>
      <c r="AI32">
        <v>141881</v>
      </c>
      <c r="AJ32">
        <v>600</v>
      </c>
      <c r="AK32">
        <v>3803</v>
      </c>
      <c r="AL32">
        <v>2787</v>
      </c>
      <c r="AM32">
        <v>154019</v>
      </c>
      <c r="AN32">
        <v>89878</v>
      </c>
      <c r="AO32">
        <v>155900</v>
      </c>
      <c r="AP32">
        <v>127623</v>
      </c>
      <c r="AQ32">
        <v>179225</v>
      </c>
      <c r="AR32">
        <v>65998</v>
      </c>
      <c r="AS32">
        <v>99810</v>
      </c>
      <c r="AT32">
        <v>132175</v>
      </c>
      <c r="AU32">
        <v>145366</v>
      </c>
      <c r="AV32">
        <v>74438</v>
      </c>
      <c r="AW32">
        <v>33286</v>
      </c>
      <c r="AX32">
        <v>11420</v>
      </c>
      <c r="AY32">
        <v>102918</v>
      </c>
      <c r="AZ32">
        <v>100393</v>
      </c>
      <c r="BA32">
        <v>87753</v>
      </c>
      <c r="BB32">
        <v>49346</v>
      </c>
      <c r="BC32">
        <v>39243</v>
      </c>
      <c r="BD32">
        <v>20108</v>
      </c>
      <c r="BE32">
        <v>903624</v>
      </c>
      <c r="BF32">
        <v>230306</v>
      </c>
      <c r="BG32">
        <v>0</v>
      </c>
      <c r="BH32">
        <v>562935</v>
      </c>
      <c r="BI32">
        <v>5354</v>
      </c>
      <c r="BJ32">
        <v>0</v>
      </c>
    </row>
    <row r="33" spans="1:62" x14ac:dyDescent="0.4">
      <c r="A33" s="1" t="s">
        <v>54</v>
      </c>
      <c r="B33" s="1" t="s">
        <v>55</v>
      </c>
      <c r="C33">
        <v>374055</v>
      </c>
      <c r="D33">
        <v>397409</v>
      </c>
      <c r="E33">
        <v>129978</v>
      </c>
      <c r="F33">
        <v>3340822</v>
      </c>
      <c r="G33">
        <v>3472898</v>
      </c>
      <c r="H33">
        <v>745313</v>
      </c>
      <c r="I33">
        <v>2661</v>
      </c>
      <c r="J33">
        <v>3079</v>
      </c>
      <c r="K33">
        <v>4540</v>
      </c>
      <c r="L33">
        <v>1155525</v>
      </c>
      <c r="M33">
        <v>2741128</v>
      </c>
      <c r="N33">
        <v>1158814</v>
      </c>
      <c r="O33">
        <v>1818</v>
      </c>
      <c r="P33">
        <v>0</v>
      </c>
      <c r="Q33">
        <v>2244</v>
      </c>
      <c r="R33">
        <v>1140029</v>
      </c>
      <c r="S33">
        <v>1193259</v>
      </c>
      <c r="T33">
        <v>535597</v>
      </c>
      <c r="U33">
        <v>649546</v>
      </c>
      <c r="V33">
        <v>747861</v>
      </c>
      <c r="W33">
        <v>827405</v>
      </c>
      <c r="X33">
        <v>3057333</v>
      </c>
      <c r="Y33">
        <v>3224505</v>
      </c>
      <c r="Z33">
        <v>809553</v>
      </c>
      <c r="AA33">
        <v>705815</v>
      </c>
      <c r="AB33">
        <v>720047</v>
      </c>
      <c r="AC33">
        <v>329750</v>
      </c>
      <c r="AD33">
        <v>1123076</v>
      </c>
      <c r="AE33">
        <v>1084702</v>
      </c>
      <c r="AF33">
        <v>712452</v>
      </c>
      <c r="AG33">
        <v>126826</v>
      </c>
      <c r="AH33">
        <v>140082</v>
      </c>
      <c r="AI33">
        <v>140958</v>
      </c>
      <c r="AJ33">
        <v>1744</v>
      </c>
      <c r="AK33">
        <v>2558</v>
      </c>
      <c r="AL33">
        <v>2965</v>
      </c>
      <c r="AM33">
        <v>118716</v>
      </c>
      <c r="AN33">
        <v>97957</v>
      </c>
      <c r="AO33">
        <v>155750</v>
      </c>
      <c r="AP33">
        <v>120669</v>
      </c>
      <c r="AQ33">
        <v>193581</v>
      </c>
      <c r="AR33">
        <v>62976</v>
      </c>
      <c r="AS33">
        <v>65457</v>
      </c>
      <c r="AT33">
        <v>91791</v>
      </c>
      <c r="AU33">
        <v>141619</v>
      </c>
      <c r="AV33">
        <v>49604</v>
      </c>
      <c r="AW33">
        <v>18846</v>
      </c>
      <c r="AX33">
        <v>9959</v>
      </c>
      <c r="AY33">
        <v>96109</v>
      </c>
      <c r="AZ33">
        <v>96569</v>
      </c>
      <c r="BA33">
        <v>87247</v>
      </c>
      <c r="BB33">
        <v>42599</v>
      </c>
      <c r="BC33">
        <v>28865</v>
      </c>
      <c r="BD33">
        <v>22420</v>
      </c>
      <c r="BE33">
        <v>971209</v>
      </c>
      <c r="BF33">
        <v>227021</v>
      </c>
      <c r="BG33">
        <v>0</v>
      </c>
      <c r="BH33">
        <v>551203</v>
      </c>
      <c r="BI33">
        <v>5962</v>
      </c>
      <c r="BJ33">
        <v>0</v>
      </c>
    </row>
    <row r="34" spans="1:62" x14ac:dyDescent="0.4">
      <c r="A34" s="1" t="s">
        <v>56</v>
      </c>
      <c r="B34" s="1" t="s">
        <v>57</v>
      </c>
      <c r="C34">
        <v>311143</v>
      </c>
      <c r="D34">
        <v>335331</v>
      </c>
      <c r="E34">
        <v>129111</v>
      </c>
      <c r="F34">
        <v>3112830</v>
      </c>
      <c r="G34">
        <v>3361449</v>
      </c>
      <c r="H34">
        <v>658672</v>
      </c>
      <c r="I34">
        <v>2268</v>
      </c>
      <c r="J34">
        <v>2347</v>
      </c>
      <c r="K34">
        <v>4584</v>
      </c>
      <c r="L34">
        <v>1163297</v>
      </c>
      <c r="M34">
        <v>2711450</v>
      </c>
      <c r="N34">
        <v>1135519</v>
      </c>
      <c r="O34">
        <v>1551</v>
      </c>
      <c r="P34">
        <v>2</v>
      </c>
      <c r="Q34">
        <v>1878</v>
      </c>
      <c r="R34">
        <v>986042</v>
      </c>
      <c r="S34">
        <v>1044802</v>
      </c>
      <c r="T34">
        <v>483270</v>
      </c>
      <c r="U34">
        <v>964345</v>
      </c>
      <c r="V34">
        <v>1144468</v>
      </c>
      <c r="W34">
        <v>776610</v>
      </c>
      <c r="X34">
        <v>2950153</v>
      </c>
      <c r="Y34">
        <v>3051877</v>
      </c>
      <c r="Z34">
        <v>861533</v>
      </c>
      <c r="AA34">
        <v>820548</v>
      </c>
      <c r="AB34">
        <v>831147</v>
      </c>
      <c r="AC34">
        <v>321119</v>
      </c>
      <c r="AD34">
        <v>1266946</v>
      </c>
      <c r="AE34">
        <v>1239028</v>
      </c>
      <c r="AF34">
        <v>682878</v>
      </c>
      <c r="AG34">
        <v>131840</v>
      </c>
      <c r="AH34">
        <v>143089</v>
      </c>
      <c r="AI34">
        <v>145615</v>
      </c>
      <c r="AJ34">
        <v>2271</v>
      </c>
      <c r="AK34">
        <v>2150</v>
      </c>
      <c r="AL34">
        <v>3124</v>
      </c>
      <c r="AM34">
        <v>118173</v>
      </c>
      <c r="AN34">
        <v>115750</v>
      </c>
      <c r="AO34">
        <v>146512</v>
      </c>
      <c r="AP34">
        <v>123586</v>
      </c>
      <c r="AQ34">
        <v>202394</v>
      </c>
      <c r="AR34">
        <v>67616</v>
      </c>
      <c r="AS34">
        <v>58069</v>
      </c>
      <c r="AT34">
        <v>87640</v>
      </c>
      <c r="AU34">
        <v>131723</v>
      </c>
      <c r="AV34">
        <v>66348</v>
      </c>
      <c r="AW34">
        <v>27072</v>
      </c>
      <c r="AX34">
        <v>9418</v>
      </c>
      <c r="AY34">
        <v>97676</v>
      </c>
      <c r="AZ34">
        <v>107727</v>
      </c>
      <c r="BA34">
        <v>77330</v>
      </c>
      <c r="BB34">
        <v>37382</v>
      </c>
      <c r="BC34">
        <v>27430</v>
      </c>
      <c r="BD34">
        <v>21498</v>
      </c>
      <c r="BE34">
        <v>926682</v>
      </c>
      <c r="BF34">
        <v>279525</v>
      </c>
      <c r="BG34">
        <v>0</v>
      </c>
      <c r="BH34">
        <v>559450</v>
      </c>
      <c r="BI34">
        <v>6891</v>
      </c>
      <c r="BJ34">
        <v>0</v>
      </c>
    </row>
    <row r="35" spans="1:62" x14ac:dyDescent="0.4">
      <c r="A35" s="1" t="s">
        <v>58</v>
      </c>
      <c r="B35" s="1" t="s">
        <v>59</v>
      </c>
      <c r="C35">
        <v>410539</v>
      </c>
      <c r="D35">
        <v>404461</v>
      </c>
      <c r="E35">
        <v>139966</v>
      </c>
      <c r="F35">
        <v>3660367</v>
      </c>
      <c r="G35">
        <v>3762336</v>
      </c>
      <c r="H35">
        <v>600423</v>
      </c>
      <c r="I35">
        <v>2395</v>
      </c>
      <c r="J35">
        <v>2315</v>
      </c>
      <c r="K35">
        <v>4817</v>
      </c>
      <c r="L35">
        <v>1289723</v>
      </c>
      <c r="M35">
        <v>2930203</v>
      </c>
      <c r="N35">
        <v>1187715</v>
      </c>
      <c r="O35">
        <v>1538</v>
      </c>
      <c r="P35">
        <v>0</v>
      </c>
      <c r="Q35">
        <v>1494</v>
      </c>
      <c r="R35">
        <v>943278</v>
      </c>
      <c r="S35">
        <v>1023601</v>
      </c>
      <c r="T35">
        <v>399919</v>
      </c>
      <c r="U35">
        <v>1324560</v>
      </c>
      <c r="V35">
        <v>1570430</v>
      </c>
      <c r="W35">
        <v>780269</v>
      </c>
      <c r="X35">
        <v>3243832</v>
      </c>
      <c r="Y35">
        <v>3349352</v>
      </c>
      <c r="Z35">
        <v>815591</v>
      </c>
      <c r="AA35">
        <v>959549</v>
      </c>
      <c r="AB35">
        <v>955581</v>
      </c>
      <c r="AC35">
        <v>329046</v>
      </c>
      <c r="AD35">
        <v>1187221</v>
      </c>
      <c r="AE35">
        <v>1083608</v>
      </c>
      <c r="AF35">
        <v>743065</v>
      </c>
      <c r="AG35">
        <v>126445</v>
      </c>
      <c r="AH35">
        <v>140662</v>
      </c>
      <c r="AI35">
        <v>144355</v>
      </c>
      <c r="AJ35">
        <v>2210</v>
      </c>
      <c r="AK35">
        <v>2371</v>
      </c>
      <c r="AL35">
        <v>3006</v>
      </c>
      <c r="AM35">
        <v>163582</v>
      </c>
      <c r="AN35">
        <v>114142</v>
      </c>
      <c r="AO35">
        <v>169237</v>
      </c>
      <c r="AP35">
        <v>129626</v>
      </c>
      <c r="AQ35">
        <v>238802</v>
      </c>
      <c r="AR35">
        <v>66710</v>
      </c>
      <c r="AS35">
        <v>54944</v>
      </c>
      <c r="AT35">
        <v>72473</v>
      </c>
      <c r="AU35">
        <v>131652</v>
      </c>
      <c r="AV35">
        <v>99631</v>
      </c>
      <c r="AW35">
        <v>69699</v>
      </c>
      <c r="AX35">
        <v>10497</v>
      </c>
      <c r="AY35">
        <v>118669</v>
      </c>
      <c r="AZ35">
        <v>106919</v>
      </c>
      <c r="BA35">
        <v>89068</v>
      </c>
      <c r="BB35">
        <v>42157</v>
      </c>
      <c r="BC35">
        <v>29401</v>
      </c>
      <c r="BD35">
        <v>23344</v>
      </c>
      <c r="BE35">
        <v>921214</v>
      </c>
      <c r="BF35">
        <v>229929</v>
      </c>
      <c r="BG35">
        <v>0</v>
      </c>
      <c r="BH35">
        <v>625901</v>
      </c>
      <c r="BI35">
        <v>5932</v>
      </c>
      <c r="BJ35">
        <v>0</v>
      </c>
    </row>
    <row r="36" spans="1:62" x14ac:dyDescent="0.4">
      <c r="A36" s="1" t="s">
        <v>60</v>
      </c>
      <c r="B36" s="1" t="s">
        <v>61</v>
      </c>
      <c r="C36">
        <v>425009</v>
      </c>
      <c r="D36">
        <v>435110</v>
      </c>
      <c r="E36">
        <v>138883</v>
      </c>
      <c r="F36">
        <v>3634390</v>
      </c>
      <c r="G36">
        <v>3497093</v>
      </c>
      <c r="H36">
        <v>736517</v>
      </c>
      <c r="I36">
        <v>1535</v>
      </c>
      <c r="J36">
        <v>1618</v>
      </c>
      <c r="K36">
        <v>4870</v>
      </c>
      <c r="L36">
        <v>1342552</v>
      </c>
      <c r="M36">
        <v>2903969</v>
      </c>
      <c r="N36">
        <v>1017475</v>
      </c>
      <c r="O36">
        <v>1937</v>
      </c>
      <c r="P36">
        <v>2</v>
      </c>
      <c r="Q36">
        <v>888</v>
      </c>
      <c r="R36">
        <v>965051</v>
      </c>
      <c r="S36">
        <v>990495</v>
      </c>
      <c r="T36">
        <v>383841</v>
      </c>
      <c r="U36">
        <v>1381471</v>
      </c>
      <c r="V36">
        <v>1655031</v>
      </c>
      <c r="W36">
        <v>774867</v>
      </c>
      <c r="X36">
        <v>3186238</v>
      </c>
      <c r="Y36">
        <v>3228874</v>
      </c>
      <c r="Z36">
        <v>809814</v>
      </c>
      <c r="AA36">
        <v>908238</v>
      </c>
      <c r="AB36">
        <v>921925</v>
      </c>
      <c r="AC36">
        <v>311019</v>
      </c>
      <c r="AD36">
        <v>1277302</v>
      </c>
      <c r="AE36">
        <v>1231624</v>
      </c>
      <c r="AF36">
        <v>741831</v>
      </c>
      <c r="AG36">
        <v>109822</v>
      </c>
      <c r="AH36">
        <v>131044</v>
      </c>
      <c r="AI36">
        <v>138744</v>
      </c>
      <c r="AJ36">
        <v>729</v>
      </c>
      <c r="AK36">
        <v>2351</v>
      </c>
      <c r="AL36">
        <v>3049</v>
      </c>
      <c r="AM36">
        <v>173638</v>
      </c>
      <c r="AN36">
        <v>111371</v>
      </c>
      <c r="AO36">
        <v>159475</v>
      </c>
      <c r="AP36">
        <v>128527</v>
      </c>
      <c r="AQ36">
        <v>236073</v>
      </c>
      <c r="AR36">
        <v>70966</v>
      </c>
      <c r="AS36">
        <v>60230</v>
      </c>
      <c r="AT36">
        <v>75312</v>
      </c>
      <c r="AU36">
        <v>130661</v>
      </c>
      <c r="AV36">
        <v>70257</v>
      </c>
      <c r="AW36">
        <v>43619</v>
      </c>
      <c r="AX36">
        <v>6925</v>
      </c>
      <c r="AY36">
        <v>118804</v>
      </c>
      <c r="AZ36">
        <v>108435</v>
      </c>
      <c r="BA36">
        <v>99621</v>
      </c>
      <c r="BB36">
        <v>38353</v>
      </c>
      <c r="BC36">
        <v>32438</v>
      </c>
      <c r="BD36">
        <v>17757</v>
      </c>
      <c r="BE36">
        <v>921326</v>
      </c>
      <c r="BF36">
        <v>248306</v>
      </c>
      <c r="BG36">
        <v>0</v>
      </c>
      <c r="BH36">
        <v>645749</v>
      </c>
      <c r="BI36">
        <v>5908</v>
      </c>
      <c r="BJ36">
        <v>0</v>
      </c>
    </row>
    <row r="37" spans="1:62" x14ac:dyDescent="0.4">
      <c r="A37" s="1" t="s">
        <v>62</v>
      </c>
      <c r="B37" s="1" t="s">
        <v>63</v>
      </c>
      <c r="C37">
        <v>318206</v>
      </c>
      <c r="D37">
        <v>341809</v>
      </c>
      <c r="E37">
        <v>124707</v>
      </c>
      <c r="F37">
        <v>3185164</v>
      </c>
      <c r="G37">
        <v>3241768</v>
      </c>
      <c r="H37">
        <v>692424</v>
      </c>
      <c r="I37">
        <v>754</v>
      </c>
      <c r="J37">
        <v>1045</v>
      </c>
      <c r="K37">
        <v>3591</v>
      </c>
      <c r="L37">
        <v>1230043</v>
      </c>
      <c r="M37">
        <v>2279868</v>
      </c>
      <c r="N37">
        <v>1127177</v>
      </c>
      <c r="O37">
        <v>3079</v>
      </c>
      <c r="P37">
        <v>0</v>
      </c>
      <c r="Q37">
        <v>1116</v>
      </c>
      <c r="R37">
        <v>903750</v>
      </c>
      <c r="S37">
        <v>961973</v>
      </c>
      <c r="T37">
        <v>318858</v>
      </c>
      <c r="U37">
        <v>1031355</v>
      </c>
      <c r="V37">
        <v>1319684</v>
      </c>
      <c r="W37">
        <v>652134</v>
      </c>
      <c r="X37">
        <v>2948366</v>
      </c>
      <c r="Y37">
        <v>3085903</v>
      </c>
      <c r="Z37">
        <v>770612</v>
      </c>
      <c r="AA37">
        <v>857888</v>
      </c>
      <c r="AB37">
        <v>866378</v>
      </c>
      <c r="AC37">
        <v>300900</v>
      </c>
      <c r="AD37">
        <v>1203643</v>
      </c>
      <c r="AE37">
        <v>1182846</v>
      </c>
      <c r="AF37">
        <v>715294</v>
      </c>
      <c r="AG37">
        <v>111810</v>
      </c>
      <c r="AH37">
        <v>129259</v>
      </c>
      <c r="AI37">
        <v>132523</v>
      </c>
      <c r="AJ37">
        <v>837</v>
      </c>
      <c r="AK37">
        <v>2746</v>
      </c>
      <c r="AL37">
        <v>2627</v>
      </c>
      <c r="AM37">
        <v>182463</v>
      </c>
      <c r="AN37">
        <v>121744</v>
      </c>
      <c r="AO37">
        <v>147307</v>
      </c>
      <c r="AP37">
        <v>113871</v>
      </c>
      <c r="AQ37">
        <v>222326</v>
      </c>
      <c r="AR37">
        <v>71037</v>
      </c>
      <c r="AS37">
        <v>48511</v>
      </c>
      <c r="AT37">
        <v>62414</v>
      </c>
      <c r="AU37">
        <v>145532</v>
      </c>
      <c r="AV37">
        <v>53214</v>
      </c>
      <c r="AW37">
        <v>11540</v>
      </c>
      <c r="AX37">
        <v>8439</v>
      </c>
      <c r="AY37">
        <v>108814</v>
      </c>
      <c r="AZ37">
        <v>96146</v>
      </c>
      <c r="BA37">
        <v>111872</v>
      </c>
      <c r="BB37">
        <v>40469</v>
      </c>
      <c r="BC37">
        <v>26503</v>
      </c>
      <c r="BD37">
        <v>21981</v>
      </c>
      <c r="BE37">
        <v>736356</v>
      </c>
      <c r="BF37">
        <v>199704</v>
      </c>
      <c r="BG37">
        <v>0</v>
      </c>
      <c r="BH37">
        <v>568567</v>
      </c>
      <c r="BI37">
        <v>5646</v>
      </c>
      <c r="BJ37">
        <v>0</v>
      </c>
    </row>
    <row r="38" spans="1:62" x14ac:dyDescent="0.4">
      <c r="A38" s="1" t="s">
        <v>64</v>
      </c>
      <c r="B38" s="1" t="s">
        <v>65</v>
      </c>
      <c r="C38">
        <v>342441</v>
      </c>
      <c r="D38">
        <v>369371</v>
      </c>
      <c r="E38">
        <v>117464</v>
      </c>
      <c r="F38">
        <v>3144083</v>
      </c>
      <c r="G38">
        <v>3342486</v>
      </c>
      <c r="H38">
        <v>673783</v>
      </c>
      <c r="I38">
        <v>1218</v>
      </c>
      <c r="J38">
        <v>1898</v>
      </c>
      <c r="K38">
        <v>3052</v>
      </c>
      <c r="L38">
        <v>995675</v>
      </c>
      <c r="M38">
        <v>2057309</v>
      </c>
      <c r="N38">
        <v>933867</v>
      </c>
      <c r="O38">
        <v>3278</v>
      </c>
      <c r="P38">
        <v>2</v>
      </c>
      <c r="Q38">
        <v>1628</v>
      </c>
      <c r="R38">
        <v>1067251</v>
      </c>
      <c r="S38">
        <v>1005967</v>
      </c>
      <c r="T38">
        <v>413117</v>
      </c>
      <c r="U38">
        <v>812110</v>
      </c>
      <c r="V38">
        <v>1069410</v>
      </c>
      <c r="W38">
        <v>480624</v>
      </c>
      <c r="X38">
        <v>2720182</v>
      </c>
      <c r="Y38">
        <v>3056006</v>
      </c>
      <c r="Z38">
        <v>572246</v>
      </c>
      <c r="AA38">
        <v>901178</v>
      </c>
      <c r="AB38">
        <v>881410</v>
      </c>
      <c r="AC38">
        <v>307510</v>
      </c>
      <c r="AD38">
        <v>1286095</v>
      </c>
      <c r="AE38">
        <v>1201371</v>
      </c>
      <c r="AF38">
        <v>783553</v>
      </c>
      <c r="AG38">
        <v>134258</v>
      </c>
      <c r="AH38">
        <v>147791</v>
      </c>
      <c r="AI38">
        <v>130189</v>
      </c>
      <c r="AJ38">
        <v>1002</v>
      </c>
      <c r="AK38">
        <v>3024</v>
      </c>
      <c r="AL38">
        <v>2652</v>
      </c>
      <c r="AM38">
        <v>145896</v>
      </c>
      <c r="AN38">
        <v>142967</v>
      </c>
      <c r="AO38">
        <v>141769</v>
      </c>
      <c r="AP38">
        <v>114960</v>
      </c>
      <c r="AQ38">
        <v>217351</v>
      </c>
      <c r="AR38">
        <v>64808</v>
      </c>
      <c r="AS38">
        <v>47552</v>
      </c>
      <c r="AT38">
        <v>64892</v>
      </c>
      <c r="AU38">
        <v>156227</v>
      </c>
      <c r="AV38">
        <v>44811</v>
      </c>
      <c r="AW38">
        <v>8469</v>
      </c>
      <c r="AX38">
        <v>10015</v>
      </c>
      <c r="AY38">
        <v>92637</v>
      </c>
      <c r="AZ38">
        <v>101206</v>
      </c>
      <c r="BA38">
        <v>103206</v>
      </c>
      <c r="BB38">
        <v>42112</v>
      </c>
      <c r="BC38">
        <v>33547</v>
      </c>
      <c r="BD38">
        <v>19760</v>
      </c>
      <c r="BE38">
        <v>830694</v>
      </c>
      <c r="BF38">
        <v>271474</v>
      </c>
      <c r="BG38">
        <v>0</v>
      </c>
      <c r="BH38">
        <v>535133</v>
      </c>
      <c r="BI38">
        <v>3513</v>
      </c>
      <c r="BJ38">
        <v>0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04E7F-EB1C-4911-A832-77D14652B15A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3140</v>
      </c>
      <c r="D3" t="s">
        <v>3140</v>
      </c>
      <c r="E3" t="s">
        <v>3140</v>
      </c>
      <c r="F3" t="s">
        <v>3140</v>
      </c>
      <c r="G3" t="s">
        <v>3142</v>
      </c>
      <c r="H3" t="s">
        <v>3142</v>
      </c>
      <c r="I3" t="s">
        <v>3142</v>
      </c>
      <c r="J3" t="s">
        <v>3142</v>
      </c>
      <c r="K3" t="s">
        <v>3144</v>
      </c>
      <c r="L3" t="s">
        <v>3144</v>
      </c>
      <c r="M3" t="s">
        <v>3144</v>
      </c>
      <c r="N3" t="s">
        <v>3144</v>
      </c>
      <c r="O3" t="s">
        <v>3146</v>
      </c>
      <c r="P3" t="s">
        <v>3146</v>
      </c>
      <c r="Q3" t="s">
        <v>3146</v>
      </c>
      <c r="R3" t="s">
        <v>3146</v>
      </c>
      <c r="S3" t="s">
        <v>3148</v>
      </c>
      <c r="T3" t="s">
        <v>3148</v>
      </c>
      <c r="U3" t="s">
        <v>3148</v>
      </c>
      <c r="V3" t="s">
        <v>3148</v>
      </c>
      <c r="W3" t="s">
        <v>3150</v>
      </c>
      <c r="X3" t="s">
        <v>3150</v>
      </c>
      <c r="Y3" t="s">
        <v>3150</v>
      </c>
      <c r="Z3" t="s">
        <v>3150</v>
      </c>
      <c r="AA3" t="s">
        <v>3152</v>
      </c>
      <c r="AB3" t="s">
        <v>3152</v>
      </c>
      <c r="AC3" t="s">
        <v>3152</v>
      </c>
      <c r="AD3" t="s">
        <v>3152</v>
      </c>
      <c r="AE3" t="s">
        <v>3154</v>
      </c>
      <c r="AF3" t="s">
        <v>3154</v>
      </c>
      <c r="AG3" t="s">
        <v>3154</v>
      </c>
      <c r="AH3" t="s">
        <v>3154</v>
      </c>
    </row>
    <row r="4" spans="1:34" x14ac:dyDescent="0.4">
      <c r="A4" s="1"/>
      <c r="B4" s="2" t="s">
        <v>1</v>
      </c>
      <c r="C4" t="s">
        <v>3141</v>
      </c>
      <c r="D4" t="s">
        <v>3141</v>
      </c>
      <c r="E4" t="s">
        <v>3141</v>
      </c>
      <c r="F4" t="s">
        <v>3141</v>
      </c>
      <c r="G4" t="s">
        <v>3143</v>
      </c>
      <c r="H4" t="s">
        <v>3143</v>
      </c>
      <c r="I4" t="s">
        <v>3143</v>
      </c>
      <c r="J4" t="s">
        <v>3143</v>
      </c>
      <c r="K4" t="s">
        <v>3145</v>
      </c>
      <c r="L4" t="s">
        <v>3145</v>
      </c>
      <c r="M4" t="s">
        <v>3145</v>
      </c>
      <c r="N4" t="s">
        <v>3145</v>
      </c>
      <c r="O4" t="s">
        <v>3147</v>
      </c>
      <c r="P4" t="s">
        <v>3147</v>
      </c>
      <c r="Q4" t="s">
        <v>3147</v>
      </c>
      <c r="R4" t="s">
        <v>3147</v>
      </c>
      <c r="S4" t="s">
        <v>3149</v>
      </c>
      <c r="T4" t="s">
        <v>3149</v>
      </c>
      <c r="U4" t="s">
        <v>3149</v>
      </c>
      <c r="V4" t="s">
        <v>3149</v>
      </c>
      <c r="W4" t="s">
        <v>3151</v>
      </c>
      <c r="X4" t="s">
        <v>3151</v>
      </c>
      <c r="Y4" t="s">
        <v>3151</v>
      </c>
      <c r="Z4" t="s">
        <v>3151</v>
      </c>
      <c r="AA4" t="s">
        <v>3153</v>
      </c>
      <c r="AB4" t="s">
        <v>3153</v>
      </c>
      <c r="AC4" t="s">
        <v>3153</v>
      </c>
      <c r="AD4" t="s">
        <v>3153</v>
      </c>
      <c r="AE4" t="s">
        <v>3155</v>
      </c>
      <c r="AF4" t="s">
        <v>3155</v>
      </c>
      <c r="AG4" t="s">
        <v>3155</v>
      </c>
      <c r="AH4" t="s">
        <v>3155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339</v>
      </c>
      <c r="AF7" t="s">
        <v>339</v>
      </c>
      <c r="AG7" t="s">
        <v>341</v>
      </c>
      <c r="AH7" t="s">
        <v>339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339</v>
      </c>
      <c r="AF8" t="s">
        <v>339</v>
      </c>
      <c r="AG8" t="s">
        <v>342</v>
      </c>
      <c r="AH8" t="s">
        <v>339</v>
      </c>
    </row>
    <row r="9" spans="1:34" x14ac:dyDescent="0.4">
      <c r="A9" s="1" t="s">
        <v>6</v>
      </c>
      <c r="B9" s="3" t="s">
        <v>7</v>
      </c>
      <c r="C9">
        <v>31063</v>
      </c>
      <c r="D9">
        <v>11333</v>
      </c>
      <c r="E9">
        <v>6018951</v>
      </c>
      <c r="F9">
        <v>738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>
        <v>72691</v>
      </c>
      <c r="P9">
        <v>77778</v>
      </c>
      <c r="Q9">
        <v>20040497</v>
      </c>
      <c r="R9">
        <v>2990</v>
      </c>
      <c r="S9">
        <v>83314</v>
      </c>
      <c r="T9">
        <v>55352</v>
      </c>
      <c r="U9">
        <v>11636015</v>
      </c>
      <c r="V9">
        <v>641</v>
      </c>
      <c r="W9">
        <v>974668</v>
      </c>
      <c r="X9">
        <v>978034</v>
      </c>
      <c r="Y9">
        <v>264474475</v>
      </c>
      <c r="Z9">
        <v>33721</v>
      </c>
      <c r="AA9">
        <v>319085</v>
      </c>
      <c r="AB9">
        <v>124915</v>
      </c>
      <c r="AC9">
        <v>35815609</v>
      </c>
      <c r="AD9">
        <v>8076</v>
      </c>
      <c r="AE9">
        <v>12022458</v>
      </c>
      <c r="AF9">
        <v>11792756</v>
      </c>
      <c r="AG9">
        <v>15296256</v>
      </c>
      <c r="AH9">
        <v>1288356</v>
      </c>
    </row>
    <row r="10" spans="1:34" x14ac:dyDescent="0.4">
      <c r="A10" s="1" t="s">
        <v>8</v>
      </c>
      <c r="B10" s="3" t="s">
        <v>9</v>
      </c>
      <c r="C10">
        <v>29124</v>
      </c>
      <c r="D10">
        <v>9637</v>
      </c>
      <c r="E10">
        <v>5856792</v>
      </c>
      <c r="F10">
        <v>1706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>
        <v>69456</v>
      </c>
      <c r="P10">
        <v>75335</v>
      </c>
      <c r="Q10">
        <v>23581773</v>
      </c>
      <c r="R10">
        <v>1942</v>
      </c>
      <c r="S10">
        <v>82118</v>
      </c>
      <c r="T10">
        <v>54320</v>
      </c>
      <c r="U10">
        <v>12959786</v>
      </c>
      <c r="V10">
        <v>676</v>
      </c>
      <c r="W10">
        <v>889105</v>
      </c>
      <c r="X10">
        <v>900803</v>
      </c>
      <c r="Y10">
        <v>314842329</v>
      </c>
      <c r="Z10">
        <v>41442</v>
      </c>
      <c r="AA10">
        <v>280553</v>
      </c>
      <c r="AB10">
        <v>112342</v>
      </c>
      <c r="AC10">
        <v>40045839</v>
      </c>
      <c r="AD10">
        <v>10431</v>
      </c>
      <c r="AE10">
        <v>10928295</v>
      </c>
      <c r="AF10">
        <v>10843052</v>
      </c>
      <c r="AG10">
        <v>16511925</v>
      </c>
      <c r="AH10">
        <v>1281629</v>
      </c>
    </row>
    <row r="11" spans="1:34" x14ac:dyDescent="0.4">
      <c r="A11" s="1" t="s">
        <v>10</v>
      </c>
      <c r="B11" s="3" t="s">
        <v>11</v>
      </c>
      <c r="C11">
        <v>28847</v>
      </c>
      <c r="D11">
        <v>6468</v>
      </c>
      <c r="E11">
        <v>3422664</v>
      </c>
      <c r="F11">
        <v>3143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>
        <v>66823</v>
      </c>
      <c r="P11">
        <v>72557</v>
      </c>
      <c r="Q11">
        <v>22297340</v>
      </c>
      <c r="R11">
        <v>2292</v>
      </c>
      <c r="S11">
        <v>76773</v>
      </c>
      <c r="T11">
        <v>52652</v>
      </c>
      <c r="U11">
        <v>12138742</v>
      </c>
      <c r="V11">
        <v>443</v>
      </c>
      <c r="W11">
        <v>929293</v>
      </c>
      <c r="X11">
        <v>940170</v>
      </c>
      <c r="Y11">
        <v>323677574</v>
      </c>
      <c r="Z11">
        <v>31568</v>
      </c>
      <c r="AA11">
        <v>255991</v>
      </c>
      <c r="AB11">
        <v>111704</v>
      </c>
      <c r="AC11">
        <v>43533223</v>
      </c>
      <c r="AD11">
        <v>9989</v>
      </c>
      <c r="AE11">
        <v>9331586</v>
      </c>
      <c r="AF11">
        <v>9326951</v>
      </c>
      <c r="AG11">
        <v>16184232</v>
      </c>
      <c r="AH11">
        <v>955870</v>
      </c>
    </row>
    <row r="12" spans="1:34" x14ac:dyDescent="0.4">
      <c r="A12" s="1" t="s">
        <v>12</v>
      </c>
      <c r="B12" s="3" t="s">
        <v>13</v>
      </c>
      <c r="C12">
        <v>30749</v>
      </c>
      <c r="D12">
        <v>5455</v>
      </c>
      <c r="E12">
        <v>3200335</v>
      </c>
      <c r="F12">
        <v>650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>
        <v>65945</v>
      </c>
      <c r="P12">
        <v>72804</v>
      </c>
      <c r="Q12">
        <v>25775951</v>
      </c>
      <c r="R12">
        <v>2139</v>
      </c>
      <c r="S12">
        <v>78056</v>
      </c>
      <c r="T12">
        <v>51404</v>
      </c>
      <c r="U12">
        <v>11753394</v>
      </c>
      <c r="V12">
        <v>501</v>
      </c>
      <c r="W12">
        <v>897518</v>
      </c>
      <c r="X12">
        <v>893663</v>
      </c>
      <c r="Y12">
        <v>337404101</v>
      </c>
      <c r="Z12">
        <v>33310</v>
      </c>
      <c r="AA12">
        <v>245810</v>
      </c>
      <c r="AB12">
        <v>106275</v>
      </c>
      <c r="AC12">
        <v>45848928</v>
      </c>
      <c r="AD12">
        <v>8177</v>
      </c>
      <c r="AE12">
        <v>10453707</v>
      </c>
      <c r="AF12">
        <v>10139037</v>
      </c>
      <c r="AG12">
        <v>19008815</v>
      </c>
      <c r="AH12">
        <v>1246568</v>
      </c>
    </row>
    <row r="13" spans="1:34" x14ac:dyDescent="0.4">
      <c r="A13" s="1" t="s">
        <v>14</v>
      </c>
      <c r="B13" s="3" t="s">
        <v>15</v>
      </c>
      <c r="C13">
        <v>30883</v>
      </c>
      <c r="D13">
        <v>5573</v>
      </c>
      <c r="E13">
        <v>3198111</v>
      </c>
      <c r="F13">
        <v>638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>
        <v>66312</v>
      </c>
      <c r="P13">
        <v>71785</v>
      </c>
      <c r="Q13">
        <v>29546137</v>
      </c>
      <c r="R13">
        <v>3199</v>
      </c>
      <c r="S13">
        <v>89915</v>
      </c>
      <c r="T13">
        <v>64139</v>
      </c>
      <c r="U13">
        <v>15365521</v>
      </c>
      <c r="V13">
        <v>711</v>
      </c>
      <c r="W13">
        <v>861669</v>
      </c>
      <c r="X13">
        <v>859233</v>
      </c>
      <c r="Y13">
        <v>341602119</v>
      </c>
      <c r="Z13">
        <v>32988</v>
      </c>
      <c r="AA13">
        <v>243961</v>
      </c>
      <c r="AB13">
        <v>105151</v>
      </c>
      <c r="AC13">
        <v>49127552</v>
      </c>
      <c r="AD13">
        <v>9782</v>
      </c>
      <c r="AE13">
        <v>10625747</v>
      </c>
      <c r="AF13">
        <v>10623192</v>
      </c>
      <c r="AG13">
        <v>20563977</v>
      </c>
      <c r="AH13">
        <v>1119312</v>
      </c>
    </row>
    <row r="14" spans="1:34" x14ac:dyDescent="0.4">
      <c r="A14" s="1" t="s">
        <v>16</v>
      </c>
      <c r="B14" s="1" t="s">
        <v>17</v>
      </c>
      <c r="C14">
        <v>2675</v>
      </c>
      <c r="D14">
        <v>393</v>
      </c>
      <c r="E14">
        <v>204095</v>
      </c>
      <c r="F14">
        <v>614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>
        <v>5546</v>
      </c>
      <c r="P14">
        <v>6124</v>
      </c>
      <c r="Q14">
        <v>1971043</v>
      </c>
      <c r="R14">
        <v>2457</v>
      </c>
      <c r="S14">
        <v>6481</v>
      </c>
      <c r="T14">
        <v>4445</v>
      </c>
      <c r="U14">
        <v>984627</v>
      </c>
      <c r="V14">
        <v>499</v>
      </c>
      <c r="W14">
        <v>75488</v>
      </c>
      <c r="X14">
        <v>76312</v>
      </c>
      <c r="Y14">
        <v>26658865</v>
      </c>
      <c r="Z14">
        <v>33297</v>
      </c>
      <c r="AA14">
        <v>22547</v>
      </c>
      <c r="AB14">
        <v>9493</v>
      </c>
      <c r="AC14">
        <v>3946513</v>
      </c>
      <c r="AD14">
        <v>9911</v>
      </c>
      <c r="AE14">
        <v>877062</v>
      </c>
      <c r="AF14">
        <v>817285</v>
      </c>
      <c r="AG14">
        <v>1392378</v>
      </c>
      <c r="AH14">
        <v>1015088</v>
      </c>
    </row>
    <row r="15" spans="1:34" x14ac:dyDescent="0.4">
      <c r="A15" s="1" t="s">
        <v>18</v>
      </c>
      <c r="B15" s="1" t="s">
        <v>19</v>
      </c>
      <c r="C15">
        <v>2751</v>
      </c>
      <c r="D15">
        <v>326</v>
      </c>
      <c r="E15">
        <v>174444</v>
      </c>
      <c r="F15">
        <v>616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>
        <v>5754</v>
      </c>
      <c r="P15">
        <v>6192</v>
      </c>
      <c r="Q15">
        <v>2061278</v>
      </c>
      <c r="R15">
        <v>2652</v>
      </c>
      <c r="S15">
        <v>6224</v>
      </c>
      <c r="T15">
        <v>4289</v>
      </c>
      <c r="U15">
        <v>935113</v>
      </c>
      <c r="V15">
        <v>490</v>
      </c>
      <c r="W15">
        <v>73614</v>
      </c>
      <c r="X15">
        <v>75876</v>
      </c>
      <c r="Y15">
        <v>27578436</v>
      </c>
      <c r="Z15">
        <v>31122</v>
      </c>
      <c r="AA15">
        <v>20264</v>
      </c>
      <c r="AB15">
        <v>8358</v>
      </c>
      <c r="AC15">
        <v>3679411</v>
      </c>
      <c r="AD15">
        <v>10000</v>
      </c>
      <c r="AE15">
        <v>974749</v>
      </c>
      <c r="AF15">
        <v>848643</v>
      </c>
      <c r="AG15">
        <v>1590076</v>
      </c>
      <c r="AH15">
        <v>1141654</v>
      </c>
    </row>
    <row r="16" spans="1:34" x14ac:dyDescent="0.4">
      <c r="A16" s="1" t="s">
        <v>20</v>
      </c>
      <c r="B16" s="1" t="s">
        <v>21</v>
      </c>
      <c r="C16">
        <v>2477</v>
      </c>
      <c r="D16">
        <v>350</v>
      </c>
      <c r="E16">
        <v>214575</v>
      </c>
      <c r="F16">
        <v>611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>
        <v>4924</v>
      </c>
      <c r="P16">
        <v>5820</v>
      </c>
      <c r="Q16">
        <v>2044366</v>
      </c>
      <c r="R16">
        <v>2357</v>
      </c>
      <c r="S16">
        <v>6273</v>
      </c>
      <c r="T16">
        <v>4215</v>
      </c>
      <c r="U16">
        <v>951000</v>
      </c>
      <c r="V16">
        <v>496</v>
      </c>
      <c r="W16">
        <v>75050</v>
      </c>
      <c r="X16">
        <v>74972</v>
      </c>
      <c r="Y16">
        <v>27859869</v>
      </c>
      <c r="Z16">
        <v>31230</v>
      </c>
      <c r="AA16">
        <v>18310</v>
      </c>
      <c r="AB16">
        <v>7608</v>
      </c>
      <c r="AC16">
        <v>3371699</v>
      </c>
      <c r="AD16">
        <v>8474</v>
      </c>
      <c r="AE16">
        <v>986212</v>
      </c>
      <c r="AF16">
        <v>860174</v>
      </c>
      <c r="AG16">
        <v>1676032</v>
      </c>
      <c r="AH16">
        <v>1255206</v>
      </c>
    </row>
    <row r="17" spans="1:34" x14ac:dyDescent="0.4">
      <c r="A17" s="1" t="s">
        <v>22</v>
      </c>
      <c r="B17" s="1" t="s">
        <v>23</v>
      </c>
      <c r="C17">
        <v>2081</v>
      </c>
      <c r="D17">
        <v>472</v>
      </c>
      <c r="E17">
        <v>288776</v>
      </c>
      <c r="F17">
        <v>824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>
        <v>5466</v>
      </c>
      <c r="P17">
        <v>6058</v>
      </c>
      <c r="Q17">
        <v>2254199</v>
      </c>
      <c r="R17">
        <v>2402</v>
      </c>
      <c r="S17">
        <v>6480</v>
      </c>
      <c r="T17">
        <v>4271</v>
      </c>
      <c r="U17">
        <v>995508</v>
      </c>
      <c r="V17">
        <v>447</v>
      </c>
      <c r="W17">
        <v>78491</v>
      </c>
      <c r="X17">
        <v>77477</v>
      </c>
      <c r="Y17">
        <v>29870474</v>
      </c>
      <c r="Z17">
        <v>32047</v>
      </c>
      <c r="AA17">
        <v>21445</v>
      </c>
      <c r="AB17">
        <v>8677</v>
      </c>
      <c r="AC17">
        <v>3774803</v>
      </c>
      <c r="AD17">
        <v>8086</v>
      </c>
      <c r="AE17">
        <v>1007196</v>
      </c>
      <c r="AF17">
        <v>812573</v>
      </c>
      <c r="AG17">
        <v>1507945</v>
      </c>
      <c r="AH17">
        <v>1440354</v>
      </c>
    </row>
    <row r="18" spans="1:34" x14ac:dyDescent="0.4">
      <c r="A18" s="1" t="s">
        <v>24</v>
      </c>
      <c r="B18" s="1" t="s">
        <v>25</v>
      </c>
      <c r="C18">
        <v>2876</v>
      </c>
      <c r="D18">
        <v>550</v>
      </c>
      <c r="E18">
        <v>330372</v>
      </c>
      <c r="F18">
        <v>759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>
        <v>5491</v>
      </c>
      <c r="P18">
        <v>6207</v>
      </c>
      <c r="Q18">
        <v>2391281</v>
      </c>
      <c r="R18">
        <v>2212</v>
      </c>
      <c r="S18">
        <v>6504</v>
      </c>
      <c r="T18">
        <v>4437</v>
      </c>
      <c r="U18">
        <v>1066213</v>
      </c>
      <c r="V18">
        <v>398</v>
      </c>
      <c r="W18">
        <v>86050</v>
      </c>
      <c r="X18">
        <v>84748</v>
      </c>
      <c r="Y18">
        <v>33702297</v>
      </c>
      <c r="Z18">
        <v>32438</v>
      </c>
      <c r="AA18">
        <v>23786</v>
      </c>
      <c r="AB18">
        <v>10431</v>
      </c>
      <c r="AC18">
        <v>4587837</v>
      </c>
      <c r="AD18">
        <v>9097</v>
      </c>
      <c r="AE18">
        <v>976189</v>
      </c>
      <c r="AF18">
        <v>905197</v>
      </c>
      <c r="AG18">
        <v>1605632</v>
      </c>
      <c r="AH18">
        <v>1563860</v>
      </c>
    </row>
    <row r="19" spans="1:34" x14ac:dyDescent="0.4">
      <c r="A19" s="1" t="s">
        <v>26</v>
      </c>
      <c r="B19" s="1" t="s">
        <v>27</v>
      </c>
      <c r="C19">
        <v>2613</v>
      </c>
      <c r="D19">
        <v>454</v>
      </c>
      <c r="E19">
        <v>277419</v>
      </c>
      <c r="F19">
        <v>792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>
        <v>4944</v>
      </c>
      <c r="P19">
        <v>5902</v>
      </c>
      <c r="Q19">
        <v>2247493</v>
      </c>
      <c r="R19">
        <v>1690</v>
      </c>
      <c r="S19">
        <v>5790</v>
      </c>
      <c r="T19">
        <v>3918</v>
      </c>
      <c r="U19">
        <v>877902</v>
      </c>
      <c r="V19">
        <v>385</v>
      </c>
      <c r="W19">
        <v>60416</v>
      </c>
      <c r="X19">
        <v>60137</v>
      </c>
      <c r="Y19">
        <v>23465085</v>
      </c>
      <c r="Z19">
        <v>32318</v>
      </c>
      <c r="AA19">
        <v>15756</v>
      </c>
      <c r="AB19">
        <v>7927</v>
      </c>
      <c r="AC19">
        <v>3408230</v>
      </c>
      <c r="AD19">
        <v>7421</v>
      </c>
      <c r="AE19">
        <v>795874</v>
      </c>
      <c r="AF19">
        <v>832387</v>
      </c>
      <c r="AG19">
        <v>1679189</v>
      </c>
      <c r="AH19">
        <v>1520606</v>
      </c>
    </row>
    <row r="20" spans="1:34" x14ac:dyDescent="0.4">
      <c r="A20" s="1" t="s">
        <v>28</v>
      </c>
      <c r="B20" s="1" t="s">
        <v>29</v>
      </c>
      <c r="C20">
        <v>2973</v>
      </c>
      <c r="D20">
        <v>537</v>
      </c>
      <c r="E20">
        <v>322950</v>
      </c>
      <c r="F20">
        <v>848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>
        <v>5945</v>
      </c>
      <c r="P20">
        <v>5917</v>
      </c>
      <c r="Q20">
        <v>2076449</v>
      </c>
      <c r="R20">
        <v>2252</v>
      </c>
      <c r="S20">
        <v>7348</v>
      </c>
      <c r="T20">
        <v>4269</v>
      </c>
      <c r="U20">
        <v>969336</v>
      </c>
      <c r="V20">
        <v>428</v>
      </c>
      <c r="W20">
        <v>75301</v>
      </c>
      <c r="X20">
        <v>75362</v>
      </c>
      <c r="Y20">
        <v>29421487</v>
      </c>
      <c r="Z20">
        <v>31775</v>
      </c>
      <c r="AA20">
        <v>22125</v>
      </c>
      <c r="AB20">
        <v>8777</v>
      </c>
      <c r="AC20">
        <v>3744939</v>
      </c>
      <c r="AD20">
        <v>8407</v>
      </c>
      <c r="AE20">
        <v>717812</v>
      </c>
      <c r="AF20">
        <v>895410</v>
      </c>
      <c r="AG20">
        <v>1694628</v>
      </c>
      <c r="AH20">
        <v>1337669</v>
      </c>
    </row>
    <row r="21" spans="1:34" x14ac:dyDescent="0.4">
      <c r="A21" s="1" t="s">
        <v>30</v>
      </c>
      <c r="B21" s="1" t="s">
        <v>31</v>
      </c>
      <c r="C21">
        <v>2965</v>
      </c>
      <c r="D21">
        <v>579</v>
      </c>
      <c r="E21">
        <v>340843</v>
      </c>
      <c r="F21">
        <v>783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>
        <v>6071</v>
      </c>
      <c r="P21">
        <v>6378</v>
      </c>
      <c r="Q21">
        <v>2262810</v>
      </c>
      <c r="R21">
        <v>2593</v>
      </c>
      <c r="S21">
        <v>7574</v>
      </c>
      <c r="T21">
        <v>4534</v>
      </c>
      <c r="U21">
        <v>1062110</v>
      </c>
      <c r="V21">
        <v>505</v>
      </c>
      <c r="W21">
        <v>80406</v>
      </c>
      <c r="X21">
        <v>80500</v>
      </c>
      <c r="Y21">
        <v>31433482</v>
      </c>
      <c r="Z21">
        <v>31235</v>
      </c>
      <c r="AA21">
        <v>23155</v>
      </c>
      <c r="AB21">
        <v>10213</v>
      </c>
      <c r="AC21">
        <v>4471892</v>
      </c>
      <c r="AD21">
        <v>8213</v>
      </c>
      <c r="AE21">
        <v>945625</v>
      </c>
      <c r="AF21">
        <v>904402</v>
      </c>
      <c r="AG21">
        <v>1739145</v>
      </c>
      <c r="AH21">
        <v>1387554</v>
      </c>
    </row>
    <row r="22" spans="1:34" x14ac:dyDescent="0.4">
      <c r="A22" s="1" t="s">
        <v>32</v>
      </c>
      <c r="B22" s="1" t="s">
        <v>33</v>
      </c>
      <c r="C22">
        <v>2447</v>
      </c>
      <c r="D22">
        <v>588</v>
      </c>
      <c r="E22">
        <v>369810</v>
      </c>
      <c r="F22">
        <v>531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>
        <v>5080</v>
      </c>
      <c r="P22">
        <v>6099</v>
      </c>
      <c r="Q22">
        <v>2238015</v>
      </c>
      <c r="R22">
        <v>1998</v>
      </c>
      <c r="S22">
        <v>7280</v>
      </c>
      <c r="T22">
        <v>4285</v>
      </c>
      <c r="U22">
        <v>1001214</v>
      </c>
      <c r="V22">
        <v>488</v>
      </c>
      <c r="W22">
        <v>79922</v>
      </c>
      <c r="X22">
        <v>77648</v>
      </c>
      <c r="Y22">
        <v>30552070</v>
      </c>
      <c r="Z22">
        <v>33068</v>
      </c>
      <c r="AA22">
        <v>23308</v>
      </c>
      <c r="AB22">
        <v>10073</v>
      </c>
      <c r="AC22">
        <v>4478681</v>
      </c>
      <c r="AD22">
        <v>9133</v>
      </c>
      <c r="AE22">
        <v>833200</v>
      </c>
      <c r="AF22">
        <v>771386</v>
      </c>
      <c r="AG22">
        <v>1549687</v>
      </c>
      <c r="AH22">
        <v>1441660</v>
      </c>
    </row>
    <row r="23" spans="1:34" x14ac:dyDescent="0.4">
      <c r="A23" s="1" t="s">
        <v>34</v>
      </c>
      <c r="B23" s="1" t="s">
        <v>35</v>
      </c>
      <c r="C23">
        <v>2599</v>
      </c>
      <c r="D23">
        <v>442</v>
      </c>
      <c r="E23">
        <v>276586</v>
      </c>
      <c r="F23">
        <v>650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>
        <v>5651</v>
      </c>
      <c r="P23">
        <v>6196</v>
      </c>
      <c r="Q23">
        <v>2372691</v>
      </c>
      <c r="R23">
        <v>2139</v>
      </c>
      <c r="S23">
        <v>5968</v>
      </c>
      <c r="T23">
        <v>4171</v>
      </c>
      <c r="U23">
        <v>996438</v>
      </c>
      <c r="V23">
        <v>501</v>
      </c>
      <c r="W23">
        <v>70770</v>
      </c>
      <c r="X23">
        <v>70232</v>
      </c>
      <c r="Y23">
        <v>27843075</v>
      </c>
      <c r="Z23">
        <v>33310</v>
      </c>
      <c r="AA23">
        <v>19878</v>
      </c>
      <c r="AB23">
        <v>8803</v>
      </c>
      <c r="AC23">
        <v>3851956</v>
      </c>
      <c r="AD23">
        <v>8177</v>
      </c>
      <c r="AE23">
        <v>714050</v>
      </c>
      <c r="AF23">
        <v>892289</v>
      </c>
      <c r="AG23">
        <v>1560441</v>
      </c>
      <c r="AH23">
        <v>1246568</v>
      </c>
    </row>
    <row r="24" spans="1:34" x14ac:dyDescent="0.4">
      <c r="A24" s="1" t="s">
        <v>36</v>
      </c>
      <c r="B24" s="1" t="s">
        <v>37</v>
      </c>
      <c r="C24">
        <v>2756</v>
      </c>
      <c r="D24">
        <v>583</v>
      </c>
      <c r="E24">
        <v>372095</v>
      </c>
      <c r="F24">
        <v>700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>
        <v>5426</v>
      </c>
      <c r="P24">
        <v>5908</v>
      </c>
      <c r="Q24">
        <v>2497759</v>
      </c>
      <c r="R24">
        <v>2876</v>
      </c>
      <c r="S24">
        <v>6444</v>
      </c>
      <c r="T24">
        <v>4771</v>
      </c>
      <c r="U24">
        <v>1148541</v>
      </c>
      <c r="V24">
        <v>936</v>
      </c>
      <c r="W24">
        <v>71466</v>
      </c>
      <c r="X24">
        <v>71422</v>
      </c>
      <c r="Y24">
        <v>28944782</v>
      </c>
      <c r="Z24">
        <v>33399</v>
      </c>
      <c r="AA24">
        <v>20414</v>
      </c>
      <c r="AB24">
        <v>8640</v>
      </c>
      <c r="AC24">
        <v>3971502</v>
      </c>
      <c r="AD24">
        <v>8571</v>
      </c>
      <c r="AE24">
        <v>828991</v>
      </c>
      <c r="AF24">
        <v>887965</v>
      </c>
      <c r="AG24">
        <v>1699150</v>
      </c>
      <c r="AH24">
        <v>1200951</v>
      </c>
    </row>
    <row r="25" spans="1:34" x14ac:dyDescent="0.4">
      <c r="A25" s="1" t="s">
        <v>38</v>
      </c>
      <c r="B25" s="1" t="s">
        <v>39</v>
      </c>
      <c r="C25">
        <v>2049</v>
      </c>
      <c r="D25">
        <v>462</v>
      </c>
      <c r="E25">
        <v>280995</v>
      </c>
      <c r="F25">
        <v>440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>
        <v>5646</v>
      </c>
      <c r="P25">
        <v>6066</v>
      </c>
      <c r="Q25">
        <v>2573811</v>
      </c>
      <c r="R25">
        <v>3048</v>
      </c>
      <c r="S25">
        <v>7146</v>
      </c>
      <c r="T25">
        <v>4913</v>
      </c>
      <c r="U25">
        <v>1192058</v>
      </c>
      <c r="V25">
        <v>795</v>
      </c>
      <c r="W25">
        <v>73515</v>
      </c>
      <c r="X25">
        <v>72476</v>
      </c>
      <c r="Y25">
        <v>29332649</v>
      </c>
      <c r="Z25">
        <v>34485</v>
      </c>
      <c r="AA25">
        <v>20267</v>
      </c>
      <c r="AB25">
        <v>8757</v>
      </c>
      <c r="AC25">
        <v>4086596</v>
      </c>
      <c r="AD25">
        <v>9382</v>
      </c>
      <c r="AE25">
        <v>865551</v>
      </c>
      <c r="AF25">
        <v>875594</v>
      </c>
      <c r="AG25">
        <v>1632487</v>
      </c>
      <c r="AH25">
        <v>1170083</v>
      </c>
    </row>
    <row r="26" spans="1:34" x14ac:dyDescent="0.4">
      <c r="A26" s="1" t="s">
        <v>40</v>
      </c>
      <c r="B26" s="1" t="s">
        <v>41</v>
      </c>
      <c r="C26">
        <v>2669</v>
      </c>
      <c r="D26">
        <v>434</v>
      </c>
      <c r="E26">
        <v>269458</v>
      </c>
      <c r="F26">
        <v>663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>
        <v>5777</v>
      </c>
      <c r="P26">
        <v>6115</v>
      </c>
      <c r="Q26">
        <v>2610573</v>
      </c>
      <c r="R26">
        <v>3385</v>
      </c>
      <c r="S26">
        <v>7778</v>
      </c>
      <c r="T26">
        <v>5337</v>
      </c>
      <c r="U26">
        <v>1351796</v>
      </c>
      <c r="V26">
        <v>782</v>
      </c>
      <c r="W26">
        <v>74348</v>
      </c>
      <c r="X26">
        <v>74710</v>
      </c>
      <c r="Y26">
        <v>30494265</v>
      </c>
      <c r="Z26">
        <v>33914</v>
      </c>
      <c r="AA26">
        <v>21328</v>
      </c>
      <c r="AB26">
        <v>9569</v>
      </c>
      <c r="AC26">
        <v>4486437</v>
      </c>
      <c r="AD26">
        <v>9146</v>
      </c>
      <c r="AE26">
        <v>919104</v>
      </c>
      <c r="AF26">
        <v>902124</v>
      </c>
      <c r="AG26">
        <v>1706717</v>
      </c>
      <c r="AH26">
        <v>1179822</v>
      </c>
    </row>
    <row r="27" spans="1:34" x14ac:dyDescent="0.4">
      <c r="A27" s="1" t="s">
        <v>42</v>
      </c>
      <c r="B27" s="1" t="s">
        <v>43</v>
      </c>
      <c r="C27">
        <v>2825</v>
      </c>
      <c r="D27">
        <v>435</v>
      </c>
      <c r="E27">
        <v>248678</v>
      </c>
      <c r="F27">
        <v>695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>
        <v>5682</v>
      </c>
      <c r="P27">
        <v>6044</v>
      </c>
      <c r="Q27">
        <v>2567666</v>
      </c>
      <c r="R27">
        <v>3422</v>
      </c>
      <c r="S27">
        <v>7693</v>
      </c>
      <c r="T27">
        <v>5328</v>
      </c>
      <c r="U27">
        <v>1288447</v>
      </c>
      <c r="V27">
        <v>779</v>
      </c>
      <c r="W27">
        <v>67600</v>
      </c>
      <c r="X27">
        <v>68361</v>
      </c>
      <c r="Y27">
        <v>27470462</v>
      </c>
      <c r="Z27">
        <v>32875</v>
      </c>
      <c r="AA27">
        <v>18730</v>
      </c>
      <c r="AB27">
        <v>8132</v>
      </c>
      <c r="AC27">
        <v>3798579</v>
      </c>
      <c r="AD27">
        <v>9088</v>
      </c>
      <c r="AE27">
        <v>962027</v>
      </c>
      <c r="AF27">
        <v>959048</v>
      </c>
      <c r="AG27">
        <v>1753021</v>
      </c>
      <c r="AH27">
        <v>1195600</v>
      </c>
    </row>
    <row r="28" spans="1:34" x14ac:dyDescent="0.4">
      <c r="A28" s="1" t="s">
        <v>44</v>
      </c>
      <c r="B28" s="1" t="s">
        <v>45</v>
      </c>
      <c r="C28">
        <v>2520</v>
      </c>
      <c r="D28">
        <v>432</v>
      </c>
      <c r="E28">
        <v>254090</v>
      </c>
      <c r="F28">
        <v>794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>
        <v>5375</v>
      </c>
      <c r="P28">
        <v>5693</v>
      </c>
      <c r="Q28">
        <v>2244082</v>
      </c>
      <c r="R28">
        <v>3580</v>
      </c>
      <c r="S28">
        <v>7719</v>
      </c>
      <c r="T28">
        <v>5411</v>
      </c>
      <c r="U28">
        <v>1279492</v>
      </c>
      <c r="V28">
        <v>720</v>
      </c>
      <c r="W28">
        <v>64767</v>
      </c>
      <c r="X28">
        <v>64864</v>
      </c>
      <c r="Y28">
        <v>25764043</v>
      </c>
      <c r="Z28">
        <v>32439</v>
      </c>
      <c r="AA28">
        <v>18115</v>
      </c>
      <c r="AB28">
        <v>7816</v>
      </c>
      <c r="AC28">
        <v>3430960</v>
      </c>
      <c r="AD28">
        <v>9255</v>
      </c>
      <c r="AE28">
        <v>787555</v>
      </c>
      <c r="AF28">
        <v>755651</v>
      </c>
      <c r="AG28">
        <v>1613116</v>
      </c>
      <c r="AH28">
        <v>1212850</v>
      </c>
    </row>
    <row r="29" spans="1:34" x14ac:dyDescent="0.4">
      <c r="A29" s="1" t="s">
        <v>46</v>
      </c>
      <c r="B29" s="1" t="s">
        <v>47</v>
      </c>
      <c r="C29">
        <v>3045</v>
      </c>
      <c r="D29">
        <v>523</v>
      </c>
      <c r="E29">
        <v>282133</v>
      </c>
      <c r="F29">
        <v>678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>
        <v>5195</v>
      </c>
      <c r="P29">
        <v>5973</v>
      </c>
      <c r="Q29">
        <v>2170763</v>
      </c>
      <c r="R29">
        <v>3134</v>
      </c>
      <c r="S29">
        <v>8172</v>
      </c>
      <c r="T29">
        <v>5745</v>
      </c>
      <c r="U29">
        <v>1358726</v>
      </c>
      <c r="V29">
        <v>715</v>
      </c>
      <c r="W29">
        <v>74664</v>
      </c>
      <c r="X29">
        <v>74267</v>
      </c>
      <c r="Y29">
        <v>28014317</v>
      </c>
      <c r="Z29">
        <v>32257</v>
      </c>
      <c r="AA29">
        <v>22367</v>
      </c>
      <c r="AB29">
        <v>9284</v>
      </c>
      <c r="AC29">
        <v>4401551</v>
      </c>
      <c r="AD29">
        <v>10017</v>
      </c>
      <c r="AE29">
        <v>967967</v>
      </c>
      <c r="AF29">
        <v>842229</v>
      </c>
      <c r="AG29">
        <v>1703379</v>
      </c>
      <c r="AH29">
        <v>1333569</v>
      </c>
    </row>
    <row r="30" spans="1:34" x14ac:dyDescent="0.4">
      <c r="A30" s="1" t="s">
        <v>48</v>
      </c>
      <c r="B30" s="1" t="s">
        <v>49</v>
      </c>
      <c r="C30">
        <v>2752</v>
      </c>
      <c r="D30">
        <v>545</v>
      </c>
      <c r="E30">
        <v>292063</v>
      </c>
      <c r="F30">
        <v>530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>
        <v>5792</v>
      </c>
      <c r="P30">
        <v>6233</v>
      </c>
      <c r="Q30">
        <v>2368700</v>
      </c>
      <c r="R30">
        <v>3076</v>
      </c>
      <c r="S30">
        <v>8414</v>
      </c>
      <c r="T30">
        <v>5886</v>
      </c>
      <c r="U30">
        <v>1412335</v>
      </c>
      <c r="V30">
        <v>796</v>
      </c>
      <c r="W30">
        <v>82633</v>
      </c>
      <c r="X30">
        <v>81046</v>
      </c>
      <c r="Y30">
        <v>31274023</v>
      </c>
      <c r="Z30">
        <v>33379</v>
      </c>
      <c r="AA30">
        <v>22661</v>
      </c>
      <c r="AB30">
        <v>9328</v>
      </c>
      <c r="AC30">
        <v>4322329</v>
      </c>
      <c r="AD30">
        <v>10514</v>
      </c>
      <c r="AE30">
        <v>937625</v>
      </c>
      <c r="AF30">
        <v>1033007</v>
      </c>
      <c r="AG30">
        <v>1731926</v>
      </c>
      <c r="AH30">
        <v>1222785</v>
      </c>
    </row>
    <row r="31" spans="1:34" x14ac:dyDescent="0.4">
      <c r="A31" s="1" t="s">
        <v>50</v>
      </c>
      <c r="B31" s="1" t="s">
        <v>51</v>
      </c>
      <c r="C31">
        <v>1567</v>
      </c>
      <c r="D31">
        <v>281</v>
      </c>
      <c r="E31">
        <v>163568</v>
      </c>
      <c r="F31">
        <v>469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>
        <v>5060</v>
      </c>
      <c r="P31">
        <v>5505</v>
      </c>
      <c r="Q31">
        <v>2235197</v>
      </c>
      <c r="R31">
        <v>3045</v>
      </c>
      <c r="S31">
        <v>5807</v>
      </c>
      <c r="T31">
        <v>4433</v>
      </c>
      <c r="U31">
        <v>996514</v>
      </c>
      <c r="V31">
        <v>799</v>
      </c>
      <c r="W31">
        <v>56802</v>
      </c>
      <c r="X31">
        <v>57022</v>
      </c>
      <c r="Y31">
        <v>21971321</v>
      </c>
      <c r="Z31">
        <v>32879</v>
      </c>
      <c r="AA31">
        <v>16261</v>
      </c>
      <c r="AB31">
        <v>7346</v>
      </c>
      <c r="AC31">
        <v>3416813</v>
      </c>
      <c r="AD31">
        <v>9876</v>
      </c>
      <c r="AE31">
        <v>751306</v>
      </c>
      <c r="AF31">
        <v>826937</v>
      </c>
      <c r="AG31">
        <v>1635772</v>
      </c>
      <c r="AH31">
        <v>1140599</v>
      </c>
    </row>
    <row r="32" spans="1:34" x14ac:dyDescent="0.4">
      <c r="A32" s="1" t="s">
        <v>52</v>
      </c>
      <c r="B32" s="1" t="s">
        <v>53</v>
      </c>
      <c r="C32">
        <v>2879</v>
      </c>
      <c r="D32">
        <v>489</v>
      </c>
      <c r="E32">
        <v>273356</v>
      </c>
      <c r="F32">
        <v>777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>
        <v>5628</v>
      </c>
      <c r="P32">
        <v>6114</v>
      </c>
      <c r="Q32">
        <v>2511859</v>
      </c>
      <c r="R32">
        <v>3010</v>
      </c>
      <c r="S32">
        <v>7814</v>
      </c>
      <c r="T32">
        <v>5668</v>
      </c>
      <c r="U32">
        <v>1369075</v>
      </c>
      <c r="V32">
        <v>863</v>
      </c>
      <c r="W32">
        <v>76231</v>
      </c>
      <c r="X32">
        <v>74823</v>
      </c>
      <c r="Y32">
        <v>29402503</v>
      </c>
      <c r="Z32">
        <v>33985</v>
      </c>
      <c r="AA32">
        <v>21139</v>
      </c>
      <c r="AB32">
        <v>9391</v>
      </c>
      <c r="AC32">
        <v>4317483</v>
      </c>
      <c r="AD32">
        <v>10083</v>
      </c>
      <c r="AE32">
        <v>989436</v>
      </c>
      <c r="AF32">
        <v>972521</v>
      </c>
      <c r="AG32">
        <v>1955215</v>
      </c>
      <c r="AH32">
        <v>1114919</v>
      </c>
    </row>
    <row r="33" spans="1:34" x14ac:dyDescent="0.4">
      <c r="A33" s="1" t="s">
        <v>54</v>
      </c>
      <c r="B33" s="1" t="s">
        <v>55</v>
      </c>
      <c r="C33">
        <v>2769</v>
      </c>
      <c r="D33">
        <v>572</v>
      </c>
      <c r="E33">
        <v>294901</v>
      </c>
      <c r="F33">
        <v>572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>
        <v>6081</v>
      </c>
      <c r="P33">
        <v>6232</v>
      </c>
      <c r="Q33">
        <v>2586016</v>
      </c>
      <c r="R33">
        <v>3348</v>
      </c>
      <c r="S33">
        <v>8236</v>
      </c>
      <c r="T33">
        <v>5874</v>
      </c>
      <c r="U33">
        <v>1425456</v>
      </c>
      <c r="V33">
        <v>825</v>
      </c>
      <c r="W33">
        <v>80765</v>
      </c>
      <c r="X33">
        <v>80984</v>
      </c>
      <c r="Y33">
        <v>32247978</v>
      </c>
      <c r="Z33">
        <v>33534</v>
      </c>
      <c r="AA33">
        <v>22585</v>
      </c>
      <c r="AB33">
        <v>9532</v>
      </c>
      <c r="AC33">
        <v>4495563</v>
      </c>
      <c r="AD33">
        <v>9635</v>
      </c>
      <c r="AE33">
        <v>980443</v>
      </c>
      <c r="AF33">
        <v>892947</v>
      </c>
      <c r="AG33">
        <v>1834652</v>
      </c>
      <c r="AH33">
        <v>1176944</v>
      </c>
    </row>
    <row r="34" spans="1:34" x14ac:dyDescent="0.4">
      <c r="A34" s="1" t="s">
        <v>56</v>
      </c>
      <c r="B34" s="1" t="s">
        <v>57</v>
      </c>
      <c r="C34">
        <v>2466</v>
      </c>
      <c r="D34">
        <v>460</v>
      </c>
      <c r="E34">
        <v>259345</v>
      </c>
      <c r="F34">
        <v>679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>
        <v>5489</v>
      </c>
      <c r="P34">
        <v>5925</v>
      </c>
      <c r="Q34">
        <v>2507558</v>
      </c>
      <c r="R34">
        <v>3558</v>
      </c>
      <c r="S34">
        <v>7650</v>
      </c>
      <c r="T34">
        <v>5539</v>
      </c>
      <c r="U34">
        <v>1301043</v>
      </c>
      <c r="V34">
        <v>703</v>
      </c>
      <c r="W34">
        <v>72305</v>
      </c>
      <c r="X34">
        <v>71529</v>
      </c>
      <c r="Y34">
        <v>28908982</v>
      </c>
      <c r="Z34">
        <v>34132</v>
      </c>
      <c r="AA34">
        <v>21728</v>
      </c>
      <c r="AB34">
        <v>8727</v>
      </c>
      <c r="AC34">
        <v>4243858</v>
      </c>
      <c r="AD34">
        <v>10310</v>
      </c>
      <c r="AE34">
        <v>795458</v>
      </c>
      <c r="AF34">
        <v>782279</v>
      </c>
      <c r="AG34">
        <v>1633998</v>
      </c>
      <c r="AH34">
        <v>1167521</v>
      </c>
    </row>
    <row r="35" spans="1:34" x14ac:dyDescent="0.4">
      <c r="A35" s="1" t="s">
        <v>58</v>
      </c>
      <c r="B35" s="1" t="s">
        <v>59</v>
      </c>
      <c r="C35">
        <v>2586</v>
      </c>
      <c r="D35">
        <v>357</v>
      </c>
      <c r="E35">
        <v>207429</v>
      </c>
      <c r="F35">
        <v>638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>
        <v>5161</v>
      </c>
      <c r="P35">
        <v>5977</v>
      </c>
      <c r="Q35">
        <v>2672153</v>
      </c>
      <c r="R35">
        <v>3199</v>
      </c>
      <c r="S35">
        <v>7042</v>
      </c>
      <c r="T35">
        <v>5234</v>
      </c>
      <c r="U35">
        <v>1242038</v>
      </c>
      <c r="V35">
        <v>711</v>
      </c>
      <c r="W35">
        <v>66573</v>
      </c>
      <c r="X35">
        <v>67729</v>
      </c>
      <c r="Y35">
        <v>27776794</v>
      </c>
      <c r="Z35">
        <v>32988</v>
      </c>
      <c r="AA35">
        <v>18366</v>
      </c>
      <c r="AB35">
        <v>8629</v>
      </c>
      <c r="AC35">
        <v>4155881</v>
      </c>
      <c r="AD35">
        <v>9782</v>
      </c>
      <c r="AE35">
        <v>840284</v>
      </c>
      <c r="AF35">
        <v>892890</v>
      </c>
      <c r="AG35">
        <v>1664544</v>
      </c>
      <c r="AH35">
        <v>1119312</v>
      </c>
    </row>
    <row r="36" spans="1:34" x14ac:dyDescent="0.4">
      <c r="A36" s="1" t="s">
        <v>60</v>
      </c>
      <c r="B36" s="1" t="s">
        <v>61</v>
      </c>
      <c r="C36">
        <v>2041</v>
      </c>
      <c r="D36">
        <v>297</v>
      </c>
      <c r="E36">
        <v>179698</v>
      </c>
      <c r="F36">
        <v>752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>
        <v>5452</v>
      </c>
      <c r="P36">
        <v>5837</v>
      </c>
      <c r="Q36">
        <v>2677881</v>
      </c>
      <c r="R36">
        <v>3485</v>
      </c>
      <c r="S36">
        <v>6809</v>
      </c>
      <c r="T36">
        <v>5252</v>
      </c>
      <c r="U36">
        <v>1269751</v>
      </c>
      <c r="V36">
        <v>706</v>
      </c>
      <c r="W36">
        <v>65540</v>
      </c>
      <c r="X36">
        <v>66937</v>
      </c>
      <c r="Y36">
        <v>29112787</v>
      </c>
      <c r="Z36">
        <v>31532</v>
      </c>
      <c r="AA36">
        <v>19466</v>
      </c>
      <c r="AB36">
        <v>8616</v>
      </c>
      <c r="AC36">
        <v>4241326</v>
      </c>
      <c r="AD36">
        <v>9787</v>
      </c>
      <c r="AE36">
        <v>785632</v>
      </c>
      <c r="AF36">
        <v>865907</v>
      </c>
      <c r="AG36">
        <v>1713631</v>
      </c>
      <c r="AH36">
        <v>1046626</v>
      </c>
    </row>
    <row r="37" spans="1:34" x14ac:dyDescent="0.4">
      <c r="A37" s="1" t="s">
        <v>62</v>
      </c>
      <c r="B37" s="1" t="s">
        <v>63</v>
      </c>
      <c r="C37">
        <v>2111</v>
      </c>
      <c r="D37">
        <v>377</v>
      </c>
      <c r="E37">
        <v>237634</v>
      </c>
      <c r="F37">
        <v>591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>
        <v>5414</v>
      </c>
      <c r="P37">
        <v>6012</v>
      </c>
      <c r="Q37">
        <v>2858303</v>
      </c>
      <c r="R37">
        <v>3288</v>
      </c>
      <c r="S37">
        <v>6960</v>
      </c>
      <c r="T37">
        <v>5286</v>
      </c>
      <c r="U37">
        <v>1361025</v>
      </c>
      <c r="V37">
        <v>750</v>
      </c>
      <c r="W37">
        <v>70887</v>
      </c>
      <c r="X37">
        <v>71021</v>
      </c>
      <c r="Y37">
        <v>31206731</v>
      </c>
      <c r="Z37">
        <v>31003</v>
      </c>
      <c r="AA37">
        <v>20307</v>
      </c>
      <c r="AB37">
        <v>8876</v>
      </c>
      <c r="AC37">
        <v>4393887</v>
      </c>
      <c r="AD37">
        <v>10257</v>
      </c>
      <c r="AE37">
        <v>832861</v>
      </c>
      <c r="AF37">
        <v>829886</v>
      </c>
      <c r="AG37">
        <v>1558618</v>
      </c>
      <c r="AH37">
        <v>1048467</v>
      </c>
    </row>
    <row r="38" spans="1:34" x14ac:dyDescent="0.4">
      <c r="A38" s="1" t="s">
        <v>64</v>
      </c>
      <c r="B38" s="1" t="s">
        <v>65</v>
      </c>
      <c r="C38">
        <v>2814</v>
      </c>
      <c r="D38">
        <v>87</v>
      </c>
      <c r="E38">
        <v>79872</v>
      </c>
      <c r="F38">
        <v>501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>
        <v>5674</v>
      </c>
      <c r="P38">
        <v>6485</v>
      </c>
      <c r="Q38">
        <v>3191187</v>
      </c>
      <c r="R38">
        <v>2883</v>
      </c>
      <c r="S38">
        <v>7547</v>
      </c>
      <c r="T38">
        <v>5631</v>
      </c>
      <c r="U38">
        <v>1474572</v>
      </c>
      <c r="V38">
        <v>646</v>
      </c>
      <c r="W38">
        <v>78559</v>
      </c>
      <c r="X38">
        <v>76544</v>
      </c>
      <c r="Y38">
        <v>35207523</v>
      </c>
      <c r="Z38">
        <v>32896</v>
      </c>
      <c r="AA38">
        <v>22118</v>
      </c>
      <c r="AB38">
        <v>9890</v>
      </c>
      <c r="AC38">
        <v>5097664</v>
      </c>
      <c r="AD38">
        <v>9537</v>
      </c>
      <c r="AE38">
        <v>975471</v>
      </c>
      <c r="AF38">
        <v>960613</v>
      </c>
      <c r="AG38">
        <v>1798163</v>
      </c>
      <c r="AH38">
        <v>1051531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D6808-F3FE-4103-8706-80D4771D9964}">
  <dimension ref="A1:AT40"/>
  <sheetViews>
    <sheetView workbookViewId="0">
      <selection activeCell="C9" sqref="C9"/>
    </sheetView>
  </sheetViews>
  <sheetFormatPr defaultColWidth="15.62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3156</v>
      </c>
      <c r="D3" t="s">
        <v>3156</v>
      </c>
      <c r="E3" t="s">
        <v>3156</v>
      </c>
      <c r="F3" t="s">
        <v>3156</v>
      </c>
      <c r="G3" t="s">
        <v>3158</v>
      </c>
      <c r="H3" t="s">
        <v>3158</v>
      </c>
      <c r="I3" t="s">
        <v>3158</v>
      </c>
      <c r="J3" t="s">
        <v>3158</v>
      </c>
      <c r="K3" t="s">
        <v>3160</v>
      </c>
      <c r="L3" t="s">
        <v>3160</v>
      </c>
      <c r="M3" t="s">
        <v>3160</v>
      </c>
      <c r="N3" t="s">
        <v>3160</v>
      </c>
      <c r="O3" t="s">
        <v>3162</v>
      </c>
      <c r="P3" t="s">
        <v>3162</v>
      </c>
      <c r="Q3" t="s">
        <v>3162</v>
      </c>
      <c r="R3" t="s">
        <v>3162</v>
      </c>
      <c r="S3" t="s">
        <v>3164</v>
      </c>
      <c r="T3" t="s">
        <v>3164</v>
      </c>
      <c r="U3" t="s">
        <v>3164</v>
      </c>
      <c r="V3" t="s">
        <v>3164</v>
      </c>
      <c r="W3" t="s">
        <v>3166</v>
      </c>
      <c r="X3" t="s">
        <v>3166</v>
      </c>
      <c r="Y3" t="s">
        <v>3166</v>
      </c>
      <c r="Z3" t="s">
        <v>3166</v>
      </c>
      <c r="AA3" t="s">
        <v>3168</v>
      </c>
      <c r="AB3" t="s">
        <v>3168</v>
      </c>
      <c r="AC3" t="s">
        <v>3168</v>
      </c>
      <c r="AD3" t="s">
        <v>3168</v>
      </c>
      <c r="AE3" t="s">
        <v>3170</v>
      </c>
      <c r="AF3" t="s">
        <v>3170</v>
      </c>
      <c r="AG3" t="s">
        <v>3170</v>
      </c>
      <c r="AH3" t="s">
        <v>3170</v>
      </c>
      <c r="AI3" t="s">
        <v>3172</v>
      </c>
      <c r="AJ3" t="s">
        <v>3172</v>
      </c>
      <c r="AK3" t="s">
        <v>3172</v>
      </c>
      <c r="AL3" t="s">
        <v>3172</v>
      </c>
      <c r="AM3" t="s">
        <v>3174</v>
      </c>
      <c r="AN3" t="s">
        <v>3174</v>
      </c>
      <c r="AO3" t="s">
        <v>3174</v>
      </c>
      <c r="AP3" t="s">
        <v>3174</v>
      </c>
      <c r="AQ3" t="s">
        <v>3176</v>
      </c>
      <c r="AR3" t="s">
        <v>3176</v>
      </c>
      <c r="AS3" t="s">
        <v>3176</v>
      </c>
      <c r="AT3" t="s">
        <v>3176</v>
      </c>
    </row>
    <row r="4" spans="1:46" x14ac:dyDescent="0.4">
      <c r="A4" s="1"/>
      <c r="B4" s="2" t="s">
        <v>1</v>
      </c>
      <c r="C4" t="s">
        <v>3157</v>
      </c>
      <c r="D4" t="s">
        <v>3157</v>
      </c>
      <c r="E4" t="s">
        <v>3157</v>
      </c>
      <c r="F4" t="s">
        <v>3157</v>
      </c>
      <c r="G4" t="s">
        <v>3159</v>
      </c>
      <c r="H4" t="s">
        <v>3159</v>
      </c>
      <c r="I4" t="s">
        <v>3159</v>
      </c>
      <c r="J4" t="s">
        <v>3159</v>
      </c>
      <c r="K4" t="s">
        <v>3161</v>
      </c>
      <c r="L4" t="s">
        <v>3161</v>
      </c>
      <c r="M4" t="s">
        <v>3161</v>
      </c>
      <c r="N4" t="s">
        <v>3161</v>
      </c>
      <c r="O4" t="s">
        <v>3163</v>
      </c>
      <c r="P4" t="s">
        <v>3163</v>
      </c>
      <c r="Q4" t="s">
        <v>3163</v>
      </c>
      <c r="R4" t="s">
        <v>3163</v>
      </c>
      <c r="S4" t="s">
        <v>3165</v>
      </c>
      <c r="T4" t="s">
        <v>3165</v>
      </c>
      <c r="U4" t="s">
        <v>3165</v>
      </c>
      <c r="V4" t="s">
        <v>3165</v>
      </c>
      <c r="W4" t="s">
        <v>3167</v>
      </c>
      <c r="X4" t="s">
        <v>3167</v>
      </c>
      <c r="Y4" t="s">
        <v>3167</v>
      </c>
      <c r="Z4" t="s">
        <v>3167</v>
      </c>
      <c r="AA4" t="s">
        <v>3169</v>
      </c>
      <c r="AB4" t="s">
        <v>3169</v>
      </c>
      <c r="AC4" t="s">
        <v>3169</v>
      </c>
      <c r="AD4" t="s">
        <v>3169</v>
      </c>
      <c r="AE4" t="s">
        <v>3171</v>
      </c>
      <c r="AF4" t="s">
        <v>3171</v>
      </c>
      <c r="AG4" t="s">
        <v>3171</v>
      </c>
      <c r="AH4" t="s">
        <v>3171</v>
      </c>
      <c r="AI4" t="s">
        <v>3173</v>
      </c>
      <c r="AJ4" t="s">
        <v>3173</v>
      </c>
      <c r="AK4" t="s">
        <v>3173</v>
      </c>
      <c r="AL4" t="s">
        <v>3173</v>
      </c>
      <c r="AM4" t="s">
        <v>3175</v>
      </c>
      <c r="AN4" t="s">
        <v>3175</v>
      </c>
      <c r="AO4" t="s">
        <v>3175</v>
      </c>
      <c r="AP4" t="s">
        <v>3175</v>
      </c>
      <c r="AQ4" t="s">
        <v>3177</v>
      </c>
      <c r="AR4" t="s">
        <v>3177</v>
      </c>
      <c r="AS4" t="s">
        <v>3177</v>
      </c>
      <c r="AT4" t="s">
        <v>3177</v>
      </c>
    </row>
    <row r="5" spans="1:4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</row>
    <row r="6" spans="1:4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</row>
    <row r="7" spans="1:4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</row>
    <row r="8" spans="1:4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</row>
    <row r="9" spans="1:46" x14ac:dyDescent="0.4">
      <c r="A9" s="1" t="s">
        <v>6</v>
      </c>
      <c r="B9" s="3" t="s">
        <v>7</v>
      </c>
      <c r="C9">
        <v>12730</v>
      </c>
      <c r="D9">
        <v>12690</v>
      </c>
      <c r="E9">
        <v>15893790</v>
      </c>
      <c r="F9">
        <v>713</v>
      </c>
      <c r="G9">
        <v>278759</v>
      </c>
      <c r="H9">
        <v>276077</v>
      </c>
      <c r="I9">
        <v>357200585</v>
      </c>
      <c r="J9">
        <v>8377</v>
      </c>
      <c r="K9">
        <v>95184</v>
      </c>
      <c r="L9">
        <v>98903</v>
      </c>
      <c r="M9">
        <v>116213088</v>
      </c>
      <c r="N9">
        <v>3523</v>
      </c>
      <c r="O9">
        <v>25813</v>
      </c>
      <c r="P9">
        <v>25737</v>
      </c>
      <c r="Q9">
        <v>29968069</v>
      </c>
      <c r="R9">
        <v>1827</v>
      </c>
      <c r="S9">
        <v>5865</v>
      </c>
      <c r="T9">
        <v>5676</v>
      </c>
      <c r="U9">
        <v>6181413</v>
      </c>
      <c r="V9">
        <v>555</v>
      </c>
      <c r="W9">
        <v>100996</v>
      </c>
      <c r="X9">
        <v>99564</v>
      </c>
      <c r="Y9">
        <v>99967807</v>
      </c>
      <c r="Z9">
        <v>3206</v>
      </c>
      <c r="AA9">
        <v>4927</v>
      </c>
      <c r="AB9">
        <v>5014</v>
      </c>
      <c r="AC9">
        <v>7334934</v>
      </c>
      <c r="AD9">
        <v>107</v>
      </c>
      <c r="AE9">
        <v>180195</v>
      </c>
      <c r="AF9">
        <v>169822</v>
      </c>
      <c r="AG9">
        <v>144947497</v>
      </c>
      <c r="AH9">
        <v>11871</v>
      </c>
      <c r="AI9">
        <v>26536</v>
      </c>
      <c r="AJ9">
        <v>22120</v>
      </c>
      <c r="AK9">
        <v>23839148</v>
      </c>
      <c r="AL9">
        <v>4487</v>
      </c>
      <c r="AM9">
        <v>36086</v>
      </c>
      <c r="AN9">
        <v>35511</v>
      </c>
      <c r="AO9">
        <v>65986133</v>
      </c>
      <c r="AP9">
        <v>3251</v>
      </c>
      <c r="AQ9">
        <v>7911</v>
      </c>
      <c r="AR9">
        <v>6814</v>
      </c>
      <c r="AS9">
        <v>10025702</v>
      </c>
      <c r="AT9">
        <v>334</v>
      </c>
    </row>
    <row r="10" spans="1:46" x14ac:dyDescent="0.4">
      <c r="A10" s="1" t="s">
        <v>8</v>
      </c>
      <c r="B10" s="3" t="s">
        <v>9</v>
      </c>
      <c r="C10">
        <v>13484</v>
      </c>
      <c r="D10">
        <v>13500</v>
      </c>
      <c r="E10">
        <v>19691084</v>
      </c>
      <c r="F10">
        <v>703</v>
      </c>
      <c r="G10">
        <v>275352</v>
      </c>
      <c r="H10">
        <v>271087</v>
      </c>
      <c r="I10">
        <v>408685538</v>
      </c>
      <c r="J10">
        <v>9947</v>
      </c>
      <c r="K10">
        <v>91034</v>
      </c>
      <c r="L10">
        <v>92308</v>
      </c>
      <c r="M10">
        <v>132202393</v>
      </c>
      <c r="N10">
        <v>3600</v>
      </c>
      <c r="O10">
        <v>25828</v>
      </c>
      <c r="P10">
        <v>25886</v>
      </c>
      <c r="Q10">
        <v>34600555</v>
      </c>
      <c r="R10">
        <v>1765</v>
      </c>
      <c r="S10">
        <v>5466</v>
      </c>
      <c r="T10">
        <v>5603</v>
      </c>
      <c r="U10">
        <v>6828344</v>
      </c>
      <c r="V10">
        <v>385</v>
      </c>
      <c r="W10">
        <v>93587</v>
      </c>
      <c r="X10">
        <v>92265</v>
      </c>
      <c r="Y10">
        <v>109396793</v>
      </c>
      <c r="Z10">
        <v>3666</v>
      </c>
      <c r="AA10">
        <v>4832</v>
      </c>
      <c r="AB10">
        <v>4904</v>
      </c>
      <c r="AC10">
        <v>8780626</v>
      </c>
      <c r="AD10">
        <v>113</v>
      </c>
      <c r="AE10">
        <v>172149</v>
      </c>
      <c r="AF10">
        <v>164065</v>
      </c>
      <c r="AG10">
        <v>166726508</v>
      </c>
      <c r="AH10">
        <v>11433</v>
      </c>
      <c r="AI10">
        <v>25242</v>
      </c>
      <c r="AJ10">
        <v>20523</v>
      </c>
      <c r="AK10">
        <v>24721067</v>
      </c>
      <c r="AL10">
        <v>4886</v>
      </c>
      <c r="AM10">
        <v>32539</v>
      </c>
      <c r="AN10">
        <v>32358</v>
      </c>
      <c r="AO10">
        <v>72291588</v>
      </c>
      <c r="AP10">
        <v>3555</v>
      </c>
      <c r="AQ10">
        <v>8311</v>
      </c>
      <c r="AR10">
        <v>6575</v>
      </c>
      <c r="AS10">
        <v>11480433</v>
      </c>
      <c r="AT10">
        <v>506</v>
      </c>
    </row>
    <row r="11" spans="1:46" x14ac:dyDescent="0.4">
      <c r="A11" s="1" t="s">
        <v>10</v>
      </c>
      <c r="B11" s="3" t="s">
        <v>11</v>
      </c>
      <c r="C11">
        <v>13190</v>
      </c>
      <c r="D11">
        <v>13156</v>
      </c>
      <c r="E11">
        <v>20180474</v>
      </c>
      <c r="F11">
        <v>727</v>
      </c>
      <c r="G11">
        <v>238160</v>
      </c>
      <c r="H11">
        <v>234157</v>
      </c>
      <c r="I11">
        <v>359877413</v>
      </c>
      <c r="J11">
        <v>8109</v>
      </c>
      <c r="K11">
        <v>77063</v>
      </c>
      <c r="L11">
        <v>78317</v>
      </c>
      <c r="M11">
        <v>118342416</v>
      </c>
      <c r="N11">
        <v>3336</v>
      </c>
      <c r="O11">
        <v>25121</v>
      </c>
      <c r="P11">
        <v>25257</v>
      </c>
      <c r="Q11">
        <v>35603784</v>
      </c>
      <c r="R11">
        <v>1614</v>
      </c>
      <c r="S11">
        <v>5092</v>
      </c>
      <c r="T11">
        <v>5024</v>
      </c>
      <c r="U11">
        <v>6490490</v>
      </c>
      <c r="V11">
        <v>413</v>
      </c>
      <c r="W11">
        <v>81080</v>
      </c>
      <c r="X11">
        <v>81051</v>
      </c>
      <c r="Y11">
        <v>98048620</v>
      </c>
      <c r="Z11">
        <v>3083</v>
      </c>
      <c r="AA11">
        <v>4598</v>
      </c>
      <c r="AB11">
        <v>4713</v>
      </c>
      <c r="AC11">
        <v>8979056</v>
      </c>
      <c r="AD11">
        <v>100</v>
      </c>
      <c r="AE11">
        <v>147908</v>
      </c>
      <c r="AF11">
        <v>139888</v>
      </c>
      <c r="AG11">
        <v>145789140</v>
      </c>
      <c r="AH11">
        <v>11582</v>
      </c>
      <c r="AI11">
        <v>20305</v>
      </c>
      <c r="AJ11">
        <v>16474</v>
      </c>
      <c r="AK11">
        <v>20330917</v>
      </c>
      <c r="AL11">
        <v>5073</v>
      </c>
      <c r="AM11">
        <v>24247</v>
      </c>
      <c r="AN11">
        <v>24651</v>
      </c>
      <c r="AO11">
        <v>54124342</v>
      </c>
      <c r="AP11">
        <v>3190</v>
      </c>
      <c r="AQ11">
        <v>6720</v>
      </c>
      <c r="AR11">
        <v>5558</v>
      </c>
      <c r="AS11">
        <v>10064455</v>
      </c>
      <c r="AT11">
        <v>516</v>
      </c>
    </row>
    <row r="12" spans="1:46" x14ac:dyDescent="0.4">
      <c r="A12" s="1" t="s">
        <v>12</v>
      </c>
      <c r="B12" s="3" t="s">
        <v>13</v>
      </c>
      <c r="C12">
        <v>11859</v>
      </c>
      <c r="D12">
        <v>11956</v>
      </c>
      <c r="E12">
        <v>20315376</v>
      </c>
      <c r="F12">
        <v>626</v>
      </c>
      <c r="G12">
        <v>240406</v>
      </c>
      <c r="H12">
        <v>231873</v>
      </c>
      <c r="I12">
        <v>400890252</v>
      </c>
      <c r="J12">
        <v>8655</v>
      </c>
      <c r="K12">
        <v>78997</v>
      </c>
      <c r="L12">
        <v>80363</v>
      </c>
      <c r="M12">
        <v>134282047</v>
      </c>
      <c r="N12">
        <v>3018</v>
      </c>
      <c r="O12">
        <v>25113</v>
      </c>
      <c r="P12">
        <v>25105</v>
      </c>
      <c r="Q12">
        <v>39841128</v>
      </c>
      <c r="R12">
        <v>1595</v>
      </c>
      <c r="S12">
        <v>4664</v>
      </c>
      <c r="T12">
        <v>4689</v>
      </c>
      <c r="U12">
        <v>6690045</v>
      </c>
      <c r="V12">
        <v>381</v>
      </c>
      <c r="W12">
        <v>78364</v>
      </c>
      <c r="X12">
        <v>77900</v>
      </c>
      <c r="Y12">
        <v>104983316</v>
      </c>
      <c r="Z12">
        <v>2900</v>
      </c>
      <c r="AA12">
        <v>4952</v>
      </c>
      <c r="AB12">
        <v>4995</v>
      </c>
      <c r="AC12">
        <v>10276599</v>
      </c>
      <c r="AD12">
        <v>146</v>
      </c>
      <c r="AE12">
        <v>141403</v>
      </c>
      <c r="AF12">
        <v>133158</v>
      </c>
      <c r="AG12">
        <v>155873102</v>
      </c>
      <c r="AH12">
        <v>11511</v>
      </c>
      <c r="AI12">
        <v>22139</v>
      </c>
      <c r="AJ12">
        <v>17925</v>
      </c>
      <c r="AK12">
        <v>24918304</v>
      </c>
      <c r="AL12">
        <v>5206</v>
      </c>
      <c r="AM12">
        <v>26628</v>
      </c>
      <c r="AN12">
        <v>26808</v>
      </c>
      <c r="AO12">
        <v>66235346</v>
      </c>
      <c r="AP12">
        <v>3041</v>
      </c>
      <c r="AQ12">
        <v>7116</v>
      </c>
      <c r="AR12">
        <v>5699</v>
      </c>
      <c r="AS12">
        <v>11172506</v>
      </c>
      <c r="AT12">
        <v>549</v>
      </c>
    </row>
    <row r="13" spans="1:46" x14ac:dyDescent="0.4">
      <c r="A13" s="1" t="s">
        <v>14</v>
      </c>
      <c r="B13" s="3" t="s">
        <v>15</v>
      </c>
      <c r="C13">
        <v>10407</v>
      </c>
      <c r="D13">
        <v>10336</v>
      </c>
      <c r="E13">
        <v>18685592</v>
      </c>
      <c r="F13">
        <v>594</v>
      </c>
      <c r="G13">
        <v>251435</v>
      </c>
      <c r="H13">
        <v>241681</v>
      </c>
      <c r="I13">
        <v>440765936</v>
      </c>
      <c r="J13">
        <v>9042</v>
      </c>
      <c r="K13">
        <v>78722</v>
      </c>
      <c r="L13">
        <v>79448</v>
      </c>
      <c r="M13">
        <v>142677655</v>
      </c>
      <c r="N13">
        <v>3873</v>
      </c>
      <c r="O13">
        <v>25963</v>
      </c>
      <c r="P13">
        <v>25536</v>
      </c>
      <c r="Q13">
        <v>43668560</v>
      </c>
      <c r="R13">
        <v>1948</v>
      </c>
      <c r="S13">
        <v>5442</v>
      </c>
      <c r="T13">
        <v>5328</v>
      </c>
      <c r="U13">
        <v>8251802</v>
      </c>
      <c r="V13">
        <v>481</v>
      </c>
      <c r="W13">
        <v>83607</v>
      </c>
      <c r="X13">
        <v>82288</v>
      </c>
      <c r="Y13">
        <v>116455092</v>
      </c>
      <c r="Z13">
        <v>3561</v>
      </c>
      <c r="AA13">
        <v>4895</v>
      </c>
      <c r="AB13">
        <v>5007</v>
      </c>
      <c r="AC13">
        <v>10656613</v>
      </c>
      <c r="AD13">
        <v>115</v>
      </c>
      <c r="AE13">
        <v>144222</v>
      </c>
      <c r="AF13">
        <v>134321</v>
      </c>
      <c r="AG13">
        <v>164464414</v>
      </c>
      <c r="AH13">
        <v>11810</v>
      </c>
      <c r="AI13">
        <v>21191</v>
      </c>
      <c r="AJ13">
        <v>17511</v>
      </c>
      <c r="AK13">
        <v>26016938</v>
      </c>
      <c r="AL13">
        <v>5147</v>
      </c>
      <c r="AM13">
        <v>28326</v>
      </c>
      <c r="AN13">
        <v>28275</v>
      </c>
      <c r="AO13">
        <v>77561774</v>
      </c>
      <c r="AP13">
        <v>3121</v>
      </c>
      <c r="AQ13">
        <v>6712</v>
      </c>
      <c r="AR13">
        <v>5660</v>
      </c>
      <c r="AS13">
        <v>11809729</v>
      </c>
      <c r="AT13">
        <v>482</v>
      </c>
    </row>
    <row r="14" spans="1:46" x14ac:dyDescent="0.4">
      <c r="A14" s="1" t="s">
        <v>16</v>
      </c>
      <c r="B14" s="1" t="s">
        <v>17</v>
      </c>
      <c r="C14">
        <v>1062</v>
      </c>
      <c r="D14">
        <v>1108</v>
      </c>
      <c r="E14">
        <v>1760436</v>
      </c>
      <c r="F14">
        <v>611</v>
      </c>
      <c r="G14">
        <v>21479</v>
      </c>
      <c r="H14">
        <v>20552</v>
      </c>
      <c r="I14">
        <v>32921669</v>
      </c>
      <c r="J14">
        <v>8550</v>
      </c>
      <c r="K14">
        <v>6849</v>
      </c>
      <c r="L14">
        <v>6541</v>
      </c>
      <c r="M14">
        <v>10159416</v>
      </c>
      <c r="N14">
        <v>3864</v>
      </c>
      <c r="O14">
        <v>2121</v>
      </c>
      <c r="P14">
        <v>2035</v>
      </c>
      <c r="Q14">
        <v>2987233</v>
      </c>
      <c r="R14">
        <v>1647</v>
      </c>
      <c r="S14">
        <v>434</v>
      </c>
      <c r="T14">
        <v>494</v>
      </c>
      <c r="U14">
        <v>691486</v>
      </c>
      <c r="V14">
        <v>463</v>
      </c>
      <c r="W14">
        <v>7203</v>
      </c>
      <c r="X14">
        <v>7036</v>
      </c>
      <c r="Y14">
        <v>8622364</v>
      </c>
      <c r="Z14">
        <v>3241</v>
      </c>
      <c r="AA14">
        <v>441</v>
      </c>
      <c r="AB14">
        <v>446</v>
      </c>
      <c r="AC14">
        <v>892952</v>
      </c>
      <c r="AD14">
        <v>99</v>
      </c>
      <c r="AE14">
        <v>11972</v>
      </c>
      <c r="AF14">
        <v>10853</v>
      </c>
      <c r="AG14">
        <v>11709577</v>
      </c>
      <c r="AH14">
        <v>11573</v>
      </c>
      <c r="AI14">
        <v>1919</v>
      </c>
      <c r="AJ14">
        <v>1445</v>
      </c>
      <c r="AK14">
        <v>1843247</v>
      </c>
      <c r="AL14">
        <v>5138</v>
      </c>
      <c r="AM14">
        <v>2241</v>
      </c>
      <c r="AN14">
        <v>2118</v>
      </c>
      <c r="AO14">
        <v>4863052</v>
      </c>
      <c r="AP14">
        <v>3317</v>
      </c>
      <c r="AQ14">
        <v>569</v>
      </c>
      <c r="AR14">
        <v>419</v>
      </c>
      <c r="AS14">
        <v>773805</v>
      </c>
      <c r="AT14">
        <v>508</v>
      </c>
    </row>
    <row r="15" spans="1:46" x14ac:dyDescent="0.4">
      <c r="A15" s="1" t="s">
        <v>18</v>
      </c>
      <c r="B15" s="1" t="s">
        <v>19</v>
      </c>
      <c r="C15">
        <v>1019</v>
      </c>
      <c r="D15">
        <v>963</v>
      </c>
      <c r="E15">
        <v>1565223</v>
      </c>
      <c r="F15">
        <v>666</v>
      </c>
      <c r="G15">
        <v>20023</v>
      </c>
      <c r="H15">
        <v>19082</v>
      </c>
      <c r="I15">
        <v>31600676</v>
      </c>
      <c r="J15">
        <v>8812</v>
      </c>
      <c r="K15">
        <v>6910</v>
      </c>
      <c r="L15">
        <v>7195</v>
      </c>
      <c r="M15">
        <v>11322100</v>
      </c>
      <c r="N15">
        <v>3643</v>
      </c>
      <c r="O15">
        <v>2102</v>
      </c>
      <c r="P15">
        <v>2012</v>
      </c>
      <c r="Q15">
        <v>3070972</v>
      </c>
      <c r="R15">
        <v>1737</v>
      </c>
      <c r="S15">
        <v>372</v>
      </c>
      <c r="T15">
        <v>376</v>
      </c>
      <c r="U15">
        <v>523210</v>
      </c>
      <c r="V15">
        <v>458</v>
      </c>
      <c r="W15">
        <v>6647</v>
      </c>
      <c r="X15">
        <v>6402</v>
      </c>
      <c r="Y15">
        <v>8004315</v>
      </c>
      <c r="Z15">
        <v>3425</v>
      </c>
      <c r="AA15">
        <v>417</v>
      </c>
      <c r="AB15">
        <v>406</v>
      </c>
      <c r="AC15">
        <v>805563</v>
      </c>
      <c r="AD15">
        <v>121</v>
      </c>
      <c r="AE15">
        <v>12076</v>
      </c>
      <c r="AF15">
        <v>11743</v>
      </c>
      <c r="AG15">
        <v>12761772</v>
      </c>
      <c r="AH15">
        <v>11203</v>
      </c>
      <c r="AI15">
        <v>1943</v>
      </c>
      <c r="AJ15">
        <v>1609</v>
      </c>
      <c r="AK15">
        <v>2100731</v>
      </c>
      <c r="AL15">
        <v>5119</v>
      </c>
      <c r="AM15">
        <v>2180</v>
      </c>
      <c r="AN15">
        <v>2281</v>
      </c>
      <c r="AO15">
        <v>5399897</v>
      </c>
      <c r="AP15">
        <v>3219</v>
      </c>
      <c r="AQ15">
        <v>584</v>
      </c>
      <c r="AR15">
        <v>502</v>
      </c>
      <c r="AS15">
        <v>923729</v>
      </c>
      <c r="AT15">
        <v>487</v>
      </c>
    </row>
    <row r="16" spans="1:46" x14ac:dyDescent="0.4">
      <c r="A16" s="1" t="s">
        <v>20</v>
      </c>
      <c r="B16" s="1" t="s">
        <v>21</v>
      </c>
      <c r="C16">
        <v>928</v>
      </c>
      <c r="D16">
        <v>1043</v>
      </c>
      <c r="E16">
        <v>1772948</v>
      </c>
      <c r="F16">
        <v>551</v>
      </c>
      <c r="G16">
        <v>19578</v>
      </c>
      <c r="H16">
        <v>18540</v>
      </c>
      <c r="I16">
        <v>32542976</v>
      </c>
      <c r="J16">
        <v>9163</v>
      </c>
      <c r="K16">
        <v>6991</v>
      </c>
      <c r="L16">
        <v>7439</v>
      </c>
      <c r="M16">
        <v>12227787</v>
      </c>
      <c r="N16">
        <v>3259</v>
      </c>
      <c r="O16">
        <v>2081</v>
      </c>
      <c r="P16">
        <v>2253</v>
      </c>
      <c r="Q16">
        <v>3575712</v>
      </c>
      <c r="R16">
        <v>1565</v>
      </c>
      <c r="S16">
        <v>365</v>
      </c>
      <c r="T16">
        <v>322</v>
      </c>
      <c r="U16">
        <v>470765</v>
      </c>
      <c r="V16">
        <v>502</v>
      </c>
      <c r="W16">
        <v>6057</v>
      </c>
      <c r="X16">
        <v>6279</v>
      </c>
      <c r="Y16">
        <v>8425561</v>
      </c>
      <c r="Z16">
        <v>3198</v>
      </c>
      <c r="AA16">
        <v>401</v>
      </c>
      <c r="AB16">
        <v>436</v>
      </c>
      <c r="AC16">
        <v>861891</v>
      </c>
      <c r="AD16">
        <v>96</v>
      </c>
      <c r="AE16">
        <v>12072</v>
      </c>
      <c r="AF16">
        <v>11299</v>
      </c>
      <c r="AG16">
        <v>13162458</v>
      </c>
      <c r="AH16">
        <v>11302</v>
      </c>
      <c r="AI16">
        <v>2010</v>
      </c>
      <c r="AJ16">
        <v>1646</v>
      </c>
      <c r="AK16">
        <v>2277698</v>
      </c>
      <c r="AL16">
        <v>5135</v>
      </c>
      <c r="AM16">
        <v>2042</v>
      </c>
      <c r="AN16">
        <v>2158</v>
      </c>
      <c r="AO16">
        <v>5381953</v>
      </c>
      <c r="AP16">
        <v>3103</v>
      </c>
      <c r="AQ16">
        <v>610</v>
      </c>
      <c r="AR16">
        <v>531</v>
      </c>
      <c r="AS16">
        <v>992685</v>
      </c>
      <c r="AT16">
        <v>482</v>
      </c>
    </row>
    <row r="17" spans="1:46" x14ac:dyDescent="0.4">
      <c r="A17" s="1" t="s">
        <v>22</v>
      </c>
      <c r="B17" s="1" t="s">
        <v>23</v>
      </c>
      <c r="C17">
        <v>901</v>
      </c>
      <c r="D17">
        <v>869</v>
      </c>
      <c r="E17">
        <v>1510676</v>
      </c>
      <c r="F17">
        <v>583</v>
      </c>
      <c r="G17">
        <v>20296</v>
      </c>
      <c r="H17">
        <v>19227</v>
      </c>
      <c r="I17">
        <v>35896112</v>
      </c>
      <c r="J17">
        <v>9503</v>
      </c>
      <c r="K17">
        <v>6809</v>
      </c>
      <c r="L17">
        <v>6931</v>
      </c>
      <c r="M17">
        <v>12180517</v>
      </c>
      <c r="N17">
        <v>3219</v>
      </c>
      <c r="O17">
        <v>2129</v>
      </c>
      <c r="P17">
        <v>2081</v>
      </c>
      <c r="Q17">
        <v>3378026</v>
      </c>
      <c r="R17">
        <v>1609</v>
      </c>
      <c r="S17">
        <v>459</v>
      </c>
      <c r="T17">
        <v>487</v>
      </c>
      <c r="U17">
        <v>698710</v>
      </c>
      <c r="V17">
        <v>474</v>
      </c>
      <c r="W17">
        <v>6093</v>
      </c>
      <c r="X17">
        <v>6083</v>
      </c>
      <c r="Y17">
        <v>8835092</v>
      </c>
      <c r="Z17">
        <v>3145</v>
      </c>
      <c r="AA17">
        <v>384</v>
      </c>
      <c r="AB17">
        <v>377</v>
      </c>
      <c r="AC17">
        <v>784032</v>
      </c>
      <c r="AD17">
        <v>106</v>
      </c>
      <c r="AE17">
        <v>11172</v>
      </c>
      <c r="AF17">
        <v>10776</v>
      </c>
      <c r="AG17">
        <v>13673925</v>
      </c>
      <c r="AH17">
        <v>11017</v>
      </c>
      <c r="AI17">
        <v>1882</v>
      </c>
      <c r="AJ17">
        <v>1502</v>
      </c>
      <c r="AK17">
        <v>2202226</v>
      </c>
      <c r="AL17">
        <v>5179</v>
      </c>
      <c r="AM17">
        <v>2262</v>
      </c>
      <c r="AN17">
        <v>2260</v>
      </c>
      <c r="AO17">
        <v>6021367</v>
      </c>
      <c r="AP17">
        <v>3106</v>
      </c>
      <c r="AQ17">
        <v>605</v>
      </c>
      <c r="AR17">
        <v>502</v>
      </c>
      <c r="AS17">
        <v>1020988</v>
      </c>
      <c r="AT17">
        <v>466</v>
      </c>
    </row>
    <row r="18" spans="1:46" x14ac:dyDescent="0.4">
      <c r="A18" s="1" t="s">
        <v>24</v>
      </c>
      <c r="B18" s="1" t="s">
        <v>25</v>
      </c>
      <c r="C18">
        <v>1185</v>
      </c>
      <c r="D18">
        <v>895</v>
      </c>
      <c r="E18">
        <v>1598223</v>
      </c>
      <c r="F18">
        <v>870</v>
      </c>
      <c r="G18">
        <v>22067</v>
      </c>
      <c r="H18">
        <v>20386</v>
      </c>
      <c r="I18">
        <v>38183586</v>
      </c>
      <c r="J18">
        <v>10288</v>
      </c>
      <c r="K18">
        <v>7197</v>
      </c>
      <c r="L18">
        <v>7142</v>
      </c>
      <c r="M18">
        <v>12382270</v>
      </c>
      <c r="N18">
        <v>3348</v>
      </c>
      <c r="O18">
        <v>2299</v>
      </c>
      <c r="P18">
        <v>2281</v>
      </c>
      <c r="Q18">
        <v>3863492</v>
      </c>
      <c r="R18">
        <v>1626</v>
      </c>
      <c r="S18">
        <v>402</v>
      </c>
      <c r="T18">
        <v>414</v>
      </c>
      <c r="U18">
        <v>623014</v>
      </c>
      <c r="V18">
        <v>460</v>
      </c>
      <c r="W18">
        <v>6865</v>
      </c>
      <c r="X18">
        <v>6734</v>
      </c>
      <c r="Y18">
        <v>9957340</v>
      </c>
      <c r="Z18">
        <v>3220</v>
      </c>
      <c r="AA18">
        <v>427</v>
      </c>
      <c r="AB18">
        <v>390</v>
      </c>
      <c r="AC18">
        <v>837052</v>
      </c>
      <c r="AD18">
        <v>159</v>
      </c>
      <c r="AE18">
        <v>12417</v>
      </c>
      <c r="AF18">
        <v>11792</v>
      </c>
      <c r="AG18">
        <v>14923059</v>
      </c>
      <c r="AH18">
        <v>10963</v>
      </c>
      <c r="AI18">
        <v>2211</v>
      </c>
      <c r="AJ18">
        <v>1743</v>
      </c>
      <c r="AK18">
        <v>2659225</v>
      </c>
      <c r="AL18">
        <v>5246</v>
      </c>
      <c r="AM18">
        <v>2288</v>
      </c>
      <c r="AN18">
        <v>2376</v>
      </c>
      <c r="AO18">
        <v>6251537</v>
      </c>
      <c r="AP18">
        <v>3018</v>
      </c>
      <c r="AQ18">
        <v>633</v>
      </c>
      <c r="AR18">
        <v>480</v>
      </c>
      <c r="AS18">
        <v>1005462</v>
      </c>
      <c r="AT18">
        <v>492</v>
      </c>
    </row>
    <row r="19" spans="1:46" x14ac:dyDescent="0.4">
      <c r="A19" s="1" t="s">
        <v>26</v>
      </c>
      <c r="B19" s="1" t="s">
        <v>27</v>
      </c>
      <c r="C19">
        <v>819</v>
      </c>
      <c r="D19">
        <v>1033</v>
      </c>
      <c r="E19">
        <v>1858411</v>
      </c>
      <c r="F19">
        <v>654</v>
      </c>
      <c r="G19">
        <v>15127</v>
      </c>
      <c r="H19">
        <v>15965</v>
      </c>
      <c r="I19">
        <v>29564451</v>
      </c>
      <c r="J19">
        <v>8769</v>
      </c>
      <c r="K19">
        <v>5437</v>
      </c>
      <c r="L19">
        <v>5763</v>
      </c>
      <c r="M19">
        <v>10122105</v>
      </c>
      <c r="N19">
        <v>3062</v>
      </c>
      <c r="O19">
        <v>1926</v>
      </c>
      <c r="P19">
        <v>1927</v>
      </c>
      <c r="Q19">
        <v>3231746</v>
      </c>
      <c r="R19">
        <v>1622</v>
      </c>
      <c r="S19">
        <v>325</v>
      </c>
      <c r="T19">
        <v>334</v>
      </c>
      <c r="U19">
        <v>476568</v>
      </c>
      <c r="V19">
        <v>451</v>
      </c>
      <c r="W19">
        <v>5170</v>
      </c>
      <c r="X19">
        <v>5406</v>
      </c>
      <c r="Y19">
        <v>7800979</v>
      </c>
      <c r="Z19">
        <v>2942</v>
      </c>
      <c r="AA19">
        <v>377</v>
      </c>
      <c r="AB19">
        <v>408</v>
      </c>
      <c r="AC19">
        <v>856226</v>
      </c>
      <c r="AD19">
        <v>134</v>
      </c>
      <c r="AE19">
        <v>10395</v>
      </c>
      <c r="AF19">
        <v>9447</v>
      </c>
      <c r="AG19">
        <v>11944728</v>
      </c>
      <c r="AH19">
        <v>11367</v>
      </c>
      <c r="AI19">
        <v>1647</v>
      </c>
      <c r="AJ19">
        <v>1380</v>
      </c>
      <c r="AK19">
        <v>2086559</v>
      </c>
      <c r="AL19">
        <v>5219</v>
      </c>
      <c r="AM19">
        <v>1867</v>
      </c>
      <c r="AN19">
        <v>1946</v>
      </c>
      <c r="AO19">
        <v>4982808</v>
      </c>
      <c r="AP19">
        <v>2940</v>
      </c>
      <c r="AQ19">
        <v>577</v>
      </c>
      <c r="AR19">
        <v>441</v>
      </c>
      <c r="AS19">
        <v>924101</v>
      </c>
      <c r="AT19">
        <v>503</v>
      </c>
    </row>
    <row r="20" spans="1:46" x14ac:dyDescent="0.4">
      <c r="A20" s="1" t="s">
        <v>28</v>
      </c>
      <c r="B20" s="1" t="s">
        <v>29</v>
      </c>
      <c r="C20">
        <v>852</v>
      </c>
      <c r="D20">
        <v>841</v>
      </c>
      <c r="E20">
        <v>1514863</v>
      </c>
      <c r="F20">
        <v>666</v>
      </c>
      <c r="G20">
        <v>20651</v>
      </c>
      <c r="H20">
        <v>19408</v>
      </c>
      <c r="I20">
        <v>34339374</v>
      </c>
      <c r="J20">
        <v>9326</v>
      </c>
      <c r="K20">
        <v>6225</v>
      </c>
      <c r="L20">
        <v>6365</v>
      </c>
      <c r="M20">
        <v>10750548</v>
      </c>
      <c r="N20">
        <v>3002</v>
      </c>
      <c r="O20">
        <v>2136</v>
      </c>
      <c r="P20">
        <v>2200</v>
      </c>
      <c r="Q20">
        <v>3568745</v>
      </c>
      <c r="R20">
        <v>1556</v>
      </c>
      <c r="S20">
        <v>314</v>
      </c>
      <c r="T20">
        <v>344</v>
      </c>
      <c r="U20">
        <v>507879</v>
      </c>
      <c r="V20">
        <v>419</v>
      </c>
      <c r="W20">
        <v>6356</v>
      </c>
      <c r="X20">
        <v>6431</v>
      </c>
      <c r="Y20">
        <v>8867208</v>
      </c>
      <c r="Z20">
        <v>2818</v>
      </c>
      <c r="AA20">
        <v>430</v>
      </c>
      <c r="AB20">
        <v>446</v>
      </c>
      <c r="AC20">
        <v>932217</v>
      </c>
      <c r="AD20">
        <v>125</v>
      </c>
      <c r="AE20">
        <v>11616</v>
      </c>
      <c r="AF20">
        <v>10971</v>
      </c>
      <c r="AG20">
        <v>13207410</v>
      </c>
      <c r="AH20">
        <v>11187</v>
      </c>
      <c r="AI20">
        <v>1677</v>
      </c>
      <c r="AJ20">
        <v>1435</v>
      </c>
      <c r="AK20">
        <v>2061537</v>
      </c>
      <c r="AL20">
        <v>5170</v>
      </c>
      <c r="AM20">
        <v>2347</v>
      </c>
      <c r="AN20">
        <v>2352</v>
      </c>
      <c r="AO20">
        <v>5943974</v>
      </c>
      <c r="AP20">
        <v>2948</v>
      </c>
      <c r="AQ20">
        <v>569</v>
      </c>
      <c r="AR20">
        <v>480</v>
      </c>
      <c r="AS20">
        <v>994895</v>
      </c>
      <c r="AT20">
        <v>473</v>
      </c>
    </row>
    <row r="21" spans="1:46" x14ac:dyDescent="0.4">
      <c r="A21" s="1" t="s">
        <v>30</v>
      </c>
      <c r="B21" s="1" t="s">
        <v>31</v>
      </c>
      <c r="C21">
        <v>1155</v>
      </c>
      <c r="D21">
        <v>1169</v>
      </c>
      <c r="E21">
        <v>2045106</v>
      </c>
      <c r="F21">
        <v>652</v>
      </c>
      <c r="G21">
        <v>21748</v>
      </c>
      <c r="H21">
        <v>21531</v>
      </c>
      <c r="I21">
        <v>37159766</v>
      </c>
      <c r="J21">
        <v>8747</v>
      </c>
      <c r="K21">
        <v>6817</v>
      </c>
      <c r="L21">
        <v>6955</v>
      </c>
      <c r="M21">
        <v>12026780</v>
      </c>
      <c r="N21">
        <v>2943</v>
      </c>
      <c r="O21">
        <v>2321</v>
      </c>
      <c r="P21">
        <v>2251</v>
      </c>
      <c r="Q21">
        <v>3630274</v>
      </c>
      <c r="R21">
        <v>1625</v>
      </c>
      <c r="S21">
        <v>408</v>
      </c>
      <c r="T21">
        <v>418</v>
      </c>
      <c r="U21">
        <v>606961</v>
      </c>
      <c r="V21">
        <v>409</v>
      </c>
      <c r="W21">
        <v>6772</v>
      </c>
      <c r="X21">
        <v>6941</v>
      </c>
      <c r="Y21">
        <v>9433663</v>
      </c>
      <c r="Z21">
        <v>2584</v>
      </c>
      <c r="AA21">
        <v>432</v>
      </c>
      <c r="AB21">
        <v>418</v>
      </c>
      <c r="AC21">
        <v>859030</v>
      </c>
      <c r="AD21">
        <v>143</v>
      </c>
      <c r="AE21">
        <v>12988</v>
      </c>
      <c r="AF21">
        <v>12092</v>
      </c>
      <c r="AG21">
        <v>13998698</v>
      </c>
      <c r="AH21">
        <v>11413</v>
      </c>
      <c r="AI21">
        <v>1880</v>
      </c>
      <c r="AJ21">
        <v>1451</v>
      </c>
      <c r="AK21">
        <v>2043402</v>
      </c>
      <c r="AL21">
        <v>5181</v>
      </c>
      <c r="AM21">
        <v>2493</v>
      </c>
      <c r="AN21">
        <v>2486</v>
      </c>
      <c r="AO21">
        <v>6173105</v>
      </c>
      <c r="AP21">
        <v>2954</v>
      </c>
      <c r="AQ21">
        <v>710</v>
      </c>
      <c r="AR21">
        <v>528</v>
      </c>
      <c r="AS21">
        <v>1049133</v>
      </c>
      <c r="AT21">
        <v>491</v>
      </c>
    </row>
    <row r="22" spans="1:46" x14ac:dyDescent="0.4">
      <c r="A22" s="1" t="s">
        <v>32</v>
      </c>
      <c r="B22" s="1" t="s">
        <v>33</v>
      </c>
      <c r="C22">
        <v>907</v>
      </c>
      <c r="D22">
        <v>978</v>
      </c>
      <c r="E22">
        <v>1734949</v>
      </c>
      <c r="F22">
        <v>581</v>
      </c>
      <c r="G22">
        <v>20634</v>
      </c>
      <c r="H22">
        <v>19525</v>
      </c>
      <c r="I22">
        <v>34259444</v>
      </c>
      <c r="J22">
        <v>9147</v>
      </c>
      <c r="K22">
        <v>6948</v>
      </c>
      <c r="L22">
        <v>6913</v>
      </c>
      <c r="M22">
        <v>12138834</v>
      </c>
      <c r="N22">
        <v>3077</v>
      </c>
      <c r="O22">
        <v>2110</v>
      </c>
      <c r="P22">
        <v>2090</v>
      </c>
      <c r="Q22">
        <v>3461013</v>
      </c>
      <c r="R22">
        <v>1642</v>
      </c>
      <c r="S22">
        <v>446</v>
      </c>
      <c r="T22">
        <v>429</v>
      </c>
      <c r="U22">
        <v>617320</v>
      </c>
      <c r="V22">
        <v>426</v>
      </c>
      <c r="W22">
        <v>6785</v>
      </c>
      <c r="X22">
        <v>6533</v>
      </c>
      <c r="Y22">
        <v>9321173</v>
      </c>
      <c r="Z22">
        <v>2778</v>
      </c>
      <c r="AA22">
        <v>420</v>
      </c>
      <c r="AB22">
        <v>418</v>
      </c>
      <c r="AC22">
        <v>867928</v>
      </c>
      <c r="AD22">
        <v>150</v>
      </c>
      <c r="AE22">
        <v>12245</v>
      </c>
      <c r="AF22">
        <v>11113</v>
      </c>
      <c r="AG22">
        <v>13324972</v>
      </c>
      <c r="AH22">
        <v>11825</v>
      </c>
      <c r="AI22">
        <v>1781</v>
      </c>
      <c r="AJ22">
        <v>1438</v>
      </c>
      <c r="AK22">
        <v>2004181</v>
      </c>
      <c r="AL22">
        <v>5192</v>
      </c>
      <c r="AM22">
        <v>2390</v>
      </c>
      <c r="AN22">
        <v>2315</v>
      </c>
      <c r="AO22">
        <v>5985341</v>
      </c>
      <c r="AP22">
        <v>3032</v>
      </c>
      <c r="AQ22">
        <v>601</v>
      </c>
      <c r="AR22">
        <v>479</v>
      </c>
      <c r="AS22">
        <v>949868</v>
      </c>
      <c r="AT22">
        <v>508</v>
      </c>
    </row>
    <row r="23" spans="1:46" x14ac:dyDescent="0.4">
      <c r="A23" s="1" t="s">
        <v>34</v>
      </c>
      <c r="B23" s="1" t="s">
        <v>35</v>
      </c>
      <c r="C23">
        <v>818</v>
      </c>
      <c r="D23">
        <v>774</v>
      </c>
      <c r="E23">
        <v>1370030</v>
      </c>
      <c r="F23">
        <v>626</v>
      </c>
      <c r="G23">
        <v>19232</v>
      </c>
      <c r="H23">
        <v>18949</v>
      </c>
      <c r="I23">
        <v>33647180</v>
      </c>
      <c r="J23">
        <v>8655</v>
      </c>
      <c r="K23">
        <v>6397</v>
      </c>
      <c r="L23">
        <v>6622</v>
      </c>
      <c r="M23">
        <v>11641861</v>
      </c>
      <c r="N23">
        <v>3018</v>
      </c>
      <c r="O23">
        <v>1976</v>
      </c>
      <c r="P23">
        <v>2018</v>
      </c>
      <c r="Q23">
        <v>3351960</v>
      </c>
      <c r="R23">
        <v>1595</v>
      </c>
      <c r="S23">
        <v>349</v>
      </c>
      <c r="T23">
        <v>393</v>
      </c>
      <c r="U23">
        <v>577448</v>
      </c>
      <c r="V23">
        <v>381</v>
      </c>
      <c r="W23">
        <v>6173</v>
      </c>
      <c r="X23">
        <v>5988</v>
      </c>
      <c r="Y23">
        <v>8420872</v>
      </c>
      <c r="Z23">
        <v>2900</v>
      </c>
      <c r="AA23">
        <v>403</v>
      </c>
      <c r="AB23">
        <v>414</v>
      </c>
      <c r="AC23">
        <v>872835</v>
      </c>
      <c r="AD23">
        <v>146</v>
      </c>
      <c r="AE23">
        <v>11387</v>
      </c>
      <c r="AF23">
        <v>10935</v>
      </c>
      <c r="AG23">
        <v>13407038</v>
      </c>
      <c r="AH23">
        <v>11511</v>
      </c>
      <c r="AI23">
        <v>1717</v>
      </c>
      <c r="AJ23">
        <v>1348</v>
      </c>
      <c r="AK23">
        <v>1913617</v>
      </c>
      <c r="AL23">
        <v>5206</v>
      </c>
      <c r="AM23">
        <v>2331</v>
      </c>
      <c r="AN23">
        <v>2322</v>
      </c>
      <c r="AO23">
        <v>5894347</v>
      </c>
      <c r="AP23">
        <v>3041</v>
      </c>
      <c r="AQ23">
        <v>672</v>
      </c>
      <c r="AR23">
        <v>477</v>
      </c>
      <c r="AS23">
        <v>957119</v>
      </c>
      <c r="AT23">
        <v>549</v>
      </c>
    </row>
    <row r="24" spans="1:46" x14ac:dyDescent="0.4">
      <c r="A24" s="1" t="s">
        <v>36</v>
      </c>
      <c r="B24" s="1" t="s">
        <v>37</v>
      </c>
      <c r="C24">
        <v>707</v>
      </c>
      <c r="D24">
        <v>773</v>
      </c>
      <c r="E24">
        <v>1391812</v>
      </c>
      <c r="F24">
        <v>561</v>
      </c>
      <c r="G24">
        <v>19135</v>
      </c>
      <c r="H24">
        <v>18710</v>
      </c>
      <c r="I24">
        <v>33037076</v>
      </c>
      <c r="J24">
        <v>8405</v>
      </c>
      <c r="K24">
        <v>6191</v>
      </c>
      <c r="L24">
        <v>6725</v>
      </c>
      <c r="M24">
        <v>11761021</v>
      </c>
      <c r="N24">
        <v>2589</v>
      </c>
      <c r="O24">
        <v>2067</v>
      </c>
      <c r="P24">
        <v>2010</v>
      </c>
      <c r="Q24">
        <v>3368972</v>
      </c>
      <c r="R24">
        <v>1636</v>
      </c>
      <c r="S24">
        <v>416</v>
      </c>
      <c r="T24">
        <v>361</v>
      </c>
      <c r="U24">
        <v>539449</v>
      </c>
      <c r="V24">
        <v>437</v>
      </c>
      <c r="W24">
        <v>6065</v>
      </c>
      <c r="X24">
        <v>6147</v>
      </c>
      <c r="Y24">
        <v>8587794</v>
      </c>
      <c r="Z24">
        <v>2771</v>
      </c>
      <c r="AA24">
        <v>403</v>
      </c>
      <c r="AB24">
        <v>386</v>
      </c>
      <c r="AC24">
        <v>802384</v>
      </c>
      <c r="AD24">
        <v>171</v>
      </c>
      <c r="AE24">
        <v>11878</v>
      </c>
      <c r="AF24">
        <v>10997</v>
      </c>
      <c r="AG24">
        <v>13169078</v>
      </c>
      <c r="AH24">
        <v>11565</v>
      </c>
      <c r="AI24">
        <v>1752</v>
      </c>
      <c r="AJ24">
        <v>1603</v>
      </c>
      <c r="AK24">
        <v>2279841</v>
      </c>
      <c r="AL24">
        <v>5054</v>
      </c>
      <c r="AM24">
        <v>1956</v>
      </c>
      <c r="AN24">
        <v>2056</v>
      </c>
      <c r="AO24">
        <v>5264396</v>
      </c>
      <c r="AP24">
        <v>2942</v>
      </c>
      <c r="AQ24">
        <v>610</v>
      </c>
      <c r="AR24">
        <v>506</v>
      </c>
      <c r="AS24">
        <v>1006985</v>
      </c>
      <c r="AT24">
        <v>552</v>
      </c>
    </row>
    <row r="25" spans="1:46" x14ac:dyDescent="0.4">
      <c r="A25" s="1" t="s">
        <v>38</v>
      </c>
      <c r="B25" s="1" t="s">
        <v>39</v>
      </c>
      <c r="C25">
        <v>786</v>
      </c>
      <c r="D25">
        <v>710</v>
      </c>
      <c r="E25">
        <v>1274659</v>
      </c>
      <c r="F25">
        <v>637</v>
      </c>
      <c r="G25">
        <v>19042</v>
      </c>
      <c r="H25">
        <v>18786</v>
      </c>
      <c r="I25">
        <v>33257548</v>
      </c>
      <c r="J25">
        <v>7904</v>
      </c>
      <c r="K25">
        <v>6425</v>
      </c>
      <c r="L25">
        <v>6734</v>
      </c>
      <c r="M25">
        <v>11711496</v>
      </c>
      <c r="N25">
        <v>2450</v>
      </c>
      <c r="O25">
        <v>2040</v>
      </c>
      <c r="P25">
        <v>2017</v>
      </c>
      <c r="Q25">
        <v>3388588</v>
      </c>
      <c r="R25">
        <v>1657</v>
      </c>
      <c r="S25">
        <v>481</v>
      </c>
      <c r="T25">
        <v>432</v>
      </c>
      <c r="U25">
        <v>655629</v>
      </c>
      <c r="V25">
        <v>486</v>
      </c>
      <c r="W25">
        <v>7066</v>
      </c>
      <c r="X25">
        <v>6827</v>
      </c>
      <c r="Y25">
        <v>9368018</v>
      </c>
      <c r="Z25">
        <v>2946</v>
      </c>
      <c r="AA25">
        <v>411</v>
      </c>
      <c r="AB25">
        <v>450</v>
      </c>
      <c r="AC25">
        <v>941655</v>
      </c>
      <c r="AD25">
        <v>138</v>
      </c>
      <c r="AE25">
        <v>12055</v>
      </c>
      <c r="AF25">
        <v>11340</v>
      </c>
      <c r="AG25">
        <v>13662729</v>
      </c>
      <c r="AH25">
        <v>11505</v>
      </c>
      <c r="AI25">
        <v>1852</v>
      </c>
      <c r="AJ25">
        <v>1559</v>
      </c>
      <c r="AK25">
        <v>2235748</v>
      </c>
      <c r="AL25">
        <v>5038</v>
      </c>
      <c r="AM25">
        <v>2372</v>
      </c>
      <c r="AN25">
        <v>2233</v>
      </c>
      <c r="AO25">
        <v>5815675</v>
      </c>
      <c r="AP25">
        <v>3080</v>
      </c>
      <c r="AQ25">
        <v>561</v>
      </c>
      <c r="AR25">
        <v>431</v>
      </c>
      <c r="AS25">
        <v>877164</v>
      </c>
      <c r="AT25">
        <v>577</v>
      </c>
    </row>
    <row r="26" spans="1:46" x14ac:dyDescent="0.4">
      <c r="A26" s="1" t="s">
        <v>40</v>
      </c>
      <c r="B26" s="1" t="s">
        <v>41</v>
      </c>
      <c r="C26">
        <v>780</v>
      </c>
      <c r="D26">
        <v>931</v>
      </c>
      <c r="E26">
        <v>1668691</v>
      </c>
      <c r="F26">
        <v>486</v>
      </c>
      <c r="G26">
        <v>22193</v>
      </c>
      <c r="H26">
        <v>20502</v>
      </c>
      <c r="I26">
        <v>36394910</v>
      </c>
      <c r="J26">
        <v>8795</v>
      </c>
      <c r="K26">
        <v>7302</v>
      </c>
      <c r="L26">
        <v>6609</v>
      </c>
      <c r="M26">
        <v>11606781</v>
      </c>
      <c r="N26">
        <v>3316</v>
      </c>
      <c r="O26">
        <v>2316</v>
      </c>
      <c r="P26">
        <v>2166</v>
      </c>
      <c r="Q26">
        <v>3604152</v>
      </c>
      <c r="R26">
        <v>1802</v>
      </c>
      <c r="S26">
        <v>410</v>
      </c>
      <c r="T26">
        <v>466</v>
      </c>
      <c r="U26">
        <v>751623</v>
      </c>
      <c r="V26">
        <v>428</v>
      </c>
      <c r="W26">
        <v>7203</v>
      </c>
      <c r="X26">
        <v>7095</v>
      </c>
      <c r="Y26">
        <v>9744875</v>
      </c>
      <c r="Z26">
        <v>2999</v>
      </c>
      <c r="AA26">
        <v>418</v>
      </c>
      <c r="AB26">
        <v>444</v>
      </c>
      <c r="AC26">
        <v>940089</v>
      </c>
      <c r="AD26">
        <v>114</v>
      </c>
      <c r="AE26">
        <v>12058</v>
      </c>
      <c r="AF26">
        <v>10749</v>
      </c>
      <c r="AG26">
        <v>13107546</v>
      </c>
      <c r="AH26">
        <v>11901</v>
      </c>
      <c r="AI26">
        <v>1907</v>
      </c>
      <c r="AJ26">
        <v>1633</v>
      </c>
      <c r="AK26">
        <v>2331455</v>
      </c>
      <c r="AL26">
        <v>4954</v>
      </c>
      <c r="AM26">
        <v>2376</v>
      </c>
      <c r="AN26">
        <v>2330</v>
      </c>
      <c r="AO26">
        <v>6244362</v>
      </c>
      <c r="AP26">
        <v>3141</v>
      </c>
      <c r="AQ26">
        <v>560</v>
      </c>
      <c r="AR26">
        <v>482</v>
      </c>
      <c r="AS26">
        <v>987783</v>
      </c>
      <c r="AT26">
        <v>528</v>
      </c>
    </row>
    <row r="27" spans="1:46" x14ac:dyDescent="0.4">
      <c r="A27" s="1" t="s">
        <v>42</v>
      </c>
      <c r="B27" s="1" t="s">
        <v>43</v>
      </c>
      <c r="C27">
        <v>949</v>
      </c>
      <c r="D27">
        <v>801</v>
      </c>
      <c r="E27">
        <v>1398589</v>
      </c>
      <c r="F27">
        <v>632</v>
      </c>
      <c r="G27">
        <v>21095</v>
      </c>
      <c r="H27">
        <v>20004</v>
      </c>
      <c r="I27">
        <v>35851452</v>
      </c>
      <c r="J27">
        <v>9125</v>
      </c>
      <c r="K27">
        <v>6169</v>
      </c>
      <c r="L27">
        <v>7130</v>
      </c>
      <c r="M27">
        <v>12565908</v>
      </c>
      <c r="N27">
        <v>2527</v>
      </c>
      <c r="O27">
        <v>2170</v>
      </c>
      <c r="P27">
        <v>2199</v>
      </c>
      <c r="Q27">
        <v>3694044</v>
      </c>
      <c r="R27">
        <v>1773</v>
      </c>
      <c r="S27">
        <v>429</v>
      </c>
      <c r="T27">
        <v>442</v>
      </c>
      <c r="U27">
        <v>695967</v>
      </c>
      <c r="V27">
        <v>415</v>
      </c>
      <c r="W27">
        <v>6873</v>
      </c>
      <c r="X27">
        <v>6676</v>
      </c>
      <c r="Y27">
        <v>9285418</v>
      </c>
      <c r="Z27">
        <v>3158</v>
      </c>
      <c r="AA27">
        <v>404</v>
      </c>
      <c r="AB27">
        <v>410</v>
      </c>
      <c r="AC27">
        <v>872290</v>
      </c>
      <c r="AD27">
        <v>115</v>
      </c>
      <c r="AE27">
        <v>13088</v>
      </c>
      <c r="AF27">
        <v>12355</v>
      </c>
      <c r="AG27">
        <v>14727038</v>
      </c>
      <c r="AH27">
        <v>11872</v>
      </c>
      <c r="AI27">
        <v>1899</v>
      </c>
      <c r="AJ27">
        <v>1595</v>
      </c>
      <c r="AK27">
        <v>2293217</v>
      </c>
      <c r="AL27">
        <v>4986</v>
      </c>
      <c r="AM27">
        <v>2254</v>
      </c>
      <c r="AN27">
        <v>2357</v>
      </c>
      <c r="AO27">
        <v>6560295</v>
      </c>
      <c r="AP27">
        <v>3040</v>
      </c>
      <c r="AQ27">
        <v>644</v>
      </c>
      <c r="AR27">
        <v>452</v>
      </c>
      <c r="AS27">
        <v>938434</v>
      </c>
      <c r="AT27">
        <v>601</v>
      </c>
    </row>
    <row r="28" spans="1:46" x14ac:dyDescent="0.4">
      <c r="A28" s="1" t="s">
        <v>44</v>
      </c>
      <c r="B28" s="1" t="s">
        <v>45</v>
      </c>
      <c r="C28">
        <v>909</v>
      </c>
      <c r="D28">
        <v>813</v>
      </c>
      <c r="E28">
        <v>1420013</v>
      </c>
      <c r="F28">
        <v>728</v>
      </c>
      <c r="G28">
        <v>19639</v>
      </c>
      <c r="H28">
        <v>18834</v>
      </c>
      <c r="I28">
        <v>33116951</v>
      </c>
      <c r="J28">
        <v>8879</v>
      </c>
      <c r="K28">
        <v>6492</v>
      </c>
      <c r="L28">
        <v>6545</v>
      </c>
      <c r="M28">
        <v>11586993</v>
      </c>
      <c r="N28">
        <v>2727</v>
      </c>
      <c r="O28">
        <v>2108</v>
      </c>
      <c r="P28">
        <v>2051</v>
      </c>
      <c r="Q28">
        <v>3363937</v>
      </c>
      <c r="R28">
        <v>1829</v>
      </c>
      <c r="S28">
        <v>490</v>
      </c>
      <c r="T28">
        <v>494</v>
      </c>
      <c r="U28">
        <v>739067</v>
      </c>
      <c r="V28">
        <v>409</v>
      </c>
      <c r="W28">
        <v>6304</v>
      </c>
      <c r="X28">
        <v>6452</v>
      </c>
      <c r="Y28">
        <v>8911068</v>
      </c>
      <c r="Z28">
        <v>2957</v>
      </c>
      <c r="AA28">
        <v>388</v>
      </c>
      <c r="AB28">
        <v>374</v>
      </c>
      <c r="AC28">
        <v>802344</v>
      </c>
      <c r="AD28">
        <v>133</v>
      </c>
      <c r="AE28">
        <v>11748</v>
      </c>
      <c r="AF28">
        <v>10878</v>
      </c>
      <c r="AG28">
        <v>12978959</v>
      </c>
      <c r="AH28">
        <v>11881</v>
      </c>
      <c r="AI28">
        <v>1830</v>
      </c>
      <c r="AJ28">
        <v>1453</v>
      </c>
      <c r="AK28">
        <v>2140080</v>
      </c>
      <c r="AL28">
        <v>5009</v>
      </c>
      <c r="AM28">
        <v>2272</v>
      </c>
      <c r="AN28">
        <v>2305</v>
      </c>
      <c r="AO28">
        <v>6151569</v>
      </c>
      <c r="AP28">
        <v>3008</v>
      </c>
      <c r="AQ28">
        <v>588</v>
      </c>
      <c r="AR28">
        <v>467</v>
      </c>
      <c r="AS28">
        <v>973190</v>
      </c>
      <c r="AT28">
        <v>613</v>
      </c>
    </row>
    <row r="29" spans="1:46" x14ac:dyDescent="0.4">
      <c r="A29" s="1" t="s">
        <v>46</v>
      </c>
      <c r="B29" s="1" t="s">
        <v>47</v>
      </c>
      <c r="C29">
        <v>975</v>
      </c>
      <c r="D29">
        <v>951</v>
      </c>
      <c r="E29">
        <v>1651733</v>
      </c>
      <c r="F29">
        <v>751</v>
      </c>
      <c r="G29">
        <v>22439</v>
      </c>
      <c r="H29">
        <v>20877</v>
      </c>
      <c r="I29">
        <v>37197540</v>
      </c>
      <c r="J29">
        <v>9545</v>
      </c>
      <c r="K29">
        <v>7204</v>
      </c>
      <c r="L29">
        <v>7242</v>
      </c>
      <c r="M29">
        <v>12667432</v>
      </c>
      <c r="N29">
        <v>2808</v>
      </c>
      <c r="O29">
        <v>2330</v>
      </c>
      <c r="P29">
        <v>2268</v>
      </c>
      <c r="Q29">
        <v>3745009</v>
      </c>
      <c r="R29">
        <v>1886</v>
      </c>
      <c r="S29">
        <v>511</v>
      </c>
      <c r="T29">
        <v>469</v>
      </c>
      <c r="U29">
        <v>712803</v>
      </c>
      <c r="V29">
        <v>450</v>
      </c>
      <c r="W29">
        <v>6721</v>
      </c>
      <c r="X29">
        <v>6641</v>
      </c>
      <c r="Y29">
        <v>8924013</v>
      </c>
      <c r="Z29">
        <v>2974</v>
      </c>
      <c r="AA29">
        <v>417</v>
      </c>
      <c r="AB29">
        <v>428</v>
      </c>
      <c r="AC29">
        <v>906664</v>
      </c>
      <c r="AD29">
        <v>135</v>
      </c>
      <c r="AE29">
        <v>12412</v>
      </c>
      <c r="AF29">
        <v>12278</v>
      </c>
      <c r="AG29">
        <v>14326443</v>
      </c>
      <c r="AH29">
        <v>11178</v>
      </c>
      <c r="AI29">
        <v>1788</v>
      </c>
      <c r="AJ29">
        <v>1460</v>
      </c>
      <c r="AK29">
        <v>2105994</v>
      </c>
      <c r="AL29">
        <v>4997</v>
      </c>
      <c r="AM29">
        <v>2358</v>
      </c>
      <c r="AN29">
        <v>2315</v>
      </c>
      <c r="AO29">
        <v>6519091</v>
      </c>
      <c r="AP29">
        <v>3053</v>
      </c>
      <c r="AQ29">
        <v>570</v>
      </c>
      <c r="AR29">
        <v>520</v>
      </c>
      <c r="AS29">
        <v>1074177</v>
      </c>
      <c r="AT29">
        <v>583</v>
      </c>
    </row>
    <row r="30" spans="1:46" x14ac:dyDescent="0.4">
      <c r="A30" s="1" t="s">
        <v>48</v>
      </c>
      <c r="B30" s="1" t="s">
        <v>49</v>
      </c>
      <c r="C30">
        <v>1014</v>
      </c>
      <c r="D30">
        <v>1071</v>
      </c>
      <c r="E30">
        <v>1829122</v>
      </c>
      <c r="F30">
        <v>694</v>
      </c>
      <c r="G30">
        <v>21887</v>
      </c>
      <c r="H30">
        <v>21299</v>
      </c>
      <c r="I30">
        <v>38566504</v>
      </c>
      <c r="J30">
        <v>9137</v>
      </c>
      <c r="K30">
        <v>7259</v>
      </c>
      <c r="L30">
        <v>7462</v>
      </c>
      <c r="M30">
        <v>13201446</v>
      </c>
      <c r="N30">
        <v>2773</v>
      </c>
      <c r="O30">
        <v>2377</v>
      </c>
      <c r="P30">
        <v>2184</v>
      </c>
      <c r="Q30">
        <v>3651735</v>
      </c>
      <c r="R30">
        <v>2079</v>
      </c>
      <c r="S30">
        <v>481</v>
      </c>
      <c r="T30">
        <v>490</v>
      </c>
      <c r="U30">
        <v>739411</v>
      </c>
      <c r="V30">
        <v>441</v>
      </c>
      <c r="W30">
        <v>7542</v>
      </c>
      <c r="X30">
        <v>7727</v>
      </c>
      <c r="Y30">
        <v>10649217</v>
      </c>
      <c r="Z30">
        <v>2743</v>
      </c>
      <c r="AA30">
        <v>427</v>
      </c>
      <c r="AB30">
        <v>414</v>
      </c>
      <c r="AC30">
        <v>852843</v>
      </c>
      <c r="AD30">
        <v>154</v>
      </c>
      <c r="AE30">
        <v>13108</v>
      </c>
      <c r="AF30">
        <v>11800</v>
      </c>
      <c r="AG30">
        <v>14010855</v>
      </c>
      <c r="AH30">
        <v>11586</v>
      </c>
      <c r="AI30">
        <v>1788</v>
      </c>
      <c r="AJ30">
        <v>1381</v>
      </c>
      <c r="AK30">
        <v>2025786</v>
      </c>
      <c r="AL30">
        <v>5056</v>
      </c>
      <c r="AM30">
        <v>2481</v>
      </c>
      <c r="AN30">
        <v>2607</v>
      </c>
      <c r="AO30">
        <v>7177384</v>
      </c>
      <c r="AP30">
        <v>2927</v>
      </c>
      <c r="AQ30">
        <v>588</v>
      </c>
      <c r="AR30">
        <v>477</v>
      </c>
      <c r="AS30">
        <v>997809</v>
      </c>
      <c r="AT30">
        <v>601</v>
      </c>
    </row>
    <row r="31" spans="1:46" x14ac:dyDescent="0.4">
      <c r="A31" s="1" t="s">
        <v>50</v>
      </c>
      <c r="B31" s="1" t="s">
        <v>51</v>
      </c>
      <c r="C31">
        <v>845</v>
      </c>
      <c r="D31">
        <v>831</v>
      </c>
      <c r="E31">
        <v>1464801</v>
      </c>
      <c r="F31">
        <v>708</v>
      </c>
      <c r="G31">
        <v>17103</v>
      </c>
      <c r="H31">
        <v>17132</v>
      </c>
      <c r="I31">
        <v>31056825</v>
      </c>
      <c r="J31">
        <v>8351</v>
      </c>
      <c r="K31">
        <v>5640</v>
      </c>
      <c r="L31">
        <v>5507</v>
      </c>
      <c r="M31">
        <v>9861858</v>
      </c>
      <c r="N31">
        <v>2946</v>
      </c>
      <c r="O31">
        <v>1820</v>
      </c>
      <c r="P31">
        <v>1995</v>
      </c>
      <c r="Q31">
        <v>3361756</v>
      </c>
      <c r="R31">
        <v>1898</v>
      </c>
      <c r="S31">
        <v>383</v>
      </c>
      <c r="T31">
        <v>409</v>
      </c>
      <c r="U31">
        <v>621489</v>
      </c>
      <c r="V31">
        <v>415</v>
      </c>
      <c r="W31">
        <v>5501</v>
      </c>
      <c r="X31">
        <v>5450</v>
      </c>
      <c r="Y31">
        <v>7761486</v>
      </c>
      <c r="Z31">
        <v>2742</v>
      </c>
      <c r="AA31">
        <v>340</v>
      </c>
      <c r="AB31">
        <v>366</v>
      </c>
      <c r="AC31">
        <v>764948</v>
      </c>
      <c r="AD31">
        <v>134</v>
      </c>
      <c r="AE31">
        <v>9789</v>
      </c>
      <c r="AF31">
        <v>9380</v>
      </c>
      <c r="AG31">
        <v>11359233</v>
      </c>
      <c r="AH31">
        <v>11444</v>
      </c>
      <c r="AI31">
        <v>1437</v>
      </c>
      <c r="AJ31">
        <v>1206</v>
      </c>
      <c r="AK31">
        <v>1796774</v>
      </c>
      <c r="AL31">
        <v>5042</v>
      </c>
      <c r="AM31">
        <v>2133</v>
      </c>
      <c r="AN31">
        <v>2096</v>
      </c>
      <c r="AO31">
        <v>5695453</v>
      </c>
      <c r="AP31">
        <v>2963</v>
      </c>
      <c r="AQ31">
        <v>289</v>
      </c>
      <c r="AR31">
        <v>384</v>
      </c>
      <c r="AS31">
        <v>799760</v>
      </c>
      <c r="AT31">
        <v>523</v>
      </c>
    </row>
    <row r="32" spans="1:46" x14ac:dyDescent="0.4">
      <c r="A32" s="1" t="s">
        <v>52</v>
      </c>
      <c r="B32" s="1" t="s">
        <v>53</v>
      </c>
      <c r="C32">
        <v>844</v>
      </c>
      <c r="D32">
        <v>902</v>
      </c>
      <c r="E32">
        <v>1618553</v>
      </c>
      <c r="F32">
        <v>650</v>
      </c>
      <c r="G32">
        <v>21687</v>
      </c>
      <c r="H32">
        <v>20435</v>
      </c>
      <c r="I32">
        <v>37297847</v>
      </c>
      <c r="J32">
        <v>8787</v>
      </c>
      <c r="K32">
        <v>6873</v>
      </c>
      <c r="L32">
        <v>6541</v>
      </c>
      <c r="M32">
        <v>11680052</v>
      </c>
      <c r="N32">
        <v>3349</v>
      </c>
      <c r="O32">
        <v>2220</v>
      </c>
      <c r="P32">
        <v>2237</v>
      </c>
      <c r="Q32">
        <v>3810140</v>
      </c>
      <c r="R32">
        <v>1876</v>
      </c>
      <c r="S32">
        <v>497</v>
      </c>
      <c r="T32">
        <v>468</v>
      </c>
      <c r="U32">
        <v>726640</v>
      </c>
      <c r="V32">
        <v>441</v>
      </c>
      <c r="W32">
        <v>7226</v>
      </c>
      <c r="X32">
        <v>6962</v>
      </c>
      <c r="Y32">
        <v>10055286</v>
      </c>
      <c r="Z32">
        <v>2923</v>
      </c>
      <c r="AA32">
        <v>417</v>
      </c>
      <c r="AB32">
        <v>436</v>
      </c>
      <c r="AC32">
        <v>952016</v>
      </c>
      <c r="AD32">
        <v>125</v>
      </c>
      <c r="AE32">
        <v>12467</v>
      </c>
      <c r="AF32">
        <v>11431</v>
      </c>
      <c r="AG32">
        <v>13861526</v>
      </c>
      <c r="AH32">
        <v>11823</v>
      </c>
      <c r="AI32">
        <v>1718</v>
      </c>
      <c r="AJ32">
        <v>1319</v>
      </c>
      <c r="AK32">
        <v>1966709</v>
      </c>
      <c r="AL32">
        <v>5203</v>
      </c>
      <c r="AM32">
        <v>2489</v>
      </c>
      <c r="AN32">
        <v>2527</v>
      </c>
      <c r="AO32">
        <v>7100380</v>
      </c>
      <c r="AP32">
        <v>2933</v>
      </c>
      <c r="AQ32">
        <v>436</v>
      </c>
      <c r="AR32">
        <v>445</v>
      </c>
      <c r="AS32">
        <v>938608</v>
      </c>
      <c r="AT32">
        <v>511</v>
      </c>
    </row>
    <row r="33" spans="1:46" x14ac:dyDescent="0.4">
      <c r="A33" s="1" t="s">
        <v>54</v>
      </c>
      <c r="B33" s="1" t="s">
        <v>55</v>
      </c>
      <c r="C33">
        <v>866</v>
      </c>
      <c r="D33">
        <v>933</v>
      </c>
      <c r="E33">
        <v>1759497</v>
      </c>
      <c r="F33">
        <v>580</v>
      </c>
      <c r="G33">
        <v>23818</v>
      </c>
      <c r="H33">
        <v>23435</v>
      </c>
      <c r="I33">
        <v>43124435</v>
      </c>
      <c r="J33">
        <v>8481</v>
      </c>
      <c r="K33">
        <v>6379</v>
      </c>
      <c r="L33">
        <v>6267</v>
      </c>
      <c r="M33">
        <v>11642300</v>
      </c>
      <c r="N33">
        <v>3526</v>
      </c>
      <c r="O33">
        <v>2215</v>
      </c>
      <c r="P33">
        <v>2235</v>
      </c>
      <c r="Q33">
        <v>3984092</v>
      </c>
      <c r="R33">
        <v>1835</v>
      </c>
      <c r="S33">
        <v>492</v>
      </c>
      <c r="T33">
        <v>508</v>
      </c>
      <c r="U33">
        <v>787085</v>
      </c>
      <c r="V33">
        <v>423</v>
      </c>
      <c r="W33">
        <v>8047</v>
      </c>
      <c r="X33">
        <v>8051</v>
      </c>
      <c r="Y33">
        <v>11323595</v>
      </c>
      <c r="Z33">
        <v>2865</v>
      </c>
      <c r="AA33">
        <v>442</v>
      </c>
      <c r="AB33">
        <v>437</v>
      </c>
      <c r="AC33">
        <v>910792</v>
      </c>
      <c r="AD33">
        <v>139</v>
      </c>
      <c r="AE33">
        <v>12549</v>
      </c>
      <c r="AF33">
        <v>11991</v>
      </c>
      <c r="AG33">
        <v>15023813</v>
      </c>
      <c r="AH33">
        <v>11453</v>
      </c>
      <c r="AI33">
        <v>1899</v>
      </c>
      <c r="AJ33">
        <v>1425</v>
      </c>
      <c r="AK33">
        <v>2162669</v>
      </c>
      <c r="AL33">
        <v>5337</v>
      </c>
      <c r="AM33">
        <v>2573</v>
      </c>
      <c r="AN33">
        <v>2413</v>
      </c>
      <c r="AO33">
        <v>6873738</v>
      </c>
      <c r="AP33">
        <v>3093</v>
      </c>
      <c r="AQ33">
        <v>633</v>
      </c>
      <c r="AR33">
        <v>494</v>
      </c>
      <c r="AS33">
        <v>1032178</v>
      </c>
      <c r="AT33">
        <v>487</v>
      </c>
    </row>
    <row r="34" spans="1:46" x14ac:dyDescent="0.4">
      <c r="A34" s="1" t="s">
        <v>56</v>
      </c>
      <c r="B34" s="1" t="s">
        <v>57</v>
      </c>
      <c r="C34">
        <v>911</v>
      </c>
      <c r="D34">
        <v>821</v>
      </c>
      <c r="E34">
        <v>1582224</v>
      </c>
      <c r="F34">
        <v>577</v>
      </c>
      <c r="G34">
        <v>22577</v>
      </c>
      <c r="H34">
        <v>20403</v>
      </c>
      <c r="I34">
        <v>39362653</v>
      </c>
      <c r="J34">
        <v>9940</v>
      </c>
      <c r="K34">
        <v>6677</v>
      </c>
      <c r="L34">
        <v>6023</v>
      </c>
      <c r="M34">
        <v>11502618</v>
      </c>
      <c r="N34">
        <v>4300</v>
      </c>
      <c r="O34">
        <v>2166</v>
      </c>
      <c r="P34">
        <v>2171</v>
      </c>
      <c r="Q34">
        <v>3933957</v>
      </c>
      <c r="R34">
        <v>1817</v>
      </c>
      <c r="S34">
        <v>448</v>
      </c>
      <c r="T34">
        <v>408</v>
      </c>
      <c r="U34">
        <v>661213</v>
      </c>
      <c r="V34">
        <v>462</v>
      </c>
      <c r="W34">
        <v>7555</v>
      </c>
      <c r="X34">
        <v>7191</v>
      </c>
      <c r="Y34">
        <v>10792440</v>
      </c>
      <c r="Z34">
        <v>3197</v>
      </c>
      <c r="AA34">
        <v>414</v>
      </c>
      <c r="AB34">
        <v>441</v>
      </c>
      <c r="AC34">
        <v>968074</v>
      </c>
      <c r="AD34">
        <v>118</v>
      </c>
      <c r="AE34">
        <v>11608</v>
      </c>
      <c r="AF34">
        <v>10434</v>
      </c>
      <c r="AG34">
        <v>13668735</v>
      </c>
      <c r="AH34">
        <v>11831</v>
      </c>
      <c r="AI34">
        <v>1656</v>
      </c>
      <c r="AJ34">
        <v>1446</v>
      </c>
      <c r="AK34">
        <v>2284119</v>
      </c>
      <c r="AL34">
        <v>5246</v>
      </c>
      <c r="AM34">
        <v>2458</v>
      </c>
      <c r="AN34">
        <v>2572</v>
      </c>
      <c r="AO34">
        <v>7038669</v>
      </c>
      <c r="AP34">
        <v>2980</v>
      </c>
      <c r="AQ34">
        <v>589</v>
      </c>
      <c r="AR34">
        <v>485</v>
      </c>
      <c r="AS34">
        <v>1028342</v>
      </c>
      <c r="AT34">
        <v>478</v>
      </c>
    </row>
    <row r="35" spans="1:46" x14ac:dyDescent="0.4">
      <c r="A35" s="1" t="s">
        <v>58</v>
      </c>
      <c r="B35" s="1" t="s">
        <v>59</v>
      </c>
      <c r="C35">
        <v>821</v>
      </c>
      <c r="D35">
        <v>799</v>
      </c>
      <c r="E35">
        <v>1625898</v>
      </c>
      <c r="F35">
        <v>594</v>
      </c>
      <c r="G35">
        <v>20820</v>
      </c>
      <c r="H35">
        <v>21264</v>
      </c>
      <c r="I35">
        <v>42502195</v>
      </c>
      <c r="J35">
        <v>9042</v>
      </c>
      <c r="K35">
        <v>6111</v>
      </c>
      <c r="L35">
        <v>6663</v>
      </c>
      <c r="M35">
        <v>12889750</v>
      </c>
      <c r="N35">
        <v>3873</v>
      </c>
      <c r="O35">
        <v>2134</v>
      </c>
      <c r="P35">
        <v>2003</v>
      </c>
      <c r="Q35">
        <v>3762178</v>
      </c>
      <c r="R35">
        <v>1948</v>
      </c>
      <c r="S35">
        <v>404</v>
      </c>
      <c r="T35">
        <v>381</v>
      </c>
      <c r="U35">
        <v>621426</v>
      </c>
      <c r="V35">
        <v>481</v>
      </c>
      <c r="W35">
        <v>7504</v>
      </c>
      <c r="X35">
        <v>7069</v>
      </c>
      <c r="Y35">
        <v>11051882</v>
      </c>
      <c r="Z35">
        <v>3561</v>
      </c>
      <c r="AA35">
        <v>414</v>
      </c>
      <c r="AB35">
        <v>421</v>
      </c>
      <c r="AC35">
        <v>942514</v>
      </c>
      <c r="AD35">
        <v>115</v>
      </c>
      <c r="AE35">
        <v>11462</v>
      </c>
      <c r="AF35">
        <v>10688</v>
      </c>
      <c r="AG35">
        <v>14568459</v>
      </c>
      <c r="AH35">
        <v>11810</v>
      </c>
      <c r="AI35">
        <v>1665</v>
      </c>
      <c r="AJ35">
        <v>1431</v>
      </c>
      <c r="AK35">
        <v>2394546</v>
      </c>
      <c r="AL35">
        <v>5147</v>
      </c>
      <c r="AM35">
        <v>2604</v>
      </c>
      <c r="AN35">
        <v>2464</v>
      </c>
      <c r="AO35">
        <v>7120762</v>
      </c>
      <c r="AP35">
        <v>3121</v>
      </c>
      <c r="AQ35">
        <v>644</v>
      </c>
      <c r="AR35">
        <v>517</v>
      </c>
      <c r="AS35">
        <v>1155299</v>
      </c>
      <c r="AT35">
        <v>482</v>
      </c>
    </row>
    <row r="36" spans="1:46" x14ac:dyDescent="0.4">
      <c r="A36" s="1" t="s">
        <v>60</v>
      </c>
      <c r="B36" s="1" t="s">
        <v>61</v>
      </c>
      <c r="C36">
        <v>772</v>
      </c>
      <c r="D36">
        <v>748</v>
      </c>
      <c r="E36">
        <v>1572291</v>
      </c>
      <c r="F36">
        <v>610</v>
      </c>
      <c r="G36">
        <v>20258</v>
      </c>
      <c r="H36">
        <v>20332</v>
      </c>
      <c r="I36">
        <v>43037678</v>
      </c>
      <c r="J36">
        <v>8337</v>
      </c>
      <c r="K36">
        <v>6208</v>
      </c>
      <c r="L36">
        <v>6749</v>
      </c>
      <c r="M36">
        <v>13923079</v>
      </c>
      <c r="N36">
        <v>3482</v>
      </c>
      <c r="O36">
        <v>2134</v>
      </c>
      <c r="P36">
        <v>2147</v>
      </c>
      <c r="Q36">
        <v>4288619</v>
      </c>
      <c r="R36">
        <v>1935</v>
      </c>
      <c r="S36">
        <v>408</v>
      </c>
      <c r="T36">
        <v>385</v>
      </c>
      <c r="U36">
        <v>675387</v>
      </c>
      <c r="V36">
        <v>503</v>
      </c>
      <c r="W36">
        <v>6999</v>
      </c>
      <c r="X36">
        <v>7207</v>
      </c>
      <c r="Y36">
        <v>11796120</v>
      </c>
      <c r="Z36">
        <v>3319</v>
      </c>
      <c r="AA36">
        <v>385</v>
      </c>
      <c r="AB36">
        <v>425</v>
      </c>
      <c r="AC36">
        <v>968634</v>
      </c>
      <c r="AD36">
        <v>82</v>
      </c>
      <c r="AE36">
        <v>11817</v>
      </c>
      <c r="AF36">
        <v>10992</v>
      </c>
      <c r="AG36">
        <v>15693747</v>
      </c>
      <c r="AH36">
        <v>11818</v>
      </c>
      <c r="AI36">
        <v>1694</v>
      </c>
      <c r="AJ36">
        <v>1403</v>
      </c>
      <c r="AK36">
        <v>2492997</v>
      </c>
      <c r="AL36">
        <v>5103</v>
      </c>
      <c r="AM36">
        <v>2402</v>
      </c>
      <c r="AN36">
        <v>2470</v>
      </c>
      <c r="AO36">
        <v>7105491</v>
      </c>
      <c r="AP36">
        <v>3056</v>
      </c>
      <c r="AQ36">
        <v>575</v>
      </c>
      <c r="AR36">
        <v>490</v>
      </c>
      <c r="AS36">
        <v>1141631</v>
      </c>
      <c r="AT36">
        <v>442</v>
      </c>
    </row>
    <row r="37" spans="1:46" x14ac:dyDescent="0.4">
      <c r="A37" s="1" t="s">
        <v>62</v>
      </c>
      <c r="B37" s="1" t="s">
        <v>63</v>
      </c>
      <c r="C37">
        <v>819</v>
      </c>
      <c r="D37">
        <v>755</v>
      </c>
      <c r="E37">
        <v>1683824</v>
      </c>
      <c r="F37">
        <v>667</v>
      </c>
      <c r="G37">
        <v>21436</v>
      </c>
      <c r="H37">
        <v>20253</v>
      </c>
      <c r="I37">
        <v>46480218</v>
      </c>
      <c r="J37">
        <v>8957</v>
      </c>
      <c r="K37">
        <v>6789</v>
      </c>
      <c r="L37">
        <v>6734</v>
      </c>
      <c r="M37">
        <v>14899117</v>
      </c>
      <c r="N37">
        <v>3659</v>
      </c>
      <c r="O37">
        <v>2056</v>
      </c>
      <c r="P37">
        <v>1983</v>
      </c>
      <c r="Q37">
        <v>4011415</v>
      </c>
      <c r="R37">
        <v>2009</v>
      </c>
      <c r="S37">
        <v>473</v>
      </c>
      <c r="T37">
        <v>455</v>
      </c>
      <c r="U37">
        <v>850138</v>
      </c>
      <c r="V37">
        <v>520</v>
      </c>
      <c r="W37">
        <v>6866</v>
      </c>
      <c r="X37">
        <v>6678</v>
      </c>
      <c r="Y37">
        <v>11886506</v>
      </c>
      <c r="Z37">
        <v>3440</v>
      </c>
      <c r="AA37">
        <v>431</v>
      </c>
      <c r="AB37">
        <v>424</v>
      </c>
      <c r="AC37">
        <v>1030614</v>
      </c>
      <c r="AD37">
        <v>96</v>
      </c>
      <c r="AE37">
        <v>11635</v>
      </c>
      <c r="AF37">
        <v>11086</v>
      </c>
      <c r="AG37">
        <v>17127479</v>
      </c>
      <c r="AH37">
        <v>11579</v>
      </c>
      <c r="AI37">
        <v>1666</v>
      </c>
      <c r="AJ37">
        <v>1290</v>
      </c>
      <c r="AK37">
        <v>2442431</v>
      </c>
      <c r="AL37">
        <v>5158</v>
      </c>
      <c r="AM37">
        <v>2579</v>
      </c>
      <c r="AN37">
        <v>2483</v>
      </c>
      <c r="AO37">
        <v>7897903</v>
      </c>
      <c r="AP37">
        <v>3154</v>
      </c>
      <c r="AQ37">
        <v>576</v>
      </c>
      <c r="AR37">
        <v>460</v>
      </c>
      <c r="AS37">
        <v>1119351</v>
      </c>
      <c r="AT37">
        <v>432</v>
      </c>
    </row>
    <row r="38" spans="1:46" x14ac:dyDescent="0.4">
      <c r="A38" s="1" t="s">
        <v>64</v>
      </c>
      <c r="B38" s="1" t="s">
        <v>65</v>
      </c>
      <c r="C38">
        <v>863</v>
      </c>
      <c r="D38">
        <v>894</v>
      </c>
      <c r="E38">
        <v>2120882</v>
      </c>
      <c r="F38">
        <v>635</v>
      </c>
      <c r="G38">
        <v>24531</v>
      </c>
      <c r="H38">
        <v>23526</v>
      </c>
      <c r="I38">
        <v>55414360</v>
      </c>
      <c r="J38">
        <v>9009</v>
      </c>
      <c r="K38">
        <v>7184</v>
      </c>
      <c r="L38">
        <v>7631</v>
      </c>
      <c r="M38">
        <v>16994699</v>
      </c>
      <c r="N38">
        <v>3316</v>
      </c>
      <c r="O38">
        <v>1839</v>
      </c>
      <c r="P38">
        <v>1948</v>
      </c>
      <c r="Q38">
        <v>4101323</v>
      </c>
      <c r="R38">
        <v>1898</v>
      </c>
      <c r="S38">
        <v>383</v>
      </c>
      <c r="T38">
        <v>478</v>
      </c>
      <c r="U38">
        <v>931374</v>
      </c>
      <c r="V38">
        <v>423</v>
      </c>
      <c r="W38">
        <v>7216</v>
      </c>
      <c r="X38">
        <v>7667</v>
      </c>
      <c r="Y38">
        <v>13745032</v>
      </c>
      <c r="Z38">
        <v>2921</v>
      </c>
      <c r="AA38">
        <v>438</v>
      </c>
      <c r="AB38">
        <v>431</v>
      </c>
      <c r="AC38">
        <v>1061409</v>
      </c>
      <c r="AD38">
        <v>111</v>
      </c>
      <c r="AE38">
        <v>12482</v>
      </c>
      <c r="AF38">
        <v>11011</v>
      </c>
      <c r="AG38">
        <v>17953664</v>
      </c>
      <c r="AH38">
        <v>11928</v>
      </c>
      <c r="AI38">
        <v>1848</v>
      </c>
      <c r="AJ38">
        <v>1395</v>
      </c>
      <c r="AK38">
        <v>2760765</v>
      </c>
      <c r="AL38">
        <v>5240</v>
      </c>
      <c r="AM38">
        <v>2660</v>
      </c>
      <c r="AN38">
        <v>2734</v>
      </c>
      <c r="AO38">
        <v>9154224</v>
      </c>
      <c r="AP38">
        <v>3106</v>
      </c>
      <c r="AQ38">
        <v>685</v>
      </c>
      <c r="AR38">
        <v>506</v>
      </c>
      <c r="AS38">
        <v>1341154</v>
      </c>
      <c r="AT38">
        <v>482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2C0F9-449A-4601-90C7-8131E70787ED}">
  <dimension ref="A1:W40"/>
  <sheetViews>
    <sheetView workbookViewId="0">
      <selection activeCell="C9" sqref="C9"/>
    </sheetView>
  </sheetViews>
  <sheetFormatPr defaultColWidth="15.62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3178</v>
      </c>
      <c r="D3" t="s">
        <v>3178</v>
      </c>
      <c r="E3" t="s">
        <v>3178</v>
      </c>
      <c r="F3" t="s">
        <v>3182</v>
      </c>
      <c r="G3" t="s">
        <v>3182</v>
      </c>
      <c r="H3" t="s">
        <v>3182</v>
      </c>
      <c r="I3" t="s">
        <v>3184</v>
      </c>
      <c r="J3" t="s">
        <v>3184</v>
      </c>
      <c r="K3" t="s">
        <v>3184</v>
      </c>
      <c r="L3" t="s">
        <v>3186</v>
      </c>
      <c r="M3" t="s">
        <v>3186</v>
      </c>
      <c r="N3" t="s">
        <v>3186</v>
      </c>
      <c r="O3" t="s">
        <v>3188</v>
      </c>
      <c r="P3" t="s">
        <v>3190</v>
      </c>
      <c r="Q3" t="s">
        <v>3190</v>
      </c>
      <c r="R3" t="s">
        <v>3190</v>
      </c>
      <c r="S3" t="s">
        <v>3190</v>
      </c>
      <c r="T3" t="s">
        <v>3192</v>
      </c>
      <c r="U3" t="s">
        <v>3192</v>
      </c>
      <c r="V3" t="s">
        <v>3192</v>
      </c>
      <c r="W3" t="s">
        <v>3192</v>
      </c>
    </row>
    <row r="4" spans="1:23" x14ac:dyDescent="0.4">
      <c r="A4" s="1"/>
      <c r="B4" s="2" t="s">
        <v>1</v>
      </c>
      <c r="C4" t="s">
        <v>3180</v>
      </c>
      <c r="D4" t="s">
        <v>3180</v>
      </c>
      <c r="E4" t="s">
        <v>3180</v>
      </c>
      <c r="F4" t="s">
        <v>3183</v>
      </c>
      <c r="G4" t="s">
        <v>3183</v>
      </c>
      <c r="H4" t="s">
        <v>3183</v>
      </c>
      <c r="I4" t="s">
        <v>3185</v>
      </c>
      <c r="J4" t="s">
        <v>3185</v>
      </c>
      <c r="K4" t="s">
        <v>3185</v>
      </c>
      <c r="L4" t="s">
        <v>3187</v>
      </c>
      <c r="M4" t="s">
        <v>3187</v>
      </c>
      <c r="N4" t="s">
        <v>3187</v>
      </c>
      <c r="O4" t="s">
        <v>3189</v>
      </c>
      <c r="P4" t="s">
        <v>3191</v>
      </c>
      <c r="Q4" t="s">
        <v>3191</v>
      </c>
      <c r="R4" t="s">
        <v>3191</v>
      </c>
      <c r="S4" t="s">
        <v>3191</v>
      </c>
      <c r="T4" t="s">
        <v>3193</v>
      </c>
      <c r="U4" t="s">
        <v>3193</v>
      </c>
      <c r="V4" t="s">
        <v>3193</v>
      </c>
      <c r="W4" t="s">
        <v>3193</v>
      </c>
    </row>
    <row r="5" spans="1:2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263</v>
      </c>
      <c r="P5" t="s">
        <v>69</v>
      </c>
      <c r="Q5" t="s">
        <v>74</v>
      </c>
      <c r="R5" t="s">
        <v>263</v>
      </c>
      <c r="S5" t="s">
        <v>76</v>
      </c>
      <c r="T5" t="s">
        <v>69</v>
      </c>
      <c r="U5" t="s">
        <v>74</v>
      </c>
      <c r="V5" t="s">
        <v>263</v>
      </c>
      <c r="W5" t="s">
        <v>76</v>
      </c>
    </row>
    <row r="6" spans="1:2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264</v>
      </c>
      <c r="P6" t="s">
        <v>72</v>
      </c>
      <c r="Q6" t="s">
        <v>75</v>
      </c>
      <c r="R6" t="s">
        <v>264</v>
      </c>
      <c r="S6" t="s">
        <v>77</v>
      </c>
      <c r="T6" t="s">
        <v>72</v>
      </c>
      <c r="U6" t="s">
        <v>75</v>
      </c>
      <c r="V6" t="s">
        <v>264</v>
      </c>
      <c r="W6" t="s">
        <v>77</v>
      </c>
    </row>
    <row r="7" spans="1:23" x14ac:dyDescent="0.4">
      <c r="A7" s="1"/>
      <c r="B7" s="2" t="s">
        <v>4</v>
      </c>
      <c r="C7" t="s">
        <v>3179</v>
      </c>
      <c r="D7" t="s">
        <v>3179</v>
      </c>
      <c r="E7" t="s">
        <v>3179</v>
      </c>
      <c r="F7" t="s">
        <v>3179</v>
      </c>
      <c r="G7" t="s">
        <v>3179</v>
      </c>
      <c r="H7" t="s">
        <v>3179</v>
      </c>
      <c r="I7" t="s">
        <v>3179</v>
      </c>
      <c r="J7" t="s">
        <v>3179</v>
      </c>
      <c r="K7" t="s">
        <v>3179</v>
      </c>
      <c r="L7" t="s">
        <v>3179</v>
      </c>
      <c r="M7" t="s">
        <v>3179</v>
      </c>
      <c r="N7" t="s">
        <v>3179</v>
      </c>
      <c r="O7" t="s">
        <v>258</v>
      </c>
      <c r="P7" t="s">
        <v>70</v>
      </c>
      <c r="Q7" t="s">
        <v>70</v>
      </c>
      <c r="R7" t="s">
        <v>341</v>
      </c>
      <c r="S7" t="s">
        <v>70</v>
      </c>
      <c r="T7" t="s">
        <v>70</v>
      </c>
      <c r="U7" t="s">
        <v>70</v>
      </c>
      <c r="V7" t="s">
        <v>341</v>
      </c>
      <c r="W7" t="s">
        <v>70</v>
      </c>
    </row>
    <row r="8" spans="1:23" x14ac:dyDescent="0.4">
      <c r="A8" s="1" t="s">
        <v>67</v>
      </c>
      <c r="B8" s="2" t="s">
        <v>5</v>
      </c>
      <c r="C8" t="s">
        <v>3181</v>
      </c>
      <c r="D8" t="s">
        <v>3181</v>
      </c>
      <c r="E8" t="s">
        <v>3181</v>
      </c>
      <c r="F8" t="s">
        <v>3181</v>
      </c>
      <c r="G8" t="s">
        <v>3181</v>
      </c>
      <c r="H8" t="s">
        <v>3181</v>
      </c>
      <c r="I8" t="s">
        <v>3181</v>
      </c>
      <c r="J8" t="s">
        <v>3181</v>
      </c>
      <c r="K8" t="s">
        <v>3181</v>
      </c>
      <c r="L8" t="s">
        <v>3181</v>
      </c>
      <c r="M8" t="s">
        <v>3181</v>
      </c>
      <c r="N8" t="s">
        <v>3181</v>
      </c>
      <c r="O8" t="s">
        <v>260</v>
      </c>
      <c r="P8" t="s">
        <v>70</v>
      </c>
      <c r="Q8" t="s">
        <v>70</v>
      </c>
      <c r="R8" t="s">
        <v>342</v>
      </c>
      <c r="S8" t="s">
        <v>70</v>
      </c>
      <c r="T8" t="s">
        <v>70</v>
      </c>
      <c r="U8" t="s">
        <v>70</v>
      </c>
      <c r="V8" t="s">
        <v>342</v>
      </c>
      <c r="W8" t="s">
        <v>70</v>
      </c>
    </row>
    <row r="9" spans="1:2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>
        <v>16273</v>
      </c>
      <c r="Q9">
        <v>16540</v>
      </c>
      <c r="R9">
        <v>90716266</v>
      </c>
      <c r="S9">
        <v>1091</v>
      </c>
      <c r="T9">
        <v>53968</v>
      </c>
      <c r="U9">
        <v>52975</v>
      </c>
      <c r="V9">
        <v>48735954</v>
      </c>
      <c r="W9">
        <v>3845</v>
      </c>
    </row>
    <row r="10" spans="1:2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>
        <v>14778</v>
      </c>
      <c r="Q10">
        <v>15185</v>
      </c>
      <c r="R10">
        <v>104131957</v>
      </c>
      <c r="S10">
        <v>935</v>
      </c>
      <c r="T10">
        <v>58310</v>
      </c>
      <c r="U10">
        <v>58125</v>
      </c>
      <c r="V10">
        <v>63746573</v>
      </c>
      <c r="W10">
        <v>2677</v>
      </c>
    </row>
    <row r="11" spans="1:2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>
        <v>14145</v>
      </c>
      <c r="Q11">
        <v>14417</v>
      </c>
      <c r="R11">
        <v>96903286</v>
      </c>
      <c r="S11">
        <v>907</v>
      </c>
      <c r="T11">
        <v>55050</v>
      </c>
      <c r="U11">
        <v>52942</v>
      </c>
      <c r="V11">
        <v>60831754</v>
      </c>
      <c r="W11">
        <v>3207</v>
      </c>
    </row>
    <row r="12" spans="1:2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>
        <v>13967</v>
      </c>
      <c r="Q12">
        <v>14114</v>
      </c>
      <c r="R12">
        <v>111111495</v>
      </c>
      <c r="S12">
        <v>979</v>
      </c>
      <c r="T12">
        <v>53305</v>
      </c>
      <c r="U12">
        <v>51047</v>
      </c>
      <c r="V12">
        <v>66186474</v>
      </c>
      <c r="W12">
        <v>3797</v>
      </c>
    </row>
    <row r="13" spans="1:2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>
        <v>14305</v>
      </c>
      <c r="Q13">
        <v>14561</v>
      </c>
      <c r="R13">
        <v>134924303</v>
      </c>
      <c r="S13">
        <v>974</v>
      </c>
      <c r="T13">
        <v>50276</v>
      </c>
      <c r="U13">
        <v>48909</v>
      </c>
      <c r="V13">
        <v>68670936</v>
      </c>
      <c r="W13">
        <v>2928</v>
      </c>
    </row>
    <row r="14" spans="1:2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>
        <v>1122</v>
      </c>
      <c r="Q14">
        <v>1134</v>
      </c>
      <c r="R14">
        <v>7967066</v>
      </c>
      <c r="S14">
        <v>880</v>
      </c>
      <c r="T14">
        <v>4900</v>
      </c>
      <c r="U14">
        <v>4441</v>
      </c>
      <c r="V14">
        <v>5357875</v>
      </c>
      <c r="W14">
        <v>2916</v>
      </c>
    </row>
    <row r="15" spans="1:2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>
        <v>1154</v>
      </c>
      <c r="Q15">
        <v>1166</v>
      </c>
      <c r="R15">
        <v>8360753</v>
      </c>
      <c r="S15">
        <v>888</v>
      </c>
      <c r="T15">
        <v>4517</v>
      </c>
      <c r="U15">
        <v>4294</v>
      </c>
      <c r="V15">
        <v>5338591</v>
      </c>
      <c r="W15">
        <v>2994</v>
      </c>
    </row>
    <row r="16" spans="1:2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>
        <v>1228</v>
      </c>
      <c r="Q16">
        <v>1225</v>
      </c>
      <c r="R16">
        <v>9424318</v>
      </c>
      <c r="S16">
        <v>911</v>
      </c>
      <c r="T16">
        <v>4563</v>
      </c>
      <c r="U16">
        <v>4138</v>
      </c>
      <c r="V16">
        <v>5146986</v>
      </c>
      <c r="W16">
        <v>3252</v>
      </c>
    </row>
    <row r="17" spans="1:2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>
        <v>1188</v>
      </c>
      <c r="Q17">
        <v>1204</v>
      </c>
      <c r="R17">
        <v>9764596</v>
      </c>
      <c r="S17">
        <v>913</v>
      </c>
      <c r="T17">
        <v>4527</v>
      </c>
      <c r="U17">
        <v>3558</v>
      </c>
      <c r="V17">
        <v>5158517</v>
      </c>
      <c r="W17">
        <v>4095</v>
      </c>
    </row>
    <row r="18" spans="1:2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>
        <v>1326</v>
      </c>
      <c r="Q18">
        <v>1376</v>
      </c>
      <c r="R18">
        <v>11939466</v>
      </c>
      <c r="S18">
        <v>883</v>
      </c>
      <c r="T18">
        <v>4233</v>
      </c>
      <c r="U18">
        <v>4172</v>
      </c>
      <c r="V18">
        <v>5903527</v>
      </c>
      <c r="W18">
        <v>4039</v>
      </c>
    </row>
    <row r="19" spans="1:2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>
        <v>970</v>
      </c>
      <c r="Q19">
        <v>1019</v>
      </c>
      <c r="R19">
        <v>8717673</v>
      </c>
      <c r="S19">
        <v>853</v>
      </c>
      <c r="T19">
        <v>3550</v>
      </c>
      <c r="U19">
        <v>4116</v>
      </c>
      <c r="V19">
        <v>5523590</v>
      </c>
      <c r="W19">
        <v>3359</v>
      </c>
    </row>
    <row r="20" spans="1:2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>
        <v>1151</v>
      </c>
      <c r="Q20">
        <v>1155</v>
      </c>
      <c r="R20">
        <v>9400731</v>
      </c>
      <c r="S20">
        <v>865</v>
      </c>
      <c r="T20">
        <v>4183</v>
      </c>
      <c r="U20">
        <v>3970</v>
      </c>
      <c r="V20">
        <v>5160435</v>
      </c>
      <c r="W20">
        <v>3459</v>
      </c>
    </row>
    <row r="21" spans="1:2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>
        <v>1242</v>
      </c>
      <c r="Q21">
        <v>1321</v>
      </c>
      <c r="R21">
        <v>10929570</v>
      </c>
      <c r="S21">
        <v>800</v>
      </c>
      <c r="T21">
        <v>4740</v>
      </c>
      <c r="U21">
        <v>4429</v>
      </c>
      <c r="V21">
        <v>5852415</v>
      </c>
      <c r="W21">
        <v>3669</v>
      </c>
    </row>
    <row r="22" spans="1:2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>
        <v>1142</v>
      </c>
      <c r="Q22">
        <v>1122</v>
      </c>
      <c r="R22">
        <v>9288374</v>
      </c>
      <c r="S22">
        <v>846</v>
      </c>
      <c r="T22">
        <v>4858</v>
      </c>
      <c r="U22">
        <v>4428</v>
      </c>
      <c r="V22">
        <v>6067816</v>
      </c>
      <c r="W22">
        <v>3947</v>
      </c>
    </row>
    <row r="23" spans="1:2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>
        <v>1204</v>
      </c>
      <c r="Q23">
        <v>1085</v>
      </c>
      <c r="R23">
        <v>9228760</v>
      </c>
      <c r="S23">
        <v>979</v>
      </c>
      <c r="T23">
        <v>4696</v>
      </c>
      <c r="U23">
        <v>4633</v>
      </c>
      <c r="V23">
        <v>6217693</v>
      </c>
      <c r="W23">
        <v>3797</v>
      </c>
    </row>
    <row r="24" spans="1:2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>
        <v>1127</v>
      </c>
      <c r="Q24">
        <v>1098</v>
      </c>
      <c r="R24">
        <v>9053990</v>
      </c>
      <c r="S24">
        <v>1031</v>
      </c>
      <c r="T24">
        <v>4404</v>
      </c>
      <c r="U24">
        <v>4392</v>
      </c>
      <c r="V24">
        <v>5857076</v>
      </c>
      <c r="W24">
        <v>3102</v>
      </c>
    </row>
    <row r="25" spans="1:2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>
        <v>1140</v>
      </c>
      <c r="Q25">
        <v>1265</v>
      </c>
      <c r="R25">
        <v>11153020</v>
      </c>
      <c r="S25">
        <v>926</v>
      </c>
      <c r="T25">
        <v>4262</v>
      </c>
      <c r="U25">
        <v>4338</v>
      </c>
      <c r="V25">
        <v>5752813</v>
      </c>
      <c r="W25">
        <v>2895</v>
      </c>
    </row>
    <row r="26" spans="1:2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>
        <v>1149</v>
      </c>
      <c r="Q26">
        <v>1144</v>
      </c>
      <c r="R26">
        <v>9925587</v>
      </c>
      <c r="S26">
        <v>954</v>
      </c>
      <c r="T26">
        <v>4284</v>
      </c>
      <c r="U26">
        <v>4097</v>
      </c>
      <c r="V26">
        <v>5521435</v>
      </c>
      <c r="W26">
        <v>2917</v>
      </c>
    </row>
    <row r="27" spans="1:2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>
        <v>1163</v>
      </c>
      <c r="Q27">
        <v>1175</v>
      </c>
      <c r="R27">
        <v>10369158</v>
      </c>
      <c r="S27">
        <v>965</v>
      </c>
      <c r="T27">
        <v>4347</v>
      </c>
      <c r="U27">
        <v>4447</v>
      </c>
      <c r="V27">
        <v>5948592</v>
      </c>
      <c r="W27">
        <v>2680</v>
      </c>
    </row>
    <row r="28" spans="1:2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>
        <v>1174</v>
      </c>
      <c r="Q28">
        <v>1203</v>
      </c>
      <c r="R28">
        <v>10725128</v>
      </c>
      <c r="S28">
        <v>957</v>
      </c>
      <c r="T28">
        <v>4173</v>
      </c>
      <c r="U28">
        <v>3704</v>
      </c>
      <c r="V28">
        <v>5077748</v>
      </c>
      <c r="W28">
        <v>3022</v>
      </c>
    </row>
    <row r="29" spans="1:2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>
        <v>1202</v>
      </c>
      <c r="Q29">
        <v>1234</v>
      </c>
      <c r="R29">
        <v>11069171</v>
      </c>
      <c r="S29">
        <v>945</v>
      </c>
      <c r="T29">
        <v>4441</v>
      </c>
      <c r="U29">
        <v>3994</v>
      </c>
      <c r="V29">
        <v>5402028</v>
      </c>
      <c r="W29">
        <v>3336</v>
      </c>
    </row>
    <row r="30" spans="1:2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>
        <v>1361</v>
      </c>
      <c r="Q30">
        <v>1287</v>
      </c>
      <c r="R30">
        <v>11746044</v>
      </c>
      <c r="S30">
        <v>1040</v>
      </c>
      <c r="T30">
        <v>4519</v>
      </c>
      <c r="U30">
        <v>4361</v>
      </c>
      <c r="V30">
        <v>6264904</v>
      </c>
      <c r="W30">
        <v>3326</v>
      </c>
    </row>
    <row r="31" spans="1:2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>
        <v>998</v>
      </c>
      <c r="Q31">
        <v>1075</v>
      </c>
      <c r="R31">
        <v>9604094</v>
      </c>
      <c r="S31">
        <v>987</v>
      </c>
      <c r="T31">
        <v>3368</v>
      </c>
      <c r="U31">
        <v>3851</v>
      </c>
      <c r="V31">
        <v>5359141</v>
      </c>
      <c r="W31">
        <v>2732</v>
      </c>
    </row>
    <row r="32" spans="1:2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>
        <v>1235</v>
      </c>
      <c r="Q32">
        <v>1258</v>
      </c>
      <c r="R32">
        <v>12022657</v>
      </c>
      <c r="S32">
        <v>978</v>
      </c>
      <c r="T32">
        <v>4019</v>
      </c>
      <c r="U32">
        <v>4129</v>
      </c>
      <c r="V32">
        <v>5799922</v>
      </c>
      <c r="W32">
        <v>2493</v>
      </c>
    </row>
    <row r="33" spans="1:2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>
        <v>1341</v>
      </c>
      <c r="Q33">
        <v>1320</v>
      </c>
      <c r="R33">
        <v>12974872</v>
      </c>
      <c r="S33">
        <v>1019</v>
      </c>
      <c r="T33">
        <v>4389</v>
      </c>
      <c r="U33">
        <v>4028</v>
      </c>
      <c r="V33">
        <v>5958765</v>
      </c>
      <c r="W33">
        <v>2718</v>
      </c>
    </row>
    <row r="34" spans="1:2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>
        <v>1194</v>
      </c>
      <c r="Q34">
        <v>1248</v>
      </c>
      <c r="R34">
        <v>12738440</v>
      </c>
      <c r="S34">
        <v>985</v>
      </c>
      <c r="T34">
        <v>4031</v>
      </c>
      <c r="U34">
        <v>3882</v>
      </c>
      <c r="V34">
        <v>5836131</v>
      </c>
      <c r="W34">
        <v>2704</v>
      </c>
    </row>
    <row r="35" spans="1:2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>
        <v>1221</v>
      </c>
      <c r="Q35">
        <v>1254</v>
      </c>
      <c r="R35">
        <v>13542142</v>
      </c>
      <c r="S35">
        <v>974</v>
      </c>
      <c r="T35">
        <v>4039</v>
      </c>
      <c r="U35">
        <v>3686</v>
      </c>
      <c r="V35">
        <v>5892381</v>
      </c>
      <c r="W35">
        <v>2928</v>
      </c>
    </row>
    <row r="36" spans="1:2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>
        <v>1185</v>
      </c>
      <c r="Q36">
        <v>1202</v>
      </c>
      <c r="R36">
        <v>13608575</v>
      </c>
      <c r="S36">
        <v>967</v>
      </c>
      <c r="T36">
        <v>4023</v>
      </c>
      <c r="U36">
        <v>3777</v>
      </c>
      <c r="V36">
        <v>6308705</v>
      </c>
      <c r="W36">
        <v>3044</v>
      </c>
    </row>
    <row r="37" spans="1:2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>
        <v>1166</v>
      </c>
      <c r="Q37">
        <v>1141</v>
      </c>
      <c r="R37">
        <v>14339561</v>
      </c>
      <c r="S37">
        <v>994</v>
      </c>
      <c r="T37">
        <v>3709</v>
      </c>
      <c r="U37">
        <v>3624</v>
      </c>
      <c r="V37">
        <v>6810374</v>
      </c>
      <c r="W37">
        <v>3005</v>
      </c>
    </row>
    <row r="38" spans="1:2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>
        <v>1242</v>
      </c>
      <c r="Q38">
        <v>1262</v>
      </c>
      <c r="R38">
        <v>18087772</v>
      </c>
      <c r="S38">
        <v>987</v>
      </c>
      <c r="T38">
        <v>4044</v>
      </c>
      <c r="U38">
        <v>3660</v>
      </c>
      <c r="V38">
        <v>6938692</v>
      </c>
      <c r="W38">
        <v>3210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A429B-291B-4BD2-98F6-5E9404F06271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3194</v>
      </c>
      <c r="D3" t="s">
        <v>3194</v>
      </c>
      <c r="E3" t="s">
        <v>3194</v>
      </c>
      <c r="F3" t="s">
        <v>3194</v>
      </c>
      <c r="G3" t="s">
        <v>3196</v>
      </c>
      <c r="H3" t="s">
        <v>3196</v>
      </c>
      <c r="I3" t="s">
        <v>3196</v>
      </c>
      <c r="J3" t="s">
        <v>3196</v>
      </c>
      <c r="K3" t="s">
        <v>3198</v>
      </c>
      <c r="L3" t="s">
        <v>3198</v>
      </c>
      <c r="M3" t="s">
        <v>3198</v>
      </c>
      <c r="N3" t="s">
        <v>3198</v>
      </c>
      <c r="O3" t="s">
        <v>3200</v>
      </c>
      <c r="P3" t="s">
        <v>3200</v>
      </c>
      <c r="Q3" t="s">
        <v>3200</v>
      </c>
      <c r="R3" t="s">
        <v>3200</v>
      </c>
      <c r="S3" t="s">
        <v>3202</v>
      </c>
      <c r="T3" t="s">
        <v>3202</v>
      </c>
      <c r="U3" t="s">
        <v>3202</v>
      </c>
      <c r="V3" t="s">
        <v>3202</v>
      </c>
      <c r="W3" t="s">
        <v>3204</v>
      </c>
      <c r="X3" t="s">
        <v>3204</v>
      </c>
      <c r="Y3" t="s">
        <v>3204</v>
      </c>
      <c r="Z3" t="s">
        <v>3204</v>
      </c>
      <c r="AA3" t="s">
        <v>3206</v>
      </c>
      <c r="AB3" t="s">
        <v>3206</v>
      </c>
      <c r="AC3" t="s">
        <v>3206</v>
      </c>
      <c r="AD3" t="s">
        <v>3206</v>
      </c>
    </row>
    <row r="4" spans="1:30" x14ac:dyDescent="0.4">
      <c r="A4" s="1"/>
      <c r="B4" s="2" t="s">
        <v>1</v>
      </c>
      <c r="C4" t="s">
        <v>3195</v>
      </c>
      <c r="D4" t="s">
        <v>3195</v>
      </c>
      <c r="E4" t="s">
        <v>3195</v>
      </c>
      <c r="F4" t="s">
        <v>3195</v>
      </c>
      <c r="G4" t="s">
        <v>3197</v>
      </c>
      <c r="H4" t="s">
        <v>3197</v>
      </c>
      <c r="I4" t="s">
        <v>3197</v>
      </c>
      <c r="J4" t="s">
        <v>3197</v>
      </c>
      <c r="K4" t="s">
        <v>3199</v>
      </c>
      <c r="L4" t="s">
        <v>3199</v>
      </c>
      <c r="M4" t="s">
        <v>3199</v>
      </c>
      <c r="N4" t="s">
        <v>3199</v>
      </c>
      <c r="O4" t="s">
        <v>3201</v>
      </c>
      <c r="P4" t="s">
        <v>3201</v>
      </c>
      <c r="Q4" t="s">
        <v>3201</v>
      </c>
      <c r="R4" t="s">
        <v>3201</v>
      </c>
      <c r="S4" t="s">
        <v>3203</v>
      </c>
      <c r="T4" t="s">
        <v>3203</v>
      </c>
      <c r="U4" t="s">
        <v>3203</v>
      </c>
      <c r="V4" t="s">
        <v>3203</v>
      </c>
      <c r="W4" t="s">
        <v>3205</v>
      </c>
      <c r="X4" t="s">
        <v>3205</v>
      </c>
      <c r="Y4" t="s">
        <v>3205</v>
      </c>
      <c r="Z4" t="s">
        <v>3205</v>
      </c>
      <c r="AA4" t="s">
        <v>3207</v>
      </c>
      <c r="AB4" t="s">
        <v>3207</v>
      </c>
      <c r="AC4" t="s">
        <v>3207</v>
      </c>
      <c r="AD4" t="s">
        <v>3207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159295</v>
      </c>
      <c r="D9">
        <v>159945</v>
      </c>
      <c r="E9">
        <v>83911</v>
      </c>
      <c r="F9">
        <v>4961</v>
      </c>
      <c r="G9">
        <v>10085</v>
      </c>
      <c r="H9">
        <v>9786</v>
      </c>
      <c r="I9">
        <v>9544</v>
      </c>
      <c r="J9">
        <v>303</v>
      </c>
      <c r="K9">
        <v>996102</v>
      </c>
      <c r="L9">
        <v>939579</v>
      </c>
      <c r="M9">
        <v>349653</v>
      </c>
      <c r="N9">
        <v>45639</v>
      </c>
      <c r="O9">
        <v>39754</v>
      </c>
      <c r="P9">
        <v>37902</v>
      </c>
      <c r="Q9">
        <v>31634</v>
      </c>
      <c r="R9">
        <v>1210</v>
      </c>
      <c r="S9">
        <v>73620</v>
      </c>
      <c r="T9">
        <v>69852</v>
      </c>
      <c r="U9">
        <v>32976</v>
      </c>
      <c r="V9">
        <v>1938</v>
      </c>
      <c r="W9">
        <v>597954</v>
      </c>
      <c r="X9">
        <v>277902</v>
      </c>
      <c r="Y9">
        <v>160420</v>
      </c>
      <c r="Z9">
        <v>6426</v>
      </c>
      <c r="AA9">
        <v>127152</v>
      </c>
      <c r="AB9">
        <v>124827</v>
      </c>
      <c r="AC9">
        <v>107408</v>
      </c>
      <c r="AD9">
        <v>6466</v>
      </c>
    </row>
    <row r="10" spans="1:30" x14ac:dyDescent="0.4">
      <c r="A10" s="1" t="s">
        <v>8</v>
      </c>
      <c r="B10" s="3" t="s">
        <v>9</v>
      </c>
      <c r="C10">
        <v>167098</v>
      </c>
      <c r="D10">
        <v>165781</v>
      </c>
      <c r="E10">
        <v>110087</v>
      </c>
      <c r="F10">
        <v>6271</v>
      </c>
      <c r="G10">
        <v>9372</v>
      </c>
      <c r="H10">
        <v>8809</v>
      </c>
      <c r="I10">
        <v>10957</v>
      </c>
      <c r="J10">
        <v>359</v>
      </c>
      <c r="K10">
        <v>971025</v>
      </c>
      <c r="L10">
        <v>908739</v>
      </c>
      <c r="M10">
        <v>407568</v>
      </c>
      <c r="N10">
        <v>50798</v>
      </c>
      <c r="O10">
        <v>37213</v>
      </c>
      <c r="P10">
        <v>34819</v>
      </c>
      <c r="Q10">
        <v>33504</v>
      </c>
      <c r="R10">
        <v>1314</v>
      </c>
      <c r="S10">
        <v>65633</v>
      </c>
      <c r="T10">
        <v>63142</v>
      </c>
      <c r="U10">
        <v>36625</v>
      </c>
      <c r="V10">
        <v>1831</v>
      </c>
      <c r="W10">
        <v>572666</v>
      </c>
      <c r="X10">
        <v>259729</v>
      </c>
      <c r="Y10">
        <v>174976</v>
      </c>
      <c r="Z10">
        <v>6443</v>
      </c>
      <c r="AA10">
        <v>111514</v>
      </c>
      <c r="AB10">
        <v>111322</v>
      </c>
      <c r="AC10">
        <v>119351</v>
      </c>
      <c r="AD10">
        <v>5442</v>
      </c>
    </row>
    <row r="11" spans="1:30" x14ac:dyDescent="0.4">
      <c r="A11" s="1" t="s">
        <v>10</v>
      </c>
      <c r="B11" s="3" t="s">
        <v>11</v>
      </c>
      <c r="C11">
        <v>123444</v>
      </c>
      <c r="D11">
        <v>125420</v>
      </c>
      <c r="E11">
        <v>85061</v>
      </c>
      <c r="F11">
        <v>5136</v>
      </c>
      <c r="G11">
        <v>7842</v>
      </c>
      <c r="H11">
        <v>7139</v>
      </c>
      <c r="I11">
        <v>7878</v>
      </c>
      <c r="J11">
        <v>443</v>
      </c>
      <c r="K11">
        <v>917515</v>
      </c>
      <c r="L11">
        <v>865752</v>
      </c>
      <c r="M11">
        <v>413396</v>
      </c>
      <c r="N11">
        <v>48136</v>
      </c>
      <c r="O11">
        <v>33946</v>
      </c>
      <c r="P11">
        <v>31653</v>
      </c>
      <c r="Q11">
        <v>31292</v>
      </c>
      <c r="R11">
        <v>796</v>
      </c>
      <c r="S11">
        <v>58778</v>
      </c>
      <c r="T11">
        <v>56600</v>
      </c>
      <c r="U11">
        <v>33548</v>
      </c>
      <c r="V11">
        <v>1790</v>
      </c>
      <c r="W11">
        <v>553524</v>
      </c>
      <c r="X11">
        <v>260127</v>
      </c>
      <c r="Y11">
        <v>191002</v>
      </c>
      <c r="Z11">
        <v>7221</v>
      </c>
      <c r="AA11">
        <v>97769</v>
      </c>
      <c r="AB11">
        <v>97684</v>
      </c>
      <c r="AC11">
        <v>112668</v>
      </c>
      <c r="AD11">
        <v>5095</v>
      </c>
    </row>
    <row r="12" spans="1:30" x14ac:dyDescent="0.4">
      <c r="A12" s="1" t="s">
        <v>12</v>
      </c>
      <c r="B12" s="3" t="s">
        <v>13</v>
      </c>
      <c r="C12">
        <v>132481</v>
      </c>
      <c r="D12">
        <v>131702</v>
      </c>
      <c r="E12">
        <v>95569</v>
      </c>
      <c r="F12">
        <v>5914</v>
      </c>
      <c r="G12">
        <v>9035</v>
      </c>
      <c r="H12">
        <v>8497</v>
      </c>
      <c r="I12">
        <v>12393</v>
      </c>
      <c r="J12">
        <v>412</v>
      </c>
      <c r="K12">
        <v>901040</v>
      </c>
      <c r="L12">
        <v>849830</v>
      </c>
      <c r="M12">
        <v>408113</v>
      </c>
      <c r="N12">
        <v>49932</v>
      </c>
      <c r="O12">
        <v>34467</v>
      </c>
      <c r="P12">
        <v>32312</v>
      </c>
      <c r="Q12">
        <v>32592</v>
      </c>
      <c r="R12">
        <v>922</v>
      </c>
      <c r="S12">
        <v>58504</v>
      </c>
      <c r="T12">
        <v>56332</v>
      </c>
      <c r="U12">
        <v>35215</v>
      </c>
      <c r="V12">
        <v>1738</v>
      </c>
      <c r="W12">
        <v>528433</v>
      </c>
      <c r="X12">
        <v>250932</v>
      </c>
      <c r="Y12">
        <v>193757</v>
      </c>
      <c r="Z12">
        <v>6816</v>
      </c>
      <c r="AA12">
        <v>94594</v>
      </c>
      <c r="AB12">
        <v>94642</v>
      </c>
      <c r="AC12">
        <v>113845</v>
      </c>
      <c r="AD12">
        <v>4426</v>
      </c>
    </row>
    <row r="13" spans="1:30" x14ac:dyDescent="0.4">
      <c r="A13" s="1" t="s">
        <v>14</v>
      </c>
      <c r="B13" s="3" t="s">
        <v>15</v>
      </c>
      <c r="C13">
        <v>120546</v>
      </c>
      <c r="D13">
        <v>120715</v>
      </c>
      <c r="E13">
        <v>94703</v>
      </c>
      <c r="F13">
        <v>5747</v>
      </c>
      <c r="G13">
        <v>8796</v>
      </c>
      <c r="H13">
        <v>8218</v>
      </c>
      <c r="I13">
        <v>12788</v>
      </c>
      <c r="J13">
        <v>445</v>
      </c>
      <c r="K13">
        <v>913886</v>
      </c>
      <c r="L13">
        <v>864728</v>
      </c>
      <c r="M13">
        <v>448006</v>
      </c>
      <c r="N13">
        <v>47286</v>
      </c>
      <c r="O13">
        <v>34196</v>
      </c>
      <c r="P13">
        <v>32483</v>
      </c>
      <c r="Q13">
        <v>33888</v>
      </c>
      <c r="R13">
        <v>838</v>
      </c>
      <c r="S13">
        <v>58778</v>
      </c>
      <c r="T13">
        <v>56618</v>
      </c>
      <c r="U13">
        <v>37050</v>
      </c>
      <c r="V13">
        <v>1896</v>
      </c>
      <c r="W13">
        <v>507702</v>
      </c>
      <c r="X13">
        <v>245769</v>
      </c>
      <c r="Y13">
        <v>201589</v>
      </c>
      <c r="Z13">
        <v>6863</v>
      </c>
      <c r="AA13">
        <v>95117</v>
      </c>
      <c r="AB13">
        <v>92973</v>
      </c>
      <c r="AC13">
        <v>119732</v>
      </c>
      <c r="AD13">
        <v>6091</v>
      </c>
    </row>
    <row r="14" spans="1:30" x14ac:dyDescent="0.4">
      <c r="A14" s="1" t="s">
        <v>16</v>
      </c>
      <c r="B14" s="1" t="s">
        <v>17</v>
      </c>
      <c r="C14">
        <v>11329</v>
      </c>
      <c r="D14">
        <v>11223</v>
      </c>
      <c r="E14">
        <v>7956</v>
      </c>
      <c r="F14">
        <v>5260</v>
      </c>
      <c r="G14">
        <v>709</v>
      </c>
      <c r="H14">
        <v>760</v>
      </c>
      <c r="I14">
        <v>1309</v>
      </c>
      <c r="J14">
        <v>393</v>
      </c>
      <c r="K14">
        <v>75062</v>
      </c>
      <c r="L14">
        <v>72109</v>
      </c>
      <c r="M14">
        <v>34425</v>
      </c>
      <c r="N14">
        <v>45831</v>
      </c>
      <c r="O14">
        <v>2963</v>
      </c>
      <c r="P14">
        <v>2774</v>
      </c>
      <c r="Q14">
        <v>2829</v>
      </c>
      <c r="R14">
        <v>793</v>
      </c>
      <c r="S14">
        <v>5191</v>
      </c>
      <c r="T14">
        <v>4835</v>
      </c>
      <c r="U14">
        <v>3137</v>
      </c>
      <c r="V14">
        <v>1609</v>
      </c>
      <c r="W14">
        <v>44100</v>
      </c>
      <c r="X14">
        <v>21052</v>
      </c>
      <c r="Y14">
        <v>16832</v>
      </c>
      <c r="Z14">
        <v>7078</v>
      </c>
      <c r="AA14">
        <v>7883</v>
      </c>
      <c r="AB14">
        <v>7883</v>
      </c>
      <c r="AC14">
        <v>9268</v>
      </c>
      <c r="AD14">
        <v>4626</v>
      </c>
    </row>
    <row r="15" spans="1:30" x14ac:dyDescent="0.4">
      <c r="A15" s="1" t="s">
        <v>18</v>
      </c>
      <c r="B15" s="1" t="s">
        <v>19</v>
      </c>
      <c r="C15">
        <v>11239</v>
      </c>
      <c r="D15">
        <v>10883</v>
      </c>
      <c r="E15">
        <v>7369</v>
      </c>
      <c r="F15">
        <v>5611</v>
      </c>
      <c r="G15">
        <v>707</v>
      </c>
      <c r="H15">
        <v>639</v>
      </c>
      <c r="I15">
        <v>793</v>
      </c>
      <c r="J15">
        <v>417</v>
      </c>
      <c r="K15">
        <v>76924</v>
      </c>
      <c r="L15">
        <v>73660</v>
      </c>
      <c r="M15">
        <v>32876</v>
      </c>
      <c r="N15">
        <v>44943</v>
      </c>
      <c r="O15">
        <v>2869</v>
      </c>
      <c r="P15">
        <v>2707</v>
      </c>
      <c r="Q15">
        <v>2711</v>
      </c>
      <c r="R15">
        <v>805</v>
      </c>
      <c r="S15">
        <v>4882</v>
      </c>
      <c r="T15">
        <v>4724</v>
      </c>
      <c r="U15">
        <v>2811</v>
      </c>
      <c r="V15">
        <v>1551</v>
      </c>
      <c r="W15">
        <v>44726</v>
      </c>
      <c r="X15">
        <v>20651</v>
      </c>
      <c r="Y15">
        <v>15469</v>
      </c>
      <c r="Z15">
        <v>7426</v>
      </c>
      <c r="AA15">
        <v>7793</v>
      </c>
      <c r="AB15">
        <v>7700</v>
      </c>
      <c r="AC15">
        <v>9092</v>
      </c>
      <c r="AD15">
        <v>4648</v>
      </c>
    </row>
    <row r="16" spans="1:30" x14ac:dyDescent="0.4">
      <c r="A16" s="1" t="s">
        <v>20</v>
      </c>
      <c r="B16" s="1" t="s">
        <v>21</v>
      </c>
      <c r="C16">
        <v>10503</v>
      </c>
      <c r="D16">
        <v>10402</v>
      </c>
      <c r="E16">
        <v>7004</v>
      </c>
      <c r="F16">
        <v>5717</v>
      </c>
      <c r="G16">
        <v>721</v>
      </c>
      <c r="H16">
        <v>690</v>
      </c>
      <c r="I16">
        <v>1124</v>
      </c>
      <c r="J16">
        <v>397</v>
      </c>
      <c r="K16">
        <v>79157</v>
      </c>
      <c r="L16">
        <v>75865</v>
      </c>
      <c r="M16">
        <v>33963</v>
      </c>
      <c r="N16">
        <v>44442</v>
      </c>
      <c r="O16">
        <v>2866</v>
      </c>
      <c r="P16">
        <v>2713</v>
      </c>
      <c r="Q16">
        <v>2640</v>
      </c>
      <c r="R16">
        <v>784</v>
      </c>
      <c r="S16">
        <v>4571</v>
      </c>
      <c r="T16">
        <v>4550</v>
      </c>
      <c r="U16">
        <v>2714</v>
      </c>
      <c r="V16">
        <v>1405</v>
      </c>
      <c r="W16">
        <v>41941</v>
      </c>
      <c r="X16">
        <v>20098</v>
      </c>
      <c r="Y16">
        <v>14900</v>
      </c>
      <c r="Z16">
        <v>6759</v>
      </c>
      <c r="AA16">
        <v>7457</v>
      </c>
      <c r="AB16">
        <v>7556</v>
      </c>
      <c r="AC16">
        <v>8923</v>
      </c>
      <c r="AD16">
        <v>4477</v>
      </c>
    </row>
    <row r="17" spans="1:30" x14ac:dyDescent="0.4">
      <c r="A17" s="1" t="s">
        <v>22</v>
      </c>
      <c r="B17" s="1" t="s">
        <v>23</v>
      </c>
      <c r="C17">
        <v>11816</v>
      </c>
      <c r="D17">
        <v>12290</v>
      </c>
      <c r="E17">
        <v>8629</v>
      </c>
      <c r="F17">
        <v>5238</v>
      </c>
      <c r="G17">
        <v>806</v>
      </c>
      <c r="H17">
        <v>747</v>
      </c>
      <c r="I17">
        <v>1167</v>
      </c>
      <c r="J17">
        <v>412</v>
      </c>
      <c r="K17">
        <v>78396</v>
      </c>
      <c r="L17">
        <v>72978</v>
      </c>
      <c r="M17">
        <v>34967</v>
      </c>
      <c r="N17">
        <v>45482</v>
      </c>
      <c r="O17">
        <v>2902</v>
      </c>
      <c r="P17">
        <v>2730</v>
      </c>
      <c r="Q17">
        <v>2705</v>
      </c>
      <c r="R17">
        <v>767</v>
      </c>
      <c r="S17">
        <v>5009</v>
      </c>
      <c r="T17">
        <v>4865</v>
      </c>
      <c r="U17">
        <v>2962</v>
      </c>
      <c r="V17">
        <v>1401</v>
      </c>
      <c r="W17">
        <v>45688</v>
      </c>
      <c r="X17">
        <v>21895</v>
      </c>
      <c r="Y17">
        <v>16416</v>
      </c>
      <c r="Z17">
        <v>6964</v>
      </c>
      <c r="AA17">
        <v>8051</v>
      </c>
      <c r="AB17">
        <v>7806</v>
      </c>
      <c r="AC17">
        <v>9418</v>
      </c>
      <c r="AD17">
        <v>4655</v>
      </c>
    </row>
    <row r="18" spans="1:30" x14ac:dyDescent="0.4">
      <c r="A18" s="1" t="s">
        <v>24</v>
      </c>
      <c r="B18" s="1" t="s">
        <v>25</v>
      </c>
      <c r="C18">
        <v>11715</v>
      </c>
      <c r="D18">
        <v>11337</v>
      </c>
      <c r="E18">
        <v>8294</v>
      </c>
      <c r="F18">
        <v>5618</v>
      </c>
      <c r="G18">
        <v>850</v>
      </c>
      <c r="H18">
        <v>739</v>
      </c>
      <c r="I18">
        <v>848</v>
      </c>
      <c r="J18">
        <v>460</v>
      </c>
      <c r="K18">
        <v>80466</v>
      </c>
      <c r="L18">
        <v>75125</v>
      </c>
      <c r="M18">
        <v>35820</v>
      </c>
      <c r="N18">
        <v>46430</v>
      </c>
      <c r="O18">
        <v>3039</v>
      </c>
      <c r="P18">
        <v>2871</v>
      </c>
      <c r="Q18">
        <v>2867</v>
      </c>
      <c r="R18">
        <v>760</v>
      </c>
      <c r="S18">
        <v>5347</v>
      </c>
      <c r="T18">
        <v>5032</v>
      </c>
      <c r="U18">
        <v>3165</v>
      </c>
      <c r="V18">
        <v>1503</v>
      </c>
      <c r="W18">
        <v>49567</v>
      </c>
      <c r="X18">
        <v>23302</v>
      </c>
      <c r="Y18">
        <v>18084</v>
      </c>
      <c r="Z18">
        <v>6821</v>
      </c>
      <c r="AA18">
        <v>8334</v>
      </c>
      <c r="AB18">
        <v>8167</v>
      </c>
      <c r="AC18">
        <v>9835</v>
      </c>
      <c r="AD18">
        <v>4745</v>
      </c>
    </row>
    <row r="19" spans="1:30" x14ac:dyDescent="0.4">
      <c r="A19" s="1" t="s">
        <v>26</v>
      </c>
      <c r="B19" s="1" t="s">
        <v>27</v>
      </c>
      <c r="C19">
        <v>9206</v>
      </c>
      <c r="D19">
        <v>9189</v>
      </c>
      <c r="E19">
        <v>7011</v>
      </c>
      <c r="F19">
        <v>5635</v>
      </c>
      <c r="G19">
        <v>641</v>
      </c>
      <c r="H19">
        <v>680</v>
      </c>
      <c r="I19">
        <v>1138</v>
      </c>
      <c r="J19">
        <v>388</v>
      </c>
      <c r="K19">
        <v>63120</v>
      </c>
      <c r="L19">
        <v>61135</v>
      </c>
      <c r="M19">
        <v>29276</v>
      </c>
      <c r="N19">
        <v>44640</v>
      </c>
      <c r="O19">
        <v>2357</v>
      </c>
      <c r="P19">
        <v>2199</v>
      </c>
      <c r="Q19">
        <v>2230</v>
      </c>
      <c r="R19">
        <v>798</v>
      </c>
      <c r="S19">
        <v>4114</v>
      </c>
      <c r="T19">
        <v>4071</v>
      </c>
      <c r="U19">
        <v>2568</v>
      </c>
      <c r="V19">
        <v>1369</v>
      </c>
      <c r="W19">
        <v>36918</v>
      </c>
      <c r="X19">
        <v>17196</v>
      </c>
      <c r="Y19">
        <v>13468</v>
      </c>
      <c r="Z19">
        <v>6807</v>
      </c>
      <c r="AA19">
        <v>6723</v>
      </c>
      <c r="AB19">
        <v>6907</v>
      </c>
      <c r="AC19">
        <v>8461</v>
      </c>
      <c r="AD19">
        <v>4517</v>
      </c>
    </row>
    <row r="20" spans="1:30" x14ac:dyDescent="0.4">
      <c r="A20" s="1" t="s">
        <v>28</v>
      </c>
      <c r="B20" s="1" t="s">
        <v>29</v>
      </c>
      <c r="C20">
        <v>11728</v>
      </c>
      <c r="D20">
        <v>11416</v>
      </c>
      <c r="E20">
        <v>8573</v>
      </c>
      <c r="F20">
        <v>5945</v>
      </c>
      <c r="G20">
        <v>791</v>
      </c>
      <c r="H20">
        <v>741</v>
      </c>
      <c r="I20">
        <v>990</v>
      </c>
      <c r="J20">
        <v>391</v>
      </c>
      <c r="K20">
        <v>73978</v>
      </c>
      <c r="L20">
        <v>68875</v>
      </c>
      <c r="M20">
        <v>33797</v>
      </c>
      <c r="N20">
        <v>45167</v>
      </c>
      <c r="O20">
        <v>3021</v>
      </c>
      <c r="P20">
        <v>2832</v>
      </c>
      <c r="Q20">
        <v>2828</v>
      </c>
      <c r="R20">
        <v>784</v>
      </c>
      <c r="S20">
        <v>4933</v>
      </c>
      <c r="T20">
        <v>4701</v>
      </c>
      <c r="U20">
        <v>2976</v>
      </c>
      <c r="V20">
        <v>1403</v>
      </c>
      <c r="W20">
        <v>44838</v>
      </c>
      <c r="X20">
        <v>21035</v>
      </c>
      <c r="Y20">
        <v>17114</v>
      </c>
      <c r="Z20">
        <v>6736</v>
      </c>
      <c r="AA20">
        <v>8112</v>
      </c>
      <c r="AB20">
        <v>8652</v>
      </c>
      <c r="AC20">
        <v>10575</v>
      </c>
      <c r="AD20">
        <v>3927</v>
      </c>
    </row>
    <row r="21" spans="1:30" x14ac:dyDescent="0.4">
      <c r="A21" s="1" t="s">
        <v>30</v>
      </c>
      <c r="B21" s="1" t="s">
        <v>31</v>
      </c>
      <c r="C21">
        <v>12221</v>
      </c>
      <c r="D21">
        <v>12285</v>
      </c>
      <c r="E21">
        <v>9345</v>
      </c>
      <c r="F21">
        <v>5880</v>
      </c>
      <c r="G21">
        <v>873</v>
      </c>
      <c r="H21">
        <v>814</v>
      </c>
      <c r="I21">
        <v>1211</v>
      </c>
      <c r="J21">
        <v>400</v>
      </c>
      <c r="K21">
        <v>79240</v>
      </c>
      <c r="L21">
        <v>75153</v>
      </c>
      <c r="M21">
        <v>37556</v>
      </c>
      <c r="N21">
        <v>44662</v>
      </c>
      <c r="O21">
        <v>3190</v>
      </c>
      <c r="P21">
        <v>2952</v>
      </c>
      <c r="Q21">
        <v>2965</v>
      </c>
      <c r="R21">
        <v>830</v>
      </c>
      <c r="S21">
        <v>5624</v>
      </c>
      <c r="T21">
        <v>5200</v>
      </c>
      <c r="U21">
        <v>3430</v>
      </c>
      <c r="V21">
        <v>1581</v>
      </c>
      <c r="W21">
        <v>48618</v>
      </c>
      <c r="X21">
        <v>22843</v>
      </c>
      <c r="Y21">
        <v>17941</v>
      </c>
      <c r="Z21">
        <v>6692</v>
      </c>
      <c r="AA21">
        <v>9132</v>
      </c>
      <c r="AB21">
        <v>8453</v>
      </c>
      <c r="AC21">
        <v>10493</v>
      </c>
      <c r="AD21">
        <v>4542</v>
      </c>
    </row>
    <row r="22" spans="1:30" x14ac:dyDescent="0.4">
      <c r="A22" s="1" t="s">
        <v>32</v>
      </c>
      <c r="B22" s="1" t="s">
        <v>33</v>
      </c>
      <c r="C22">
        <v>10976</v>
      </c>
      <c r="D22">
        <v>10816</v>
      </c>
      <c r="E22">
        <v>8396</v>
      </c>
      <c r="F22">
        <v>6034</v>
      </c>
      <c r="G22">
        <v>862</v>
      </c>
      <c r="H22">
        <v>769</v>
      </c>
      <c r="I22">
        <v>1148</v>
      </c>
      <c r="J22">
        <v>452</v>
      </c>
      <c r="K22">
        <v>79801</v>
      </c>
      <c r="L22">
        <v>69739</v>
      </c>
      <c r="M22">
        <v>34692</v>
      </c>
      <c r="N22">
        <v>50054</v>
      </c>
      <c r="O22">
        <v>2962</v>
      </c>
      <c r="P22">
        <v>2754</v>
      </c>
      <c r="Q22">
        <v>2816</v>
      </c>
      <c r="R22">
        <v>856</v>
      </c>
      <c r="S22">
        <v>5103</v>
      </c>
      <c r="T22">
        <v>4740</v>
      </c>
      <c r="U22">
        <v>3076</v>
      </c>
      <c r="V22">
        <v>1795</v>
      </c>
      <c r="W22">
        <v>46091</v>
      </c>
      <c r="X22">
        <v>21542</v>
      </c>
      <c r="Y22">
        <v>16790</v>
      </c>
      <c r="Z22">
        <v>6735</v>
      </c>
      <c r="AA22">
        <v>8731</v>
      </c>
      <c r="AB22">
        <v>8261</v>
      </c>
      <c r="AC22">
        <v>10159</v>
      </c>
      <c r="AD22">
        <v>4955</v>
      </c>
    </row>
    <row r="23" spans="1:30" x14ac:dyDescent="0.4">
      <c r="A23" s="1" t="s">
        <v>34</v>
      </c>
      <c r="B23" s="1" t="s">
        <v>35</v>
      </c>
      <c r="C23">
        <v>10151</v>
      </c>
      <c r="D23">
        <v>10281</v>
      </c>
      <c r="E23">
        <v>7997</v>
      </c>
      <c r="F23">
        <v>5914</v>
      </c>
      <c r="G23">
        <v>822</v>
      </c>
      <c r="H23">
        <v>833</v>
      </c>
      <c r="I23">
        <v>1437</v>
      </c>
      <c r="J23">
        <v>412</v>
      </c>
      <c r="K23">
        <v>74386</v>
      </c>
      <c r="L23">
        <v>70137</v>
      </c>
      <c r="M23">
        <v>35039</v>
      </c>
      <c r="N23">
        <v>49932</v>
      </c>
      <c r="O23">
        <v>2856</v>
      </c>
      <c r="P23">
        <v>2607</v>
      </c>
      <c r="Q23">
        <v>2673</v>
      </c>
      <c r="R23">
        <v>922</v>
      </c>
      <c r="S23">
        <v>4617</v>
      </c>
      <c r="T23">
        <v>4524</v>
      </c>
      <c r="U23">
        <v>2876</v>
      </c>
      <c r="V23">
        <v>1738</v>
      </c>
      <c r="W23">
        <v>43941</v>
      </c>
      <c r="X23">
        <v>20413</v>
      </c>
      <c r="Y23">
        <v>16015</v>
      </c>
      <c r="Z23">
        <v>6816</v>
      </c>
      <c r="AA23">
        <v>7768</v>
      </c>
      <c r="AB23">
        <v>8236</v>
      </c>
      <c r="AC23">
        <v>10199</v>
      </c>
      <c r="AD23">
        <v>4426</v>
      </c>
    </row>
    <row r="24" spans="1:30" x14ac:dyDescent="0.4">
      <c r="A24" s="1" t="s">
        <v>36</v>
      </c>
      <c r="B24" s="1" t="s">
        <v>37</v>
      </c>
      <c r="C24">
        <v>10012</v>
      </c>
      <c r="D24">
        <v>10057</v>
      </c>
      <c r="E24">
        <v>7800</v>
      </c>
      <c r="F24">
        <v>5856</v>
      </c>
      <c r="G24">
        <v>651</v>
      </c>
      <c r="H24">
        <v>686</v>
      </c>
      <c r="I24">
        <v>1072</v>
      </c>
      <c r="J24">
        <v>349</v>
      </c>
      <c r="K24">
        <v>64768</v>
      </c>
      <c r="L24">
        <v>65869</v>
      </c>
      <c r="M24">
        <v>33004</v>
      </c>
      <c r="N24">
        <v>45346</v>
      </c>
      <c r="O24">
        <v>2698</v>
      </c>
      <c r="P24">
        <v>2579</v>
      </c>
      <c r="Q24">
        <v>2659</v>
      </c>
      <c r="R24">
        <v>868</v>
      </c>
      <c r="S24">
        <v>4851</v>
      </c>
      <c r="T24">
        <v>4615</v>
      </c>
      <c r="U24">
        <v>2910</v>
      </c>
      <c r="V24">
        <v>1836</v>
      </c>
      <c r="W24">
        <v>40612</v>
      </c>
      <c r="X24">
        <v>19804</v>
      </c>
      <c r="Y24">
        <v>15898</v>
      </c>
      <c r="Z24">
        <v>6377</v>
      </c>
      <c r="AA24">
        <v>7083</v>
      </c>
      <c r="AB24">
        <v>7117</v>
      </c>
      <c r="AC24">
        <v>9131</v>
      </c>
      <c r="AD24">
        <v>4346</v>
      </c>
    </row>
    <row r="25" spans="1:30" x14ac:dyDescent="0.4">
      <c r="A25" s="1" t="s">
        <v>38</v>
      </c>
      <c r="B25" s="1" t="s">
        <v>39</v>
      </c>
      <c r="C25">
        <v>11233</v>
      </c>
      <c r="D25">
        <v>10706</v>
      </c>
      <c r="E25">
        <v>8295</v>
      </c>
      <c r="F25">
        <v>6380</v>
      </c>
      <c r="G25">
        <v>778</v>
      </c>
      <c r="H25">
        <v>746</v>
      </c>
      <c r="I25">
        <v>1145</v>
      </c>
      <c r="J25">
        <v>341</v>
      </c>
      <c r="K25">
        <v>72831</v>
      </c>
      <c r="L25">
        <v>71339</v>
      </c>
      <c r="M25">
        <v>35379</v>
      </c>
      <c r="N25">
        <v>42638</v>
      </c>
      <c r="O25">
        <v>2886</v>
      </c>
      <c r="P25">
        <v>2708</v>
      </c>
      <c r="Q25">
        <v>2802</v>
      </c>
      <c r="R25">
        <v>871</v>
      </c>
      <c r="S25">
        <v>4738</v>
      </c>
      <c r="T25">
        <v>4662</v>
      </c>
      <c r="U25">
        <v>2959</v>
      </c>
      <c r="V25">
        <v>1803</v>
      </c>
      <c r="W25">
        <v>39433</v>
      </c>
      <c r="X25">
        <v>20253</v>
      </c>
      <c r="Y25">
        <v>16093</v>
      </c>
      <c r="Z25">
        <v>6400</v>
      </c>
      <c r="AA25">
        <v>7516</v>
      </c>
      <c r="AB25">
        <v>7757</v>
      </c>
      <c r="AC25">
        <v>9808</v>
      </c>
      <c r="AD25">
        <v>4062</v>
      </c>
    </row>
    <row r="26" spans="1:30" x14ac:dyDescent="0.4">
      <c r="A26" s="1" t="s">
        <v>40</v>
      </c>
      <c r="B26" s="1" t="s">
        <v>41</v>
      </c>
      <c r="C26">
        <v>10579</v>
      </c>
      <c r="D26">
        <v>10937</v>
      </c>
      <c r="E26">
        <v>8493</v>
      </c>
      <c r="F26">
        <v>6026</v>
      </c>
      <c r="G26">
        <v>770</v>
      </c>
      <c r="H26">
        <v>696</v>
      </c>
      <c r="I26">
        <v>1044</v>
      </c>
      <c r="J26">
        <v>367</v>
      </c>
      <c r="K26">
        <v>78622</v>
      </c>
      <c r="L26">
        <v>74166</v>
      </c>
      <c r="M26">
        <v>37933</v>
      </c>
      <c r="N26">
        <v>42080</v>
      </c>
      <c r="O26">
        <v>2909</v>
      </c>
      <c r="P26">
        <v>2717</v>
      </c>
      <c r="Q26">
        <v>2813</v>
      </c>
      <c r="R26">
        <v>881</v>
      </c>
      <c r="S26">
        <v>4818</v>
      </c>
      <c r="T26">
        <v>4758</v>
      </c>
      <c r="U26">
        <v>3006</v>
      </c>
      <c r="V26">
        <v>1697</v>
      </c>
      <c r="W26">
        <v>44184</v>
      </c>
      <c r="X26">
        <v>21272</v>
      </c>
      <c r="Y26">
        <v>17399</v>
      </c>
      <c r="Z26">
        <v>6817</v>
      </c>
      <c r="AA26">
        <v>8366</v>
      </c>
      <c r="AB26">
        <v>8294</v>
      </c>
      <c r="AC26">
        <v>10331</v>
      </c>
      <c r="AD26">
        <v>4076</v>
      </c>
    </row>
    <row r="27" spans="1:30" x14ac:dyDescent="0.4">
      <c r="A27" s="1" t="s">
        <v>42</v>
      </c>
      <c r="B27" s="1" t="s">
        <v>43</v>
      </c>
      <c r="C27">
        <v>10223</v>
      </c>
      <c r="D27">
        <v>10339</v>
      </c>
      <c r="E27">
        <v>8048</v>
      </c>
      <c r="F27">
        <v>5922</v>
      </c>
      <c r="G27">
        <v>752</v>
      </c>
      <c r="H27">
        <v>696</v>
      </c>
      <c r="I27">
        <v>1106</v>
      </c>
      <c r="J27">
        <v>360</v>
      </c>
      <c r="K27">
        <v>81324</v>
      </c>
      <c r="L27">
        <v>75271</v>
      </c>
      <c r="M27">
        <v>39447</v>
      </c>
      <c r="N27">
        <v>43158</v>
      </c>
      <c r="O27">
        <v>2867</v>
      </c>
      <c r="P27">
        <v>2768</v>
      </c>
      <c r="Q27">
        <v>2922</v>
      </c>
      <c r="R27">
        <v>865</v>
      </c>
      <c r="S27">
        <v>5153</v>
      </c>
      <c r="T27">
        <v>4928</v>
      </c>
      <c r="U27">
        <v>3277</v>
      </c>
      <c r="V27">
        <v>1718</v>
      </c>
      <c r="W27">
        <v>44464</v>
      </c>
      <c r="X27">
        <v>21351</v>
      </c>
      <c r="Y27">
        <v>17236</v>
      </c>
      <c r="Z27">
        <v>6917</v>
      </c>
      <c r="AA27">
        <v>8877</v>
      </c>
      <c r="AB27">
        <v>8625</v>
      </c>
      <c r="AC27">
        <v>10790</v>
      </c>
      <c r="AD27">
        <v>4223</v>
      </c>
    </row>
    <row r="28" spans="1:30" x14ac:dyDescent="0.4">
      <c r="A28" s="1" t="s">
        <v>44</v>
      </c>
      <c r="B28" s="1" t="s">
        <v>45</v>
      </c>
      <c r="C28">
        <v>9573</v>
      </c>
      <c r="D28">
        <v>9588</v>
      </c>
      <c r="E28">
        <v>7619</v>
      </c>
      <c r="F28">
        <v>5898</v>
      </c>
      <c r="G28">
        <v>746</v>
      </c>
      <c r="H28">
        <v>608</v>
      </c>
      <c r="I28">
        <v>915</v>
      </c>
      <c r="J28">
        <v>460</v>
      </c>
      <c r="K28">
        <v>79131</v>
      </c>
      <c r="L28">
        <v>73829</v>
      </c>
      <c r="M28">
        <v>38389</v>
      </c>
      <c r="N28">
        <v>44605</v>
      </c>
      <c r="O28">
        <v>2792</v>
      </c>
      <c r="P28">
        <v>2650</v>
      </c>
      <c r="Q28">
        <v>2790</v>
      </c>
      <c r="R28">
        <v>749</v>
      </c>
      <c r="S28">
        <v>4289</v>
      </c>
      <c r="T28">
        <v>4246</v>
      </c>
      <c r="U28">
        <v>2855</v>
      </c>
      <c r="V28">
        <v>1474</v>
      </c>
      <c r="W28">
        <v>39640</v>
      </c>
      <c r="X28">
        <v>19063</v>
      </c>
      <c r="Y28">
        <v>15649</v>
      </c>
      <c r="Z28">
        <v>6466</v>
      </c>
      <c r="AA28">
        <v>7891</v>
      </c>
      <c r="AB28">
        <v>7810</v>
      </c>
      <c r="AC28">
        <v>9865</v>
      </c>
      <c r="AD28">
        <v>4252</v>
      </c>
    </row>
    <row r="29" spans="1:30" x14ac:dyDescent="0.4">
      <c r="A29" s="1" t="s">
        <v>46</v>
      </c>
      <c r="B29" s="1" t="s">
        <v>47</v>
      </c>
      <c r="C29">
        <v>9401</v>
      </c>
      <c r="D29">
        <v>9148</v>
      </c>
      <c r="E29">
        <v>7324</v>
      </c>
      <c r="F29">
        <v>6166</v>
      </c>
      <c r="G29">
        <v>734</v>
      </c>
      <c r="H29">
        <v>745</v>
      </c>
      <c r="I29">
        <v>1085</v>
      </c>
      <c r="J29">
        <v>394</v>
      </c>
      <c r="K29">
        <v>80532</v>
      </c>
      <c r="L29">
        <v>75025</v>
      </c>
      <c r="M29">
        <v>39279</v>
      </c>
      <c r="N29">
        <v>44933</v>
      </c>
      <c r="O29">
        <v>2912</v>
      </c>
      <c r="P29">
        <v>2774</v>
      </c>
      <c r="Q29">
        <v>2920</v>
      </c>
      <c r="R29">
        <v>748</v>
      </c>
      <c r="S29">
        <v>4806</v>
      </c>
      <c r="T29">
        <v>4712</v>
      </c>
      <c r="U29">
        <v>3136</v>
      </c>
      <c r="V29">
        <v>1465</v>
      </c>
      <c r="W29">
        <v>43191</v>
      </c>
      <c r="X29">
        <v>20326</v>
      </c>
      <c r="Y29">
        <v>17227</v>
      </c>
      <c r="Z29">
        <v>6635</v>
      </c>
      <c r="AA29">
        <v>9010</v>
      </c>
      <c r="AB29">
        <v>8443</v>
      </c>
      <c r="AC29">
        <v>10765</v>
      </c>
      <c r="AD29">
        <v>4796</v>
      </c>
    </row>
    <row r="30" spans="1:30" x14ac:dyDescent="0.4">
      <c r="A30" s="1" t="s">
        <v>48</v>
      </c>
      <c r="B30" s="1" t="s">
        <v>49</v>
      </c>
      <c r="C30">
        <v>10089</v>
      </c>
      <c r="D30">
        <v>10076</v>
      </c>
      <c r="E30">
        <v>7866</v>
      </c>
      <c r="F30">
        <v>6165</v>
      </c>
      <c r="G30">
        <v>783</v>
      </c>
      <c r="H30">
        <v>700</v>
      </c>
      <c r="I30">
        <v>1131</v>
      </c>
      <c r="J30">
        <v>425</v>
      </c>
      <c r="K30">
        <v>83788</v>
      </c>
      <c r="L30">
        <v>75638</v>
      </c>
      <c r="M30">
        <v>38993</v>
      </c>
      <c r="N30">
        <v>48373</v>
      </c>
      <c r="O30">
        <v>3065</v>
      </c>
      <c r="P30">
        <v>2926</v>
      </c>
      <c r="Q30">
        <v>3063</v>
      </c>
      <c r="R30">
        <v>860</v>
      </c>
      <c r="S30">
        <v>5226</v>
      </c>
      <c r="T30">
        <v>4924</v>
      </c>
      <c r="U30">
        <v>3262</v>
      </c>
      <c r="V30">
        <v>1643</v>
      </c>
      <c r="W30">
        <v>45564</v>
      </c>
      <c r="X30">
        <v>21733</v>
      </c>
      <c r="Y30">
        <v>17909</v>
      </c>
      <c r="Z30">
        <v>6796</v>
      </c>
      <c r="AA30">
        <v>8528</v>
      </c>
      <c r="AB30">
        <v>8012</v>
      </c>
      <c r="AC30">
        <v>10516</v>
      </c>
      <c r="AD30">
        <v>5269</v>
      </c>
    </row>
    <row r="31" spans="1:30" x14ac:dyDescent="0.4">
      <c r="A31" s="1" t="s">
        <v>50</v>
      </c>
      <c r="B31" s="1" t="s">
        <v>51</v>
      </c>
      <c r="C31">
        <v>8248</v>
      </c>
      <c r="D31">
        <v>8534</v>
      </c>
      <c r="E31">
        <v>6683</v>
      </c>
      <c r="F31">
        <v>5883</v>
      </c>
      <c r="G31">
        <v>616</v>
      </c>
      <c r="H31">
        <v>585</v>
      </c>
      <c r="I31">
        <v>910</v>
      </c>
      <c r="J31">
        <v>415</v>
      </c>
      <c r="K31">
        <v>66102</v>
      </c>
      <c r="L31">
        <v>64361</v>
      </c>
      <c r="M31">
        <v>32798</v>
      </c>
      <c r="N31">
        <v>46222</v>
      </c>
      <c r="O31">
        <v>2385</v>
      </c>
      <c r="P31">
        <v>2196</v>
      </c>
      <c r="Q31">
        <v>2321</v>
      </c>
      <c r="R31">
        <v>909</v>
      </c>
      <c r="S31">
        <v>4201</v>
      </c>
      <c r="T31">
        <v>4044</v>
      </c>
      <c r="U31">
        <v>2621</v>
      </c>
      <c r="V31">
        <v>1639</v>
      </c>
      <c r="W31">
        <v>34100</v>
      </c>
      <c r="X31">
        <v>16550</v>
      </c>
      <c r="Y31">
        <v>13492</v>
      </c>
      <c r="Z31">
        <v>6707</v>
      </c>
      <c r="AA31">
        <v>6586</v>
      </c>
      <c r="AB31">
        <v>6478</v>
      </c>
      <c r="AC31">
        <v>8549</v>
      </c>
      <c r="AD31">
        <v>5341</v>
      </c>
    </row>
    <row r="32" spans="1:30" x14ac:dyDescent="0.4">
      <c r="A32" s="1" t="s">
        <v>52</v>
      </c>
      <c r="B32" s="1" t="s">
        <v>53</v>
      </c>
      <c r="C32">
        <v>9845</v>
      </c>
      <c r="D32">
        <v>10066</v>
      </c>
      <c r="E32">
        <v>7874</v>
      </c>
      <c r="F32">
        <v>5662</v>
      </c>
      <c r="G32">
        <v>700</v>
      </c>
      <c r="H32">
        <v>650</v>
      </c>
      <c r="I32">
        <v>1035</v>
      </c>
      <c r="J32">
        <v>412</v>
      </c>
      <c r="K32">
        <v>78281</v>
      </c>
      <c r="L32">
        <v>74296</v>
      </c>
      <c r="M32">
        <v>39086</v>
      </c>
      <c r="N32">
        <v>45452</v>
      </c>
      <c r="O32">
        <v>2978</v>
      </c>
      <c r="P32">
        <v>2824</v>
      </c>
      <c r="Q32">
        <v>2904</v>
      </c>
      <c r="R32">
        <v>921</v>
      </c>
      <c r="S32">
        <v>4932</v>
      </c>
      <c r="T32">
        <v>4825</v>
      </c>
      <c r="U32">
        <v>3215</v>
      </c>
      <c r="V32">
        <v>1565</v>
      </c>
      <c r="W32">
        <v>45178</v>
      </c>
      <c r="X32">
        <v>21444</v>
      </c>
      <c r="Y32">
        <v>17856</v>
      </c>
      <c r="Z32">
        <v>7108</v>
      </c>
      <c r="AA32">
        <v>8251</v>
      </c>
      <c r="AB32">
        <v>7628</v>
      </c>
      <c r="AC32">
        <v>10145</v>
      </c>
      <c r="AD32">
        <v>5933</v>
      </c>
    </row>
    <row r="33" spans="1:30" x14ac:dyDescent="0.4">
      <c r="A33" s="1" t="s">
        <v>54</v>
      </c>
      <c r="B33" s="1" t="s">
        <v>55</v>
      </c>
      <c r="C33">
        <v>10028</v>
      </c>
      <c r="D33">
        <v>10426</v>
      </c>
      <c r="E33">
        <v>8032</v>
      </c>
      <c r="F33">
        <v>5268</v>
      </c>
      <c r="G33">
        <v>765</v>
      </c>
      <c r="H33">
        <v>700</v>
      </c>
      <c r="I33">
        <v>1040</v>
      </c>
      <c r="J33">
        <v>426</v>
      </c>
      <c r="K33">
        <v>82683</v>
      </c>
      <c r="L33">
        <v>79252</v>
      </c>
      <c r="M33">
        <v>40846</v>
      </c>
      <c r="N33">
        <v>44459</v>
      </c>
      <c r="O33">
        <v>3176</v>
      </c>
      <c r="P33">
        <v>3043</v>
      </c>
      <c r="Q33">
        <v>3178</v>
      </c>
      <c r="R33">
        <v>875</v>
      </c>
      <c r="S33">
        <v>5567</v>
      </c>
      <c r="T33">
        <v>5328</v>
      </c>
      <c r="U33">
        <v>3523</v>
      </c>
      <c r="V33">
        <v>1631</v>
      </c>
      <c r="W33">
        <v>46672</v>
      </c>
      <c r="X33">
        <v>23344</v>
      </c>
      <c r="Y33">
        <v>19243</v>
      </c>
      <c r="Z33">
        <v>6452</v>
      </c>
      <c r="AA33">
        <v>8692</v>
      </c>
      <c r="AB33">
        <v>8048</v>
      </c>
      <c r="AC33">
        <v>10596</v>
      </c>
      <c r="AD33">
        <v>6632</v>
      </c>
    </row>
    <row r="34" spans="1:30" x14ac:dyDescent="0.4">
      <c r="A34" s="1" t="s">
        <v>56</v>
      </c>
      <c r="B34" s="1" t="s">
        <v>57</v>
      </c>
      <c r="C34">
        <v>10614</v>
      </c>
      <c r="D34">
        <v>9808</v>
      </c>
      <c r="E34">
        <v>7761</v>
      </c>
      <c r="F34">
        <v>6076</v>
      </c>
      <c r="G34">
        <v>757</v>
      </c>
      <c r="H34">
        <v>730</v>
      </c>
      <c r="I34">
        <v>1208</v>
      </c>
      <c r="J34">
        <v>415</v>
      </c>
      <c r="K34">
        <v>76780</v>
      </c>
      <c r="L34">
        <v>70997</v>
      </c>
      <c r="M34">
        <v>37804</v>
      </c>
      <c r="N34">
        <v>46659</v>
      </c>
      <c r="O34">
        <v>2778</v>
      </c>
      <c r="P34">
        <v>2655</v>
      </c>
      <c r="Q34">
        <v>2790</v>
      </c>
      <c r="R34">
        <v>875</v>
      </c>
      <c r="S34">
        <v>4988</v>
      </c>
      <c r="T34">
        <v>4693</v>
      </c>
      <c r="U34">
        <v>3102</v>
      </c>
      <c r="V34">
        <v>1778</v>
      </c>
      <c r="W34">
        <v>42235</v>
      </c>
      <c r="X34">
        <v>20338</v>
      </c>
      <c r="Y34">
        <v>16749</v>
      </c>
      <c r="Z34">
        <v>6765</v>
      </c>
      <c r="AA34">
        <v>7358</v>
      </c>
      <c r="AB34">
        <v>7276</v>
      </c>
      <c r="AC34">
        <v>9504</v>
      </c>
      <c r="AD34">
        <v>6668</v>
      </c>
    </row>
    <row r="35" spans="1:30" x14ac:dyDescent="0.4">
      <c r="A35" s="1" t="s">
        <v>58</v>
      </c>
      <c r="B35" s="1" t="s">
        <v>59</v>
      </c>
      <c r="C35">
        <v>10701</v>
      </c>
      <c r="D35">
        <v>11030</v>
      </c>
      <c r="E35">
        <v>8908</v>
      </c>
      <c r="F35">
        <v>5747</v>
      </c>
      <c r="G35">
        <v>744</v>
      </c>
      <c r="H35">
        <v>676</v>
      </c>
      <c r="I35">
        <v>1097</v>
      </c>
      <c r="J35">
        <v>445</v>
      </c>
      <c r="K35">
        <v>69044</v>
      </c>
      <c r="L35">
        <v>64685</v>
      </c>
      <c r="M35">
        <v>35048</v>
      </c>
      <c r="N35">
        <v>47286</v>
      </c>
      <c r="O35">
        <v>2750</v>
      </c>
      <c r="P35">
        <v>2643</v>
      </c>
      <c r="Q35">
        <v>2726</v>
      </c>
      <c r="R35">
        <v>838</v>
      </c>
      <c r="S35">
        <v>5209</v>
      </c>
      <c r="T35">
        <v>4883</v>
      </c>
      <c r="U35">
        <v>3184</v>
      </c>
      <c r="V35">
        <v>1896</v>
      </c>
      <c r="W35">
        <v>42429</v>
      </c>
      <c r="X35">
        <v>20291</v>
      </c>
      <c r="Y35">
        <v>16838</v>
      </c>
      <c r="Z35">
        <v>6863</v>
      </c>
      <c r="AA35">
        <v>6959</v>
      </c>
      <c r="AB35">
        <v>7485</v>
      </c>
      <c r="AC35">
        <v>9732</v>
      </c>
      <c r="AD35">
        <v>6091</v>
      </c>
    </row>
    <row r="36" spans="1:30" x14ac:dyDescent="0.4">
      <c r="A36" s="1" t="s">
        <v>60</v>
      </c>
      <c r="B36" s="1" t="s">
        <v>61</v>
      </c>
      <c r="C36">
        <v>10618</v>
      </c>
      <c r="D36">
        <v>11037</v>
      </c>
      <c r="E36">
        <v>9175</v>
      </c>
      <c r="F36">
        <v>5327</v>
      </c>
      <c r="G36">
        <v>679</v>
      </c>
      <c r="H36">
        <v>624</v>
      </c>
      <c r="I36">
        <v>1012</v>
      </c>
      <c r="J36">
        <v>456</v>
      </c>
      <c r="K36">
        <v>63842</v>
      </c>
      <c r="L36">
        <v>65896</v>
      </c>
      <c r="M36">
        <v>35429</v>
      </c>
      <c r="N36">
        <v>42285</v>
      </c>
      <c r="O36">
        <v>2728</v>
      </c>
      <c r="P36">
        <v>2603</v>
      </c>
      <c r="Q36">
        <v>2773</v>
      </c>
      <c r="R36">
        <v>826</v>
      </c>
      <c r="S36">
        <v>4834</v>
      </c>
      <c r="T36">
        <v>4776</v>
      </c>
      <c r="U36">
        <v>3260</v>
      </c>
      <c r="V36">
        <v>1747</v>
      </c>
      <c r="W36">
        <v>38919</v>
      </c>
      <c r="X36">
        <v>19871</v>
      </c>
      <c r="Y36">
        <v>17114</v>
      </c>
      <c r="Z36">
        <v>6455</v>
      </c>
      <c r="AA36">
        <v>6443</v>
      </c>
      <c r="AB36">
        <v>7041</v>
      </c>
      <c r="AC36">
        <v>9416</v>
      </c>
      <c r="AD36">
        <v>5463</v>
      </c>
    </row>
    <row r="37" spans="1:30" x14ac:dyDescent="0.4">
      <c r="A37" s="1" t="s">
        <v>62</v>
      </c>
      <c r="B37" s="1" t="s">
        <v>63</v>
      </c>
      <c r="C37">
        <v>12089</v>
      </c>
      <c r="D37">
        <v>11856</v>
      </c>
      <c r="E37">
        <v>9763</v>
      </c>
      <c r="F37">
        <v>5551</v>
      </c>
      <c r="G37">
        <v>751</v>
      </c>
      <c r="H37">
        <v>675</v>
      </c>
      <c r="I37">
        <v>1119</v>
      </c>
      <c r="J37">
        <v>488</v>
      </c>
      <c r="K37">
        <v>74829</v>
      </c>
      <c r="L37">
        <v>68611</v>
      </c>
      <c r="M37">
        <v>37314</v>
      </c>
      <c r="N37">
        <v>44874</v>
      </c>
      <c r="O37">
        <v>2949</v>
      </c>
      <c r="P37">
        <v>2722</v>
      </c>
      <c r="Q37">
        <v>2871</v>
      </c>
      <c r="R37">
        <v>902</v>
      </c>
      <c r="S37">
        <v>4865</v>
      </c>
      <c r="T37">
        <v>4683</v>
      </c>
      <c r="U37">
        <v>3210</v>
      </c>
      <c r="V37">
        <v>1756</v>
      </c>
      <c r="W37">
        <v>38397</v>
      </c>
      <c r="X37">
        <v>20851</v>
      </c>
      <c r="Y37">
        <v>17701</v>
      </c>
      <c r="Z37">
        <v>6572</v>
      </c>
      <c r="AA37">
        <v>6830</v>
      </c>
      <c r="AB37">
        <v>6902</v>
      </c>
      <c r="AC37">
        <v>9350</v>
      </c>
      <c r="AD37">
        <v>5340</v>
      </c>
    </row>
    <row r="38" spans="1:30" x14ac:dyDescent="0.4">
      <c r="A38" s="1" t="s">
        <v>64</v>
      </c>
      <c r="B38" s="1" t="s">
        <v>65</v>
      </c>
      <c r="C38">
        <v>13340</v>
      </c>
      <c r="D38">
        <v>13716</v>
      </c>
      <c r="E38">
        <v>11308</v>
      </c>
      <c r="F38">
        <v>5176</v>
      </c>
      <c r="G38">
        <v>835</v>
      </c>
      <c r="H38">
        <v>738</v>
      </c>
      <c r="I38">
        <v>1185</v>
      </c>
      <c r="J38">
        <v>527</v>
      </c>
      <c r="K38">
        <v>84520</v>
      </c>
      <c r="L38">
        <v>79586</v>
      </c>
      <c r="M38">
        <v>44037</v>
      </c>
      <c r="N38">
        <v>44521</v>
      </c>
      <c r="O38">
        <v>3119</v>
      </c>
      <c r="P38">
        <v>2888</v>
      </c>
      <c r="Q38">
        <v>3077</v>
      </c>
      <c r="R38">
        <v>939</v>
      </c>
      <c r="S38">
        <v>5223</v>
      </c>
      <c r="T38">
        <v>5073</v>
      </c>
      <c r="U38">
        <v>3499</v>
      </c>
      <c r="V38">
        <v>1661</v>
      </c>
      <c r="W38">
        <v>44603</v>
      </c>
      <c r="X38">
        <v>22702</v>
      </c>
      <c r="Y38">
        <v>19768</v>
      </c>
      <c r="Z38">
        <v>6620</v>
      </c>
      <c r="AA38">
        <v>7673</v>
      </c>
      <c r="AB38">
        <v>8058</v>
      </c>
      <c r="AC38">
        <v>10520</v>
      </c>
      <c r="AD38">
        <v>4900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D78C-B911-43D3-BE2C-D698EDE47E46}">
  <dimension ref="A1:AV40"/>
  <sheetViews>
    <sheetView workbookViewId="0">
      <selection activeCell="C9" sqref="C9"/>
    </sheetView>
  </sheetViews>
  <sheetFormatPr defaultColWidth="15.625" defaultRowHeight="18.75" x14ac:dyDescent="0.4"/>
  <sheetData>
    <row r="1" spans="1:48" x14ac:dyDescent="0.4">
      <c r="A1" s="1" t="s">
        <v>66</v>
      </c>
      <c r="B1" s="1"/>
    </row>
    <row r="2" spans="1:48" x14ac:dyDescent="0.4">
      <c r="A2" s="4" t="str">
        <f>HYPERLINK("#'目次(Contents)'!A3","目次に戻る(Return to Contents)")</f>
        <v>目次に戻る(Return to Contents)</v>
      </c>
      <c r="B2" s="1"/>
    </row>
    <row r="3" spans="1:48" x14ac:dyDescent="0.4">
      <c r="A3" s="1"/>
      <c r="B3" s="2" t="s">
        <v>0</v>
      </c>
      <c r="C3" t="s">
        <v>3208</v>
      </c>
      <c r="D3" t="s">
        <v>3208</v>
      </c>
      <c r="E3" t="s">
        <v>3208</v>
      </c>
      <c r="F3" t="s">
        <v>3208</v>
      </c>
      <c r="G3" t="s">
        <v>3212</v>
      </c>
      <c r="H3" t="s">
        <v>3212</v>
      </c>
      <c r="I3" t="s">
        <v>3212</v>
      </c>
      <c r="J3" t="s">
        <v>3212</v>
      </c>
      <c r="K3" t="s">
        <v>3214</v>
      </c>
      <c r="L3" t="s">
        <v>3214</v>
      </c>
      <c r="M3" t="s">
        <v>3214</v>
      </c>
      <c r="N3" t="s">
        <v>3214</v>
      </c>
      <c r="O3" t="s">
        <v>3216</v>
      </c>
      <c r="P3" t="s">
        <v>3216</v>
      </c>
      <c r="Q3" t="s">
        <v>3216</v>
      </c>
      <c r="R3" t="s">
        <v>3216</v>
      </c>
      <c r="S3" t="s">
        <v>3218</v>
      </c>
      <c r="T3" t="s">
        <v>3218</v>
      </c>
      <c r="U3" t="s">
        <v>3218</v>
      </c>
      <c r="V3" t="s">
        <v>3218</v>
      </c>
      <c r="W3" t="s">
        <v>3220</v>
      </c>
      <c r="X3" t="s">
        <v>3220</v>
      </c>
      <c r="Y3" t="s">
        <v>3220</v>
      </c>
      <c r="Z3" t="s">
        <v>3220</v>
      </c>
      <c r="AA3" t="s">
        <v>3222</v>
      </c>
      <c r="AB3" t="s">
        <v>3222</v>
      </c>
      <c r="AC3" t="s">
        <v>3222</v>
      </c>
      <c r="AD3" t="s">
        <v>3222</v>
      </c>
      <c r="AE3" t="s">
        <v>3224</v>
      </c>
      <c r="AF3" t="s">
        <v>3224</v>
      </c>
      <c r="AG3" t="s">
        <v>3224</v>
      </c>
      <c r="AH3" t="s">
        <v>3224</v>
      </c>
      <c r="AI3" t="s">
        <v>3226</v>
      </c>
      <c r="AJ3" t="s">
        <v>3226</v>
      </c>
      <c r="AK3" t="s">
        <v>3226</v>
      </c>
      <c r="AL3" t="s">
        <v>3226</v>
      </c>
      <c r="AM3" t="s">
        <v>3228</v>
      </c>
      <c r="AN3" t="s">
        <v>3228</v>
      </c>
      <c r="AO3" t="s">
        <v>3228</v>
      </c>
      <c r="AP3" t="s">
        <v>3232</v>
      </c>
      <c r="AQ3" t="s">
        <v>3232</v>
      </c>
      <c r="AR3" t="s">
        <v>3232</v>
      </c>
      <c r="AS3" t="s">
        <v>3234</v>
      </c>
      <c r="AT3" t="s">
        <v>3234</v>
      </c>
      <c r="AU3" t="s">
        <v>3234</v>
      </c>
      <c r="AV3" t="s">
        <v>3236</v>
      </c>
    </row>
    <row r="4" spans="1:48" x14ac:dyDescent="0.4">
      <c r="A4" s="1"/>
      <c r="B4" s="2" t="s">
        <v>1</v>
      </c>
      <c r="C4" t="s">
        <v>3210</v>
      </c>
      <c r="D4" t="s">
        <v>3210</v>
      </c>
      <c r="E4" t="s">
        <v>3210</v>
      </c>
      <c r="F4" t="s">
        <v>3210</v>
      </c>
      <c r="G4" t="s">
        <v>3213</v>
      </c>
      <c r="H4" t="s">
        <v>3213</v>
      </c>
      <c r="I4" t="s">
        <v>3213</v>
      </c>
      <c r="J4" t="s">
        <v>3213</v>
      </c>
      <c r="K4" t="s">
        <v>3215</v>
      </c>
      <c r="L4" t="s">
        <v>3215</v>
      </c>
      <c r="M4" t="s">
        <v>3215</v>
      </c>
      <c r="N4" t="s">
        <v>3215</v>
      </c>
      <c r="O4" t="s">
        <v>3217</v>
      </c>
      <c r="P4" t="s">
        <v>3217</v>
      </c>
      <c r="Q4" t="s">
        <v>3217</v>
      </c>
      <c r="R4" t="s">
        <v>3217</v>
      </c>
      <c r="S4" t="s">
        <v>3219</v>
      </c>
      <c r="T4" t="s">
        <v>3219</v>
      </c>
      <c r="U4" t="s">
        <v>3219</v>
      </c>
      <c r="V4" t="s">
        <v>3219</v>
      </c>
      <c r="W4" t="s">
        <v>3221</v>
      </c>
      <c r="X4" t="s">
        <v>3221</v>
      </c>
      <c r="Y4" t="s">
        <v>3221</v>
      </c>
      <c r="Z4" t="s">
        <v>3221</v>
      </c>
      <c r="AA4" t="s">
        <v>3223</v>
      </c>
      <c r="AB4" t="s">
        <v>3223</v>
      </c>
      <c r="AC4" t="s">
        <v>3223</v>
      </c>
      <c r="AD4" t="s">
        <v>3223</v>
      </c>
      <c r="AE4" t="s">
        <v>3225</v>
      </c>
      <c r="AF4" t="s">
        <v>3225</v>
      </c>
      <c r="AG4" t="s">
        <v>3225</v>
      </c>
      <c r="AH4" t="s">
        <v>3225</v>
      </c>
      <c r="AI4" t="s">
        <v>3227</v>
      </c>
      <c r="AJ4" t="s">
        <v>3227</v>
      </c>
      <c r="AK4" t="s">
        <v>3227</v>
      </c>
      <c r="AL4" t="s">
        <v>3227</v>
      </c>
      <c r="AM4" t="s">
        <v>3230</v>
      </c>
      <c r="AN4" t="s">
        <v>3230</v>
      </c>
      <c r="AO4" t="s">
        <v>3230</v>
      </c>
      <c r="AP4" t="s">
        <v>3233</v>
      </c>
      <c r="AQ4" t="s">
        <v>3233</v>
      </c>
      <c r="AR4" t="s">
        <v>3233</v>
      </c>
      <c r="AS4" t="s">
        <v>3235</v>
      </c>
      <c r="AT4" t="s">
        <v>3235</v>
      </c>
      <c r="AU4" t="s">
        <v>3235</v>
      </c>
      <c r="AV4" t="s">
        <v>3237</v>
      </c>
    </row>
    <row r="5" spans="1:4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263</v>
      </c>
    </row>
    <row r="6" spans="1:4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264</v>
      </c>
    </row>
    <row r="7" spans="1:48" x14ac:dyDescent="0.4">
      <c r="A7" s="1"/>
      <c r="B7" s="2" t="s">
        <v>4</v>
      </c>
      <c r="C7" t="s">
        <v>3209</v>
      </c>
      <c r="D7" t="s">
        <v>3209</v>
      </c>
      <c r="E7" t="s">
        <v>258</v>
      </c>
      <c r="F7" t="s">
        <v>3209</v>
      </c>
      <c r="G7" t="s">
        <v>3209</v>
      </c>
      <c r="H7" t="s">
        <v>3209</v>
      </c>
      <c r="I7" t="s">
        <v>258</v>
      </c>
      <c r="J7" t="s">
        <v>3209</v>
      </c>
      <c r="K7" t="s">
        <v>3209</v>
      </c>
      <c r="L7" t="s">
        <v>3209</v>
      </c>
      <c r="M7" t="s">
        <v>258</v>
      </c>
      <c r="N7" t="s">
        <v>3209</v>
      </c>
      <c r="O7" t="s">
        <v>3209</v>
      </c>
      <c r="P7" t="s">
        <v>3209</v>
      </c>
      <c r="Q7" t="s">
        <v>258</v>
      </c>
      <c r="R7" t="s">
        <v>3209</v>
      </c>
      <c r="S7" t="s">
        <v>3209</v>
      </c>
      <c r="T7" t="s">
        <v>3209</v>
      </c>
      <c r="U7" t="s">
        <v>258</v>
      </c>
      <c r="V7" t="s">
        <v>3209</v>
      </c>
      <c r="W7" t="s">
        <v>3209</v>
      </c>
      <c r="X7" t="s">
        <v>3209</v>
      </c>
      <c r="Y7" t="s">
        <v>258</v>
      </c>
      <c r="Z7" t="s">
        <v>3209</v>
      </c>
      <c r="AA7" t="s">
        <v>3209</v>
      </c>
      <c r="AB7" t="s">
        <v>3209</v>
      </c>
      <c r="AC7" t="s">
        <v>258</v>
      </c>
      <c r="AD7" t="s">
        <v>3209</v>
      </c>
      <c r="AE7" t="s">
        <v>3209</v>
      </c>
      <c r="AF7" t="s">
        <v>3209</v>
      </c>
      <c r="AG7" t="s">
        <v>258</v>
      </c>
      <c r="AH7" t="s">
        <v>3209</v>
      </c>
      <c r="AI7" t="s">
        <v>3209</v>
      </c>
      <c r="AJ7" t="s">
        <v>3209</v>
      </c>
      <c r="AK7" t="s">
        <v>258</v>
      </c>
      <c r="AL7" t="s">
        <v>3209</v>
      </c>
      <c r="AM7" t="s">
        <v>3229</v>
      </c>
      <c r="AN7" t="s">
        <v>3229</v>
      </c>
      <c r="AO7" t="s">
        <v>3229</v>
      </c>
      <c r="AP7" t="s">
        <v>3229</v>
      </c>
      <c r="AQ7" t="s">
        <v>3229</v>
      </c>
      <c r="AR7" t="s">
        <v>3229</v>
      </c>
      <c r="AS7" t="s">
        <v>3229</v>
      </c>
      <c r="AT7" t="s">
        <v>3229</v>
      </c>
      <c r="AU7" t="s">
        <v>3229</v>
      </c>
      <c r="AV7" t="s">
        <v>258</v>
      </c>
    </row>
    <row r="8" spans="1:48" x14ac:dyDescent="0.4">
      <c r="A8" s="1" t="s">
        <v>67</v>
      </c>
      <c r="B8" s="2" t="s">
        <v>5</v>
      </c>
      <c r="C8" t="s">
        <v>3211</v>
      </c>
      <c r="D8" t="s">
        <v>3211</v>
      </c>
      <c r="E8" t="s">
        <v>260</v>
      </c>
      <c r="F8" t="s">
        <v>3211</v>
      </c>
      <c r="G8" t="s">
        <v>3211</v>
      </c>
      <c r="H8" t="s">
        <v>3211</v>
      </c>
      <c r="I8" t="s">
        <v>260</v>
      </c>
      <c r="J8" t="s">
        <v>3211</v>
      </c>
      <c r="K8" t="s">
        <v>3211</v>
      </c>
      <c r="L8" t="s">
        <v>3211</v>
      </c>
      <c r="M8" t="s">
        <v>260</v>
      </c>
      <c r="N8" t="s">
        <v>3211</v>
      </c>
      <c r="O8" t="s">
        <v>3211</v>
      </c>
      <c r="P8" t="s">
        <v>3211</v>
      </c>
      <c r="Q8" t="s">
        <v>260</v>
      </c>
      <c r="R8" t="s">
        <v>3211</v>
      </c>
      <c r="S8" t="s">
        <v>3211</v>
      </c>
      <c r="T8" t="s">
        <v>3211</v>
      </c>
      <c r="U8" t="s">
        <v>260</v>
      </c>
      <c r="V8" t="s">
        <v>3211</v>
      </c>
      <c r="W8" t="s">
        <v>3211</v>
      </c>
      <c r="X8" t="s">
        <v>3211</v>
      </c>
      <c r="Y8" t="s">
        <v>260</v>
      </c>
      <c r="Z8" t="s">
        <v>3211</v>
      </c>
      <c r="AA8" t="s">
        <v>3211</v>
      </c>
      <c r="AB8" t="s">
        <v>3211</v>
      </c>
      <c r="AC8" t="s">
        <v>260</v>
      </c>
      <c r="AD8" t="s">
        <v>3211</v>
      </c>
      <c r="AE8" t="s">
        <v>3211</v>
      </c>
      <c r="AF8" t="s">
        <v>3211</v>
      </c>
      <c r="AG8" t="s">
        <v>260</v>
      </c>
      <c r="AH8" t="s">
        <v>3211</v>
      </c>
      <c r="AI8" t="s">
        <v>3211</v>
      </c>
      <c r="AJ8" t="s">
        <v>3211</v>
      </c>
      <c r="AK8" t="s">
        <v>260</v>
      </c>
      <c r="AL8" t="s">
        <v>3211</v>
      </c>
      <c r="AM8" t="s">
        <v>3231</v>
      </c>
      <c r="AN8" t="s">
        <v>3231</v>
      </c>
      <c r="AO8" t="s">
        <v>3231</v>
      </c>
      <c r="AP8" t="s">
        <v>3231</v>
      </c>
      <c r="AQ8" t="s">
        <v>3231</v>
      </c>
      <c r="AR8" t="s">
        <v>3231</v>
      </c>
      <c r="AS8" t="s">
        <v>3231</v>
      </c>
      <c r="AT8" t="s">
        <v>3231</v>
      </c>
      <c r="AU8" t="s">
        <v>3231</v>
      </c>
      <c r="AV8" t="s">
        <v>260</v>
      </c>
    </row>
    <row r="9" spans="1:48" x14ac:dyDescent="0.4">
      <c r="A9" s="1" t="s">
        <v>6</v>
      </c>
      <c r="B9" s="3" t="s">
        <v>7</v>
      </c>
      <c r="C9">
        <v>450592</v>
      </c>
      <c r="D9">
        <v>438239</v>
      </c>
      <c r="E9">
        <v>347341</v>
      </c>
      <c r="F9">
        <v>4076</v>
      </c>
      <c r="G9">
        <v>33970</v>
      </c>
      <c r="H9">
        <v>62494</v>
      </c>
      <c r="I9">
        <v>66288</v>
      </c>
      <c r="J9">
        <v>159</v>
      </c>
      <c r="K9">
        <v>125810</v>
      </c>
      <c r="L9">
        <v>134479</v>
      </c>
      <c r="M9">
        <v>148690</v>
      </c>
      <c r="N9">
        <v>11947</v>
      </c>
      <c r="O9">
        <v>43293</v>
      </c>
      <c r="P9">
        <v>44148</v>
      </c>
      <c r="Q9">
        <v>151470</v>
      </c>
      <c r="R9">
        <v>4192</v>
      </c>
      <c r="S9">
        <v>40383</v>
      </c>
      <c r="T9">
        <v>62100</v>
      </c>
      <c r="U9">
        <v>371868</v>
      </c>
      <c r="V9">
        <v>2603</v>
      </c>
      <c r="W9">
        <v>13928</v>
      </c>
      <c r="X9">
        <v>14346</v>
      </c>
      <c r="Y9">
        <v>38672</v>
      </c>
      <c r="Z9">
        <v>4858</v>
      </c>
      <c r="AA9">
        <v>208977</v>
      </c>
      <c r="AB9">
        <v>239813</v>
      </c>
      <c r="AC9">
        <v>308331</v>
      </c>
      <c r="AD9">
        <v>8551</v>
      </c>
      <c r="AE9">
        <v>110066</v>
      </c>
      <c r="AF9">
        <v>111466</v>
      </c>
      <c r="AG9">
        <v>189326</v>
      </c>
      <c r="AH9">
        <v>7541</v>
      </c>
      <c r="AI9">
        <v>36712</v>
      </c>
      <c r="AJ9">
        <v>44389</v>
      </c>
      <c r="AK9">
        <v>35103</v>
      </c>
      <c r="AL9">
        <v>978</v>
      </c>
      <c r="AM9">
        <v>20640115</v>
      </c>
      <c r="AN9">
        <v>19228319</v>
      </c>
      <c r="AO9">
        <v>2150270</v>
      </c>
      <c r="AP9">
        <v>202633</v>
      </c>
      <c r="AQ9">
        <v>156655</v>
      </c>
      <c r="AR9">
        <v>12174</v>
      </c>
      <c r="AS9">
        <v>24343927</v>
      </c>
      <c r="AT9">
        <v>23915637</v>
      </c>
      <c r="AU9">
        <v>903657</v>
      </c>
      <c r="AV9">
        <v>96415</v>
      </c>
    </row>
    <row r="10" spans="1:48" x14ac:dyDescent="0.4">
      <c r="A10" s="1" t="s">
        <v>8</v>
      </c>
      <c r="B10" s="3" t="s">
        <v>9</v>
      </c>
      <c r="C10">
        <v>429098</v>
      </c>
      <c r="D10">
        <v>413079</v>
      </c>
      <c r="E10">
        <v>388100</v>
      </c>
      <c r="F10">
        <v>3496</v>
      </c>
      <c r="G10">
        <v>34899</v>
      </c>
      <c r="H10">
        <v>66057</v>
      </c>
      <c r="I10">
        <v>79741</v>
      </c>
      <c r="J10">
        <v>118</v>
      </c>
      <c r="K10">
        <v>116675</v>
      </c>
      <c r="L10">
        <v>129175</v>
      </c>
      <c r="M10">
        <v>165543</v>
      </c>
      <c r="N10">
        <v>13552</v>
      </c>
      <c r="O10">
        <v>41824</v>
      </c>
      <c r="P10">
        <v>42621</v>
      </c>
      <c r="Q10">
        <v>166442</v>
      </c>
      <c r="R10">
        <v>4408</v>
      </c>
      <c r="S10">
        <v>35716</v>
      </c>
      <c r="T10">
        <v>57545</v>
      </c>
      <c r="U10">
        <v>393762</v>
      </c>
      <c r="V10">
        <v>2489</v>
      </c>
      <c r="W10">
        <v>13249</v>
      </c>
      <c r="X10">
        <v>13559</v>
      </c>
      <c r="Y10">
        <v>41677</v>
      </c>
      <c r="Z10">
        <v>4615</v>
      </c>
      <c r="AA10">
        <v>215438</v>
      </c>
      <c r="AB10">
        <v>245584</v>
      </c>
      <c r="AC10">
        <v>377493</v>
      </c>
      <c r="AD10">
        <v>11942</v>
      </c>
      <c r="AE10">
        <v>109894</v>
      </c>
      <c r="AF10">
        <v>112511</v>
      </c>
      <c r="AG10">
        <v>222218</v>
      </c>
      <c r="AH10">
        <v>8064</v>
      </c>
      <c r="AI10">
        <v>28950</v>
      </c>
      <c r="AJ10">
        <v>30263</v>
      </c>
      <c r="AK10">
        <v>32575</v>
      </c>
      <c r="AL10">
        <v>1053</v>
      </c>
      <c r="AM10">
        <v>24496985</v>
      </c>
      <c r="AN10">
        <v>22492846</v>
      </c>
      <c r="AO10">
        <v>3785049</v>
      </c>
      <c r="AP10">
        <v>222408</v>
      </c>
      <c r="AQ10">
        <v>169185</v>
      </c>
      <c r="AR10">
        <v>23884</v>
      </c>
      <c r="AS10">
        <v>24160719</v>
      </c>
      <c r="AT10">
        <v>24345833</v>
      </c>
      <c r="AU10">
        <v>668484</v>
      </c>
      <c r="AV10">
        <v>105556</v>
      </c>
    </row>
    <row r="11" spans="1:48" x14ac:dyDescent="0.4">
      <c r="A11" s="1" t="s">
        <v>10</v>
      </c>
      <c r="B11" s="3" t="s">
        <v>11</v>
      </c>
      <c r="C11">
        <v>402059</v>
      </c>
      <c r="D11">
        <v>389212</v>
      </c>
      <c r="E11">
        <v>390954</v>
      </c>
      <c r="F11">
        <v>5112</v>
      </c>
      <c r="G11">
        <v>35226</v>
      </c>
      <c r="H11">
        <v>67161</v>
      </c>
      <c r="I11">
        <v>84597</v>
      </c>
      <c r="J11">
        <v>130</v>
      </c>
      <c r="K11">
        <v>112794</v>
      </c>
      <c r="L11">
        <v>126074</v>
      </c>
      <c r="M11">
        <v>172063</v>
      </c>
      <c r="N11">
        <v>12131</v>
      </c>
      <c r="O11">
        <v>38090</v>
      </c>
      <c r="P11">
        <v>38597</v>
      </c>
      <c r="Q11">
        <v>155698</v>
      </c>
      <c r="R11">
        <v>4369</v>
      </c>
      <c r="S11">
        <v>35246</v>
      </c>
      <c r="T11">
        <v>66174</v>
      </c>
      <c r="U11">
        <v>518082</v>
      </c>
      <c r="V11">
        <v>2428</v>
      </c>
      <c r="W11">
        <v>12877</v>
      </c>
      <c r="X11">
        <v>13426</v>
      </c>
      <c r="Y11">
        <v>45300</v>
      </c>
      <c r="Z11">
        <v>4615</v>
      </c>
      <c r="AA11">
        <v>208958</v>
      </c>
      <c r="AB11">
        <v>241312</v>
      </c>
      <c r="AC11">
        <v>400169</v>
      </c>
      <c r="AD11">
        <v>13717</v>
      </c>
      <c r="AE11">
        <v>108366</v>
      </c>
      <c r="AF11">
        <v>112200</v>
      </c>
      <c r="AG11">
        <v>235869</v>
      </c>
      <c r="AH11">
        <v>7168</v>
      </c>
      <c r="AI11">
        <v>30029</v>
      </c>
      <c r="AJ11">
        <v>35415</v>
      </c>
      <c r="AK11">
        <v>45889</v>
      </c>
      <c r="AL11">
        <v>1299</v>
      </c>
      <c r="AM11">
        <v>12327542</v>
      </c>
      <c r="AN11">
        <v>12754245</v>
      </c>
      <c r="AO11">
        <v>1768625</v>
      </c>
      <c r="AP11">
        <v>121901</v>
      </c>
      <c r="AQ11">
        <v>95832</v>
      </c>
      <c r="AR11">
        <v>25232</v>
      </c>
      <c r="AS11">
        <v>24581079</v>
      </c>
      <c r="AT11">
        <v>25689781</v>
      </c>
      <c r="AU11">
        <v>836986</v>
      </c>
      <c r="AV11">
        <v>99113</v>
      </c>
    </row>
    <row r="12" spans="1:48" x14ac:dyDescent="0.4">
      <c r="A12" s="1" t="s">
        <v>12</v>
      </c>
      <c r="B12" s="3" t="s">
        <v>13</v>
      </c>
      <c r="C12">
        <v>378818</v>
      </c>
      <c r="D12">
        <v>357457</v>
      </c>
      <c r="E12">
        <v>400998</v>
      </c>
      <c r="F12">
        <v>3064</v>
      </c>
      <c r="G12">
        <v>40280</v>
      </c>
      <c r="H12">
        <v>64108</v>
      </c>
      <c r="I12">
        <v>91406</v>
      </c>
      <c r="J12">
        <v>113</v>
      </c>
      <c r="K12">
        <v>109333</v>
      </c>
      <c r="L12">
        <v>124309</v>
      </c>
      <c r="M12">
        <v>188985</v>
      </c>
      <c r="N12">
        <v>11260</v>
      </c>
      <c r="O12">
        <v>38139</v>
      </c>
      <c r="P12">
        <v>37680</v>
      </c>
      <c r="Q12">
        <v>155555</v>
      </c>
      <c r="R12">
        <v>4589</v>
      </c>
      <c r="S12">
        <v>33341</v>
      </c>
      <c r="T12">
        <v>64755</v>
      </c>
      <c r="U12">
        <v>562594</v>
      </c>
      <c r="V12">
        <v>2405</v>
      </c>
      <c r="W12">
        <v>12236</v>
      </c>
      <c r="X12">
        <v>12602</v>
      </c>
      <c r="Y12">
        <v>45615</v>
      </c>
      <c r="Z12">
        <v>4400</v>
      </c>
      <c r="AA12">
        <v>208580</v>
      </c>
      <c r="AB12">
        <v>244194</v>
      </c>
      <c r="AC12">
        <v>475721</v>
      </c>
      <c r="AD12">
        <v>12699</v>
      </c>
      <c r="AE12">
        <v>109096</v>
      </c>
      <c r="AF12">
        <v>111527</v>
      </c>
      <c r="AG12">
        <v>253664</v>
      </c>
      <c r="AH12">
        <v>8106</v>
      </c>
      <c r="AI12">
        <v>28878</v>
      </c>
      <c r="AJ12">
        <v>32605</v>
      </c>
      <c r="AK12">
        <v>46701</v>
      </c>
      <c r="AL12">
        <v>2352</v>
      </c>
      <c r="AM12">
        <v>14673388</v>
      </c>
      <c r="AN12">
        <v>14371985</v>
      </c>
      <c r="AO12">
        <v>1686800</v>
      </c>
      <c r="AP12">
        <v>145420</v>
      </c>
      <c r="AQ12">
        <v>131685</v>
      </c>
      <c r="AR12">
        <v>19837</v>
      </c>
      <c r="AS12">
        <v>17749689</v>
      </c>
      <c r="AT12">
        <v>17360262</v>
      </c>
      <c r="AU12">
        <v>1116787</v>
      </c>
      <c r="AV12">
        <v>96982</v>
      </c>
    </row>
    <row r="13" spans="1:48" x14ac:dyDescent="0.4">
      <c r="A13" s="1" t="s">
        <v>14</v>
      </c>
      <c r="B13" s="3" t="s">
        <v>15</v>
      </c>
      <c r="C13">
        <v>376121</v>
      </c>
      <c r="D13">
        <v>350325</v>
      </c>
      <c r="E13">
        <v>414632</v>
      </c>
      <c r="F13">
        <v>3593</v>
      </c>
      <c r="G13">
        <v>42802</v>
      </c>
      <c r="H13">
        <v>43250</v>
      </c>
      <c r="I13">
        <v>62423</v>
      </c>
      <c r="J13">
        <v>193</v>
      </c>
      <c r="K13">
        <v>107044</v>
      </c>
      <c r="L13">
        <v>123654</v>
      </c>
      <c r="M13">
        <v>200945</v>
      </c>
      <c r="N13">
        <v>12172</v>
      </c>
      <c r="O13">
        <v>33263</v>
      </c>
      <c r="P13">
        <v>33714</v>
      </c>
      <c r="Q13">
        <v>152529</v>
      </c>
      <c r="R13">
        <v>4252</v>
      </c>
      <c r="S13">
        <v>33043</v>
      </c>
      <c r="T13">
        <v>65453</v>
      </c>
      <c r="U13">
        <v>604269</v>
      </c>
      <c r="V13">
        <v>2274</v>
      </c>
      <c r="W13">
        <v>11558</v>
      </c>
      <c r="X13">
        <v>11652</v>
      </c>
      <c r="Y13">
        <v>47853</v>
      </c>
      <c r="Z13">
        <v>4242</v>
      </c>
      <c r="AA13">
        <v>192624</v>
      </c>
      <c r="AB13">
        <v>220862</v>
      </c>
      <c r="AC13">
        <v>464243</v>
      </c>
      <c r="AD13">
        <v>11865</v>
      </c>
      <c r="AE13">
        <v>100844</v>
      </c>
      <c r="AF13">
        <v>104324</v>
      </c>
      <c r="AG13">
        <v>255834</v>
      </c>
      <c r="AH13">
        <v>7379</v>
      </c>
      <c r="AI13">
        <v>29401</v>
      </c>
      <c r="AJ13">
        <v>35134</v>
      </c>
      <c r="AK13">
        <v>49490</v>
      </c>
      <c r="AL13">
        <v>1835</v>
      </c>
      <c r="AM13">
        <v>21987067</v>
      </c>
      <c r="AN13">
        <v>20875516</v>
      </c>
      <c r="AO13">
        <v>2631730</v>
      </c>
      <c r="AP13">
        <v>163994</v>
      </c>
      <c r="AQ13">
        <v>169807</v>
      </c>
      <c r="AR13">
        <v>11595</v>
      </c>
      <c r="AS13">
        <v>23068316</v>
      </c>
      <c r="AT13">
        <v>23007374</v>
      </c>
      <c r="AU13">
        <v>1177796</v>
      </c>
      <c r="AV13">
        <v>114823</v>
      </c>
    </row>
    <row r="14" spans="1:48" x14ac:dyDescent="0.4">
      <c r="A14" s="1" t="s">
        <v>16</v>
      </c>
      <c r="B14" s="1" t="s">
        <v>17</v>
      </c>
      <c r="C14">
        <v>31886</v>
      </c>
      <c r="D14">
        <v>31846</v>
      </c>
      <c r="E14">
        <v>33200</v>
      </c>
      <c r="F14">
        <v>3394</v>
      </c>
      <c r="G14">
        <v>3500</v>
      </c>
      <c r="H14">
        <v>6410</v>
      </c>
      <c r="I14">
        <v>8566</v>
      </c>
      <c r="J14">
        <v>133</v>
      </c>
      <c r="K14">
        <v>9341</v>
      </c>
      <c r="L14">
        <v>10217</v>
      </c>
      <c r="M14">
        <v>14598</v>
      </c>
      <c r="N14">
        <v>11650</v>
      </c>
      <c r="O14">
        <v>3403</v>
      </c>
      <c r="P14">
        <v>3462</v>
      </c>
      <c r="Q14">
        <v>13213</v>
      </c>
      <c r="R14">
        <v>4283</v>
      </c>
      <c r="S14">
        <v>2560</v>
      </c>
      <c r="T14">
        <v>5389</v>
      </c>
      <c r="U14">
        <v>55923</v>
      </c>
      <c r="V14">
        <v>2542</v>
      </c>
      <c r="W14">
        <v>1047</v>
      </c>
      <c r="X14">
        <v>1041</v>
      </c>
      <c r="Y14">
        <v>3780</v>
      </c>
      <c r="Z14">
        <v>4503</v>
      </c>
      <c r="AA14">
        <v>19487</v>
      </c>
      <c r="AB14">
        <v>22343</v>
      </c>
      <c r="AC14">
        <v>42343</v>
      </c>
      <c r="AD14">
        <v>14242</v>
      </c>
      <c r="AE14">
        <v>9754</v>
      </c>
      <c r="AF14">
        <v>10043</v>
      </c>
      <c r="AG14">
        <v>21429</v>
      </c>
      <c r="AH14">
        <v>7479</v>
      </c>
      <c r="AI14">
        <v>3523</v>
      </c>
      <c r="AJ14">
        <v>3962</v>
      </c>
      <c r="AK14">
        <v>7119</v>
      </c>
      <c r="AL14">
        <v>1681</v>
      </c>
      <c r="AM14">
        <v>1335506</v>
      </c>
      <c r="AN14">
        <v>1370719</v>
      </c>
      <c r="AO14">
        <v>1536118</v>
      </c>
      <c r="AP14">
        <v>11977</v>
      </c>
      <c r="AQ14">
        <v>12274</v>
      </c>
      <c r="AR14">
        <v>21780</v>
      </c>
      <c r="AS14">
        <v>1208243</v>
      </c>
      <c r="AT14">
        <v>1410349</v>
      </c>
      <c r="AU14">
        <v>585920</v>
      </c>
      <c r="AV14">
        <v>8596</v>
      </c>
    </row>
    <row r="15" spans="1:48" x14ac:dyDescent="0.4">
      <c r="A15" s="1" t="s">
        <v>18</v>
      </c>
      <c r="B15" s="1" t="s">
        <v>19</v>
      </c>
      <c r="C15">
        <v>31811</v>
      </c>
      <c r="D15">
        <v>29545</v>
      </c>
      <c r="E15">
        <v>31400</v>
      </c>
      <c r="F15">
        <v>3481</v>
      </c>
      <c r="G15">
        <v>3640</v>
      </c>
      <c r="H15">
        <v>5130</v>
      </c>
      <c r="I15">
        <v>7184</v>
      </c>
      <c r="J15">
        <v>139</v>
      </c>
      <c r="K15">
        <v>9079</v>
      </c>
      <c r="L15">
        <v>10339</v>
      </c>
      <c r="M15">
        <v>14921</v>
      </c>
      <c r="N15">
        <v>11825</v>
      </c>
      <c r="O15">
        <v>3510</v>
      </c>
      <c r="P15">
        <v>3443</v>
      </c>
      <c r="Q15">
        <v>13295</v>
      </c>
      <c r="R15">
        <v>4317</v>
      </c>
      <c r="S15">
        <v>2764</v>
      </c>
      <c r="T15">
        <v>5416</v>
      </c>
      <c r="U15">
        <v>44183</v>
      </c>
      <c r="V15">
        <v>2354</v>
      </c>
      <c r="W15">
        <v>1083</v>
      </c>
      <c r="X15">
        <v>1162</v>
      </c>
      <c r="Y15">
        <v>3961</v>
      </c>
      <c r="Z15">
        <v>4401</v>
      </c>
      <c r="AA15">
        <v>18220</v>
      </c>
      <c r="AB15">
        <v>20502</v>
      </c>
      <c r="AC15">
        <v>36641</v>
      </c>
      <c r="AD15">
        <v>14666</v>
      </c>
      <c r="AE15">
        <v>9783</v>
      </c>
      <c r="AF15">
        <v>10137</v>
      </c>
      <c r="AG15">
        <v>22225</v>
      </c>
      <c r="AH15">
        <v>7424</v>
      </c>
      <c r="AI15">
        <v>2402</v>
      </c>
      <c r="AJ15">
        <v>2864</v>
      </c>
      <c r="AK15">
        <v>3584</v>
      </c>
      <c r="AL15">
        <v>1737</v>
      </c>
      <c r="AM15">
        <v>1086595</v>
      </c>
      <c r="AN15">
        <v>1155100</v>
      </c>
      <c r="AO15">
        <v>1447192</v>
      </c>
      <c r="AP15">
        <v>14448</v>
      </c>
      <c r="AQ15">
        <v>8556</v>
      </c>
      <c r="AR15">
        <v>25986</v>
      </c>
      <c r="AS15">
        <v>1451192</v>
      </c>
      <c r="AT15">
        <v>1278700</v>
      </c>
      <c r="AU15">
        <v>758412</v>
      </c>
      <c r="AV15">
        <v>7428</v>
      </c>
    </row>
    <row r="16" spans="1:48" x14ac:dyDescent="0.4">
      <c r="A16" s="1" t="s">
        <v>20</v>
      </c>
      <c r="B16" s="1" t="s">
        <v>21</v>
      </c>
      <c r="C16">
        <v>30517</v>
      </c>
      <c r="D16">
        <v>27708</v>
      </c>
      <c r="E16">
        <v>31301</v>
      </c>
      <c r="F16">
        <v>3779</v>
      </c>
      <c r="G16">
        <v>3162</v>
      </c>
      <c r="H16">
        <v>5752</v>
      </c>
      <c r="I16">
        <v>8359</v>
      </c>
      <c r="J16">
        <v>155</v>
      </c>
      <c r="K16">
        <v>8823</v>
      </c>
      <c r="L16">
        <v>9849</v>
      </c>
      <c r="M16">
        <v>14502</v>
      </c>
      <c r="N16">
        <v>11283</v>
      </c>
      <c r="O16">
        <v>3213</v>
      </c>
      <c r="P16">
        <v>2995</v>
      </c>
      <c r="Q16">
        <v>12199</v>
      </c>
      <c r="R16">
        <v>4490</v>
      </c>
      <c r="S16">
        <v>2318</v>
      </c>
      <c r="T16">
        <v>4842</v>
      </c>
      <c r="U16">
        <v>42167</v>
      </c>
      <c r="V16">
        <v>2319</v>
      </c>
      <c r="W16">
        <v>1015</v>
      </c>
      <c r="X16">
        <v>1119</v>
      </c>
      <c r="Y16">
        <v>3715</v>
      </c>
      <c r="Z16">
        <v>4362</v>
      </c>
      <c r="AA16">
        <v>16250</v>
      </c>
      <c r="AB16">
        <v>18239</v>
      </c>
      <c r="AC16">
        <v>35743</v>
      </c>
      <c r="AD16">
        <v>15910</v>
      </c>
      <c r="AE16">
        <v>8872</v>
      </c>
      <c r="AF16">
        <v>9103</v>
      </c>
      <c r="AG16">
        <v>20751</v>
      </c>
      <c r="AH16">
        <v>7490</v>
      </c>
      <c r="AI16">
        <v>1817</v>
      </c>
      <c r="AJ16">
        <v>2152</v>
      </c>
      <c r="AK16">
        <v>2748</v>
      </c>
      <c r="AL16">
        <v>1666</v>
      </c>
      <c r="AM16">
        <v>1247984</v>
      </c>
      <c r="AN16">
        <v>1068175</v>
      </c>
      <c r="AO16">
        <v>1612011</v>
      </c>
      <c r="AP16">
        <v>7629</v>
      </c>
      <c r="AQ16">
        <v>8007</v>
      </c>
      <c r="AR16">
        <v>24118</v>
      </c>
      <c r="AS16">
        <v>1465294</v>
      </c>
      <c r="AT16">
        <v>1398789</v>
      </c>
      <c r="AU16">
        <v>824916</v>
      </c>
      <c r="AV16">
        <v>7336</v>
      </c>
    </row>
    <row r="17" spans="1:48" x14ac:dyDescent="0.4">
      <c r="A17" s="1" t="s">
        <v>22</v>
      </c>
      <c r="B17" s="1" t="s">
        <v>23</v>
      </c>
      <c r="C17">
        <v>31775</v>
      </c>
      <c r="D17">
        <v>29982</v>
      </c>
      <c r="E17">
        <v>36488</v>
      </c>
      <c r="F17">
        <v>3421</v>
      </c>
      <c r="G17">
        <v>3756</v>
      </c>
      <c r="H17">
        <v>5482</v>
      </c>
      <c r="I17">
        <v>8420</v>
      </c>
      <c r="J17">
        <v>129</v>
      </c>
      <c r="K17">
        <v>9852</v>
      </c>
      <c r="L17">
        <v>10186</v>
      </c>
      <c r="M17">
        <v>15463</v>
      </c>
      <c r="N17">
        <v>12005</v>
      </c>
      <c r="O17">
        <v>3098</v>
      </c>
      <c r="P17">
        <v>2993</v>
      </c>
      <c r="Q17">
        <v>12654</v>
      </c>
      <c r="R17">
        <v>4605</v>
      </c>
      <c r="S17">
        <v>2879</v>
      </c>
      <c r="T17">
        <v>5399</v>
      </c>
      <c r="U17">
        <v>44046</v>
      </c>
      <c r="V17">
        <v>2357</v>
      </c>
      <c r="W17">
        <v>984</v>
      </c>
      <c r="X17">
        <v>1026</v>
      </c>
      <c r="Y17">
        <v>3599</v>
      </c>
      <c r="Z17">
        <v>4377</v>
      </c>
      <c r="AA17">
        <v>17032</v>
      </c>
      <c r="AB17">
        <v>20733</v>
      </c>
      <c r="AC17">
        <v>43635</v>
      </c>
      <c r="AD17">
        <v>14830</v>
      </c>
      <c r="AE17">
        <v>9311</v>
      </c>
      <c r="AF17">
        <v>8855</v>
      </c>
      <c r="AG17">
        <v>20687</v>
      </c>
      <c r="AH17">
        <v>8248</v>
      </c>
      <c r="AI17">
        <v>2059</v>
      </c>
      <c r="AJ17">
        <v>2249</v>
      </c>
      <c r="AK17">
        <v>2899</v>
      </c>
      <c r="AL17">
        <v>1725</v>
      </c>
      <c r="AM17">
        <v>941008</v>
      </c>
      <c r="AN17">
        <v>815897</v>
      </c>
      <c r="AO17">
        <v>1715340</v>
      </c>
      <c r="AP17">
        <v>8576</v>
      </c>
      <c r="AQ17">
        <v>13011</v>
      </c>
      <c r="AR17">
        <v>17837</v>
      </c>
      <c r="AS17">
        <v>1591771</v>
      </c>
      <c r="AT17">
        <v>1638063</v>
      </c>
      <c r="AU17">
        <v>778623</v>
      </c>
      <c r="AV17">
        <v>6300</v>
      </c>
    </row>
    <row r="18" spans="1:48" x14ac:dyDescent="0.4">
      <c r="A18" s="1" t="s">
        <v>24</v>
      </c>
      <c r="B18" s="1" t="s">
        <v>25</v>
      </c>
      <c r="C18">
        <v>33123</v>
      </c>
      <c r="D18">
        <v>30668</v>
      </c>
      <c r="E18">
        <v>37683</v>
      </c>
      <c r="F18">
        <v>3677</v>
      </c>
      <c r="G18">
        <v>3961</v>
      </c>
      <c r="H18">
        <v>5667</v>
      </c>
      <c r="I18">
        <v>8593</v>
      </c>
      <c r="J18">
        <v>140</v>
      </c>
      <c r="K18">
        <v>11094</v>
      </c>
      <c r="L18">
        <v>11699</v>
      </c>
      <c r="M18">
        <v>18534</v>
      </c>
      <c r="N18">
        <v>12572</v>
      </c>
      <c r="O18">
        <v>3410</v>
      </c>
      <c r="P18">
        <v>3242</v>
      </c>
      <c r="Q18">
        <v>13900</v>
      </c>
      <c r="R18">
        <v>4745</v>
      </c>
      <c r="S18">
        <v>3107</v>
      </c>
      <c r="T18">
        <v>5815</v>
      </c>
      <c r="U18">
        <v>50284</v>
      </c>
      <c r="V18">
        <v>2429</v>
      </c>
      <c r="W18">
        <v>1077</v>
      </c>
      <c r="X18">
        <v>1025</v>
      </c>
      <c r="Y18">
        <v>3828</v>
      </c>
      <c r="Z18">
        <v>4442</v>
      </c>
      <c r="AA18">
        <v>17188</v>
      </c>
      <c r="AB18">
        <v>19048</v>
      </c>
      <c r="AC18">
        <v>37921</v>
      </c>
      <c r="AD18">
        <v>15120</v>
      </c>
      <c r="AE18">
        <v>8562</v>
      </c>
      <c r="AF18">
        <v>8721</v>
      </c>
      <c r="AG18">
        <v>21402</v>
      </c>
      <c r="AH18">
        <v>8336</v>
      </c>
      <c r="AI18">
        <v>2839</v>
      </c>
      <c r="AJ18">
        <v>2736</v>
      </c>
      <c r="AK18">
        <v>3652</v>
      </c>
      <c r="AL18">
        <v>1957</v>
      </c>
      <c r="AM18">
        <v>1066406</v>
      </c>
      <c r="AN18">
        <v>895233</v>
      </c>
      <c r="AO18">
        <v>1863699</v>
      </c>
      <c r="AP18">
        <v>11964</v>
      </c>
      <c r="AQ18">
        <v>11546</v>
      </c>
      <c r="AR18">
        <v>16686</v>
      </c>
      <c r="AS18">
        <v>1606077</v>
      </c>
      <c r="AT18">
        <v>1526393</v>
      </c>
      <c r="AU18">
        <v>858307</v>
      </c>
      <c r="AV18">
        <v>6531</v>
      </c>
    </row>
    <row r="19" spans="1:48" x14ac:dyDescent="0.4">
      <c r="A19" s="1" t="s">
        <v>26</v>
      </c>
      <c r="B19" s="1" t="s">
        <v>27</v>
      </c>
      <c r="C19">
        <v>24447</v>
      </c>
      <c r="D19">
        <v>22583</v>
      </c>
      <c r="E19">
        <v>27131</v>
      </c>
      <c r="F19">
        <v>3586</v>
      </c>
      <c r="G19">
        <v>3001</v>
      </c>
      <c r="H19">
        <v>4316</v>
      </c>
      <c r="I19">
        <v>6580</v>
      </c>
      <c r="J19">
        <v>104</v>
      </c>
      <c r="K19">
        <v>6787</v>
      </c>
      <c r="L19">
        <v>9104</v>
      </c>
      <c r="M19">
        <v>14185</v>
      </c>
      <c r="N19">
        <v>11411</v>
      </c>
      <c r="O19">
        <v>2560</v>
      </c>
      <c r="P19">
        <v>2614</v>
      </c>
      <c r="Q19">
        <v>11145</v>
      </c>
      <c r="R19">
        <v>4683</v>
      </c>
      <c r="S19">
        <v>2463</v>
      </c>
      <c r="T19">
        <v>4450</v>
      </c>
      <c r="U19">
        <v>41859</v>
      </c>
      <c r="V19">
        <v>2454</v>
      </c>
      <c r="W19">
        <v>820</v>
      </c>
      <c r="X19">
        <v>826</v>
      </c>
      <c r="Y19">
        <v>3250</v>
      </c>
      <c r="Z19">
        <v>4451</v>
      </c>
      <c r="AA19">
        <v>14083</v>
      </c>
      <c r="AB19">
        <v>16479</v>
      </c>
      <c r="AC19">
        <v>32974</v>
      </c>
      <c r="AD19">
        <v>14889</v>
      </c>
      <c r="AE19">
        <v>6901</v>
      </c>
      <c r="AF19">
        <v>7197</v>
      </c>
      <c r="AG19">
        <v>17517</v>
      </c>
      <c r="AH19">
        <v>8321</v>
      </c>
      <c r="AI19">
        <v>1950</v>
      </c>
      <c r="AJ19">
        <v>2587</v>
      </c>
      <c r="AK19">
        <v>3609</v>
      </c>
      <c r="AL19">
        <v>1995</v>
      </c>
      <c r="AM19">
        <v>1080405</v>
      </c>
      <c r="AN19">
        <v>1047712</v>
      </c>
      <c r="AO19">
        <v>1879186</v>
      </c>
      <c r="AP19">
        <v>7807</v>
      </c>
      <c r="AQ19">
        <v>7055</v>
      </c>
      <c r="AR19">
        <v>16292</v>
      </c>
      <c r="AS19">
        <v>1165500</v>
      </c>
      <c r="AT19">
        <v>1322795</v>
      </c>
      <c r="AU19">
        <v>701012</v>
      </c>
      <c r="AV19">
        <v>9553</v>
      </c>
    </row>
    <row r="20" spans="1:48" x14ac:dyDescent="0.4">
      <c r="A20" s="1" t="s">
        <v>28</v>
      </c>
      <c r="B20" s="1" t="s">
        <v>29</v>
      </c>
      <c r="C20">
        <v>30971</v>
      </c>
      <c r="D20">
        <v>28890</v>
      </c>
      <c r="E20">
        <v>33550</v>
      </c>
      <c r="F20">
        <v>3194</v>
      </c>
      <c r="G20">
        <v>3260</v>
      </c>
      <c r="H20">
        <v>4719</v>
      </c>
      <c r="I20">
        <v>6794</v>
      </c>
      <c r="J20">
        <v>122</v>
      </c>
      <c r="K20">
        <v>9489</v>
      </c>
      <c r="L20">
        <v>10609</v>
      </c>
      <c r="M20">
        <v>16832</v>
      </c>
      <c r="N20">
        <v>11625</v>
      </c>
      <c r="O20">
        <v>2934</v>
      </c>
      <c r="P20">
        <v>2947</v>
      </c>
      <c r="Q20">
        <v>12484</v>
      </c>
      <c r="R20">
        <v>4647</v>
      </c>
      <c r="S20">
        <v>3113</v>
      </c>
      <c r="T20">
        <v>5761</v>
      </c>
      <c r="U20">
        <v>51842</v>
      </c>
      <c r="V20">
        <v>2530</v>
      </c>
      <c r="W20">
        <v>927</v>
      </c>
      <c r="X20">
        <v>982</v>
      </c>
      <c r="Y20">
        <v>3849</v>
      </c>
      <c r="Z20">
        <v>4407</v>
      </c>
      <c r="AA20">
        <v>17421</v>
      </c>
      <c r="AB20">
        <v>22543</v>
      </c>
      <c r="AC20">
        <v>46697</v>
      </c>
      <c r="AD20">
        <v>12449</v>
      </c>
      <c r="AE20">
        <v>8688</v>
      </c>
      <c r="AF20">
        <v>9237</v>
      </c>
      <c r="AG20">
        <v>21786</v>
      </c>
      <c r="AH20">
        <v>8019</v>
      </c>
      <c r="AI20">
        <v>3080</v>
      </c>
      <c r="AJ20">
        <v>3621</v>
      </c>
      <c r="AK20">
        <v>5000</v>
      </c>
      <c r="AL20">
        <v>2149</v>
      </c>
      <c r="AM20">
        <v>1480384</v>
      </c>
      <c r="AN20">
        <v>1070956</v>
      </c>
      <c r="AO20">
        <v>2255738</v>
      </c>
      <c r="AP20">
        <v>18729</v>
      </c>
      <c r="AQ20">
        <v>17132</v>
      </c>
      <c r="AR20">
        <v>16130</v>
      </c>
      <c r="AS20">
        <v>2012977</v>
      </c>
      <c r="AT20">
        <v>1725687</v>
      </c>
      <c r="AU20">
        <v>988303</v>
      </c>
      <c r="AV20">
        <v>7116</v>
      </c>
    </row>
    <row r="21" spans="1:48" x14ac:dyDescent="0.4">
      <c r="A21" s="1" t="s">
        <v>30</v>
      </c>
      <c r="B21" s="1" t="s">
        <v>31</v>
      </c>
      <c r="C21">
        <v>34739</v>
      </c>
      <c r="D21">
        <v>31938</v>
      </c>
      <c r="E21">
        <v>36205</v>
      </c>
      <c r="F21">
        <v>3215</v>
      </c>
      <c r="G21">
        <v>3317</v>
      </c>
      <c r="H21">
        <v>4903</v>
      </c>
      <c r="I21">
        <v>7117</v>
      </c>
      <c r="J21">
        <v>117</v>
      </c>
      <c r="K21">
        <v>9491</v>
      </c>
      <c r="L21">
        <v>11483</v>
      </c>
      <c r="M21">
        <v>18448</v>
      </c>
      <c r="N21">
        <v>11046</v>
      </c>
      <c r="O21">
        <v>3325</v>
      </c>
      <c r="P21">
        <v>3306</v>
      </c>
      <c r="Q21">
        <v>14246</v>
      </c>
      <c r="R21">
        <v>4631</v>
      </c>
      <c r="S21">
        <v>2898</v>
      </c>
      <c r="T21">
        <v>6044</v>
      </c>
      <c r="U21">
        <v>53084</v>
      </c>
      <c r="V21">
        <v>2434</v>
      </c>
      <c r="W21">
        <v>1060</v>
      </c>
      <c r="X21">
        <v>1103</v>
      </c>
      <c r="Y21">
        <v>4269</v>
      </c>
      <c r="Z21">
        <v>4367</v>
      </c>
      <c r="AA21">
        <v>17615</v>
      </c>
      <c r="AB21">
        <v>21336</v>
      </c>
      <c r="AC21">
        <v>44105</v>
      </c>
      <c r="AD21">
        <v>12243</v>
      </c>
      <c r="AE21">
        <v>9655</v>
      </c>
      <c r="AF21">
        <v>10208</v>
      </c>
      <c r="AG21">
        <v>24279</v>
      </c>
      <c r="AH21">
        <v>7888</v>
      </c>
      <c r="AI21">
        <v>2246</v>
      </c>
      <c r="AJ21">
        <v>2538</v>
      </c>
      <c r="AK21">
        <v>3858</v>
      </c>
      <c r="AL21">
        <v>1911</v>
      </c>
      <c r="AM21">
        <v>1529434</v>
      </c>
      <c r="AN21">
        <v>1718655</v>
      </c>
      <c r="AO21">
        <v>2039535</v>
      </c>
      <c r="AP21">
        <v>8679</v>
      </c>
      <c r="AQ21">
        <v>9043</v>
      </c>
      <c r="AR21">
        <v>14584</v>
      </c>
      <c r="AS21">
        <v>1790911</v>
      </c>
      <c r="AT21">
        <v>1868293</v>
      </c>
      <c r="AU21">
        <v>910921</v>
      </c>
      <c r="AV21">
        <v>9217</v>
      </c>
    </row>
    <row r="22" spans="1:48" x14ac:dyDescent="0.4">
      <c r="A22" s="1" t="s">
        <v>32</v>
      </c>
      <c r="B22" s="1" t="s">
        <v>33</v>
      </c>
      <c r="C22">
        <v>32982</v>
      </c>
      <c r="D22">
        <v>29921</v>
      </c>
      <c r="E22">
        <v>34505</v>
      </c>
      <c r="F22">
        <v>3537</v>
      </c>
      <c r="G22">
        <v>3181</v>
      </c>
      <c r="H22">
        <v>4682</v>
      </c>
      <c r="I22">
        <v>6919</v>
      </c>
      <c r="J22">
        <v>126</v>
      </c>
      <c r="K22">
        <v>9989</v>
      </c>
      <c r="L22">
        <v>10707</v>
      </c>
      <c r="M22">
        <v>16949</v>
      </c>
      <c r="N22">
        <v>11867</v>
      </c>
      <c r="O22">
        <v>3053</v>
      </c>
      <c r="P22">
        <v>3148</v>
      </c>
      <c r="Q22">
        <v>14461</v>
      </c>
      <c r="R22">
        <v>4541</v>
      </c>
      <c r="S22">
        <v>3027</v>
      </c>
      <c r="T22">
        <v>5888</v>
      </c>
      <c r="U22">
        <v>49259</v>
      </c>
      <c r="V22">
        <v>2485</v>
      </c>
      <c r="W22">
        <v>1054</v>
      </c>
      <c r="X22">
        <v>1076</v>
      </c>
      <c r="Y22">
        <v>4164</v>
      </c>
      <c r="Z22">
        <v>4333</v>
      </c>
      <c r="AA22">
        <v>18003</v>
      </c>
      <c r="AB22">
        <v>21352</v>
      </c>
      <c r="AC22">
        <v>41874</v>
      </c>
      <c r="AD22">
        <v>11864</v>
      </c>
      <c r="AE22">
        <v>9388</v>
      </c>
      <c r="AF22">
        <v>9331</v>
      </c>
      <c r="AG22">
        <v>21714</v>
      </c>
      <c r="AH22">
        <v>8148</v>
      </c>
      <c r="AI22">
        <v>2453</v>
      </c>
      <c r="AJ22">
        <v>2363</v>
      </c>
      <c r="AK22">
        <v>3620</v>
      </c>
      <c r="AL22">
        <v>2245</v>
      </c>
      <c r="AM22">
        <v>1543230</v>
      </c>
      <c r="AN22">
        <v>1460406</v>
      </c>
      <c r="AO22">
        <v>2092804</v>
      </c>
      <c r="AP22">
        <v>17734</v>
      </c>
      <c r="AQ22">
        <v>10722</v>
      </c>
      <c r="AR22">
        <v>20751</v>
      </c>
      <c r="AS22">
        <v>1744036</v>
      </c>
      <c r="AT22">
        <v>1715543</v>
      </c>
      <c r="AU22">
        <v>939413</v>
      </c>
      <c r="AV22">
        <v>8132</v>
      </c>
    </row>
    <row r="23" spans="1:48" x14ac:dyDescent="0.4">
      <c r="A23" s="1" t="s">
        <v>34</v>
      </c>
      <c r="B23" s="1" t="s">
        <v>35</v>
      </c>
      <c r="C23">
        <v>30622</v>
      </c>
      <c r="D23">
        <v>29045</v>
      </c>
      <c r="E23">
        <v>32863</v>
      </c>
      <c r="F23">
        <v>3064</v>
      </c>
      <c r="G23">
        <v>3317</v>
      </c>
      <c r="H23">
        <v>4856</v>
      </c>
      <c r="I23">
        <v>7297</v>
      </c>
      <c r="J23">
        <v>113</v>
      </c>
      <c r="K23">
        <v>8268</v>
      </c>
      <c r="L23">
        <v>10460</v>
      </c>
      <c r="M23">
        <v>16775</v>
      </c>
      <c r="N23">
        <v>11260</v>
      </c>
      <c r="O23">
        <v>2925</v>
      </c>
      <c r="P23">
        <v>2884</v>
      </c>
      <c r="Q23">
        <v>13227</v>
      </c>
      <c r="R23">
        <v>4589</v>
      </c>
      <c r="S23">
        <v>2953</v>
      </c>
      <c r="T23">
        <v>5515</v>
      </c>
      <c r="U23">
        <v>46712</v>
      </c>
      <c r="V23">
        <v>2405</v>
      </c>
      <c r="W23">
        <v>1059</v>
      </c>
      <c r="X23">
        <v>997</v>
      </c>
      <c r="Y23">
        <v>3743</v>
      </c>
      <c r="Z23">
        <v>4400</v>
      </c>
      <c r="AA23">
        <v>17645</v>
      </c>
      <c r="AB23">
        <v>19405</v>
      </c>
      <c r="AC23">
        <v>37082</v>
      </c>
      <c r="AD23">
        <v>12699</v>
      </c>
      <c r="AE23">
        <v>8809</v>
      </c>
      <c r="AF23">
        <v>9047</v>
      </c>
      <c r="AG23">
        <v>20986</v>
      </c>
      <c r="AH23">
        <v>8106</v>
      </c>
      <c r="AI23">
        <v>2058</v>
      </c>
      <c r="AJ23">
        <v>2319</v>
      </c>
      <c r="AK23">
        <v>3782</v>
      </c>
      <c r="AL23">
        <v>2352</v>
      </c>
      <c r="AM23">
        <v>1354883</v>
      </c>
      <c r="AN23">
        <v>1740726</v>
      </c>
      <c r="AO23">
        <v>1686800</v>
      </c>
      <c r="AP23">
        <v>8850</v>
      </c>
      <c r="AQ23">
        <v>8667</v>
      </c>
      <c r="AR23">
        <v>19837</v>
      </c>
      <c r="AS23">
        <v>1486691</v>
      </c>
      <c r="AT23">
        <v>1309317</v>
      </c>
      <c r="AU23">
        <v>1116787</v>
      </c>
      <c r="AV23">
        <v>12912</v>
      </c>
    </row>
    <row r="24" spans="1:48" x14ac:dyDescent="0.4">
      <c r="A24" s="1" t="s">
        <v>36</v>
      </c>
      <c r="B24" s="1" t="s">
        <v>37</v>
      </c>
      <c r="C24">
        <v>30201</v>
      </c>
      <c r="D24">
        <v>27281</v>
      </c>
      <c r="E24">
        <v>30493</v>
      </c>
      <c r="F24">
        <v>3577</v>
      </c>
      <c r="G24">
        <v>3281</v>
      </c>
      <c r="H24">
        <v>3371</v>
      </c>
      <c r="I24">
        <v>4532</v>
      </c>
      <c r="J24">
        <v>147</v>
      </c>
      <c r="K24">
        <v>8355</v>
      </c>
      <c r="L24">
        <v>10188</v>
      </c>
      <c r="M24">
        <v>16216</v>
      </c>
      <c r="N24">
        <v>11162</v>
      </c>
      <c r="O24">
        <v>2844</v>
      </c>
      <c r="P24">
        <v>2829</v>
      </c>
      <c r="Q24">
        <v>12685</v>
      </c>
      <c r="R24">
        <v>4561</v>
      </c>
      <c r="S24">
        <v>2318</v>
      </c>
      <c r="T24">
        <v>5016</v>
      </c>
      <c r="U24">
        <v>47172</v>
      </c>
      <c r="V24">
        <v>2301</v>
      </c>
      <c r="W24">
        <v>958</v>
      </c>
      <c r="X24">
        <v>963</v>
      </c>
      <c r="Y24">
        <v>3844</v>
      </c>
      <c r="Z24">
        <v>4382</v>
      </c>
      <c r="AA24">
        <v>14658</v>
      </c>
      <c r="AB24">
        <v>17329</v>
      </c>
      <c r="AC24">
        <v>33864</v>
      </c>
      <c r="AD24">
        <v>12877</v>
      </c>
      <c r="AE24">
        <v>7251</v>
      </c>
      <c r="AF24">
        <v>7736</v>
      </c>
      <c r="AG24">
        <v>19005</v>
      </c>
      <c r="AH24">
        <v>7789</v>
      </c>
      <c r="AI24">
        <v>3208</v>
      </c>
      <c r="AJ24">
        <v>2427</v>
      </c>
      <c r="AK24">
        <v>3313</v>
      </c>
      <c r="AL24">
        <v>3307</v>
      </c>
      <c r="AM24">
        <v>1471755</v>
      </c>
      <c r="AN24">
        <v>1235995</v>
      </c>
      <c r="AO24">
        <v>1924417</v>
      </c>
      <c r="AP24">
        <v>14388</v>
      </c>
      <c r="AQ24">
        <v>16654</v>
      </c>
      <c r="AR24">
        <v>16232</v>
      </c>
      <c r="AS24">
        <v>1268180</v>
      </c>
      <c r="AT24">
        <v>1427835</v>
      </c>
      <c r="AU24">
        <v>956760</v>
      </c>
      <c r="AV24">
        <v>6642</v>
      </c>
    </row>
    <row r="25" spans="1:48" x14ac:dyDescent="0.4">
      <c r="A25" s="1" t="s">
        <v>38</v>
      </c>
      <c r="B25" s="1" t="s">
        <v>39</v>
      </c>
      <c r="C25">
        <v>28447</v>
      </c>
      <c r="D25">
        <v>27203</v>
      </c>
      <c r="E25">
        <v>31066</v>
      </c>
      <c r="F25">
        <v>3027</v>
      </c>
      <c r="G25">
        <v>3837</v>
      </c>
      <c r="H25">
        <v>3713</v>
      </c>
      <c r="I25">
        <v>5024</v>
      </c>
      <c r="J25">
        <v>244</v>
      </c>
      <c r="K25">
        <v>9009</v>
      </c>
      <c r="L25">
        <v>10183</v>
      </c>
      <c r="M25">
        <v>16200</v>
      </c>
      <c r="N25">
        <v>10880</v>
      </c>
      <c r="O25">
        <v>2762</v>
      </c>
      <c r="P25">
        <v>2802</v>
      </c>
      <c r="Q25">
        <v>12065</v>
      </c>
      <c r="R25">
        <v>4508</v>
      </c>
      <c r="S25">
        <v>2884</v>
      </c>
      <c r="T25">
        <v>5606</v>
      </c>
      <c r="U25">
        <v>47233</v>
      </c>
      <c r="V25">
        <v>2352</v>
      </c>
      <c r="W25">
        <v>956</v>
      </c>
      <c r="X25">
        <v>993</v>
      </c>
      <c r="Y25">
        <v>3755</v>
      </c>
      <c r="Z25">
        <v>4339</v>
      </c>
      <c r="AA25">
        <v>15641</v>
      </c>
      <c r="AB25">
        <v>17805</v>
      </c>
      <c r="AC25">
        <v>36906</v>
      </c>
      <c r="AD25">
        <v>12591</v>
      </c>
      <c r="AE25">
        <v>7984</v>
      </c>
      <c r="AF25">
        <v>8130</v>
      </c>
      <c r="AG25">
        <v>19311</v>
      </c>
      <c r="AH25">
        <v>7962</v>
      </c>
      <c r="AI25">
        <v>2924</v>
      </c>
      <c r="AJ25">
        <v>3577</v>
      </c>
      <c r="AK25">
        <v>4331</v>
      </c>
      <c r="AL25">
        <v>3429</v>
      </c>
      <c r="AM25">
        <v>1807041</v>
      </c>
      <c r="AN25">
        <v>1642052</v>
      </c>
      <c r="AO25">
        <v>2097260</v>
      </c>
      <c r="AP25">
        <v>10877</v>
      </c>
      <c r="AQ25">
        <v>11436</v>
      </c>
      <c r="AR25">
        <v>15108</v>
      </c>
      <c r="AS25">
        <v>1700076</v>
      </c>
      <c r="AT25">
        <v>1569629</v>
      </c>
      <c r="AU25">
        <v>1087277</v>
      </c>
      <c r="AV25">
        <v>8107</v>
      </c>
    </row>
    <row r="26" spans="1:48" x14ac:dyDescent="0.4">
      <c r="A26" s="1" t="s">
        <v>40</v>
      </c>
      <c r="B26" s="1" t="s">
        <v>41</v>
      </c>
      <c r="C26">
        <v>29048</v>
      </c>
      <c r="D26">
        <v>27483</v>
      </c>
      <c r="E26">
        <v>31347</v>
      </c>
      <c r="F26">
        <v>2840</v>
      </c>
      <c r="G26">
        <v>3803</v>
      </c>
      <c r="H26">
        <v>3660</v>
      </c>
      <c r="I26">
        <v>4867</v>
      </c>
      <c r="J26">
        <v>353</v>
      </c>
      <c r="K26">
        <v>10122</v>
      </c>
      <c r="L26">
        <v>10508</v>
      </c>
      <c r="M26">
        <v>17405</v>
      </c>
      <c r="N26">
        <v>11273</v>
      </c>
      <c r="O26">
        <v>2669</v>
      </c>
      <c r="P26">
        <v>2802</v>
      </c>
      <c r="Q26">
        <v>12465</v>
      </c>
      <c r="R26">
        <v>4489</v>
      </c>
      <c r="S26">
        <v>2750</v>
      </c>
      <c r="T26">
        <v>5336</v>
      </c>
      <c r="U26">
        <v>64324</v>
      </c>
      <c r="V26">
        <v>2458</v>
      </c>
      <c r="W26">
        <v>982</v>
      </c>
      <c r="X26">
        <v>953</v>
      </c>
      <c r="Y26">
        <v>3838</v>
      </c>
      <c r="Z26">
        <v>4337</v>
      </c>
      <c r="AA26">
        <v>15562</v>
      </c>
      <c r="AB26">
        <v>18388</v>
      </c>
      <c r="AC26">
        <v>38194</v>
      </c>
      <c r="AD26">
        <v>12210</v>
      </c>
      <c r="AE26">
        <v>8010</v>
      </c>
      <c r="AF26">
        <v>8350</v>
      </c>
      <c r="AG26">
        <v>20323</v>
      </c>
      <c r="AH26">
        <v>7791</v>
      </c>
      <c r="AI26">
        <v>2842</v>
      </c>
      <c r="AJ26">
        <v>4270</v>
      </c>
      <c r="AK26">
        <v>5695</v>
      </c>
      <c r="AL26">
        <v>2834</v>
      </c>
      <c r="AM26">
        <v>1916117</v>
      </c>
      <c r="AN26">
        <v>1831537</v>
      </c>
      <c r="AO26">
        <v>2180226</v>
      </c>
      <c r="AP26">
        <v>14982</v>
      </c>
      <c r="AQ26">
        <v>13975</v>
      </c>
      <c r="AR26">
        <v>15415</v>
      </c>
      <c r="AS26">
        <v>1770040</v>
      </c>
      <c r="AT26">
        <v>1563438</v>
      </c>
      <c r="AU26">
        <v>1294249</v>
      </c>
      <c r="AV26">
        <v>11446</v>
      </c>
    </row>
    <row r="27" spans="1:48" x14ac:dyDescent="0.4">
      <c r="A27" s="1" t="s">
        <v>42</v>
      </c>
      <c r="B27" s="1" t="s">
        <v>43</v>
      </c>
      <c r="C27">
        <v>30852</v>
      </c>
      <c r="D27">
        <v>28994</v>
      </c>
      <c r="E27">
        <v>33259</v>
      </c>
      <c r="F27">
        <v>2957</v>
      </c>
      <c r="G27">
        <v>3708</v>
      </c>
      <c r="H27">
        <v>3847</v>
      </c>
      <c r="I27">
        <v>5629</v>
      </c>
      <c r="J27">
        <v>225</v>
      </c>
      <c r="K27">
        <v>8602</v>
      </c>
      <c r="L27">
        <v>10379</v>
      </c>
      <c r="M27">
        <v>16463</v>
      </c>
      <c r="N27">
        <v>11567</v>
      </c>
      <c r="O27">
        <v>2781</v>
      </c>
      <c r="P27">
        <v>2901</v>
      </c>
      <c r="Q27">
        <v>12638</v>
      </c>
      <c r="R27">
        <v>4347</v>
      </c>
      <c r="S27">
        <v>2906</v>
      </c>
      <c r="T27">
        <v>5292</v>
      </c>
      <c r="U27">
        <v>41969</v>
      </c>
      <c r="V27">
        <v>2380</v>
      </c>
      <c r="W27">
        <v>1007</v>
      </c>
      <c r="X27">
        <v>1084</v>
      </c>
      <c r="Y27">
        <v>4150</v>
      </c>
      <c r="Z27">
        <v>4281</v>
      </c>
      <c r="AA27">
        <v>15570</v>
      </c>
      <c r="AB27">
        <v>18088</v>
      </c>
      <c r="AC27">
        <v>35398</v>
      </c>
      <c r="AD27">
        <v>11773</v>
      </c>
      <c r="AE27">
        <v>8429</v>
      </c>
      <c r="AF27">
        <v>8816</v>
      </c>
      <c r="AG27">
        <v>20727</v>
      </c>
      <c r="AH27">
        <v>7662</v>
      </c>
      <c r="AI27">
        <v>2035</v>
      </c>
      <c r="AJ27">
        <v>2883</v>
      </c>
      <c r="AK27">
        <v>4298</v>
      </c>
      <c r="AL27">
        <v>2229</v>
      </c>
      <c r="AM27">
        <v>1575471</v>
      </c>
      <c r="AN27">
        <v>1680682</v>
      </c>
      <c r="AO27">
        <v>2062235</v>
      </c>
      <c r="AP27">
        <v>10811</v>
      </c>
      <c r="AQ27">
        <v>12646</v>
      </c>
      <c r="AR27">
        <v>13876</v>
      </c>
      <c r="AS27">
        <v>1915292</v>
      </c>
      <c r="AT27">
        <v>1954655</v>
      </c>
      <c r="AU27">
        <v>1254887</v>
      </c>
      <c r="AV27">
        <v>9608</v>
      </c>
    </row>
    <row r="28" spans="1:48" x14ac:dyDescent="0.4">
      <c r="A28" s="1" t="s">
        <v>44</v>
      </c>
      <c r="B28" s="1" t="s">
        <v>45</v>
      </c>
      <c r="C28">
        <v>31184</v>
      </c>
      <c r="D28">
        <v>28330</v>
      </c>
      <c r="E28">
        <v>32401</v>
      </c>
      <c r="F28">
        <v>3345</v>
      </c>
      <c r="G28">
        <v>3403</v>
      </c>
      <c r="H28">
        <v>3488</v>
      </c>
      <c r="I28">
        <v>4898</v>
      </c>
      <c r="J28">
        <v>191</v>
      </c>
      <c r="K28">
        <v>8612</v>
      </c>
      <c r="L28">
        <v>9875</v>
      </c>
      <c r="M28">
        <v>15393</v>
      </c>
      <c r="N28">
        <v>11223</v>
      </c>
      <c r="O28">
        <v>2717</v>
      </c>
      <c r="P28">
        <v>2714</v>
      </c>
      <c r="Q28">
        <v>11950</v>
      </c>
      <c r="R28">
        <v>4394</v>
      </c>
      <c r="S28">
        <v>2431</v>
      </c>
      <c r="T28">
        <v>4871</v>
      </c>
      <c r="U28">
        <v>40992</v>
      </c>
      <c r="V28">
        <v>2370</v>
      </c>
      <c r="W28">
        <v>952</v>
      </c>
      <c r="X28">
        <v>916</v>
      </c>
      <c r="Y28">
        <v>3684</v>
      </c>
      <c r="Z28">
        <v>4312</v>
      </c>
      <c r="AA28">
        <v>15429</v>
      </c>
      <c r="AB28">
        <v>17717</v>
      </c>
      <c r="AC28">
        <v>38704</v>
      </c>
      <c r="AD28">
        <v>12464</v>
      </c>
      <c r="AE28">
        <v>7815</v>
      </c>
      <c r="AF28">
        <v>8358</v>
      </c>
      <c r="AG28">
        <v>19975</v>
      </c>
      <c r="AH28">
        <v>7287</v>
      </c>
      <c r="AI28">
        <v>2311</v>
      </c>
      <c r="AJ28">
        <v>2693</v>
      </c>
      <c r="AK28">
        <v>3470</v>
      </c>
      <c r="AL28">
        <v>2004</v>
      </c>
      <c r="AM28">
        <v>1705183</v>
      </c>
      <c r="AN28">
        <v>1720520</v>
      </c>
      <c r="AO28">
        <v>2031258</v>
      </c>
      <c r="AP28">
        <v>20549</v>
      </c>
      <c r="AQ28">
        <v>8893</v>
      </c>
      <c r="AR28">
        <v>25494</v>
      </c>
      <c r="AS28">
        <v>1654521</v>
      </c>
      <c r="AT28">
        <v>1651286</v>
      </c>
      <c r="AU28">
        <v>1258122</v>
      </c>
      <c r="AV28">
        <v>8438</v>
      </c>
    </row>
    <row r="29" spans="1:48" x14ac:dyDescent="0.4">
      <c r="A29" s="1" t="s">
        <v>46</v>
      </c>
      <c r="B29" s="1" t="s">
        <v>47</v>
      </c>
      <c r="C29">
        <v>34054</v>
      </c>
      <c r="D29">
        <v>31914</v>
      </c>
      <c r="E29">
        <v>36420</v>
      </c>
      <c r="F29">
        <v>3147</v>
      </c>
      <c r="G29">
        <v>3660</v>
      </c>
      <c r="H29">
        <v>3793</v>
      </c>
      <c r="I29">
        <v>5583</v>
      </c>
      <c r="J29">
        <v>298</v>
      </c>
      <c r="K29">
        <v>9791</v>
      </c>
      <c r="L29">
        <v>10756</v>
      </c>
      <c r="M29">
        <v>16975</v>
      </c>
      <c r="N29">
        <v>12028</v>
      </c>
      <c r="O29">
        <v>2896</v>
      </c>
      <c r="P29">
        <v>2800</v>
      </c>
      <c r="Q29">
        <v>12524</v>
      </c>
      <c r="R29">
        <v>4484</v>
      </c>
      <c r="S29">
        <v>2909</v>
      </c>
      <c r="T29">
        <v>5702</v>
      </c>
      <c r="U29">
        <v>49188</v>
      </c>
      <c r="V29">
        <v>2342</v>
      </c>
      <c r="W29">
        <v>1011</v>
      </c>
      <c r="X29">
        <v>987</v>
      </c>
      <c r="Y29">
        <v>4058</v>
      </c>
      <c r="Z29">
        <v>4323</v>
      </c>
      <c r="AA29">
        <v>16402</v>
      </c>
      <c r="AB29">
        <v>18977</v>
      </c>
      <c r="AC29">
        <v>38896</v>
      </c>
      <c r="AD29">
        <v>12287</v>
      </c>
      <c r="AE29">
        <v>9367</v>
      </c>
      <c r="AF29">
        <v>9345</v>
      </c>
      <c r="AG29">
        <v>21892</v>
      </c>
      <c r="AH29">
        <v>7494</v>
      </c>
      <c r="AI29">
        <v>2313</v>
      </c>
      <c r="AJ29">
        <v>1968</v>
      </c>
      <c r="AK29">
        <v>3162</v>
      </c>
      <c r="AL29">
        <v>2404</v>
      </c>
      <c r="AM29">
        <v>1940129</v>
      </c>
      <c r="AN29">
        <v>1820719</v>
      </c>
      <c r="AO29">
        <v>2131955</v>
      </c>
      <c r="AP29">
        <v>11454</v>
      </c>
      <c r="AQ29">
        <v>17550</v>
      </c>
      <c r="AR29">
        <v>19397</v>
      </c>
      <c r="AS29">
        <v>1886984</v>
      </c>
      <c r="AT29">
        <v>2005311</v>
      </c>
      <c r="AU29">
        <v>1139794</v>
      </c>
      <c r="AV29">
        <v>10880</v>
      </c>
    </row>
    <row r="30" spans="1:48" x14ac:dyDescent="0.4">
      <c r="A30" s="1" t="s">
        <v>48</v>
      </c>
      <c r="B30" s="1" t="s">
        <v>49</v>
      </c>
      <c r="C30">
        <v>35410</v>
      </c>
      <c r="D30">
        <v>31673</v>
      </c>
      <c r="E30">
        <v>37652</v>
      </c>
      <c r="F30">
        <v>4221</v>
      </c>
      <c r="G30">
        <v>3736</v>
      </c>
      <c r="H30">
        <v>3801</v>
      </c>
      <c r="I30">
        <v>5486</v>
      </c>
      <c r="J30">
        <v>304</v>
      </c>
      <c r="K30">
        <v>10465</v>
      </c>
      <c r="L30">
        <v>11449</v>
      </c>
      <c r="M30">
        <v>18243</v>
      </c>
      <c r="N30">
        <v>12889</v>
      </c>
      <c r="O30">
        <v>2999</v>
      </c>
      <c r="P30">
        <v>3012</v>
      </c>
      <c r="Q30">
        <v>13685</v>
      </c>
      <c r="R30">
        <v>4469</v>
      </c>
      <c r="S30">
        <v>2921</v>
      </c>
      <c r="T30">
        <v>5793</v>
      </c>
      <c r="U30">
        <v>51486</v>
      </c>
      <c r="V30">
        <v>2315</v>
      </c>
      <c r="W30">
        <v>1028</v>
      </c>
      <c r="X30">
        <v>1042</v>
      </c>
      <c r="Y30">
        <v>4275</v>
      </c>
      <c r="Z30">
        <v>4294</v>
      </c>
      <c r="AA30">
        <v>17374</v>
      </c>
      <c r="AB30">
        <v>19519</v>
      </c>
      <c r="AC30">
        <v>40433</v>
      </c>
      <c r="AD30">
        <v>12587</v>
      </c>
      <c r="AE30">
        <v>9029</v>
      </c>
      <c r="AF30">
        <v>9126</v>
      </c>
      <c r="AG30">
        <v>22418</v>
      </c>
      <c r="AH30">
        <v>7622</v>
      </c>
      <c r="AI30">
        <v>2482</v>
      </c>
      <c r="AJ30">
        <v>2780</v>
      </c>
      <c r="AK30">
        <v>3913</v>
      </c>
      <c r="AL30">
        <v>2355</v>
      </c>
      <c r="AM30">
        <v>1835174</v>
      </c>
      <c r="AN30">
        <v>1763889</v>
      </c>
      <c r="AO30">
        <v>2178033</v>
      </c>
      <c r="AP30">
        <v>16574</v>
      </c>
      <c r="AQ30">
        <v>22279</v>
      </c>
      <c r="AR30">
        <v>13666</v>
      </c>
      <c r="AS30">
        <v>2256287</v>
      </c>
      <c r="AT30">
        <v>2165536</v>
      </c>
      <c r="AU30">
        <v>1230545</v>
      </c>
      <c r="AV30">
        <v>9561</v>
      </c>
    </row>
    <row r="31" spans="1:48" x14ac:dyDescent="0.4">
      <c r="A31" s="1" t="s">
        <v>50</v>
      </c>
      <c r="B31" s="1" t="s">
        <v>51</v>
      </c>
      <c r="C31">
        <v>25312</v>
      </c>
      <c r="D31">
        <v>24407</v>
      </c>
      <c r="E31">
        <v>29101</v>
      </c>
      <c r="F31">
        <v>3450</v>
      </c>
      <c r="G31">
        <v>2615</v>
      </c>
      <c r="H31">
        <v>2660</v>
      </c>
      <c r="I31">
        <v>3790</v>
      </c>
      <c r="J31">
        <v>239</v>
      </c>
      <c r="K31">
        <v>6286</v>
      </c>
      <c r="L31">
        <v>8675</v>
      </c>
      <c r="M31">
        <v>13625</v>
      </c>
      <c r="N31">
        <v>12085</v>
      </c>
      <c r="O31">
        <v>2360</v>
      </c>
      <c r="P31">
        <v>2453</v>
      </c>
      <c r="Q31">
        <v>11453</v>
      </c>
      <c r="R31">
        <v>4343</v>
      </c>
      <c r="S31">
        <v>2367</v>
      </c>
      <c r="T31">
        <v>4560</v>
      </c>
      <c r="U31">
        <v>39286</v>
      </c>
      <c r="V31">
        <v>2235</v>
      </c>
      <c r="W31">
        <v>785</v>
      </c>
      <c r="X31">
        <v>861</v>
      </c>
      <c r="Y31">
        <v>3565</v>
      </c>
      <c r="Z31">
        <v>4223</v>
      </c>
      <c r="AA31">
        <v>13347</v>
      </c>
      <c r="AB31">
        <v>15769</v>
      </c>
      <c r="AC31">
        <v>31699</v>
      </c>
      <c r="AD31">
        <v>11779</v>
      </c>
      <c r="AE31">
        <v>6872</v>
      </c>
      <c r="AF31">
        <v>7278</v>
      </c>
      <c r="AG31">
        <v>18079</v>
      </c>
      <c r="AH31">
        <v>7516</v>
      </c>
      <c r="AI31">
        <v>2295</v>
      </c>
      <c r="AJ31">
        <v>2868</v>
      </c>
      <c r="AK31">
        <v>3526</v>
      </c>
      <c r="AL31">
        <v>2376</v>
      </c>
      <c r="AM31">
        <v>1899586</v>
      </c>
      <c r="AN31">
        <v>1958626</v>
      </c>
      <c r="AO31">
        <v>2108456</v>
      </c>
      <c r="AP31">
        <v>9419</v>
      </c>
      <c r="AQ31">
        <v>11976</v>
      </c>
      <c r="AR31">
        <v>11082</v>
      </c>
      <c r="AS31">
        <v>2133181</v>
      </c>
      <c r="AT31">
        <v>1652620</v>
      </c>
      <c r="AU31">
        <v>1711106</v>
      </c>
      <c r="AV31">
        <v>9297</v>
      </c>
    </row>
    <row r="32" spans="1:48" x14ac:dyDescent="0.4">
      <c r="A32" s="1" t="s">
        <v>52</v>
      </c>
      <c r="B32" s="1" t="s">
        <v>53</v>
      </c>
      <c r="C32">
        <v>32270</v>
      </c>
      <c r="D32">
        <v>30642</v>
      </c>
      <c r="E32">
        <v>36082</v>
      </c>
      <c r="F32">
        <v>3029</v>
      </c>
      <c r="G32">
        <v>3714</v>
      </c>
      <c r="H32">
        <v>3618</v>
      </c>
      <c r="I32">
        <v>5291</v>
      </c>
      <c r="J32">
        <v>362</v>
      </c>
      <c r="K32">
        <v>9059</v>
      </c>
      <c r="L32">
        <v>10570</v>
      </c>
      <c r="M32">
        <v>18320</v>
      </c>
      <c r="N32">
        <v>12058</v>
      </c>
      <c r="O32">
        <v>2794</v>
      </c>
      <c r="P32">
        <v>2801</v>
      </c>
      <c r="Q32">
        <v>13053</v>
      </c>
      <c r="R32">
        <v>4349</v>
      </c>
      <c r="S32">
        <v>3030</v>
      </c>
      <c r="T32">
        <v>5944</v>
      </c>
      <c r="U32">
        <v>63533</v>
      </c>
      <c r="V32">
        <v>2301</v>
      </c>
      <c r="W32">
        <v>958</v>
      </c>
      <c r="X32">
        <v>971</v>
      </c>
      <c r="Y32">
        <v>4295</v>
      </c>
      <c r="Z32">
        <v>4209</v>
      </c>
      <c r="AA32">
        <v>17666</v>
      </c>
      <c r="AB32">
        <v>19800</v>
      </c>
      <c r="AC32">
        <v>45558</v>
      </c>
      <c r="AD32">
        <v>11431</v>
      </c>
      <c r="AE32">
        <v>8490</v>
      </c>
      <c r="AF32">
        <v>9068</v>
      </c>
      <c r="AG32">
        <v>22582</v>
      </c>
      <c r="AH32">
        <v>7210</v>
      </c>
      <c r="AI32">
        <v>2422</v>
      </c>
      <c r="AJ32">
        <v>3045</v>
      </c>
      <c r="AK32">
        <v>5068</v>
      </c>
      <c r="AL32">
        <v>2068</v>
      </c>
      <c r="AM32">
        <v>1689716</v>
      </c>
      <c r="AN32">
        <v>1730429</v>
      </c>
      <c r="AO32">
        <v>2058028</v>
      </c>
      <c r="AP32">
        <v>20681</v>
      </c>
      <c r="AQ32">
        <v>22061</v>
      </c>
      <c r="AR32">
        <v>9696</v>
      </c>
      <c r="AS32">
        <v>2125957</v>
      </c>
      <c r="AT32">
        <v>2272361</v>
      </c>
      <c r="AU32">
        <v>1564703</v>
      </c>
      <c r="AV32">
        <v>9413</v>
      </c>
    </row>
    <row r="33" spans="1:48" x14ac:dyDescent="0.4">
      <c r="A33" s="1" t="s">
        <v>54</v>
      </c>
      <c r="B33" s="1" t="s">
        <v>55</v>
      </c>
      <c r="C33">
        <v>35040</v>
      </c>
      <c r="D33">
        <v>32169</v>
      </c>
      <c r="E33">
        <v>38775</v>
      </c>
      <c r="F33">
        <v>3509</v>
      </c>
      <c r="G33">
        <v>3785</v>
      </c>
      <c r="H33">
        <v>3847</v>
      </c>
      <c r="I33">
        <v>5776</v>
      </c>
      <c r="J33">
        <v>320</v>
      </c>
      <c r="K33">
        <v>9460</v>
      </c>
      <c r="L33">
        <v>11106</v>
      </c>
      <c r="M33">
        <v>18488</v>
      </c>
      <c r="N33">
        <v>11696</v>
      </c>
      <c r="O33">
        <v>2974</v>
      </c>
      <c r="P33">
        <v>3054</v>
      </c>
      <c r="Q33">
        <v>13986</v>
      </c>
      <c r="R33">
        <v>4333</v>
      </c>
      <c r="S33">
        <v>2967</v>
      </c>
      <c r="T33">
        <v>6270</v>
      </c>
      <c r="U33">
        <v>57035</v>
      </c>
      <c r="V33">
        <v>2366</v>
      </c>
      <c r="W33">
        <v>1049</v>
      </c>
      <c r="X33">
        <v>1025</v>
      </c>
      <c r="Y33">
        <v>4466</v>
      </c>
      <c r="Z33">
        <v>4243</v>
      </c>
      <c r="AA33">
        <v>18081</v>
      </c>
      <c r="AB33">
        <v>20104</v>
      </c>
      <c r="AC33">
        <v>43165</v>
      </c>
      <c r="AD33">
        <v>11872</v>
      </c>
      <c r="AE33">
        <v>9712</v>
      </c>
      <c r="AF33">
        <v>10121</v>
      </c>
      <c r="AG33">
        <v>25309</v>
      </c>
      <c r="AH33">
        <v>7005</v>
      </c>
      <c r="AI33">
        <v>2530</v>
      </c>
      <c r="AJ33">
        <v>3538</v>
      </c>
      <c r="AK33">
        <v>4920</v>
      </c>
      <c r="AL33">
        <v>1900</v>
      </c>
      <c r="AM33">
        <v>1979074</v>
      </c>
      <c r="AN33">
        <v>1794396</v>
      </c>
      <c r="AO33">
        <v>2232817</v>
      </c>
      <c r="AP33">
        <v>9140</v>
      </c>
      <c r="AQ33">
        <v>8830</v>
      </c>
      <c r="AR33">
        <v>9999</v>
      </c>
      <c r="AS33">
        <v>2457866</v>
      </c>
      <c r="AT33">
        <v>2346474</v>
      </c>
      <c r="AU33">
        <v>1676094</v>
      </c>
      <c r="AV33">
        <v>10268</v>
      </c>
    </row>
    <row r="34" spans="1:48" x14ac:dyDescent="0.4">
      <c r="A34" s="1" t="s">
        <v>56</v>
      </c>
      <c r="B34" s="1" t="s">
        <v>57</v>
      </c>
      <c r="C34">
        <v>33824</v>
      </c>
      <c r="D34">
        <v>31206</v>
      </c>
      <c r="E34">
        <v>40152</v>
      </c>
      <c r="F34">
        <v>3941</v>
      </c>
      <c r="G34">
        <v>3506</v>
      </c>
      <c r="H34">
        <v>3698</v>
      </c>
      <c r="I34">
        <v>5596</v>
      </c>
      <c r="J34">
        <v>184</v>
      </c>
      <c r="K34">
        <v>9079</v>
      </c>
      <c r="L34">
        <v>9876</v>
      </c>
      <c r="M34">
        <v>16322</v>
      </c>
      <c r="N34">
        <v>12436</v>
      </c>
      <c r="O34">
        <v>2716</v>
      </c>
      <c r="P34">
        <v>2813</v>
      </c>
      <c r="Q34">
        <v>13088</v>
      </c>
      <c r="R34">
        <v>4239</v>
      </c>
      <c r="S34">
        <v>2816</v>
      </c>
      <c r="T34">
        <v>5581</v>
      </c>
      <c r="U34">
        <v>50255</v>
      </c>
      <c r="V34">
        <v>2350</v>
      </c>
      <c r="W34">
        <v>941</v>
      </c>
      <c r="X34">
        <v>987</v>
      </c>
      <c r="Y34">
        <v>4125</v>
      </c>
      <c r="Z34">
        <v>4188</v>
      </c>
      <c r="AA34">
        <v>16755</v>
      </c>
      <c r="AB34">
        <v>19257</v>
      </c>
      <c r="AC34">
        <v>40749</v>
      </c>
      <c r="AD34">
        <v>11770</v>
      </c>
      <c r="AE34">
        <v>9299</v>
      </c>
      <c r="AF34">
        <v>9081</v>
      </c>
      <c r="AG34">
        <v>22882</v>
      </c>
      <c r="AH34">
        <v>7385</v>
      </c>
      <c r="AI34">
        <v>1986</v>
      </c>
      <c r="AJ34">
        <v>2601</v>
      </c>
      <c r="AK34">
        <v>3761</v>
      </c>
      <c r="AL34">
        <v>1900</v>
      </c>
      <c r="AM34">
        <v>2081907</v>
      </c>
      <c r="AN34">
        <v>1721262</v>
      </c>
      <c r="AO34">
        <v>2562768</v>
      </c>
      <c r="AP34">
        <v>12277</v>
      </c>
      <c r="AQ34">
        <v>13468</v>
      </c>
      <c r="AR34">
        <v>8801</v>
      </c>
      <c r="AS34">
        <v>1780572</v>
      </c>
      <c r="AT34">
        <v>2045009</v>
      </c>
      <c r="AU34">
        <v>1411657</v>
      </c>
      <c r="AV34">
        <v>10127</v>
      </c>
    </row>
    <row r="35" spans="1:48" x14ac:dyDescent="0.4">
      <c r="A35" s="1" t="s">
        <v>58</v>
      </c>
      <c r="B35" s="1" t="s">
        <v>59</v>
      </c>
      <c r="C35">
        <v>30479</v>
      </c>
      <c r="D35">
        <v>29023</v>
      </c>
      <c r="E35">
        <v>37884</v>
      </c>
      <c r="F35">
        <v>3593</v>
      </c>
      <c r="G35">
        <v>3754</v>
      </c>
      <c r="H35">
        <v>3754</v>
      </c>
      <c r="I35">
        <v>5951</v>
      </c>
      <c r="J35">
        <v>193</v>
      </c>
      <c r="K35">
        <v>8204</v>
      </c>
      <c r="L35">
        <v>10089</v>
      </c>
      <c r="M35">
        <v>17295</v>
      </c>
      <c r="N35">
        <v>12172</v>
      </c>
      <c r="O35">
        <v>2751</v>
      </c>
      <c r="P35">
        <v>2733</v>
      </c>
      <c r="Q35">
        <v>12937</v>
      </c>
      <c r="R35">
        <v>4252</v>
      </c>
      <c r="S35">
        <v>2744</v>
      </c>
      <c r="T35">
        <v>5482</v>
      </c>
      <c r="U35">
        <v>51796</v>
      </c>
      <c r="V35">
        <v>2274</v>
      </c>
      <c r="W35">
        <v>931</v>
      </c>
      <c r="X35">
        <v>870</v>
      </c>
      <c r="Y35">
        <v>3798</v>
      </c>
      <c r="Z35">
        <v>4242</v>
      </c>
      <c r="AA35">
        <v>16139</v>
      </c>
      <c r="AB35">
        <v>18109</v>
      </c>
      <c r="AC35">
        <v>40677</v>
      </c>
      <c r="AD35">
        <v>11865</v>
      </c>
      <c r="AE35">
        <v>8586</v>
      </c>
      <c r="AF35">
        <v>8915</v>
      </c>
      <c r="AG35">
        <v>23331</v>
      </c>
      <c r="AH35">
        <v>7379</v>
      </c>
      <c r="AI35">
        <v>2053</v>
      </c>
      <c r="AJ35">
        <v>2484</v>
      </c>
      <c r="AK35">
        <v>4033</v>
      </c>
      <c r="AL35">
        <v>1835</v>
      </c>
      <c r="AM35">
        <v>2085914</v>
      </c>
      <c r="AN35">
        <v>1975409</v>
      </c>
      <c r="AO35">
        <v>2631730</v>
      </c>
      <c r="AP35">
        <v>12842</v>
      </c>
      <c r="AQ35">
        <v>10039</v>
      </c>
      <c r="AR35">
        <v>11595</v>
      </c>
      <c r="AS35">
        <v>2119360</v>
      </c>
      <c r="AT35">
        <v>2353220</v>
      </c>
      <c r="AU35">
        <v>1177796</v>
      </c>
      <c r="AV35">
        <v>11036</v>
      </c>
    </row>
    <row r="36" spans="1:48" x14ac:dyDescent="0.4">
      <c r="A36" s="1" t="s">
        <v>60</v>
      </c>
      <c r="B36" s="1" t="s">
        <v>61</v>
      </c>
      <c r="C36">
        <v>29381</v>
      </c>
      <c r="D36">
        <v>26982</v>
      </c>
      <c r="E36">
        <v>37589</v>
      </c>
      <c r="F36">
        <v>3701</v>
      </c>
      <c r="G36">
        <v>3549</v>
      </c>
      <c r="H36">
        <v>3522</v>
      </c>
      <c r="I36">
        <v>5995</v>
      </c>
      <c r="J36">
        <v>260</v>
      </c>
      <c r="K36">
        <v>7723</v>
      </c>
      <c r="L36">
        <v>9603</v>
      </c>
      <c r="M36">
        <v>16380</v>
      </c>
      <c r="N36">
        <v>11484</v>
      </c>
      <c r="O36">
        <v>2821</v>
      </c>
      <c r="P36">
        <v>2917</v>
      </c>
      <c r="Q36">
        <v>14059</v>
      </c>
      <c r="R36">
        <v>4169</v>
      </c>
      <c r="S36">
        <v>2164</v>
      </c>
      <c r="T36">
        <v>5339</v>
      </c>
      <c r="U36">
        <v>52745</v>
      </c>
      <c r="V36">
        <v>2288</v>
      </c>
      <c r="W36">
        <v>952</v>
      </c>
      <c r="X36">
        <v>929</v>
      </c>
      <c r="Y36">
        <v>4207</v>
      </c>
      <c r="Z36">
        <v>4262</v>
      </c>
      <c r="AA36">
        <v>14846</v>
      </c>
      <c r="AB36">
        <v>17520</v>
      </c>
      <c r="AC36">
        <v>41498</v>
      </c>
      <c r="AD36">
        <v>11793</v>
      </c>
      <c r="AE36">
        <v>7808</v>
      </c>
      <c r="AF36">
        <v>8280</v>
      </c>
      <c r="AG36">
        <v>23136</v>
      </c>
      <c r="AH36">
        <v>7234</v>
      </c>
      <c r="AI36">
        <v>2314</v>
      </c>
      <c r="AJ36">
        <v>3242</v>
      </c>
      <c r="AK36">
        <v>5242</v>
      </c>
      <c r="AL36">
        <v>1797</v>
      </c>
      <c r="AM36">
        <v>1693569</v>
      </c>
      <c r="AN36">
        <v>2035889</v>
      </c>
      <c r="AO36">
        <v>2267715</v>
      </c>
      <c r="AP36">
        <v>18364</v>
      </c>
      <c r="AQ36">
        <v>11076</v>
      </c>
      <c r="AR36">
        <v>18882</v>
      </c>
      <c r="AS36">
        <v>1860314</v>
      </c>
      <c r="AT36">
        <v>1807609</v>
      </c>
      <c r="AU36">
        <v>1230502</v>
      </c>
      <c r="AV36">
        <v>10610</v>
      </c>
    </row>
    <row r="37" spans="1:48" x14ac:dyDescent="0.4">
      <c r="A37" s="1" t="s">
        <v>62</v>
      </c>
      <c r="B37" s="1" t="s">
        <v>63</v>
      </c>
      <c r="C37">
        <v>31291</v>
      </c>
      <c r="D37">
        <v>29630</v>
      </c>
      <c r="E37">
        <v>43584</v>
      </c>
      <c r="F37">
        <v>3722</v>
      </c>
      <c r="G37">
        <v>3745</v>
      </c>
      <c r="H37">
        <v>3701</v>
      </c>
      <c r="I37">
        <v>6314</v>
      </c>
      <c r="J37">
        <v>378</v>
      </c>
      <c r="K37">
        <v>8498</v>
      </c>
      <c r="L37">
        <v>9689</v>
      </c>
      <c r="M37">
        <v>17429</v>
      </c>
      <c r="N37">
        <v>11197</v>
      </c>
      <c r="O37">
        <v>2877</v>
      </c>
      <c r="P37">
        <v>2838</v>
      </c>
      <c r="Q37">
        <v>14023</v>
      </c>
      <c r="R37">
        <v>4211</v>
      </c>
      <c r="S37">
        <v>2416</v>
      </c>
      <c r="T37">
        <v>5784</v>
      </c>
      <c r="U37">
        <v>55785</v>
      </c>
      <c r="V37">
        <v>2247</v>
      </c>
      <c r="W37">
        <v>979</v>
      </c>
      <c r="X37">
        <v>964</v>
      </c>
      <c r="Y37">
        <v>4232</v>
      </c>
      <c r="Z37">
        <v>4253</v>
      </c>
      <c r="AA37">
        <v>15845</v>
      </c>
      <c r="AB37">
        <v>18410</v>
      </c>
      <c r="AC37">
        <v>44849</v>
      </c>
      <c r="AD37">
        <v>11552</v>
      </c>
      <c r="AE37">
        <v>8290</v>
      </c>
      <c r="AF37">
        <v>7729</v>
      </c>
      <c r="AG37">
        <v>22159</v>
      </c>
      <c r="AH37">
        <v>8035</v>
      </c>
      <c r="AI37">
        <v>2426</v>
      </c>
      <c r="AJ37">
        <v>2901</v>
      </c>
      <c r="AK37">
        <v>4696</v>
      </c>
      <c r="AL37">
        <v>1914</v>
      </c>
      <c r="AM37">
        <v>2469564</v>
      </c>
      <c r="AN37">
        <v>1832225</v>
      </c>
      <c r="AO37">
        <v>2876576</v>
      </c>
      <c r="AP37">
        <v>11710</v>
      </c>
      <c r="AQ37">
        <v>12741</v>
      </c>
      <c r="AR37">
        <v>17843</v>
      </c>
      <c r="AS37">
        <v>2094650</v>
      </c>
      <c r="AT37">
        <v>1995469</v>
      </c>
      <c r="AU37">
        <v>1329683</v>
      </c>
      <c r="AV37">
        <v>9739</v>
      </c>
    </row>
    <row r="38" spans="1:48" x14ac:dyDescent="0.4">
      <c r="A38" s="1" t="s">
        <v>64</v>
      </c>
      <c r="B38" s="1" t="s">
        <v>65</v>
      </c>
      <c r="C38">
        <v>29849</v>
      </c>
      <c r="D38">
        <v>28700</v>
      </c>
      <c r="E38">
        <v>44006</v>
      </c>
      <c r="F38">
        <v>3414</v>
      </c>
      <c r="G38">
        <v>4349</v>
      </c>
      <c r="H38">
        <v>4243</v>
      </c>
      <c r="I38">
        <v>7432</v>
      </c>
      <c r="J38">
        <v>445</v>
      </c>
      <c r="K38">
        <v>9486</v>
      </c>
      <c r="L38">
        <v>10525</v>
      </c>
      <c r="M38">
        <v>19798</v>
      </c>
      <c r="N38">
        <v>12003</v>
      </c>
      <c r="O38">
        <v>3059</v>
      </c>
      <c r="P38">
        <v>3022</v>
      </c>
      <c r="Q38">
        <v>15047</v>
      </c>
      <c r="R38">
        <v>4279</v>
      </c>
      <c r="S38">
        <v>2465</v>
      </c>
      <c r="T38">
        <v>5948</v>
      </c>
      <c r="U38">
        <v>70476</v>
      </c>
      <c r="V38">
        <v>2281</v>
      </c>
      <c r="W38">
        <v>914</v>
      </c>
      <c r="X38">
        <v>908</v>
      </c>
      <c r="Y38">
        <v>4324</v>
      </c>
      <c r="Z38">
        <v>4219</v>
      </c>
      <c r="AA38">
        <v>16403</v>
      </c>
      <c r="AB38">
        <v>19456</v>
      </c>
      <c r="AC38">
        <v>54211</v>
      </c>
      <c r="AD38">
        <v>10331</v>
      </c>
      <c r="AE38">
        <v>7749</v>
      </c>
      <c r="AF38">
        <v>7950</v>
      </c>
      <c r="AG38">
        <v>24023</v>
      </c>
      <c r="AH38">
        <v>8044</v>
      </c>
      <c r="AI38">
        <v>2600</v>
      </c>
      <c r="AJ38">
        <v>3390</v>
      </c>
      <c r="AK38">
        <v>5887</v>
      </c>
      <c r="AL38">
        <v>1938</v>
      </c>
      <c r="AM38">
        <v>2485688</v>
      </c>
      <c r="AN38">
        <v>2294198</v>
      </c>
      <c r="AO38">
        <v>3007820</v>
      </c>
      <c r="AP38">
        <v>13571</v>
      </c>
      <c r="AQ38">
        <v>12980</v>
      </c>
      <c r="AR38">
        <v>18418</v>
      </c>
      <c r="AS38">
        <v>2550217</v>
      </c>
      <c r="AT38">
        <v>2437381</v>
      </c>
      <c r="AU38">
        <v>1461822</v>
      </c>
      <c r="AV38">
        <v>13235</v>
      </c>
    </row>
    <row r="39" spans="1:48" x14ac:dyDescent="0.4">
      <c r="A39" s="1"/>
      <c r="B39" s="1"/>
    </row>
    <row r="40" spans="1:48" x14ac:dyDescent="0.4">
      <c r="A40" s="1"/>
      <c r="B40" s="1"/>
    </row>
  </sheetData>
  <phoneticPr fontId="2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AC08-B058-4129-AF16-0E887AE5EE14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3238</v>
      </c>
      <c r="D3" t="s">
        <v>3238</v>
      </c>
      <c r="E3" t="s">
        <v>3238</v>
      </c>
      <c r="F3" t="s">
        <v>3238</v>
      </c>
      <c r="G3" t="s">
        <v>3240</v>
      </c>
      <c r="H3" t="s">
        <v>3240</v>
      </c>
      <c r="I3" t="s">
        <v>3240</v>
      </c>
      <c r="J3" t="s">
        <v>3240</v>
      </c>
      <c r="K3" t="s">
        <v>3242</v>
      </c>
      <c r="L3" t="s">
        <v>3242</v>
      </c>
      <c r="M3" t="s">
        <v>3242</v>
      </c>
      <c r="N3" t="s">
        <v>3242</v>
      </c>
      <c r="O3" t="s">
        <v>3244</v>
      </c>
      <c r="P3" t="s">
        <v>3244</v>
      </c>
      <c r="Q3" t="s">
        <v>3244</v>
      </c>
      <c r="R3" t="s">
        <v>3244</v>
      </c>
      <c r="S3" t="s">
        <v>3246</v>
      </c>
      <c r="T3" t="s">
        <v>3246</v>
      </c>
      <c r="U3" t="s">
        <v>3246</v>
      </c>
      <c r="V3" t="s">
        <v>3246</v>
      </c>
      <c r="W3" t="s">
        <v>3248</v>
      </c>
      <c r="X3" t="s">
        <v>3248</v>
      </c>
      <c r="Y3" t="s">
        <v>3248</v>
      </c>
      <c r="Z3" t="s">
        <v>3248</v>
      </c>
      <c r="AA3" t="s">
        <v>3250</v>
      </c>
      <c r="AB3" t="s">
        <v>3250</v>
      </c>
      <c r="AC3" t="s">
        <v>3250</v>
      </c>
      <c r="AD3" t="s">
        <v>3250</v>
      </c>
    </row>
    <row r="4" spans="1:30" x14ac:dyDescent="0.4">
      <c r="A4" s="1"/>
      <c r="B4" s="2" t="s">
        <v>1</v>
      </c>
      <c r="C4" t="s">
        <v>3239</v>
      </c>
      <c r="D4" t="s">
        <v>3239</v>
      </c>
      <c r="E4" t="s">
        <v>3239</v>
      </c>
      <c r="F4" t="s">
        <v>3239</v>
      </c>
      <c r="G4" t="s">
        <v>3241</v>
      </c>
      <c r="H4" t="s">
        <v>3241</v>
      </c>
      <c r="I4" t="s">
        <v>3241</v>
      </c>
      <c r="J4" t="s">
        <v>3241</v>
      </c>
      <c r="K4" t="s">
        <v>3243</v>
      </c>
      <c r="L4" t="s">
        <v>3243</v>
      </c>
      <c r="M4" t="s">
        <v>3243</v>
      </c>
      <c r="N4" t="s">
        <v>3243</v>
      </c>
      <c r="O4" t="s">
        <v>3245</v>
      </c>
      <c r="P4" t="s">
        <v>3245</v>
      </c>
      <c r="Q4" t="s">
        <v>3245</v>
      </c>
      <c r="R4" t="s">
        <v>3245</v>
      </c>
      <c r="S4" t="s">
        <v>3247</v>
      </c>
      <c r="T4" t="s">
        <v>3247</v>
      </c>
      <c r="U4" t="s">
        <v>3247</v>
      </c>
      <c r="V4" t="s">
        <v>3247</v>
      </c>
      <c r="W4" t="s">
        <v>3249</v>
      </c>
      <c r="X4" t="s">
        <v>3249</v>
      </c>
      <c r="Y4" t="s">
        <v>3249</v>
      </c>
      <c r="Z4" t="s">
        <v>3249</v>
      </c>
      <c r="AA4" t="s">
        <v>3251</v>
      </c>
      <c r="AB4" t="s">
        <v>3251</v>
      </c>
      <c r="AC4" t="s">
        <v>3251</v>
      </c>
      <c r="AD4" t="s">
        <v>3251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3082</v>
      </c>
      <c r="D7" t="s">
        <v>3082</v>
      </c>
      <c r="E7" t="s">
        <v>258</v>
      </c>
      <c r="F7" t="s">
        <v>3082</v>
      </c>
      <c r="G7" t="s">
        <v>339</v>
      </c>
      <c r="H7" t="s">
        <v>339</v>
      </c>
      <c r="I7" t="s">
        <v>258</v>
      </c>
      <c r="J7" t="s">
        <v>339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3082</v>
      </c>
      <c r="D8" t="s">
        <v>3082</v>
      </c>
      <c r="E8" t="s">
        <v>260</v>
      </c>
      <c r="F8" t="s">
        <v>3082</v>
      </c>
      <c r="G8" t="s">
        <v>339</v>
      </c>
      <c r="H8" t="s">
        <v>339</v>
      </c>
      <c r="I8" t="s">
        <v>260</v>
      </c>
      <c r="J8" t="s">
        <v>339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100478307</v>
      </c>
      <c r="D9">
        <v>99748082</v>
      </c>
      <c r="E9">
        <v>635852</v>
      </c>
      <c r="F9">
        <v>4700101</v>
      </c>
      <c r="G9">
        <v>1750917</v>
      </c>
      <c r="H9">
        <v>1740521</v>
      </c>
      <c r="I9">
        <v>150626</v>
      </c>
      <c r="J9">
        <v>87220</v>
      </c>
      <c r="K9">
        <v>1806496</v>
      </c>
      <c r="L9">
        <v>2018</v>
      </c>
      <c r="M9">
        <v>2467</v>
      </c>
      <c r="N9">
        <v>0</v>
      </c>
      <c r="O9">
        <v>1516684</v>
      </c>
      <c r="P9">
        <v>1378316</v>
      </c>
      <c r="Q9">
        <v>1308562</v>
      </c>
      <c r="R9">
        <v>65390</v>
      </c>
      <c r="S9">
        <v>197836</v>
      </c>
      <c r="T9">
        <v>30916</v>
      </c>
      <c r="U9">
        <v>9322</v>
      </c>
      <c r="V9">
        <v>725</v>
      </c>
      <c r="W9">
        <v>196569</v>
      </c>
      <c r="X9">
        <v>194849</v>
      </c>
      <c r="Y9">
        <v>53264</v>
      </c>
      <c r="Z9">
        <v>13006</v>
      </c>
      <c r="AA9">
        <v>517221</v>
      </c>
      <c r="AB9">
        <v>521026</v>
      </c>
      <c r="AC9">
        <v>124995</v>
      </c>
      <c r="AD9">
        <v>23607</v>
      </c>
    </row>
    <row r="10" spans="1:30" x14ac:dyDescent="0.4">
      <c r="A10" s="1" t="s">
        <v>8</v>
      </c>
      <c r="B10" s="3" t="s">
        <v>9</v>
      </c>
      <c r="C10">
        <v>113221283</v>
      </c>
      <c r="D10">
        <v>112614658</v>
      </c>
      <c r="E10">
        <v>858208</v>
      </c>
      <c r="F10">
        <v>5306729</v>
      </c>
      <c r="G10">
        <v>1745685</v>
      </c>
      <c r="H10">
        <v>1736114</v>
      </c>
      <c r="I10">
        <v>156381</v>
      </c>
      <c r="J10">
        <v>95058</v>
      </c>
      <c r="K10">
        <v>1932467</v>
      </c>
      <c r="L10">
        <v>22386</v>
      </c>
      <c r="M10">
        <v>28539</v>
      </c>
      <c r="N10">
        <v>0</v>
      </c>
      <c r="O10">
        <v>1556452</v>
      </c>
      <c r="P10">
        <v>1415047</v>
      </c>
      <c r="Q10">
        <v>1574848</v>
      </c>
      <c r="R10">
        <v>69062</v>
      </c>
      <c r="S10">
        <v>194261</v>
      </c>
      <c r="T10">
        <v>33255</v>
      </c>
      <c r="U10">
        <v>11387</v>
      </c>
      <c r="V10">
        <v>718</v>
      </c>
      <c r="W10">
        <v>192855</v>
      </c>
      <c r="X10">
        <v>183265</v>
      </c>
      <c r="Y10">
        <v>57349</v>
      </c>
      <c r="Z10">
        <v>17340</v>
      </c>
      <c r="AA10">
        <v>516638</v>
      </c>
      <c r="AB10">
        <v>507961</v>
      </c>
      <c r="AC10">
        <v>155403</v>
      </c>
      <c r="AD10">
        <v>32285</v>
      </c>
    </row>
    <row r="11" spans="1:30" x14ac:dyDescent="0.4">
      <c r="A11" s="1" t="s">
        <v>10</v>
      </c>
      <c r="B11" s="3" t="s">
        <v>11</v>
      </c>
      <c r="C11">
        <v>95088838</v>
      </c>
      <c r="D11">
        <v>97153661</v>
      </c>
      <c r="E11">
        <v>854458</v>
      </c>
      <c r="F11">
        <v>3241906</v>
      </c>
      <c r="G11">
        <v>1589683</v>
      </c>
      <c r="H11">
        <v>1597585</v>
      </c>
      <c r="I11">
        <v>167302</v>
      </c>
      <c r="J11">
        <v>85632</v>
      </c>
      <c r="K11">
        <v>1807931</v>
      </c>
      <c r="L11">
        <v>0</v>
      </c>
      <c r="M11">
        <v>0</v>
      </c>
      <c r="N11">
        <v>0</v>
      </c>
      <c r="O11">
        <v>1494160</v>
      </c>
      <c r="P11">
        <v>1441601</v>
      </c>
      <c r="Q11">
        <v>1737842</v>
      </c>
      <c r="R11">
        <v>49352</v>
      </c>
      <c r="S11">
        <v>156653</v>
      </c>
      <c r="T11">
        <v>28967</v>
      </c>
      <c r="U11">
        <v>10703</v>
      </c>
      <c r="V11">
        <v>1047</v>
      </c>
      <c r="W11">
        <v>177592</v>
      </c>
      <c r="X11">
        <v>179982</v>
      </c>
      <c r="Y11">
        <v>59847</v>
      </c>
      <c r="Z11">
        <v>10534</v>
      </c>
      <c r="AA11">
        <v>484687</v>
      </c>
      <c r="AB11">
        <v>491226</v>
      </c>
      <c r="AC11">
        <v>144666</v>
      </c>
      <c r="AD11">
        <v>25746</v>
      </c>
    </row>
    <row r="12" spans="1:30" x14ac:dyDescent="0.4">
      <c r="A12" s="1" t="s">
        <v>12</v>
      </c>
      <c r="B12" s="3" t="s">
        <v>13</v>
      </c>
      <c r="C12">
        <v>102454631</v>
      </c>
      <c r="D12">
        <v>100382560</v>
      </c>
      <c r="E12">
        <v>1141983</v>
      </c>
      <c r="F12">
        <v>5313976</v>
      </c>
      <c r="G12">
        <v>1454660</v>
      </c>
      <c r="H12">
        <v>1466818</v>
      </c>
      <c r="I12">
        <v>197739</v>
      </c>
      <c r="J12">
        <v>72277</v>
      </c>
      <c r="K12">
        <v>1942268</v>
      </c>
      <c r="L12">
        <v>26799</v>
      </c>
      <c r="M12">
        <v>42151</v>
      </c>
      <c r="N12">
        <v>0</v>
      </c>
      <c r="O12">
        <v>1567419</v>
      </c>
      <c r="P12">
        <v>1436037</v>
      </c>
      <c r="Q12">
        <v>1947641</v>
      </c>
      <c r="R12">
        <v>64246</v>
      </c>
      <c r="S12">
        <v>224043</v>
      </c>
      <c r="T12">
        <v>30281</v>
      </c>
      <c r="U12">
        <v>11485</v>
      </c>
      <c r="V12">
        <v>416</v>
      </c>
      <c r="W12">
        <v>190512</v>
      </c>
      <c r="X12">
        <v>186371</v>
      </c>
      <c r="Y12">
        <v>65269</v>
      </c>
      <c r="Z12">
        <v>9892</v>
      </c>
      <c r="AA12">
        <v>473458</v>
      </c>
      <c r="AB12">
        <v>466182</v>
      </c>
      <c r="AC12">
        <v>145841</v>
      </c>
      <c r="AD12">
        <v>33021</v>
      </c>
    </row>
    <row r="13" spans="1:30" x14ac:dyDescent="0.4">
      <c r="A13" s="1" t="s">
        <v>14</v>
      </c>
      <c r="B13" s="3" t="s">
        <v>15</v>
      </c>
      <c r="C13">
        <v>75923762</v>
      </c>
      <c r="D13">
        <v>77500822</v>
      </c>
      <c r="E13">
        <v>1204751</v>
      </c>
      <c r="F13">
        <v>3736917</v>
      </c>
      <c r="G13">
        <v>1356918</v>
      </c>
      <c r="H13">
        <v>1343056</v>
      </c>
      <c r="I13">
        <v>249373</v>
      </c>
      <c r="J13">
        <v>86137</v>
      </c>
      <c r="K13">
        <v>1715447</v>
      </c>
      <c r="L13">
        <v>0</v>
      </c>
      <c r="M13">
        <v>0</v>
      </c>
      <c r="N13">
        <v>0</v>
      </c>
      <c r="O13">
        <v>1439597</v>
      </c>
      <c r="P13">
        <v>1364222</v>
      </c>
      <c r="Q13">
        <v>1984991</v>
      </c>
      <c r="R13">
        <v>57967</v>
      </c>
      <c r="S13">
        <v>205874</v>
      </c>
      <c r="T13">
        <v>30401</v>
      </c>
      <c r="U13">
        <v>10885</v>
      </c>
      <c r="V13">
        <v>1694</v>
      </c>
      <c r="W13">
        <v>182694</v>
      </c>
      <c r="X13">
        <v>175463</v>
      </c>
      <c r="Y13">
        <v>58012</v>
      </c>
      <c r="Z13">
        <v>12584</v>
      </c>
      <c r="AA13">
        <v>396134</v>
      </c>
      <c r="AB13">
        <v>412416</v>
      </c>
      <c r="AC13">
        <v>125861</v>
      </c>
      <c r="AD13">
        <v>16740</v>
      </c>
    </row>
    <row r="14" spans="1:30" x14ac:dyDescent="0.4">
      <c r="A14" s="1" t="s">
        <v>16</v>
      </c>
      <c r="B14" s="1" t="s">
        <v>17</v>
      </c>
      <c r="C14">
        <v>9614116</v>
      </c>
      <c r="D14">
        <v>9458797</v>
      </c>
      <c r="E14">
        <v>95228</v>
      </c>
      <c r="F14">
        <v>4343754</v>
      </c>
      <c r="G14">
        <v>142490</v>
      </c>
      <c r="H14">
        <v>132626</v>
      </c>
      <c r="I14">
        <v>15306</v>
      </c>
      <c r="J14">
        <v>83085</v>
      </c>
      <c r="K14">
        <v>166909</v>
      </c>
      <c r="L14">
        <v>3487</v>
      </c>
      <c r="M14">
        <v>5148</v>
      </c>
      <c r="N14">
        <v>0</v>
      </c>
      <c r="O14">
        <v>134533</v>
      </c>
      <c r="P14">
        <v>125332</v>
      </c>
      <c r="Q14">
        <v>160290</v>
      </c>
      <c r="R14">
        <v>55763</v>
      </c>
      <c r="S14">
        <v>13603</v>
      </c>
      <c r="T14">
        <v>2870</v>
      </c>
      <c r="U14">
        <v>1081</v>
      </c>
      <c r="V14">
        <v>849</v>
      </c>
      <c r="W14">
        <v>12239</v>
      </c>
      <c r="X14">
        <v>14574</v>
      </c>
      <c r="Y14">
        <v>5017</v>
      </c>
      <c r="Z14">
        <v>11949</v>
      </c>
      <c r="AA14">
        <v>44503</v>
      </c>
      <c r="AB14">
        <v>45232</v>
      </c>
      <c r="AC14">
        <v>13071</v>
      </c>
      <c r="AD14">
        <v>28690</v>
      </c>
    </row>
    <row r="15" spans="1:30" x14ac:dyDescent="0.4">
      <c r="A15" s="1" t="s">
        <v>18</v>
      </c>
      <c r="B15" s="1" t="s">
        <v>19</v>
      </c>
      <c r="C15">
        <v>7941767</v>
      </c>
      <c r="D15">
        <v>8036800</v>
      </c>
      <c r="E15">
        <v>90265</v>
      </c>
      <c r="F15">
        <v>4248722</v>
      </c>
      <c r="G15">
        <v>98350</v>
      </c>
      <c r="H15">
        <v>122755</v>
      </c>
      <c r="I15">
        <v>16488</v>
      </c>
      <c r="J15">
        <v>58300</v>
      </c>
      <c r="K15">
        <v>166385</v>
      </c>
      <c r="L15">
        <v>0</v>
      </c>
      <c r="M15">
        <v>0</v>
      </c>
      <c r="N15">
        <v>0</v>
      </c>
      <c r="O15">
        <v>134661</v>
      </c>
      <c r="P15">
        <v>123666</v>
      </c>
      <c r="Q15">
        <v>171773</v>
      </c>
      <c r="R15">
        <v>54492</v>
      </c>
      <c r="S15">
        <v>19993</v>
      </c>
      <c r="T15">
        <v>2554</v>
      </c>
      <c r="U15">
        <v>977</v>
      </c>
      <c r="V15">
        <v>439</v>
      </c>
      <c r="W15">
        <v>16888</v>
      </c>
      <c r="X15">
        <v>14724</v>
      </c>
      <c r="Y15">
        <v>5257</v>
      </c>
      <c r="Z15">
        <v>13411</v>
      </c>
      <c r="AA15">
        <v>42749</v>
      </c>
      <c r="AB15">
        <v>40993</v>
      </c>
      <c r="AC15">
        <v>13172</v>
      </c>
      <c r="AD15">
        <v>30446</v>
      </c>
    </row>
    <row r="16" spans="1:30" x14ac:dyDescent="0.4">
      <c r="A16" s="1" t="s">
        <v>20</v>
      </c>
      <c r="B16" s="1" t="s">
        <v>21</v>
      </c>
      <c r="C16">
        <v>9766849</v>
      </c>
      <c r="D16">
        <v>9652674</v>
      </c>
      <c r="E16">
        <v>114199</v>
      </c>
      <c r="F16">
        <v>4362898</v>
      </c>
      <c r="G16">
        <v>143787</v>
      </c>
      <c r="H16">
        <v>135293</v>
      </c>
      <c r="I16">
        <v>19796</v>
      </c>
      <c r="J16">
        <v>66796</v>
      </c>
      <c r="K16">
        <v>169681</v>
      </c>
      <c r="L16">
        <v>0</v>
      </c>
      <c r="M16">
        <v>0</v>
      </c>
      <c r="N16">
        <v>0</v>
      </c>
      <c r="O16">
        <v>137272</v>
      </c>
      <c r="P16">
        <v>123367</v>
      </c>
      <c r="Q16">
        <v>187020</v>
      </c>
      <c r="R16">
        <v>54837</v>
      </c>
      <c r="S16">
        <v>20827</v>
      </c>
      <c r="T16">
        <v>2267</v>
      </c>
      <c r="U16">
        <v>936</v>
      </c>
      <c r="V16">
        <v>804</v>
      </c>
      <c r="W16">
        <v>16942</v>
      </c>
      <c r="X16">
        <v>14842</v>
      </c>
      <c r="Y16">
        <v>5640</v>
      </c>
      <c r="Z16">
        <v>15183</v>
      </c>
      <c r="AA16">
        <v>43538</v>
      </c>
      <c r="AB16">
        <v>36681</v>
      </c>
      <c r="AC16">
        <v>12914</v>
      </c>
      <c r="AD16">
        <v>37303</v>
      </c>
    </row>
    <row r="17" spans="1:30" x14ac:dyDescent="0.4">
      <c r="A17" s="1" t="s">
        <v>22</v>
      </c>
      <c r="B17" s="1" t="s">
        <v>23</v>
      </c>
      <c r="C17">
        <v>9000105</v>
      </c>
      <c r="D17">
        <v>8819293</v>
      </c>
      <c r="E17">
        <v>102630</v>
      </c>
      <c r="F17">
        <v>4543710</v>
      </c>
      <c r="G17">
        <v>131607</v>
      </c>
      <c r="H17">
        <v>132840</v>
      </c>
      <c r="I17">
        <v>19599</v>
      </c>
      <c r="J17">
        <v>65563</v>
      </c>
      <c r="K17">
        <v>165524</v>
      </c>
      <c r="L17">
        <v>2965</v>
      </c>
      <c r="M17">
        <v>5167</v>
      </c>
      <c r="N17">
        <v>0</v>
      </c>
      <c r="O17">
        <v>133650</v>
      </c>
      <c r="P17">
        <v>119964</v>
      </c>
      <c r="Q17">
        <v>175078</v>
      </c>
      <c r="R17">
        <v>56791</v>
      </c>
      <c r="S17">
        <v>17110</v>
      </c>
      <c r="T17">
        <v>2442</v>
      </c>
      <c r="U17">
        <v>986</v>
      </c>
      <c r="V17">
        <v>492</v>
      </c>
      <c r="W17">
        <v>15950</v>
      </c>
      <c r="X17">
        <v>15707</v>
      </c>
      <c r="Y17">
        <v>5877</v>
      </c>
      <c r="Z17">
        <v>14978</v>
      </c>
      <c r="AA17">
        <v>42307</v>
      </c>
      <c r="AB17">
        <v>39148</v>
      </c>
      <c r="AC17">
        <v>12665</v>
      </c>
      <c r="AD17">
        <v>40462</v>
      </c>
    </row>
    <row r="18" spans="1:30" x14ac:dyDescent="0.4">
      <c r="A18" s="1" t="s">
        <v>24</v>
      </c>
      <c r="B18" s="1" t="s">
        <v>25</v>
      </c>
      <c r="C18">
        <v>9389649</v>
      </c>
      <c r="D18">
        <v>9341792</v>
      </c>
      <c r="E18">
        <v>111345</v>
      </c>
      <c r="F18">
        <v>4591567</v>
      </c>
      <c r="G18">
        <v>130659</v>
      </c>
      <c r="H18">
        <v>129700</v>
      </c>
      <c r="I18">
        <v>19209</v>
      </c>
      <c r="J18">
        <v>66522</v>
      </c>
      <c r="K18">
        <v>164203</v>
      </c>
      <c r="L18">
        <v>3970</v>
      </c>
      <c r="M18">
        <v>6727</v>
      </c>
      <c r="N18">
        <v>0</v>
      </c>
      <c r="O18">
        <v>137093</v>
      </c>
      <c r="P18">
        <v>125370</v>
      </c>
      <c r="Q18">
        <v>180356</v>
      </c>
      <c r="R18">
        <v>58321</v>
      </c>
      <c r="S18">
        <v>19908</v>
      </c>
      <c r="T18">
        <v>2329</v>
      </c>
      <c r="U18">
        <v>941</v>
      </c>
      <c r="V18">
        <v>659</v>
      </c>
      <c r="W18">
        <v>16256</v>
      </c>
      <c r="X18">
        <v>17582</v>
      </c>
      <c r="Y18">
        <v>6529</v>
      </c>
      <c r="Z18">
        <v>13375</v>
      </c>
      <c r="AA18">
        <v>23371</v>
      </c>
      <c r="AB18">
        <v>34757</v>
      </c>
      <c r="AC18">
        <v>11864</v>
      </c>
      <c r="AD18">
        <v>29075</v>
      </c>
    </row>
    <row r="19" spans="1:30" x14ac:dyDescent="0.4">
      <c r="A19" s="1" t="s">
        <v>26</v>
      </c>
      <c r="B19" s="1" t="s">
        <v>27</v>
      </c>
      <c r="C19">
        <v>8400405</v>
      </c>
      <c r="D19">
        <v>8775644</v>
      </c>
      <c r="E19">
        <v>100695</v>
      </c>
      <c r="F19">
        <v>4216328</v>
      </c>
      <c r="G19">
        <v>118530</v>
      </c>
      <c r="H19">
        <v>119390</v>
      </c>
      <c r="I19">
        <v>15870</v>
      </c>
      <c r="J19">
        <v>65282</v>
      </c>
      <c r="K19">
        <v>159342</v>
      </c>
      <c r="L19">
        <v>1484</v>
      </c>
      <c r="M19">
        <v>2228</v>
      </c>
      <c r="N19">
        <v>0</v>
      </c>
      <c r="O19">
        <v>133385</v>
      </c>
      <c r="P19">
        <v>110974</v>
      </c>
      <c r="Q19">
        <v>145162</v>
      </c>
      <c r="R19">
        <v>71763</v>
      </c>
      <c r="S19">
        <v>18347</v>
      </c>
      <c r="T19">
        <v>2083</v>
      </c>
      <c r="U19">
        <v>751</v>
      </c>
      <c r="V19">
        <v>1292</v>
      </c>
      <c r="W19">
        <v>14196</v>
      </c>
      <c r="X19">
        <v>12593</v>
      </c>
      <c r="Y19">
        <v>4174</v>
      </c>
      <c r="Z19">
        <v>14631</v>
      </c>
      <c r="AA19">
        <v>34191</v>
      </c>
      <c r="AB19">
        <v>37778</v>
      </c>
      <c r="AC19">
        <v>11209</v>
      </c>
      <c r="AD19">
        <v>25488</v>
      </c>
    </row>
    <row r="20" spans="1:30" x14ac:dyDescent="0.4">
      <c r="A20" s="1" t="s">
        <v>28</v>
      </c>
      <c r="B20" s="1" t="s">
        <v>29</v>
      </c>
      <c r="C20">
        <v>8082518</v>
      </c>
      <c r="D20">
        <v>7922479</v>
      </c>
      <c r="E20">
        <v>91393</v>
      </c>
      <c r="F20">
        <v>4376367</v>
      </c>
      <c r="G20">
        <v>115488</v>
      </c>
      <c r="H20">
        <v>113728</v>
      </c>
      <c r="I20">
        <v>15281</v>
      </c>
      <c r="J20">
        <v>67043</v>
      </c>
      <c r="K20">
        <v>161036</v>
      </c>
      <c r="L20">
        <v>5998</v>
      </c>
      <c r="M20">
        <v>9021</v>
      </c>
      <c r="N20">
        <v>0</v>
      </c>
      <c r="O20">
        <v>117424</v>
      </c>
      <c r="P20">
        <v>117502</v>
      </c>
      <c r="Q20">
        <v>154803</v>
      </c>
      <c r="R20">
        <v>62376</v>
      </c>
      <c r="S20">
        <v>16494</v>
      </c>
      <c r="T20">
        <v>2143</v>
      </c>
      <c r="U20">
        <v>773</v>
      </c>
      <c r="V20">
        <v>134</v>
      </c>
      <c r="W20">
        <v>14767</v>
      </c>
      <c r="X20">
        <v>14481</v>
      </c>
      <c r="Y20">
        <v>4724</v>
      </c>
      <c r="Z20">
        <v>14647</v>
      </c>
      <c r="AA20">
        <v>33924</v>
      </c>
      <c r="AB20">
        <v>31671</v>
      </c>
      <c r="AC20">
        <v>9277</v>
      </c>
      <c r="AD20">
        <v>27741</v>
      </c>
    </row>
    <row r="21" spans="1:30" x14ac:dyDescent="0.4">
      <c r="A21" s="1" t="s">
        <v>30</v>
      </c>
      <c r="B21" s="1" t="s">
        <v>31</v>
      </c>
      <c r="C21">
        <v>7940539</v>
      </c>
      <c r="D21">
        <v>7711415</v>
      </c>
      <c r="E21">
        <v>95945</v>
      </c>
      <c r="F21">
        <v>4605491</v>
      </c>
      <c r="G21">
        <v>106574</v>
      </c>
      <c r="H21">
        <v>107718</v>
      </c>
      <c r="I21">
        <v>16365</v>
      </c>
      <c r="J21">
        <v>65899</v>
      </c>
      <c r="K21">
        <v>132719</v>
      </c>
      <c r="L21">
        <v>5922</v>
      </c>
      <c r="M21">
        <v>9628</v>
      </c>
      <c r="N21">
        <v>0</v>
      </c>
      <c r="O21">
        <v>127222</v>
      </c>
      <c r="P21">
        <v>124225</v>
      </c>
      <c r="Q21">
        <v>170134</v>
      </c>
      <c r="R21">
        <v>53799</v>
      </c>
      <c r="S21">
        <v>19422</v>
      </c>
      <c r="T21">
        <v>1893</v>
      </c>
      <c r="U21">
        <v>698</v>
      </c>
      <c r="V21">
        <v>373</v>
      </c>
      <c r="W21">
        <v>17196</v>
      </c>
      <c r="X21">
        <v>18472</v>
      </c>
      <c r="Y21">
        <v>6297</v>
      </c>
      <c r="Z21">
        <v>12716</v>
      </c>
      <c r="AA21">
        <v>38087</v>
      </c>
      <c r="AB21">
        <v>36548</v>
      </c>
      <c r="AC21">
        <v>11253</v>
      </c>
      <c r="AD21">
        <v>29280</v>
      </c>
    </row>
    <row r="22" spans="1:30" x14ac:dyDescent="0.4">
      <c r="A22" s="1" t="s">
        <v>32</v>
      </c>
      <c r="B22" s="1" t="s">
        <v>33</v>
      </c>
      <c r="C22">
        <v>7871235</v>
      </c>
      <c r="D22">
        <v>7832448</v>
      </c>
      <c r="E22">
        <v>98609</v>
      </c>
      <c r="F22">
        <v>4644278</v>
      </c>
      <c r="G22">
        <v>117411</v>
      </c>
      <c r="H22">
        <v>103080</v>
      </c>
      <c r="I22">
        <v>15341</v>
      </c>
      <c r="J22">
        <v>80230</v>
      </c>
      <c r="K22">
        <v>144545</v>
      </c>
      <c r="L22">
        <v>0</v>
      </c>
      <c r="M22">
        <v>0</v>
      </c>
      <c r="N22">
        <v>0</v>
      </c>
      <c r="O22">
        <v>119219</v>
      </c>
      <c r="P22">
        <v>111794</v>
      </c>
      <c r="Q22">
        <v>152756</v>
      </c>
      <c r="R22">
        <v>51119</v>
      </c>
      <c r="S22">
        <v>18452</v>
      </c>
      <c r="T22">
        <v>2451</v>
      </c>
      <c r="U22">
        <v>901</v>
      </c>
      <c r="V22">
        <v>888</v>
      </c>
      <c r="W22">
        <v>14429</v>
      </c>
      <c r="X22">
        <v>16805</v>
      </c>
      <c r="Y22">
        <v>5748</v>
      </c>
      <c r="Z22">
        <v>10102</v>
      </c>
      <c r="AA22">
        <v>39003</v>
      </c>
      <c r="AB22">
        <v>40889</v>
      </c>
      <c r="AC22">
        <v>13232</v>
      </c>
      <c r="AD22">
        <v>27394</v>
      </c>
    </row>
    <row r="23" spans="1:30" x14ac:dyDescent="0.4">
      <c r="A23" s="1" t="s">
        <v>34</v>
      </c>
      <c r="B23" s="1" t="s">
        <v>35</v>
      </c>
      <c r="C23">
        <v>7655016</v>
      </c>
      <c r="D23">
        <v>6985317</v>
      </c>
      <c r="E23">
        <v>88294</v>
      </c>
      <c r="F23">
        <v>5313976</v>
      </c>
      <c r="G23">
        <v>99981</v>
      </c>
      <c r="H23">
        <v>107873</v>
      </c>
      <c r="I23">
        <v>15884</v>
      </c>
      <c r="J23">
        <v>72277</v>
      </c>
      <c r="K23">
        <v>166462</v>
      </c>
      <c r="L23">
        <v>0</v>
      </c>
      <c r="M23">
        <v>0</v>
      </c>
      <c r="N23">
        <v>0</v>
      </c>
      <c r="O23">
        <v>130602</v>
      </c>
      <c r="P23">
        <v>107268</v>
      </c>
      <c r="Q23">
        <v>144863</v>
      </c>
      <c r="R23">
        <v>64246</v>
      </c>
      <c r="S23">
        <v>18628</v>
      </c>
      <c r="T23">
        <v>3023</v>
      </c>
      <c r="U23">
        <v>1119</v>
      </c>
      <c r="V23">
        <v>416</v>
      </c>
      <c r="W23">
        <v>16628</v>
      </c>
      <c r="X23">
        <v>16263</v>
      </c>
      <c r="Y23">
        <v>5646</v>
      </c>
      <c r="Z23">
        <v>9892</v>
      </c>
      <c r="AA23">
        <v>43471</v>
      </c>
      <c r="AB23">
        <v>37844</v>
      </c>
      <c r="AC23">
        <v>12721</v>
      </c>
      <c r="AD23">
        <v>33021</v>
      </c>
    </row>
    <row r="24" spans="1:30" x14ac:dyDescent="0.4">
      <c r="A24" s="1" t="s">
        <v>36</v>
      </c>
      <c r="B24" s="1" t="s">
        <v>37</v>
      </c>
      <c r="C24">
        <v>8196617</v>
      </c>
      <c r="D24">
        <v>8392090</v>
      </c>
      <c r="E24">
        <v>110783</v>
      </c>
      <c r="F24">
        <v>5118503</v>
      </c>
      <c r="G24">
        <v>133021</v>
      </c>
      <c r="H24">
        <v>135951</v>
      </c>
      <c r="I24">
        <v>20407</v>
      </c>
      <c r="J24">
        <v>69347</v>
      </c>
      <c r="K24">
        <v>172437</v>
      </c>
      <c r="L24">
        <v>0</v>
      </c>
      <c r="M24">
        <v>0</v>
      </c>
      <c r="N24">
        <v>0</v>
      </c>
      <c r="O24">
        <v>131179</v>
      </c>
      <c r="P24">
        <v>119961</v>
      </c>
      <c r="Q24">
        <v>165312</v>
      </c>
      <c r="R24">
        <v>69233</v>
      </c>
      <c r="S24">
        <v>17692</v>
      </c>
      <c r="T24">
        <v>2447</v>
      </c>
      <c r="U24">
        <v>892</v>
      </c>
      <c r="V24">
        <v>822</v>
      </c>
      <c r="W24">
        <v>15640</v>
      </c>
      <c r="X24">
        <v>15214</v>
      </c>
      <c r="Y24">
        <v>5142</v>
      </c>
      <c r="Z24">
        <v>9960</v>
      </c>
      <c r="AA24">
        <v>45559</v>
      </c>
      <c r="AB24">
        <v>41542</v>
      </c>
      <c r="AC24">
        <v>13527</v>
      </c>
      <c r="AD24">
        <v>37038</v>
      </c>
    </row>
    <row r="25" spans="1:30" x14ac:dyDescent="0.4">
      <c r="A25" s="1" t="s">
        <v>38</v>
      </c>
      <c r="B25" s="1" t="s">
        <v>39</v>
      </c>
      <c r="C25">
        <v>8296923</v>
      </c>
      <c r="D25">
        <v>8712450</v>
      </c>
      <c r="E25">
        <v>117283</v>
      </c>
      <c r="F25">
        <v>4702977</v>
      </c>
      <c r="G25">
        <v>114327</v>
      </c>
      <c r="H25">
        <v>115031</v>
      </c>
      <c r="I25">
        <v>17586</v>
      </c>
      <c r="J25">
        <v>68643</v>
      </c>
      <c r="K25">
        <v>134001</v>
      </c>
      <c r="L25">
        <v>0</v>
      </c>
      <c r="M25">
        <v>0</v>
      </c>
      <c r="N25">
        <v>0</v>
      </c>
      <c r="O25">
        <v>117209</v>
      </c>
      <c r="P25">
        <v>116434</v>
      </c>
      <c r="Q25">
        <v>160337</v>
      </c>
      <c r="R25">
        <v>63864</v>
      </c>
      <c r="S25">
        <v>14737</v>
      </c>
      <c r="T25">
        <v>2692</v>
      </c>
      <c r="U25">
        <v>977</v>
      </c>
      <c r="V25">
        <v>582</v>
      </c>
      <c r="W25">
        <v>14708</v>
      </c>
      <c r="X25">
        <v>15492</v>
      </c>
      <c r="Y25">
        <v>5185</v>
      </c>
      <c r="Z25">
        <v>9011</v>
      </c>
      <c r="AA25">
        <v>38623</v>
      </c>
      <c r="AB25">
        <v>38812</v>
      </c>
      <c r="AC25">
        <v>12172</v>
      </c>
      <c r="AD25">
        <v>36850</v>
      </c>
    </row>
    <row r="26" spans="1:30" x14ac:dyDescent="0.4">
      <c r="A26" s="1" t="s">
        <v>40</v>
      </c>
      <c r="B26" s="1" t="s">
        <v>41</v>
      </c>
      <c r="C26">
        <v>8966503</v>
      </c>
      <c r="D26">
        <v>8451981</v>
      </c>
      <c r="E26">
        <v>115735</v>
      </c>
      <c r="F26">
        <v>5217499</v>
      </c>
      <c r="G26">
        <v>128470</v>
      </c>
      <c r="H26">
        <v>119785</v>
      </c>
      <c r="I26">
        <v>18540</v>
      </c>
      <c r="J26">
        <v>77328</v>
      </c>
      <c r="K26">
        <v>141266</v>
      </c>
      <c r="L26">
        <v>0</v>
      </c>
      <c r="M26">
        <v>0</v>
      </c>
      <c r="N26">
        <v>0</v>
      </c>
      <c r="O26">
        <v>124709</v>
      </c>
      <c r="P26">
        <v>119124</v>
      </c>
      <c r="Q26">
        <v>165978</v>
      </c>
      <c r="R26">
        <v>66140</v>
      </c>
      <c r="S26">
        <v>12860</v>
      </c>
      <c r="T26">
        <v>2480</v>
      </c>
      <c r="U26">
        <v>911</v>
      </c>
      <c r="V26">
        <v>851</v>
      </c>
      <c r="W26">
        <v>11349</v>
      </c>
      <c r="X26">
        <v>12900</v>
      </c>
      <c r="Y26">
        <v>4290</v>
      </c>
      <c r="Z26">
        <v>7392</v>
      </c>
      <c r="AA26">
        <v>38173</v>
      </c>
      <c r="AB26">
        <v>38490</v>
      </c>
      <c r="AC26">
        <v>12653</v>
      </c>
      <c r="AD26">
        <v>36533</v>
      </c>
    </row>
    <row r="27" spans="1:30" x14ac:dyDescent="0.4">
      <c r="A27" s="1" t="s">
        <v>42</v>
      </c>
      <c r="B27" s="1" t="s">
        <v>43</v>
      </c>
      <c r="C27">
        <v>6328259</v>
      </c>
      <c r="D27">
        <v>8005853</v>
      </c>
      <c r="E27">
        <v>119373</v>
      </c>
      <c r="F27">
        <v>3539906</v>
      </c>
      <c r="G27">
        <v>106299</v>
      </c>
      <c r="H27">
        <v>109221</v>
      </c>
      <c r="I27">
        <v>16384</v>
      </c>
      <c r="J27">
        <v>74405</v>
      </c>
      <c r="K27">
        <v>145540</v>
      </c>
      <c r="L27">
        <v>0</v>
      </c>
      <c r="M27">
        <v>0</v>
      </c>
      <c r="N27">
        <v>0</v>
      </c>
      <c r="O27">
        <v>115929</v>
      </c>
      <c r="P27">
        <v>111154</v>
      </c>
      <c r="Q27">
        <v>152247</v>
      </c>
      <c r="R27">
        <v>61088</v>
      </c>
      <c r="S27">
        <v>16351</v>
      </c>
      <c r="T27">
        <v>2502</v>
      </c>
      <c r="U27">
        <v>852</v>
      </c>
      <c r="V27">
        <v>702</v>
      </c>
      <c r="W27">
        <v>15007</v>
      </c>
      <c r="X27">
        <v>15062</v>
      </c>
      <c r="Y27">
        <v>4748</v>
      </c>
      <c r="Z27">
        <v>6796</v>
      </c>
      <c r="AA27">
        <v>36331</v>
      </c>
      <c r="AB27">
        <v>34696</v>
      </c>
      <c r="AC27">
        <v>9887</v>
      </c>
      <c r="AD27">
        <v>38168</v>
      </c>
    </row>
    <row r="28" spans="1:30" x14ac:dyDescent="0.4">
      <c r="A28" s="1" t="s">
        <v>44</v>
      </c>
      <c r="B28" s="1" t="s">
        <v>45</v>
      </c>
      <c r="C28">
        <v>5528431</v>
      </c>
      <c r="D28">
        <v>6120197</v>
      </c>
      <c r="E28">
        <v>93109</v>
      </c>
      <c r="F28">
        <v>2948139</v>
      </c>
      <c r="G28">
        <v>104904</v>
      </c>
      <c r="H28">
        <v>107028</v>
      </c>
      <c r="I28">
        <v>16435</v>
      </c>
      <c r="J28">
        <v>72281</v>
      </c>
      <c r="K28">
        <v>159377</v>
      </c>
      <c r="L28">
        <v>0</v>
      </c>
      <c r="M28">
        <v>0</v>
      </c>
      <c r="N28">
        <v>0</v>
      </c>
      <c r="O28">
        <v>121412</v>
      </c>
      <c r="P28">
        <v>112407</v>
      </c>
      <c r="Q28">
        <v>157377</v>
      </c>
      <c r="R28">
        <v>59138</v>
      </c>
      <c r="S28">
        <v>18497</v>
      </c>
      <c r="T28">
        <v>2988</v>
      </c>
      <c r="U28">
        <v>1017</v>
      </c>
      <c r="V28">
        <v>736</v>
      </c>
      <c r="W28">
        <v>16353</v>
      </c>
      <c r="X28">
        <v>14217</v>
      </c>
      <c r="Y28">
        <v>4565</v>
      </c>
      <c r="Z28">
        <v>8479</v>
      </c>
      <c r="AA28">
        <v>35581</v>
      </c>
      <c r="AB28">
        <v>31890</v>
      </c>
      <c r="AC28">
        <v>9325</v>
      </c>
      <c r="AD28">
        <v>41860</v>
      </c>
    </row>
    <row r="29" spans="1:30" x14ac:dyDescent="0.4">
      <c r="A29" s="1" t="s">
        <v>46</v>
      </c>
      <c r="B29" s="1" t="s">
        <v>47</v>
      </c>
      <c r="C29">
        <v>5798638</v>
      </c>
      <c r="D29">
        <v>5426110</v>
      </c>
      <c r="E29">
        <v>81774</v>
      </c>
      <c r="F29">
        <v>3320667</v>
      </c>
      <c r="G29">
        <v>109495</v>
      </c>
      <c r="H29">
        <v>119212</v>
      </c>
      <c r="I29">
        <v>19755</v>
      </c>
      <c r="J29">
        <v>62564</v>
      </c>
      <c r="K29">
        <v>162204</v>
      </c>
      <c r="L29">
        <v>0</v>
      </c>
      <c r="M29">
        <v>0</v>
      </c>
      <c r="N29">
        <v>0</v>
      </c>
      <c r="O29">
        <v>121129</v>
      </c>
      <c r="P29">
        <v>112388</v>
      </c>
      <c r="Q29">
        <v>159520</v>
      </c>
      <c r="R29">
        <v>59773</v>
      </c>
      <c r="S29">
        <v>17102</v>
      </c>
      <c r="T29">
        <v>2330</v>
      </c>
      <c r="U29">
        <v>813</v>
      </c>
      <c r="V29">
        <v>779</v>
      </c>
      <c r="W29">
        <v>15970</v>
      </c>
      <c r="X29">
        <v>15364</v>
      </c>
      <c r="Y29">
        <v>4944</v>
      </c>
      <c r="Z29">
        <v>8443</v>
      </c>
      <c r="AA29">
        <v>30396</v>
      </c>
      <c r="AB29">
        <v>35736</v>
      </c>
      <c r="AC29">
        <v>9975</v>
      </c>
      <c r="AD29">
        <v>36520</v>
      </c>
    </row>
    <row r="30" spans="1:30" x14ac:dyDescent="0.4">
      <c r="A30" s="1" t="s">
        <v>48</v>
      </c>
      <c r="B30" s="1" t="s">
        <v>49</v>
      </c>
      <c r="C30">
        <v>5916259</v>
      </c>
      <c r="D30">
        <v>6126012</v>
      </c>
      <c r="E30">
        <v>95477</v>
      </c>
      <c r="F30">
        <v>3110914</v>
      </c>
      <c r="G30">
        <v>118223</v>
      </c>
      <c r="H30">
        <v>100053</v>
      </c>
      <c r="I30">
        <v>17421</v>
      </c>
      <c r="J30">
        <v>80734</v>
      </c>
      <c r="K30">
        <v>163783</v>
      </c>
      <c r="L30">
        <v>0</v>
      </c>
      <c r="M30">
        <v>0</v>
      </c>
      <c r="N30">
        <v>0</v>
      </c>
      <c r="O30">
        <v>130462</v>
      </c>
      <c r="P30">
        <v>126596</v>
      </c>
      <c r="Q30">
        <v>183031</v>
      </c>
      <c r="R30">
        <v>55823</v>
      </c>
      <c r="S30">
        <v>17100</v>
      </c>
      <c r="T30">
        <v>3212</v>
      </c>
      <c r="U30">
        <v>1153</v>
      </c>
      <c r="V30">
        <v>390</v>
      </c>
      <c r="W30">
        <v>15818</v>
      </c>
      <c r="X30">
        <v>15770</v>
      </c>
      <c r="Y30">
        <v>5207</v>
      </c>
      <c r="Z30">
        <v>8036</v>
      </c>
      <c r="AA30">
        <v>20119</v>
      </c>
      <c r="AB30">
        <v>33988</v>
      </c>
      <c r="AC30">
        <v>10019</v>
      </c>
      <c r="AD30">
        <v>22651</v>
      </c>
    </row>
    <row r="31" spans="1:30" x14ac:dyDescent="0.4">
      <c r="A31" s="1" t="s">
        <v>50</v>
      </c>
      <c r="B31" s="1" t="s">
        <v>51</v>
      </c>
      <c r="C31">
        <v>5829220</v>
      </c>
      <c r="D31">
        <v>5381956</v>
      </c>
      <c r="E31">
        <v>82515</v>
      </c>
      <c r="F31">
        <v>3558178</v>
      </c>
      <c r="G31">
        <v>95085</v>
      </c>
      <c r="H31">
        <v>107626</v>
      </c>
      <c r="I31">
        <v>19033</v>
      </c>
      <c r="J31">
        <v>68193</v>
      </c>
      <c r="K31">
        <v>160016</v>
      </c>
      <c r="L31">
        <v>0</v>
      </c>
      <c r="M31">
        <v>0</v>
      </c>
      <c r="N31">
        <v>0</v>
      </c>
      <c r="O31">
        <v>125174</v>
      </c>
      <c r="P31">
        <v>108620</v>
      </c>
      <c r="Q31">
        <v>155993</v>
      </c>
      <c r="R31">
        <v>64990</v>
      </c>
      <c r="S31">
        <v>16272</v>
      </c>
      <c r="T31">
        <v>1739</v>
      </c>
      <c r="U31">
        <v>614</v>
      </c>
      <c r="V31">
        <v>1102</v>
      </c>
      <c r="W31">
        <v>14120</v>
      </c>
      <c r="X31">
        <v>11756</v>
      </c>
      <c r="Y31">
        <v>3838</v>
      </c>
      <c r="Z31">
        <v>10258</v>
      </c>
      <c r="AA31">
        <v>30555</v>
      </c>
      <c r="AB31">
        <v>32738</v>
      </c>
      <c r="AC31">
        <v>10018</v>
      </c>
      <c r="AD31">
        <v>20467</v>
      </c>
    </row>
    <row r="32" spans="1:30" x14ac:dyDescent="0.4">
      <c r="A32" s="1" t="s">
        <v>52</v>
      </c>
      <c r="B32" s="1" t="s">
        <v>53</v>
      </c>
      <c r="C32">
        <v>5131597</v>
      </c>
      <c r="D32">
        <v>5323694</v>
      </c>
      <c r="E32">
        <v>89918</v>
      </c>
      <c r="F32">
        <v>3366081</v>
      </c>
      <c r="G32">
        <v>91145</v>
      </c>
      <c r="H32">
        <v>98773</v>
      </c>
      <c r="I32">
        <v>17054</v>
      </c>
      <c r="J32">
        <v>60565</v>
      </c>
      <c r="K32">
        <v>152428</v>
      </c>
      <c r="L32">
        <v>0</v>
      </c>
      <c r="M32">
        <v>0</v>
      </c>
      <c r="N32">
        <v>0</v>
      </c>
      <c r="O32">
        <v>122998</v>
      </c>
      <c r="P32">
        <v>120371</v>
      </c>
      <c r="Q32">
        <v>177256</v>
      </c>
      <c r="R32">
        <v>64535</v>
      </c>
      <c r="S32">
        <v>15972</v>
      </c>
      <c r="T32">
        <v>2916</v>
      </c>
      <c r="U32">
        <v>1034</v>
      </c>
      <c r="V32">
        <v>933</v>
      </c>
      <c r="W32">
        <v>13444</v>
      </c>
      <c r="X32">
        <v>14264</v>
      </c>
      <c r="Y32">
        <v>4627</v>
      </c>
      <c r="Z32">
        <v>9391</v>
      </c>
      <c r="AA32">
        <v>32594</v>
      </c>
      <c r="AB32">
        <v>31122</v>
      </c>
      <c r="AC32">
        <v>9111</v>
      </c>
      <c r="AD32">
        <v>21938</v>
      </c>
    </row>
    <row r="33" spans="1:30" x14ac:dyDescent="0.4">
      <c r="A33" s="1" t="s">
        <v>54</v>
      </c>
      <c r="B33" s="1" t="s">
        <v>55</v>
      </c>
      <c r="C33">
        <v>5445482</v>
      </c>
      <c r="D33">
        <v>5422283</v>
      </c>
      <c r="E33">
        <v>102232</v>
      </c>
      <c r="F33">
        <v>3389280</v>
      </c>
      <c r="G33">
        <v>110881</v>
      </c>
      <c r="H33">
        <v>100197</v>
      </c>
      <c r="I33">
        <v>22932</v>
      </c>
      <c r="J33">
        <v>71248</v>
      </c>
      <c r="K33">
        <v>139176</v>
      </c>
      <c r="L33">
        <v>0</v>
      </c>
      <c r="M33">
        <v>0</v>
      </c>
      <c r="N33">
        <v>0</v>
      </c>
      <c r="O33">
        <v>123047</v>
      </c>
      <c r="P33">
        <v>114062</v>
      </c>
      <c r="Q33">
        <v>176857</v>
      </c>
      <c r="R33">
        <v>65634</v>
      </c>
      <c r="S33">
        <v>18740</v>
      </c>
      <c r="T33">
        <v>2911</v>
      </c>
      <c r="U33">
        <v>1058</v>
      </c>
      <c r="V33">
        <v>1320</v>
      </c>
      <c r="W33">
        <v>16256</v>
      </c>
      <c r="X33">
        <v>16042</v>
      </c>
      <c r="Y33">
        <v>5373</v>
      </c>
      <c r="Z33">
        <v>8882</v>
      </c>
      <c r="AA33">
        <v>35566</v>
      </c>
      <c r="AB33">
        <v>33429</v>
      </c>
      <c r="AC33">
        <v>10454</v>
      </c>
      <c r="AD33">
        <v>24075</v>
      </c>
    </row>
    <row r="34" spans="1:30" x14ac:dyDescent="0.4">
      <c r="A34" s="1" t="s">
        <v>56</v>
      </c>
      <c r="B34" s="1" t="s">
        <v>57</v>
      </c>
      <c r="C34">
        <v>5284075</v>
      </c>
      <c r="D34">
        <v>5292432</v>
      </c>
      <c r="E34">
        <v>100101</v>
      </c>
      <c r="F34">
        <v>3380923</v>
      </c>
      <c r="G34">
        <v>133750</v>
      </c>
      <c r="H34">
        <v>114177</v>
      </c>
      <c r="I34">
        <v>28141</v>
      </c>
      <c r="J34">
        <v>90821</v>
      </c>
      <c r="K34">
        <v>80817</v>
      </c>
      <c r="L34">
        <v>0</v>
      </c>
      <c r="M34">
        <v>0</v>
      </c>
      <c r="N34">
        <v>0</v>
      </c>
      <c r="O34">
        <v>98316</v>
      </c>
      <c r="P34">
        <v>105949</v>
      </c>
      <c r="Q34">
        <v>167504</v>
      </c>
      <c r="R34">
        <v>56236</v>
      </c>
      <c r="S34">
        <v>18847</v>
      </c>
      <c r="T34">
        <v>2509</v>
      </c>
      <c r="U34">
        <v>950</v>
      </c>
      <c r="V34">
        <v>1904</v>
      </c>
      <c r="W34">
        <v>15869</v>
      </c>
      <c r="X34">
        <v>14021</v>
      </c>
      <c r="Y34">
        <v>4859</v>
      </c>
      <c r="Z34">
        <v>10212</v>
      </c>
      <c r="AA34">
        <v>28932</v>
      </c>
      <c r="AB34">
        <v>31897</v>
      </c>
      <c r="AC34">
        <v>10096</v>
      </c>
      <c r="AD34">
        <v>21110</v>
      </c>
    </row>
    <row r="35" spans="1:30" x14ac:dyDescent="0.4">
      <c r="A35" s="1" t="s">
        <v>58</v>
      </c>
      <c r="B35" s="1" t="s">
        <v>59</v>
      </c>
      <c r="C35">
        <v>5201758</v>
      </c>
      <c r="D35">
        <v>4845764</v>
      </c>
      <c r="E35">
        <v>96451</v>
      </c>
      <c r="F35">
        <v>3736917</v>
      </c>
      <c r="G35">
        <v>111318</v>
      </c>
      <c r="H35">
        <v>116002</v>
      </c>
      <c r="I35">
        <v>35685</v>
      </c>
      <c r="J35">
        <v>86137</v>
      </c>
      <c r="K35">
        <v>104402</v>
      </c>
      <c r="L35">
        <v>0</v>
      </c>
      <c r="M35">
        <v>0</v>
      </c>
      <c r="N35">
        <v>0</v>
      </c>
      <c r="O35">
        <v>108033</v>
      </c>
      <c r="P35">
        <v>97156</v>
      </c>
      <c r="Q35">
        <v>163579</v>
      </c>
      <c r="R35">
        <v>57967</v>
      </c>
      <c r="S35">
        <v>21704</v>
      </c>
      <c r="T35">
        <v>1675</v>
      </c>
      <c r="U35">
        <v>614</v>
      </c>
      <c r="V35">
        <v>1694</v>
      </c>
      <c r="W35">
        <v>18160</v>
      </c>
      <c r="X35">
        <v>15361</v>
      </c>
      <c r="Y35">
        <v>5234</v>
      </c>
      <c r="Z35">
        <v>12584</v>
      </c>
      <c r="AA35">
        <v>23705</v>
      </c>
      <c r="AB35">
        <v>28076</v>
      </c>
      <c r="AC35">
        <v>8624</v>
      </c>
      <c r="AD35">
        <v>16740</v>
      </c>
    </row>
    <row r="36" spans="1:30" x14ac:dyDescent="0.4">
      <c r="A36" s="1" t="s">
        <v>60</v>
      </c>
      <c r="B36" s="1" t="s">
        <v>61</v>
      </c>
      <c r="C36">
        <v>5581946</v>
      </c>
      <c r="D36">
        <v>5947575</v>
      </c>
      <c r="E36">
        <v>134271</v>
      </c>
      <c r="F36">
        <v>3371289</v>
      </c>
      <c r="G36">
        <v>130095</v>
      </c>
      <c r="H36">
        <v>135832</v>
      </c>
      <c r="I36">
        <v>60095</v>
      </c>
      <c r="J36">
        <v>80400</v>
      </c>
      <c r="K36">
        <v>155944</v>
      </c>
      <c r="L36">
        <v>0</v>
      </c>
      <c r="M36">
        <v>0</v>
      </c>
      <c r="N36">
        <v>0</v>
      </c>
      <c r="O36">
        <v>116811</v>
      </c>
      <c r="P36">
        <v>101521</v>
      </c>
      <c r="Q36">
        <v>195614</v>
      </c>
      <c r="R36">
        <v>64924</v>
      </c>
      <c r="S36">
        <v>21916</v>
      </c>
      <c r="T36">
        <v>2635</v>
      </c>
      <c r="U36">
        <v>1002</v>
      </c>
      <c r="V36">
        <v>2089</v>
      </c>
      <c r="W36">
        <v>17294</v>
      </c>
      <c r="X36">
        <v>15578</v>
      </c>
      <c r="Y36">
        <v>5456</v>
      </c>
      <c r="Z36">
        <v>14230</v>
      </c>
      <c r="AA36">
        <v>37332</v>
      </c>
      <c r="AB36">
        <v>33018</v>
      </c>
      <c r="AC36">
        <v>11335</v>
      </c>
      <c r="AD36">
        <v>21054</v>
      </c>
    </row>
    <row r="37" spans="1:30" x14ac:dyDescent="0.4">
      <c r="A37" s="1" t="s">
        <v>62</v>
      </c>
      <c r="B37" s="1" t="s">
        <v>63</v>
      </c>
      <c r="C37">
        <v>6334989</v>
      </c>
      <c r="D37">
        <v>5549658</v>
      </c>
      <c r="E37">
        <v>127908</v>
      </c>
      <c r="F37">
        <v>4156619</v>
      </c>
      <c r="G37">
        <v>112840</v>
      </c>
      <c r="H37">
        <v>123893</v>
      </c>
      <c r="I37">
        <v>47831</v>
      </c>
      <c r="J37">
        <v>69346</v>
      </c>
      <c r="K37">
        <v>139095</v>
      </c>
      <c r="L37">
        <v>0</v>
      </c>
      <c r="M37">
        <v>0</v>
      </c>
      <c r="N37">
        <v>0</v>
      </c>
      <c r="O37">
        <v>114095</v>
      </c>
      <c r="P37">
        <v>103767</v>
      </c>
      <c r="Q37">
        <v>197603</v>
      </c>
      <c r="R37">
        <v>69197</v>
      </c>
      <c r="S37">
        <v>17095</v>
      </c>
      <c r="T37">
        <v>1721</v>
      </c>
      <c r="U37">
        <v>623</v>
      </c>
      <c r="V37">
        <v>1936</v>
      </c>
      <c r="W37">
        <v>16047</v>
      </c>
      <c r="X37">
        <v>14447</v>
      </c>
      <c r="Y37">
        <v>4838</v>
      </c>
      <c r="Z37">
        <v>15520</v>
      </c>
      <c r="AA37">
        <v>31045</v>
      </c>
      <c r="AB37">
        <v>28277</v>
      </c>
      <c r="AC37">
        <v>9307</v>
      </c>
      <c r="AD37">
        <v>23825</v>
      </c>
    </row>
    <row r="38" spans="1:30" x14ac:dyDescent="0.4">
      <c r="A38" s="1" t="s">
        <v>64</v>
      </c>
      <c r="B38" s="1" t="s">
        <v>65</v>
      </c>
      <c r="C38">
        <v>6247943</v>
      </c>
      <c r="D38">
        <v>7494089</v>
      </c>
      <c r="E38">
        <v>171234</v>
      </c>
      <c r="F38">
        <v>2910473</v>
      </c>
      <c r="G38">
        <v>117260</v>
      </c>
      <c r="H38">
        <v>119349</v>
      </c>
      <c r="I38">
        <v>44512</v>
      </c>
      <c r="J38">
        <v>67257</v>
      </c>
      <c r="K38">
        <v>156231</v>
      </c>
      <c r="L38">
        <v>0</v>
      </c>
      <c r="M38">
        <v>0</v>
      </c>
      <c r="N38">
        <v>0</v>
      </c>
      <c r="O38">
        <v>128271</v>
      </c>
      <c r="P38">
        <v>121020</v>
      </c>
      <c r="Q38">
        <v>223139</v>
      </c>
      <c r="R38">
        <v>66739</v>
      </c>
      <c r="S38">
        <v>8274</v>
      </c>
      <c r="T38">
        <v>1055</v>
      </c>
      <c r="U38">
        <v>385</v>
      </c>
      <c r="V38">
        <v>914</v>
      </c>
      <c r="W38">
        <v>9066</v>
      </c>
      <c r="X38">
        <v>13937</v>
      </c>
      <c r="Y38">
        <v>4623</v>
      </c>
      <c r="Z38">
        <v>10595</v>
      </c>
      <c r="AA38">
        <v>27076</v>
      </c>
      <c r="AB38">
        <v>24113</v>
      </c>
      <c r="AC38">
        <v>6601</v>
      </c>
      <c r="AD38">
        <v>26787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110</vt:i4>
      </vt:variant>
    </vt:vector>
  </HeadingPairs>
  <TitlesOfParts>
    <vt:vector size="110" baseType="lpstr">
      <vt:lpstr>利用注意</vt:lpstr>
      <vt:lpstr>目次(Contents)</vt:lpstr>
      <vt:lpstr>1010</vt:lpstr>
      <vt:lpstr>1020</vt:lpstr>
      <vt:lpstr>1040</vt:lpstr>
      <vt:lpstr>1050</vt:lpstr>
      <vt:lpstr>1060</vt:lpstr>
      <vt:lpstr>1070</vt:lpstr>
      <vt:lpstr>2010</vt:lpstr>
      <vt:lpstr>2020</vt:lpstr>
      <vt:lpstr>2030</vt:lpstr>
      <vt:lpstr>2040</vt:lpstr>
      <vt:lpstr>2060</vt:lpstr>
      <vt:lpstr>2070</vt:lpstr>
      <vt:lpstr>2080</vt:lpstr>
      <vt:lpstr>2090</vt:lpstr>
      <vt:lpstr>2100</vt:lpstr>
      <vt:lpstr>2110</vt:lpstr>
      <vt:lpstr>2120</vt:lpstr>
      <vt:lpstr>2140</vt:lpstr>
      <vt:lpstr>2160</vt:lpstr>
      <vt:lpstr>2170</vt:lpstr>
      <vt:lpstr>2180</vt:lpstr>
      <vt:lpstr>2190</vt:lpstr>
      <vt:lpstr>2200</vt:lpstr>
      <vt:lpstr>2210</vt:lpstr>
      <vt:lpstr>2220</vt:lpstr>
      <vt:lpstr>2230</vt:lpstr>
      <vt:lpstr>2240</vt:lpstr>
      <vt:lpstr>2250</vt:lpstr>
      <vt:lpstr>2260</vt:lpstr>
      <vt:lpstr>2270</vt:lpstr>
      <vt:lpstr>2280</vt:lpstr>
      <vt:lpstr>2290</vt:lpstr>
      <vt:lpstr>2300</vt:lpstr>
      <vt:lpstr>2310</vt:lpstr>
      <vt:lpstr>2320</vt:lpstr>
      <vt:lpstr>2330</vt:lpstr>
      <vt:lpstr>2340</vt:lpstr>
      <vt:lpstr>2350</vt:lpstr>
      <vt:lpstr>2360</vt:lpstr>
      <vt:lpstr>2370</vt:lpstr>
      <vt:lpstr>2380</vt:lpstr>
      <vt:lpstr>2390</vt:lpstr>
      <vt:lpstr>2400</vt:lpstr>
      <vt:lpstr>2410</vt:lpstr>
      <vt:lpstr>2430</vt:lpstr>
      <vt:lpstr>2440</vt:lpstr>
      <vt:lpstr>2450</vt:lpstr>
      <vt:lpstr>2460</vt:lpstr>
      <vt:lpstr>2470</vt:lpstr>
      <vt:lpstr>2510</vt:lpstr>
      <vt:lpstr>2520</vt:lpstr>
      <vt:lpstr>2530</vt:lpstr>
      <vt:lpstr>2540</vt:lpstr>
      <vt:lpstr>2550</vt:lpstr>
      <vt:lpstr>2560</vt:lpstr>
      <vt:lpstr>2570</vt:lpstr>
      <vt:lpstr>3010</vt:lpstr>
      <vt:lpstr>3040</vt:lpstr>
      <vt:lpstr>3110</vt:lpstr>
      <vt:lpstr>3150</vt:lpstr>
      <vt:lpstr>3160</vt:lpstr>
      <vt:lpstr>3180</vt:lpstr>
      <vt:lpstr>3200</vt:lpstr>
      <vt:lpstr>4230</vt:lpstr>
      <vt:lpstr>4240</vt:lpstr>
      <vt:lpstr>4260</vt:lpstr>
      <vt:lpstr>4290</vt:lpstr>
      <vt:lpstr>4295</vt:lpstr>
      <vt:lpstr>4300</vt:lpstr>
      <vt:lpstr>5020</vt:lpstr>
      <vt:lpstr>5030</vt:lpstr>
      <vt:lpstr>5040</vt:lpstr>
      <vt:lpstr>5050</vt:lpstr>
      <vt:lpstr>5080</vt:lpstr>
      <vt:lpstr>5100</vt:lpstr>
      <vt:lpstr>5110</vt:lpstr>
      <vt:lpstr>5120</vt:lpstr>
      <vt:lpstr>5130</vt:lpstr>
      <vt:lpstr>5140</vt:lpstr>
      <vt:lpstr>6010</vt:lpstr>
      <vt:lpstr>6080</vt:lpstr>
      <vt:lpstr>6090</vt:lpstr>
      <vt:lpstr>6100</vt:lpstr>
      <vt:lpstr>6121</vt:lpstr>
      <vt:lpstr>6122</vt:lpstr>
      <vt:lpstr>6140</vt:lpstr>
      <vt:lpstr>6160</vt:lpstr>
      <vt:lpstr>6171</vt:lpstr>
      <vt:lpstr>6175</vt:lpstr>
      <vt:lpstr>6180</vt:lpstr>
      <vt:lpstr>6201</vt:lpstr>
      <vt:lpstr>6202</vt:lpstr>
      <vt:lpstr>6210</vt:lpstr>
      <vt:lpstr>7230</vt:lpstr>
      <vt:lpstr>7250</vt:lpstr>
      <vt:lpstr>7260</vt:lpstr>
      <vt:lpstr>7290</vt:lpstr>
      <vt:lpstr>7320</vt:lpstr>
      <vt:lpstr>7340</vt:lpstr>
      <vt:lpstr>8020</vt:lpstr>
      <vt:lpstr>8040</vt:lpstr>
      <vt:lpstr>8061</vt:lpstr>
      <vt:lpstr>9040</vt:lpstr>
      <vt:lpstr>9050</vt:lpstr>
      <vt:lpstr>9060</vt:lpstr>
      <vt:lpstr>9070</vt:lpstr>
      <vt:lpstr>9080</vt:lpstr>
      <vt:lpstr>9810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2026-05-14T02:54:57Z</dcterms:created>
  <dcterms:modified xsi:type="dcterms:W3CDTF">2026-05-15T00:04:58Z</dcterms:modified>
</cp:coreProperties>
</file>